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Repositories\Financial Models\GEN\"/>
    </mc:Choice>
  </mc:AlternateContent>
  <xr:revisionPtr revIDLastSave="0" documentId="13_ncr:1_{5BBBD845-E513-4AD7-B26C-544AAD19F350}" xr6:coauthVersionLast="47" xr6:coauthVersionMax="47" xr10:uidLastSave="{00000000-0000-0000-0000-000000000000}"/>
  <bookViews>
    <workbookView xWindow="1410" yWindow="3420" windowWidth="36990" windowHeight="17970" activeTab="1" xr2:uid="{00000000-000D-0000-FFFF-FFFF00000000}"/>
  </bookViews>
  <sheets>
    <sheet name="SQRNavigation" sheetId="48" r:id="rId1"/>
    <sheet name="SQRInputBindings" sheetId="49" r:id="rId2"/>
    <sheet name="SQRChartBindings" sheetId="51" r:id="rId3"/>
    <sheet name="SQRAnnual" sheetId="50" r:id="rId4"/>
    <sheet name="SQRMonthly" sheetId="47" r:id="rId5"/>
    <sheet name="Cover" sheetId="1" r:id="rId6"/>
    <sheet name="Contents" sheetId="2" r:id="rId7"/>
    <sheet name="InpC" sheetId="3" r:id="rId8"/>
    <sheet name="InpS" sheetId="4" r:id="rId9"/>
    <sheet name="InpT" sheetId="5" r:id="rId10"/>
    <sheet name="Time" sheetId="6" r:id="rId11"/>
    <sheet name="Unallocated" sheetId="7" r:id="rId12"/>
    <sheet name="Metrics" sheetId="8" r:id="rId13"/>
    <sheet name="Financials" sheetId="9" r:id="rId14"/>
    <sheet name="Customers" sheetId="10" r:id="rId15"/>
    <sheet name="Income" sheetId="11" r:id="rId16"/>
    <sheet name="Inventory" sheetId="12" r:id="rId17"/>
    <sheet name="Assets" sheetId="13" r:id="rId18"/>
    <sheet name="Expense" sheetId="14" r:id="rId19"/>
    <sheet name="Working Capital" sheetId="15" r:id="rId20"/>
    <sheet name="Invoice finance" sheetId="16" r:id="rId21"/>
    <sheet name="Supply Chain finance" sheetId="17" r:id="rId22"/>
    <sheet name="Asset Finance" sheetId="18" r:id="rId23"/>
    <sheet name="VAT" sheetId="19" r:id="rId24"/>
    <sheet name="Corporation tax" sheetId="20" r:id="rId25"/>
    <sheet name="Equity" sheetId="21" r:id="rId26"/>
    <sheet name="Model Checks and Alerts" sheetId="22" r:id="rId27"/>
    <sheet name="Income Statement Ann" sheetId="23" r:id="rId28"/>
    <sheet name="Balance Sheet Ann" sheetId="24" r:id="rId29"/>
    <sheet name="Cashflow Ann" sheetId="25" r:id="rId30"/>
    <sheet name="Inventory Report Ann" sheetId="26" r:id="rId31"/>
    <sheet name="Metrics Report Ann" sheetId="27" r:id="rId32"/>
    <sheet name="Income Statement" sheetId="28" r:id="rId33"/>
    <sheet name="Income Statement Qly" sheetId="29" r:id="rId34"/>
    <sheet name="Income Statement SemiAnnually" sheetId="30" r:id="rId35"/>
    <sheet name="Balance Sheet" sheetId="31" r:id="rId36"/>
    <sheet name="Balance Sheet Qly" sheetId="32" r:id="rId37"/>
    <sheet name="Balance Sheet SemiAnnually" sheetId="33" r:id="rId38"/>
    <sheet name="Cashflow" sheetId="34" r:id="rId39"/>
    <sheet name="Cashflow Qly" sheetId="35" r:id="rId40"/>
    <sheet name="Cashflow SemiAnnually" sheetId="36" r:id="rId41"/>
    <sheet name="Inventory Report" sheetId="37" r:id="rId42"/>
    <sheet name="Inventory Report Qly" sheetId="38" r:id="rId43"/>
    <sheet name="Inventory Report SemiAnnually" sheetId="39" r:id="rId44"/>
    <sheet name="Metrics Report" sheetId="40" r:id="rId45"/>
    <sheet name="Metrics Report Qly" sheetId="41" r:id="rId46"/>
    <sheet name="Metrics Report SemiAnnually" sheetId="42" r:id="rId47"/>
    <sheet name="Results Table" sheetId="43" r:id="rId48"/>
    <sheet name="Output" sheetId="44" r:id="rId49"/>
    <sheet name="Issues" sheetId="45" r:id="rId50"/>
    <sheet name="Styles" sheetId="46" r:id="rId51"/>
  </sheets>
  <definedNames>
    <definedName name="Asset_Finance_balance">'Asset Finance'!$J$15:$BQ$15</definedName>
    <definedName name="Asset_Finance_balance.BEG">'Asset Finance'!$J$11:$BQ$11</definedName>
    <definedName name="Asset_Finance_balance.FLOW">'Asset Finance'!$J$11:$BQ$11</definedName>
    <definedName name="Asset_Finance_drawdown">'Asset Finance'!$J$22:$BQ$22</definedName>
    <definedName name="Asset_Finance_interest">'Asset Finance'!$J$41:$BQ$41</definedName>
    <definedName name="Asset_Finance_interest.NEG">'Asset Finance'!$J$42:$BQ$42</definedName>
    <definedName name="Asset_Finance_interest_paid">'Asset Finance'!$J$47:$BQ$47</definedName>
    <definedName name="Asset_Finance_interest_paid.NEG">'Asset Finance'!$J$48:$BQ$48</definedName>
    <definedName name="Asset_Finance_principal_repayment">'Asset Finance'!$J$28:$BQ$28</definedName>
    <definedName name="Asset_Finance_principal_repayment.NEG">'Asset Finance'!$J$29:$BQ$29</definedName>
    <definedName name="Assets">'Balance Sheet'!$J$12:$BQ$12</definedName>
    <definedName name="CASE_ACTIVE">InpC!F$4</definedName>
    <definedName name="CASE_COMPARISON">InpC!F$5</definedName>
    <definedName name="Cash">Financials!$J$13:$BQ$13</definedName>
    <definedName name="Cash.BEG">Financials!$J$11:$BQ$11</definedName>
    <definedName name="Cash.FLOW">Financials!$J$11:$BQ$11</definedName>
    <definedName name="Cash_in_from_Sales">'Working Capital'!$J$22:$BQ$22</definedName>
    <definedName name="Cash_Low">Metrics!F$10</definedName>
    <definedName name="Cash_out_on_Inventory">'Working Capital'!$J$14:$BQ$14</definedName>
    <definedName name="Cash_out_on_Inventory.NEG">'Working Capital'!$J$15:$BQ$15</definedName>
    <definedName name="Cash_out_on_Operating_Expense">'Working Capital'!$J$51:$BQ$51</definedName>
    <definedName name="Cash_out_on_Operating_Expense.NEG">'Working Capital'!$J$52:$BQ$52</definedName>
    <definedName name="CF_after_capex">Cashflow!$J$15:$BQ$15</definedName>
    <definedName name="CF_after_financing">Cashflow!$J$26:$BQ$26</definedName>
    <definedName name="Constants">InpS!F$1</definedName>
    <definedName name="Corporation_tax">'Corporation tax'!$J$47:$BQ$47</definedName>
    <definedName name="Corporation_tax.NEG">'Corporation tax'!$J$48:$BQ$48</definedName>
    <definedName name="Corporation_tax_creditor">'Corporation tax'!$J$78:$BQ$78</definedName>
    <definedName name="Corporation_tax_creditor.BEG">'Corporation tax'!$J$75:$BQ$75</definedName>
    <definedName name="Corporation_tax_creditor.FLOW">'Corporation tax'!$J$75:$BQ$75</definedName>
    <definedName name="Corporation_tax_paid">'Corporation tax'!$J$68:$BQ$68</definedName>
    <definedName name="Corporation_tax_paid.NEG">'Corporation tax'!$J$69:$BQ$69</definedName>
    <definedName name="Creditors">'Working Capital'!$J$36:$BQ$36</definedName>
    <definedName name="Creditors.BEG">'Working Capital'!$J$28:$BQ$28</definedName>
    <definedName name="Creditors.FLOW">'Working Capital'!$J$28:$BQ$28</definedName>
    <definedName name="Customer_Orders_Awaiting_Fullfilment">Customers!$J$21:$BQ$21</definedName>
    <definedName name="Customer_Orders_Awaiting_Fullfilment.BEG">Customers!$J$17:$BQ$17</definedName>
    <definedName name="Customer_Orders_Awaiting_Fullfilment.FLOW">Customers!$J$17:$BQ$17</definedName>
    <definedName name="Debtors">'Working Capital'!$J$45:$BQ$45</definedName>
    <definedName name="Debtors.BEG">'Working Capital'!$J$41:$BQ$41</definedName>
    <definedName name="Debtors.FLOW">'Working Capital'!$J$41:$BQ$41</definedName>
    <definedName name="Deferred_Income">Income!$J$27:$BQ$27</definedName>
    <definedName name="Deferred_Income.BEG">Income!$J$24:$BQ$24</definedName>
    <definedName name="Deferred_Income.FLOW">Income!$J$24:$BQ$24</definedName>
    <definedName name="Deployed_units_returned">Inventory!$J$18:$BQ$18</definedName>
    <definedName name="Depreciation">Assets!$J$29:$BQ$29</definedName>
    <definedName name="Depreciation.BEG">Assets!$J$26:$BQ$26</definedName>
    <definedName name="Depreciation.FLOW">Assets!$J$26:$BQ$26</definedName>
    <definedName name="Depreciation.NEG">Assets!$J$30:$BQ$30</definedName>
    <definedName name="Depreciation_this_period">Assets!$J$11:$BQ$11</definedName>
    <definedName name="Depreciation_this_period.NEG">Assets!$J$12:$BQ$12</definedName>
    <definedName name="EBIT">'Income Statement'!$J$14:$BQ$14</definedName>
    <definedName name="EBITDA">'Income Statement'!$J$11:$BQ$11</definedName>
    <definedName name="ExampleInputRow">InpC!$14:$14</definedName>
    <definedName name="FirstDifferenceCell" localSheetId="6">InpC!I$13</definedName>
    <definedName name="FirstRow" localSheetId="6">InpC!A$14</definedName>
    <definedName name="FirstRow">InpS!$A$7</definedName>
    <definedName name="FirstTime">InpS!J$1</definedName>
    <definedName name="Fixed_operating_expense">Expense!$J$19:$BQ$19</definedName>
    <definedName name="Fixed_operating_expense.NEG">Expense!$J$20:$BQ$20</definedName>
    <definedName name="Headings">InpS!$E$2:$E$5</definedName>
    <definedName name="Income">Income!$J$18:$BQ$18</definedName>
    <definedName name="InputChanges" localSheetId="6">InpC!F$7</definedName>
    <definedName name="Inventory">Assets!$J$21:$BQ$21</definedName>
    <definedName name="Inventory.BEG">Assets!$J$18:$BQ$18</definedName>
    <definedName name="Inventory.FLOW">Assets!$J$18:$BQ$18</definedName>
    <definedName name="Invoice_finance_balance">'Invoice finance'!$J$15:$BQ$15</definedName>
    <definedName name="Invoice_finance_balance.BEG">'Invoice finance'!$J$11:$BQ$11</definedName>
    <definedName name="Invoice_finance_balance.FLOW">'Invoice finance'!$J$11:$BQ$11</definedName>
    <definedName name="Invoice_finance_drawdown">'Invoice finance'!$J$21:$BQ$21</definedName>
    <definedName name="Invoice_finance_interest">'Invoice finance'!$J$40:$BQ$40</definedName>
    <definedName name="Invoice_finance_interest.NEG">'Invoice finance'!$J$41:$BQ$41</definedName>
    <definedName name="Invoice_finance_interest_paid">'Invoice finance'!$J$46:$BQ$46</definedName>
    <definedName name="Invoice_finance_interest_paid.NEG">'Invoice finance'!$J$47:$BQ$47</definedName>
    <definedName name="Invoice_finance_principal_repayment">'Invoice finance'!$J$27:$BQ$27</definedName>
    <definedName name="Invoice_finance_principal_repayment.NEG">'Invoice finance'!$J$28:$BQ$28</definedName>
    <definedName name="Label">InpS!E$1</definedName>
    <definedName name="Liabilities">'Balance Sheet'!$J$21:$BQ$21</definedName>
    <definedName name="MasterALERT" localSheetId="22">VAT!$F$3</definedName>
    <definedName name="MasterALERT" localSheetId="17">Expense!$F$3</definedName>
    <definedName name="MasterALERT" localSheetId="35">'Balance Sheet Qly'!$F$3</definedName>
    <definedName name="MasterALERT" localSheetId="28">'Cashflow Ann'!$F$3</definedName>
    <definedName name="MasterALERT" localSheetId="36">'Balance Sheet SemiAnnually'!$F$3</definedName>
    <definedName name="MasterALERT" localSheetId="37">Cashflow!$F$3</definedName>
    <definedName name="MasterALERT" localSheetId="38">'Cashflow Qly'!$F$3</definedName>
    <definedName name="MasterALERT" localSheetId="29">'Inventory Report Ann'!$F$3</definedName>
    <definedName name="MasterALERT" localSheetId="39">'Cashflow SemiAnnually'!$F$3</definedName>
    <definedName name="MasterALERT" localSheetId="40">'Inventory Report'!$F$3</definedName>
    <definedName name="MasterALERT" localSheetId="24">Equity!$F$3</definedName>
    <definedName name="MasterALERT" localSheetId="14">Income!$F$3</definedName>
    <definedName name="MasterALERT" localSheetId="25">'Model Checks and Alerts'!$F$3</definedName>
    <definedName name="MasterALERT" localSheetId="18">'Working Capital'!$F$3</definedName>
    <definedName name="MasterALERT" localSheetId="13">Customers!$F$3</definedName>
    <definedName name="MasterALERT" localSheetId="15">Inventory!$F$3</definedName>
    <definedName name="MasterALERT" localSheetId="32">'Income Statement Qly'!$F$3</definedName>
    <definedName name="MasterALERT" localSheetId="27">'Balance Sheet Ann'!$F$3</definedName>
    <definedName name="MasterALERT" localSheetId="33">'Income Statement SemiAnnually'!$F$3</definedName>
    <definedName name="MasterALERT" localSheetId="34">'Balance Sheet'!$F$3</definedName>
    <definedName name="MasterALERT" localSheetId="7">InpS!$F$3</definedName>
    <definedName name="MasterALERT" localSheetId="8">InpT!$F$3</definedName>
    <definedName name="MasterALERT" localSheetId="9">Time!$F$3</definedName>
    <definedName name="MasterALERT" localSheetId="16">Assets!$F$3</definedName>
    <definedName name="MasterALERT" localSheetId="41">'Inventory Report Qly'!$F$3</definedName>
    <definedName name="MasterALERT" localSheetId="30">'Metrics Report Ann'!$F$3</definedName>
    <definedName name="MasterALERT" localSheetId="42">'Inventory Report SemiAnnually'!$F$3</definedName>
    <definedName name="MasterALERT" localSheetId="43">'Metrics Report'!$F$3</definedName>
    <definedName name="MasterALERT" localSheetId="20">'Supply Chain finance'!$F$3</definedName>
    <definedName name="MasterALERT" localSheetId="12">Financials!$F$3</definedName>
    <definedName name="MasterALERT" localSheetId="44">'Metrics Report Qly'!$F$3</definedName>
    <definedName name="MasterALERT" localSheetId="31">'Income Statement'!$F$3</definedName>
    <definedName name="MasterALERT" localSheetId="45">'Metrics Report SemiAnnually'!$F$3</definedName>
    <definedName name="MasterALERT" localSheetId="46">'Results Table'!$F$3</definedName>
    <definedName name="MasterALERT" localSheetId="26">'Income Statement Ann'!$F$3</definedName>
    <definedName name="MasterALERT" localSheetId="21">'Asset Finance'!F$3</definedName>
    <definedName name="MasterALERT" localSheetId="10">Unallocated!$F$3</definedName>
    <definedName name="MasterALERT" localSheetId="11">Metrics!$F$3</definedName>
    <definedName name="MasterALERT" localSheetId="23">'Corporation tax'!$F$3</definedName>
    <definedName name="MasterALERT" localSheetId="19">'Invoice finance'!$F$3</definedName>
    <definedName name="MasterCHK" localSheetId="22">VAT!$F$2</definedName>
    <definedName name="MasterCHK" localSheetId="17">Expense!$F$2</definedName>
    <definedName name="MasterCHK" localSheetId="35">'Balance Sheet Qly'!$F$2</definedName>
    <definedName name="MasterCHK" localSheetId="28">'Cashflow Ann'!$F$2</definedName>
    <definedName name="MasterCHK" localSheetId="36">'Balance Sheet SemiAnnually'!$F$2</definedName>
    <definedName name="MasterCHK" localSheetId="37">Cashflow!$F$2</definedName>
    <definedName name="MasterCHK" localSheetId="38">'Cashflow Qly'!$F$2</definedName>
    <definedName name="MasterCHK" localSheetId="29">'Inventory Report Ann'!$F$2</definedName>
    <definedName name="MasterCHK" localSheetId="39">'Cashflow SemiAnnually'!$F$2</definedName>
    <definedName name="MasterCHK" localSheetId="40">'Inventory Report'!$F$2</definedName>
    <definedName name="MasterCHK" localSheetId="24">Equity!$F$2</definedName>
    <definedName name="MasterCHK" localSheetId="14">Income!$F$2</definedName>
    <definedName name="MasterCHK" localSheetId="25">'Model Checks and Alerts'!$F$2</definedName>
    <definedName name="MasterCHK" localSheetId="18">'Working Capital'!$F$2</definedName>
    <definedName name="MasterCHK" localSheetId="13">Customers!$F$2</definedName>
    <definedName name="MasterCHK" localSheetId="15">Inventory!$F$2</definedName>
    <definedName name="MasterCHK" localSheetId="32">'Income Statement Qly'!$F$2</definedName>
    <definedName name="MasterCHK" localSheetId="27">'Balance Sheet Ann'!$F$2</definedName>
    <definedName name="MasterCHK" localSheetId="33">'Income Statement SemiAnnually'!$F$2</definedName>
    <definedName name="MasterCHK" localSheetId="34">'Balance Sheet'!$F$2</definedName>
    <definedName name="MasterCHK" localSheetId="7">InpS!$F$2</definedName>
    <definedName name="MasterCHK" localSheetId="8">InpT!$F$2</definedName>
    <definedName name="MasterCHK" localSheetId="9">Time!$F$2</definedName>
    <definedName name="MasterCHK" localSheetId="16">Assets!$F$2</definedName>
    <definedName name="MasterCHK" localSheetId="41">'Inventory Report Qly'!$F$2</definedName>
    <definedName name="MasterCHK" localSheetId="30">'Metrics Report Ann'!$F$2</definedName>
    <definedName name="MasterCHK" localSheetId="42">'Inventory Report SemiAnnually'!$F$2</definedName>
    <definedName name="MasterCHK" localSheetId="43">'Metrics Report'!$F$2</definedName>
    <definedName name="MasterCHK" localSheetId="20">'Supply Chain finance'!$F$2</definedName>
    <definedName name="MasterCHK" localSheetId="12">Financials!$F$2</definedName>
    <definedName name="MasterCHK" localSheetId="44">'Metrics Report Qly'!$F$2</definedName>
    <definedName name="MasterCHK" localSheetId="31">'Income Statement'!$F$2</definedName>
    <definedName name="MasterCHK" localSheetId="45">'Metrics Report SemiAnnually'!$F$2</definedName>
    <definedName name="MasterCHK" localSheetId="46">'Results Table'!$F$2</definedName>
    <definedName name="MasterCHK" localSheetId="26">'Income Statement Ann'!$F$2</definedName>
    <definedName name="MasterCHK" localSheetId="21">'Asset Finance'!F$2</definedName>
    <definedName name="MasterCHK" localSheetId="10">Unallocated!$F$2</definedName>
    <definedName name="MasterCHK" localSheetId="11">Metrics!$F$2</definedName>
    <definedName name="MasterCHK" localSheetId="23">'Corporation tax'!$F$2</definedName>
    <definedName name="MasterCHK" localSheetId="19">'Invoice finance'!$F$2</definedName>
    <definedName name="Net_Assets">Financials!$J$24:$BQ$24</definedName>
    <definedName name="Net_Cashflow">Cashflow!$J$29:$BQ$29</definedName>
    <definedName name="New_customers_orders">Customers!$J$11:$BQ$11</definedName>
    <definedName name="New_share_capital_issued">InpS!$J$11:$BQ$11</definedName>
    <definedName name="obxIssuesLog">Issues!A$5</definedName>
    <definedName name="Operating_Cashflow">Cashflow!$J$12:$BQ$12</definedName>
    <definedName name="Profit_before_tax">'Income Statement'!$J$19:$BQ$19</definedName>
    <definedName name="Renewing_Customer_Orders">Customers!$J$32:$BQ$32</definedName>
    <definedName name="ReportBarFormat">Contents!A$5</definedName>
    <definedName name="Retained_Earnings">Financials!$J$38:$BQ$38</definedName>
    <definedName name="Retained_Earnings.BEG">Financials!$J$36:$BQ$36</definedName>
    <definedName name="Retained_Earnings.FLOW">Financials!$J$36:$BQ$36</definedName>
    <definedName name="Retained_Earnings_this_period">'Income Statement'!$J$22:$BQ$22</definedName>
    <definedName name="scenario">InpC!I$4</definedName>
    <definedName name="ScenarioPointer">InpC!K$2</definedName>
    <definedName name="SensitivityInputs">InpC!$O$13:$R$13</definedName>
    <definedName name="Share_Capital">Equity!$J$13:$BQ$13</definedName>
    <definedName name="Share_Capital.BEG">Equity!$J$11:$BQ$11</definedName>
    <definedName name="Share_Capital.FLOW">Equity!$J$11:$BQ$11</definedName>
    <definedName name="Shareholder_Equity">Financials!$J$30:$BQ$30</definedName>
    <definedName name="Supply_Chain_Finance_balance">'Supply Chain finance'!$J$15:$BQ$15</definedName>
    <definedName name="Supply_Chain_Finance_balance.BEG">'Supply Chain finance'!$J$11:$BQ$11</definedName>
    <definedName name="Supply_Chain_Finance_balance.FLOW">'Supply Chain finance'!$J$11:$BQ$11</definedName>
    <definedName name="Supply_Chain_Finance_drawdown">'Supply Chain finance'!$J$22:$BQ$22</definedName>
    <definedName name="Supply_Chain_Finance_interest">'Supply Chain finance'!$J$41:$BQ$41</definedName>
    <definedName name="Supply_Chain_Finance_interest.NEG">'Supply Chain finance'!$J$42:$BQ$42</definedName>
    <definedName name="Supply_Chain_Finance_interest_paid">'Supply Chain finance'!$J$47:$BQ$47</definedName>
    <definedName name="Supply_Chain_Finance_interest_paid.NEG">'Supply Chain finance'!$J$48:$BQ$48</definedName>
    <definedName name="Supply_Chain_Finance_principal_repayment">'Supply Chain finance'!$J$28:$BQ$28</definedName>
    <definedName name="Supply_Chain_Finance_principal_repayment.NEG">'Supply Chain finance'!$J$29:$BQ$29</definedName>
    <definedName name="TimeRow">InpS!A$2</definedName>
    <definedName name="TOCFirstLine">Contents!A$6</definedName>
    <definedName name="TOCobxAsset_Finance">'Asset Finance'!A$1</definedName>
    <definedName name="TOCobxAssets">Assets!A$1</definedName>
    <definedName name="TOCobxCorporation_tax">'Corporation tax'!A$1</definedName>
    <definedName name="TOCobxCorporation_tax.Corporation_tax_creditor">'Corporation tax'!A$65</definedName>
    <definedName name="TOCobxCorporation_tax.Tax_losses">'Corporation tax'!A$19</definedName>
    <definedName name="TOCobxCustomers">Customers!A$1</definedName>
    <definedName name="TOCobxEquity">Equity!A$1</definedName>
    <definedName name="TOCobxExpense">Expense!A$1</definedName>
    <definedName name="TOCobxFinancials">Financials!A$1</definedName>
    <definedName name="TOCobxIncome">Income!A$1</definedName>
    <definedName name="TOCobxInputs">InpS!A$1</definedName>
    <definedName name="TOCobxInputs.Corporation_Tax">InpC!A$87</definedName>
    <definedName name="TOCobxInputs.Customer_Orders">InpC!A$13</definedName>
    <definedName name="TOCobxInputs.Debt">InpC!A$54</definedName>
    <definedName name="TOCobxInputs.Debt.Asset_Finance">InpC!B$72</definedName>
    <definedName name="TOCobxInputs.Debt.Invoice_Finance">InpC!B$58</definedName>
    <definedName name="TOCobxInputs.Debt.Supply_Chain_Finance">InpC!B$65</definedName>
    <definedName name="TOCobxInputs.Equity">InpS!A$10</definedName>
    <definedName name="TOCobxInputs.Expense">InpC!A$24</definedName>
    <definedName name="TOCobxInputs.Inventory">InpC!A$37</definedName>
    <definedName name="TOCobxInputs.Model_Constants">InpC!A$96</definedName>
    <definedName name="TOCobxInputs.Opening_Balances">InpC!A$43</definedName>
    <definedName name="TOCobxInputs.Short_term_forecast">InpC!A$93</definedName>
    <definedName name="TOCobxInputs.Supplier_orders">InpC!A$30</definedName>
    <definedName name="TOCobxInputs.VAT">InpC!A$80</definedName>
    <definedName name="TOCobxInventory">Inventory!A$1</definedName>
    <definedName name="TOCobxInvoice_finance">'Invoice finance'!A$1</definedName>
    <definedName name="TOCobxMetrics">Metrics!A$1</definedName>
    <definedName name="TOCobxModel_Checks_and_Alerts">'Model Checks and Alerts'!A$1</definedName>
    <definedName name="TOCobxModel_Checks_and_Alerts.Model_Checks">'Model Checks and Alerts'!A$9</definedName>
    <definedName name="TOCobxSupply_Chain_finance">'Supply Chain finance'!A$1</definedName>
    <definedName name="TOCobxTime">Time!A$1</definedName>
    <definedName name="TOCobxTime.Customer_Order_Growth_index">Time!A$112</definedName>
    <definedName name="TOCobxTime.Debts_flags">Time!A$224</definedName>
    <definedName name="TOCobxTime.Fixed_Operating_Cost_Growth_Rate_index">Time!A$168</definedName>
    <definedName name="TOCobxTime.Headers">Time!A$16</definedName>
    <definedName name="TOCobxTime.Model_timelines">Time!A$289</definedName>
    <definedName name="TOCobxTime.Use_short_term_forecast_flag">Time!A$282</definedName>
    <definedName name="TOCobxTime.VAT_return_this_period_flag">Time!A$249</definedName>
    <definedName name="TOCobxUnallocated">Unallocated!A$1</definedName>
    <definedName name="TOCobxVAT">VAT!A$1</definedName>
    <definedName name="TOCobxWorking_Capital">'Working Capital'!A$1</definedName>
    <definedName name="TOCrepobxBalance_Sheet_base_1_Quarter">'Balance Sheet Qly'!A$8</definedName>
    <definedName name="TOCrepobxBalance_Sheet_base_2_SemiAnnual">'Balance Sheet SemiAnnually'!A$8</definedName>
    <definedName name="TOCrepobxBalance_Sheet_base_Month">'Balance Sheet'!A$8</definedName>
    <definedName name="TOCrepobxBalance_Sheet_Year">'Balance Sheet Ann'!A$8</definedName>
    <definedName name="TOCrepobxCashflow_base_1_Quarter">'Cashflow Qly'!A$8</definedName>
    <definedName name="TOCrepobxCashflow_base_2_SemiAnnual">'Cashflow SemiAnnually'!A$8</definedName>
    <definedName name="TOCrepobxCashflow_base_Month">Cashflow!A$8</definedName>
    <definedName name="TOCrepobxCashflow_Year">'Cashflow Ann'!A$8</definedName>
    <definedName name="TOCrepobxIncome_Statement_base_1_Quarter">'Income Statement Qly'!A$8</definedName>
    <definedName name="TOCrepobxIncome_Statement_base_2_SemiAnnual">'Income Statement SemiAnnually'!A$8</definedName>
    <definedName name="TOCrepobxIncome_Statement_base_Month">'Income Statement'!A$8</definedName>
    <definedName name="TOCrepobxIncome_Statement_Year">'Income Statement Ann'!A$8</definedName>
    <definedName name="TOCrepobxInventory_Report_base_1_Quarter">'Inventory Report Qly'!A$8</definedName>
    <definedName name="TOCrepobxInventory_Report_base_2_SemiAnnual">'Inventory Report SemiAnnually'!A$8</definedName>
    <definedName name="TOCrepobxInventory_Report_base_Month">'Inventory Report'!A$8</definedName>
    <definedName name="TOCrepobxInventory_Report_Year">'Inventory Report Ann'!A$8</definedName>
    <definedName name="TOCrepobxMetrics_Report_base_1_Quarter">'Metrics Report Qly'!A$8</definedName>
    <definedName name="TOCrepobxMetrics_Report_base_2_SemiAnnual">'Metrics Report SemiAnnually'!A$8</definedName>
    <definedName name="TOCrepobxMetrics_Report_base_Month">'Metrics Report'!A$8</definedName>
    <definedName name="TOCrepobxMetrics_Report_Year">'Metrics Report Ann'!A$8</definedName>
    <definedName name="Totals">InpS!H$5</definedName>
    <definedName name="Units">InpS!G$1</definedName>
    <definedName name="Units_delivered">Inventory!$J$32:$BQ$32</definedName>
    <definedName name="Units_deployed">Inventory!$J$45:$BQ$45</definedName>
    <definedName name="Units_in_stock">Inventory!$J$56:$BQ$56</definedName>
    <definedName name="Units_in_stock.BEG">Inventory!$J$51:$BQ$51</definedName>
    <definedName name="Units_in_stock.FLOW">Inventory!$J$51:$BQ$51</definedName>
    <definedName name="Units_in_use">Inventory!$J$64:$BQ$64</definedName>
    <definedName name="Units_in_use.BEG">Inventory!$J$61:$BQ$61</definedName>
    <definedName name="Units_in_use.FLOW">Inventory!$J$61:$BQ$61</definedName>
    <definedName name="Units_on_order">Inventory!$J$41:$BQ$41</definedName>
    <definedName name="Units_on_order.BEG">Inventory!$J$38:$BQ$38</definedName>
    <definedName name="Units_on_order.FLOW">Inventory!$J$38:$BQ$38</definedName>
    <definedName name="Units_ordered">Inventory!$J$26:$BQ$26</definedName>
    <definedName name="Units_retired">Inventory!$J$68:$BQ$68</definedName>
    <definedName name="Variable_Operating_expense">Expense!$J$26:$BQ$26</definedName>
    <definedName name="Variable_Operating_expense.NEG">Expense!$J$27:$BQ$27</definedName>
    <definedName name="VAT_balance">VAT!$J$32:$BQ$32</definedName>
    <definedName name="VAT_balance.BEG">VAT!$J$29:$BQ$29</definedName>
    <definedName name="VAT_balance.FLOW">VAT!$J$29:$BQ$29</definedName>
    <definedName name="VAT_paid">VAT!$J$37:$BQ$37</definedName>
    <definedName name="VAT_paid.NEG">VAT!$J$38:$BQ$38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51" l="1" a="1"/>
  <c r="F4" i="51" s="1"/>
  <c r="A1" i="45"/>
  <c r="H21" i="44"/>
  <c r="H20" i="44"/>
  <c r="K13" i="44"/>
  <c r="K12" i="44"/>
  <c r="J5" i="44"/>
  <c r="K11" i="44" s="1"/>
  <c r="J2" i="44"/>
  <c r="H2" i="44"/>
  <c r="F1" i="43"/>
  <c r="A1" i="43"/>
  <c r="G8" i="42"/>
  <c r="E8" i="42"/>
  <c r="F1" i="42"/>
  <c r="A1" i="42"/>
  <c r="G8" i="41"/>
  <c r="E8" i="41"/>
  <c r="F1" i="41"/>
  <c r="A1" i="41"/>
  <c r="G8" i="40"/>
  <c r="E8" i="40"/>
  <c r="F1" i="40"/>
  <c r="A1" i="40"/>
  <c r="I18" i="39"/>
  <c r="G18" i="39"/>
  <c r="F18" i="39"/>
  <c r="E18" i="39"/>
  <c r="H17" i="39"/>
  <c r="G17" i="39"/>
  <c r="F17" i="39"/>
  <c r="E17" i="39"/>
  <c r="I16" i="39"/>
  <c r="G16" i="39"/>
  <c r="F16" i="39"/>
  <c r="E16" i="39"/>
  <c r="H15" i="39"/>
  <c r="G15" i="39"/>
  <c r="F15" i="39"/>
  <c r="E15" i="39"/>
  <c r="I14" i="39"/>
  <c r="G14" i="39"/>
  <c r="F14" i="39"/>
  <c r="E14" i="39"/>
  <c r="I13" i="39"/>
  <c r="G13" i="39"/>
  <c r="F13" i="39"/>
  <c r="E13" i="39"/>
  <c r="H12" i="39"/>
  <c r="G12" i="39"/>
  <c r="F12" i="39"/>
  <c r="E12" i="39"/>
  <c r="I11" i="39"/>
  <c r="G11" i="39"/>
  <c r="F11" i="39"/>
  <c r="E11" i="39"/>
  <c r="H10" i="39"/>
  <c r="G10" i="39"/>
  <c r="F10" i="39"/>
  <c r="E10" i="39"/>
  <c r="I9" i="39"/>
  <c r="G9" i="39"/>
  <c r="F9" i="39"/>
  <c r="E9" i="39"/>
  <c r="I8" i="39"/>
  <c r="G8" i="39"/>
  <c r="F8" i="39"/>
  <c r="E8" i="39"/>
  <c r="F1" i="39"/>
  <c r="A1" i="39"/>
  <c r="I18" i="38"/>
  <c r="G18" i="38"/>
  <c r="F18" i="38"/>
  <c r="E18" i="38"/>
  <c r="H17" i="38"/>
  <c r="G17" i="38"/>
  <c r="F17" i="38"/>
  <c r="E17" i="38"/>
  <c r="I16" i="38"/>
  <c r="G16" i="38"/>
  <c r="F16" i="38"/>
  <c r="E16" i="38"/>
  <c r="H15" i="38"/>
  <c r="G15" i="38"/>
  <c r="F15" i="38"/>
  <c r="E15" i="38"/>
  <c r="I14" i="38"/>
  <c r="G14" i="38"/>
  <c r="F14" i="38"/>
  <c r="E14" i="38"/>
  <c r="I13" i="38"/>
  <c r="G13" i="38"/>
  <c r="F13" i="38"/>
  <c r="E13" i="38"/>
  <c r="H12" i="38"/>
  <c r="G12" i="38"/>
  <c r="F12" i="38"/>
  <c r="E12" i="38"/>
  <c r="I11" i="38"/>
  <c r="G11" i="38"/>
  <c r="F11" i="38"/>
  <c r="E11" i="38"/>
  <c r="H10" i="38"/>
  <c r="G10" i="38"/>
  <c r="F10" i="38"/>
  <c r="E10" i="38"/>
  <c r="I9" i="38"/>
  <c r="G9" i="38"/>
  <c r="F9" i="38"/>
  <c r="E9" i="38"/>
  <c r="I8" i="38"/>
  <c r="G8" i="38"/>
  <c r="F8" i="38"/>
  <c r="E8" i="38"/>
  <c r="F1" i="38"/>
  <c r="A1" i="38"/>
  <c r="I18" i="37"/>
  <c r="G18" i="37"/>
  <c r="F18" i="37"/>
  <c r="E18" i="37"/>
  <c r="H17" i="37"/>
  <c r="G17" i="37"/>
  <c r="F17" i="37"/>
  <c r="E17" i="37"/>
  <c r="I16" i="37"/>
  <c r="G16" i="37"/>
  <c r="F16" i="37"/>
  <c r="E16" i="37"/>
  <c r="H15" i="37"/>
  <c r="G15" i="37"/>
  <c r="F15" i="37"/>
  <c r="E15" i="37"/>
  <c r="I14" i="37"/>
  <c r="G14" i="37"/>
  <c r="F14" i="37"/>
  <c r="E14" i="37"/>
  <c r="I13" i="37"/>
  <c r="G13" i="37"/>
  <c r="F13" i="37"/>
  <c r="E13" i="37"/>
  <c r="H12" i="37"/>
  <c r="G12" i="37"/>
  <c r="F12" i="37"/>
  <c r="E12" i="37"/>
  <c r="I11" i="37"/>
  <c r="G11" i="37"/>
  <c r="F11" i="37"/>
  <c r="E11" i="37"/>
  <c r="H10" i="37"/>
  <c r="G10" i="37"/>
  <c r="F10" i="37"/>
  <c r="E10" i="37"/>
  <c r="I9" i="37"/>
  <c r="G9" i="37"/>
  <c r="F9" i="37"/>
  <c r="E9" i="37"/>
  <c r="I8" i="37"/>
  <c r="G8" i="37"/>
  <c r="F8" i="37"/>
  <c r="E8" i="37"/>
  <c r="F1" i="37"/>
  <c r="A1" i="37"/>
  <c r="I28" i="36"/>
  <c r="G28" i="36"/>
  <c r="F28" i="36"/>
  <c r="E28" i="36"/>
  <c r="I25" i="36"/>
  <c r="F25" i="36"/>
  <c r="I24" i="36"/>
  <c r="F24" i="36"/>
  <c r="I23" i="36"/>
  <c r="F23" i="36"/>
  <c r="I22" i="36"/>
  <c r="F22" i="36"/>
  <c r="I21" i="36"/>
  <c r="G21" i="36"/>
  <c r="F21" i="36"/>
  <c r="E21" i="36"/>
  <c r="I20" i="36"/>
  <c r="F20" i="36"/>
  <c r="I19" i="36"/>
  <c r="G19" i="36"/>
  <c r="F19" i="36"/>
  <c r="E19" i="36"/>
  <c r="I18" i="36"/>
  <c r="F18" i="36"/>
  <c r="I17" i="36"/>
  <c r="G17" i="36"/>
  <c r="F17" i="36"/>
  <c r="E17" i="36"/>
  <c r="I14" i="36"/>
  <c r="F14" i="36"/>
  <c r="I11" i="36"/>
  <c r="F11" i="36"/>
  <c r="I10" i="36"/>
  <c r="F10" i="36"/>
  <c r="I9" i="36"/>
  <c r="F9" i="36"/>
  <c r="I8" i="36"/>
  <c r="G8" i="36"/>
  <c r="F8" i="36"/>
  <c r="E8" i="36"/>
  <c r="F1" i="36"/>
  <c r="A1" i="36"/>
  <c r="I28" i="35"/>
  <c r="G28" i="35"/>
  <c r="F28" i="35"/>
  <c r="E28" i="35"/>
  <c r="I25" i="35"/>
  <c r="F25" i="35"/>
  <c r="I24" i="35"/>
  <c r="F24" i="35"/>
  <c r="I23" i="35"/>
  <c r="F23" i="35"/>
  <c r="I22" i="35"/>
  <c r="F22" i="35"/>
  <c r="I21" i="35"/>
  <c r="G21" i="35"/>
  <c r="F21" i="35"/>
  <c r="E21" i="35"/>
  <c r="I20" i="35"/>
  <c r="F20" i="35"/>
  <c r="I19" i="35"/>
  <c r="G19" i="35"/>
  <c r="F19" i="35"/>
  <c r="E19" i="35"/>
  <c r="I18" i="35"/>
  <c r="F18" i="35"/>
  <c r="I17" i="35"/>
  <c r="G17" i="35"/>
  <c r="F17" i="35"/>
  <c r="E17" i="35"/>
  <c r="I14" i="35"/>
  <c r="F14" i="35"/>
  <c r="I11" i="35"/>
  <c r="F11" i="35"/>
  <c r="I10" i="35"/>
  <c r="F10" i="35"/>
  <c r="I9" i="35"/>
  <c r="F9" i="35"/>
  <c r="I8" i="35"/>
  <c r="G8" i="35"/>
  <c r="F8" i="35"/>
  <c r="E8" i="35"/>
  <c r="F1" i="35"/>
  <c r="A1" i="35"/>
  <c r="BQ28" i="34"/>
  <c r="BP28" i="34"/>
  <c r="BO28" i="34"/>
  <c r="BN28" i="34"/>
  <c r="BM28" i="34"/>
  <c r="BL28" i="34"/>
  <c r="BK28" i="34"/>
  <c r="BJ28" i="34"/>
  <c r="BI28" i="34"/>
  <c r="BH28" i="34"/>
  <c r="BG28" i="34"/>
  <c r="BF28" i="34"/>
  <c r="BE28" i="34"/>
  <c r="BD28" i="34"/>
  <c r="BC28" i="34"/>
  <c r="BB28" i="34"/>
  <c r="BA28" i="34"/>
  <c r="AZ28" i="34"/>
  <c r="AY28" i="34"/>
  <c r="AX28" i="34"/>
  <c r="AW28" i="34"/>
  <c r="AV28" i="34"/>
  <c r="AU28" i="34"/>
  <c r="AT28" i="34"/>
  <c r="AS28" i="34"/>
  <c r="AR28" i="34"/>
  <c r="AQ28" i="34"/>
  <c r="AP28" i="34"/>
  <c r="AO28" i="34"/>
  <c r="AN28" i="34"/>
  <c r="AM28" i="34"/>
  <c r="AL28" i="34"/>
  <c r="AK28" i="34"/>
  <c r="AJ28" i="34"/>
  <c r="AI28" i="34"/>
  <c r="AH28" i="34"/>
  <c r="AG28" i="34"/>
  <c r="AF28" i="34"/>
  <c r="AE28" i="34"/>
  <c r="AD28" i="34"/>
  <c r="AC28" i="34"/>
  <c r="AB28" i="34"/>
  <c r="AA28" i="34"/>
  <c r="Z28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I25" i="34"/>
  <c r="F25" i="34"/>
  <c r="I24" i="34"/>
  <c r="F24" i="34"/>
  <c r="I23" i="34"/>
  <c r="F23" i="34"/>
  <c r="I22" i="34"/>
  <c r="F22" i="34"/>
  <c r="I21" i="34"/>
  <c r="G21" i="34"/>
  <c r="F21" i="34"/>
  <c r="E21" i="34"/>
  <c r="I20" i="34"/>
  <c r="F20" i="34"/>
  <c r="I19" i="34"/>
  <c r="G19" i="34"/>
  <c r="F19" i="34"/>
  <c r="E19" i="34"/>
  <c r="I18" i="34"/>
  <c r="F18" i="34"/>
  <c r="I17" i="34"/>
  <c r="G17" i="34"/>
  <c r="F17" i="34"/>
  <c r="E17" i="34"/>
  <c r="I14" i="34"/>
  <c r="F14" i="34"/>
  <c r="I11" i="34"/>
  <c r="F11" i="34"/>
  <c r="I10" i="34"/>
  <c r="F10" i="34"/>
  <c r="I9" i="34"/>
  <c r="F9" i="34"/>
  <c r="I8" i="34"/>
  <c r="G8" i="34"/>
  <c r="F8" i="34"/>
  <c r="E8" i="34"/>
  <c r="F1" i="34"/>
  <c r="A1" i="34"/>
  <c r="I27" i="33"/>
  <c r="H27" i="33"/>
  <c r="G27" i="33"/>
  <c r="E27" i="33"/>
  <c r="H26" i="33"/>
  <c r="G26" i="33"/>
  <c r="F26" i="33"/>
  <c r="E26" i="33"/>
  <c r="H25" i="33"/>
  <c r="G25" i="33"/>
  <c r="F25" i="33"/>
  <c r="E25" i="33"/>
  <c r="I23" i="33"/>
  <c r="H23" i="33"/>
  <c r="G23" i="33"/>
  <c r="E23" i="33"/>
  <c r="H20" i="33"/>
  <c r="G20" i="33"/>
  <c r="F20" i="33"/>
  <c r="E20" i="33"/>
  <c r="H19" i="33"/>
  <c r="G19" i="33"/>
  <c r="F19" i="33"/>
  <c r="E19" i="33"/>
  <c r="H18" i="33"/>
  <c r="G18" i="33"/>
  <c r="F18" i="33"/>
  <c r="E18" i="33"/>
  <c r="H17" i="33"/>
  <c r="G17" i="33"/>
  <c r="F17" i="33"/>
  <c r="E17" i="33"/>
  <c r="H16" i="33"/>
  <c r="G16" i="33"/>
  <c r="F16" i="33"/>
  <c r="E16" i="33"/>
  <c r="H15" i="33"/>
  <c r="G15" i="33"/>
  <c r="F15" i="33"/>
  <c r="E15" i="33"/>
  <c r="H14" i="33"/>
  <c r="G14" i="33"/>
  <c r="F14" i="33"/>
  <c r="E14" i="33"/>
  <c r="H11" i="33"/>
  <c r="G11" i="33"/>
  <c r="F11" i="33"/>
  <c r="E11" i="33"/>
  <c r="H10" i="33"/>
  <c r="G10" i="33"/>
  <c r="F10" i="33"/>
  <c r="E10" i="33"/>
  <c r="I9" i="33"/>
  <c r="H9" i="33"/>
  <c r="F9" i="33"/>
  <c r="H8" i="33"/>
  <c r="G8" i="33"/>
  <c r="F8" i="33"/>
  <c r="E8" i="33"/>
  <c r="F1" i="33"/>
  <c r="A1" i="33"/>
  <c r="I27" i="32"/>
  <c r="H27" i="32"/>
  <c r="G27" i="32"/>
  <c r="E27" i="32"/>
  <c r="H26" i="32"/>
  <c r="G26" i="32"/>
  <c r="F26" i="32"/>
  <c r="E26" i="32"/>
  <c r="H25" i="32"/>
  <c r="G25" i="32"/>
  <c r="F25" i="32"/>
  <c r="E25" i="32"/>
  <c r="I23" i="32"/>
  <c r="H23" i="32"/>
  <c r="G23" i="32"/>
  <c r="E23" i="32"/>
  <c r="H20" i="32"/>
  <c r="G20" i="32"/>
  <c r="F20" i="32"/>
  <c r="E20" i="32"/>
  <c r="H19" i="32"/>
  <c r="G19" i="32"/>
  <c r="F19" i="32"/>
  <c r="E19" i="32"/>
  <c r="H18" i="32"/>
  <c r="G18" i="32"/>
  <c r="F18" i="32"/>
  <c r="E18" i="32"/>
  <c r="H17" i="32"/>
  <c r="G17" i="32"/>
  <c r="F17" i="32"/>
  <c r="E17" i="32"/>
  <c r="H16" i="32"/>
  <c r="G16" i="32"/>
  <c r="F16" i="32"/>
  <c r="E16" i="32"/>
  <c r="H15" i="32"/>
  <c r="G15" i="32"/>
  <c r="F15" i="32"/>
  <c r="E15" i="32"/>
  <c r="H14" i="32"/>
  <c r="G14" i="32"/>
  <c r="F14" i="32"/>
  <c r="E14" i="32"/>
  <c r="H11" i="32"/>
  <c r="G11" i="32"/>
  <c r="F11" i="32"/>
  <c r="E11" i="32"/>
  <c r="H10" i="32"/>
  <c r="G10" i="32"/>
  <c r="F10" i="32"/>
  <c r="E10" i="32"/>
  <c r="I9" i="32"/>
  <c r="H9" i="32"/>
  <c r="F9" i="32"/>
  <c r="H8" i="32"/>
  <c r="G8" i="32"/>
  <c r="F8" i="32"/>
  <c r="E8" i="32"/>
  <c r="F1" i="32"/>
  <c r="A1" i="32"/>
  <c r="I27" i="31"/>
  <c r="H27" i="31"/>
  <c r="G27" i="31"/>
  <c r="E27" i="31"/>
  <c r="H26" i="31"/>
  <c r="G26" i="31"/>
  <c r="F26" i="31"/>
  <c r="E26" i="31"/>
  <c r="H25" i="31"/>
  <c r="G25" i="31"/>
  <c r="F25" i="31"/>
  <c r="E25" i="31"/>
  <c r="I23" i="31"/>
  <c r="H23" i="31"/>
  <c r="G23" i="31"/>
  <c r="E23" i="31"/>
  <c r="H20" i="31"/>
  <c r="G20" i="31"/>
  <c r="F20" i="31"/>
  <c r="E20" i="31"/>
  <c r="H19" i="31"/>
  <c r="G19" i="31"/>
  <c r="F19" i="31"/>
  <c r="E19" i="31"/>
  <c r="H18" i="31"/>
  <c r="G18" i="31"/>
  <c r="F18" i="31"/>
  <c r="E18" i="31"/>
  <c r="H17" i="31"/>
  <c r="G17" i="31"/>
  <c r="F17" i="31"/>
  <c r="E17" i="31"/>
  <c r="H16" i="31"/>
  <c r="G16" i="31"/>
  <c r="F16" i="31"/>
  <c r="E16" i="31"/>
  <c r="H15" i="31"/>
  <c r="G15" i="31"/>
  <c r="F15" i="31"/>
  <c r="E15" i="31"/>
  <c r="H14" i="31"/>
  <c r="G14" i="31"/>
  <c r="F14" i="31"/>
  <c r="E14" i="31"/>
  <c r="H11" i="31"/>
  <c r="G11" i="31"/>
  <c r="F11" i="31"/>
  <c r="E11" i="31"/>
  <c r="H10" i="31"/>
  <c r="G10" i="31"/>
  <c r="F10" i="31"/>
  <c r="E10" i="31"/>
  <c r="I9" i="31"/>
  <c r="H9" i="31"/>
  <c r="F9" i="31"/>
  <c r="H8" i="31"/>
  <c r="G8" i="31"/>
  <c r="F8" i="31"/>
  <c r="E8" i="31"/>
  <c r="F1" i="31"/>
  <c r="A1" i="31"/>
  <c r="I21" i="30"/>
  <c r="F21" i="30"/>
  <c r="I18" i="30"/>
  <c r="F18" i="30"/>
  <c r="I17" i="30"/>
  <c r="F17" i="30"/>
  <c r="I16" i="30"/>
  <c r="F16" i="30"/>
  <c r="I13" i="30"/>
  <c r="F13" i="30"/>
  <c r="I10" i="30"/>
  <c r="F10" i="30"/>
  <c r="I9" i="30"/>
  <c r="F9" i="30"/>
  <c r="I8" i="30"/>
  <c r="G8" i="30"/>
  <c r="F8" i="30"/>
  <c r="E8" i="30"/>
  <c r="F1" i="30"/>
  <c r="A1" i="30"/>
  <c r="I21" i="29"/>
  <c r="F21" i="29"/>
  <c r="I18" i="29"/>
  <c r="F18" i="29"/>
  <c r="I17" i="29"/>
  <c r="F17" i="29"/>
  <c r="I16" i="29"/>
  <c r="F16" i="29"/>
  <c r="I13" i="29"/>
  <c r="F13" i="29"/>
  <c r="I10" i="29"/>
  <c r="F10" i="29"/>
  <c r="I9" i="29"/>
  <c r="F9" i="29"/>
  <c r="I8" i="29"/>
  <c r="G8" i="29"/>
  <c r="F8" i="29"/>
  <c r="E8" i="29"/>
  <c r="F1" i="29"/>
  <c r="A1" i="29"/>
  <c r="I21" i="28"/>
  <c r="F21" i="28"/>
  <c r="I18" i="28"/>
  <c r="F18" i="28"/>
  <c r="I17" i="28"/>
  <c r="F17" i="28"/>
  <c r="I16" i="28"/>
  <c r="F16" i="28"/>
  <c r="I13" i="28"/>
  <c r="F13" i="28"/>
  <c r="I10" i="28"/>
  <c r="F10" i="28"/>
  <c r="I9" i="28"/>
  <c r="F9" i="28"/>
  <c r="I8" i="28"/>
  <c r="G8" i="28"/>
  <c r="F8" i="28"/>
  <c r="E8" i="28"/>
  <c r="F1" i="28"/>
  <c r="A1" i="28"/>
  <c r="G8" i="27"/>
  <c r="E8" i="27"/>
  <c r="F1" i="27"/>
  <c r="A1" i="27"/>
  <c r="I18" i="26"/>
  <c r="G18" i="26"/>
  <c r="F18" i="26"/>
  <c r="E18" i="26"/>
  <c r="H17" i="26"/>
  <c r="G17" i="26"/>
  <c r="F17" i="26"/>
  <c r="E17" i="26"/>
  <c r="I16" i="26"/>
  <c r="G16" i="26"/>
  <c r="F16" i="26"/>
  <c r="E16" i="26"/>
  <c r="H15" i="26"/>
  <c r="G15" i="26"/>
  <c r="F15" i="26"/>
  <c r="E15" i="26"/>
  <c r="I14" i="26"/>
  <c r="G14" i="26"/>
  <c r="F14" i="26"/>
  <c r="E14" i="26"/>
  <c r="I13" i="26"/>
  <c r="G13" i="26"/>
  <c r="F13" i="26"/>
  <c r="E13" i="26"/>
  <c r="H12" i="26"/>
  <c r="G12" i="26"/>
  <c r="F12" i="26"/>
  <c r="E12" i="26"/>
  <c r="I11" i="26"/>
  <c r="G11" i="26"/>
  <c r="F11" i="26"/>
  <c r="E11" i="26"/>
  <c r="H10" i="26"/>
  <c r="G10" i="26"/>
  <c r="F10" i="26"/>
  <c r="E10" i="26"/>
  <c r="I9" i="26"/>
  <c r="G9" i="26"/>
  <c r="F9" i="26"/>
  <c r="E9" i="26"/>
  <c r="I8" i="26"/>
  <c r="G8" i="26"/>
  <c r="F8" i="26"/>
  <c r="E8" i="26"/>
  <c r="F1" i="26"/>
  <c r="A1" i="26"/>
  <c r="I28" i="25"/>
  <c r="G28" i="25"/>
  <c r="F28" i="25"/>
  <c r="E28" i="25"/>
  <c r="I25" i="25"/>
  <c r="F25" i="25"/>
  <c r="I24" i="25"/>
  <c r="F24" i="25"/>
  <c r="I23" i="25"/>
  <c r="F23" i="25"/>
  <c r="I22" i="25"/>
  <c r="F22" i="25"/>
  <c r="I21" i="25"/>
  <c r="G21" i="25"/>
  <c r="F21" i="25"/>
  <c r="E21" i="25"/>
  <c r="I20" i="25"/>
  <c r="F20" i="25"/>
  <c r="I19" i="25"/>
  <c r="G19" i="25"/>
  <c r="F19" i="25"/>
  <c r="E19" i="25"/>
  <c r="I18" i="25"/>
  <c r="F18" i="25"/>
  <c r="I17" i="25"/>
  <c r="G17" i="25"/>
  <c r="F17" i="25"/>
  <c r="E17" i="25"/>
  <c r="I14" i="25"/>
  <c r="F14" i="25"/>
  <c r="I11" i="25"/>
  <c r="F11" i="25"/>
  <c r="I10" i="25"/>
  <c r="F10" i="25"/>
  <c r="I9" i="25"/>
  <c r="F9" i="25"/>
  <c r="I8" i="25"/>
  <c r="G8" i="25"/>
  <c r="F8" i="25"/>
  <c r="E8" i="25"/>
  <c r="F1" i="25"/>
  <c r="A1" i="25"/>
  <c r="I27" i="24"/>
  <c r="H27" i="24"/>
  <c r="G27" i="24"/>
  <c r="E27" i="24"/>
  <c r="H26" i="24"/>
  <c r="G26" i="24"/>
  <c r="F26" i="24"/>
  <c r="E26" i="24"/>
  <c r="H25" i="24"/>
  <c r="G25" i="24"/>
  <c r="F25" i="24"/>
  <c r="E25" i="24"/>
  <c r="I23" i="24"/>
  <c r="H23" i="24"/>
  <c r="G23" i="24"/>
  <c r="E23" i="24"/>
  <c r="H20" i="24"/>
  <c r="G20" i="24"/>
  <c r="F20" i="24"/>
  <c r="E20" i="24"/>
  <c r="H19" i="24"/>
  <c r="G19" i="24"/>
  <c r="F19" i="24"/>
  <c r="E19" i="24"/>
  <c r="H18" i="24"/>
  <c r="G18" i="24"/>
  <c r="F18" i="24"/>
  <c r="E18" i="24"/>
  <c r="H17" i="24"/>
  <c r="G17" i="24"/>
  <c r="F17" i="24"/>
  <c r="E17" i="24"/>
  <c r="H16" i="24"/>
  <c r="G16" i="24"/>
  <c r="F16" i="24"/>
  <c r="E16" i="24"/>
  <c r="H15" i="24"/>
  <c r="G15" i="24"/>
  <c r="F15" i="24"/>
  <c r="E15" i="24"/>
  <c r="H14" i="24"/>
  <c r="G14" i="24"/>
  <c r="F14" i="24"/>
  <c r="E14" i="24"/>
  <c r="H11" i="24"/>
  <c r="G11" i="24"/>
  <c r="F11" i="24"/>
  <c r="E11" i="24"/>
  <c r="H10" i="24"/>
  <c r="G10" i="24"/>
  <c r="F10" i="24"/>
  <c r="E10" i="24"/>
  <c r="I9" i="24"/>
  <c r="H9" i="24"/>
  <c r="F9" i="24"/>
  <c r="H8" i="24"/>
  <c r="G8" i="24"/>
  <c r="F8" i="24"/>
  <c r="E8" i="24"/>
  <c r="F1" i="24"/>
  <c r="A1" i="24"/>
  <c r="I21" i="23"/>
  <c r="F21" i="23"/>
  <c r="I18" i="23"/>
  <c r="F18" i="23"/>
  <c r="I17" i="23"/>
  <c r="F17" i="23"/>
  <c r="I16" i="23"/>
  <c r="F16" i="23"/>
  <c r="I13" i="23"/>
  <c r="F13" i="23"/>
  <c r="I10" i="23"/>
  <c r="F10" i="23"/>
  <c r="I9" i="23"/>
  <c r="F9" i="23"/>
  <c r="I8" i="23"/>
  <c r="G8" i="23"/>
  <c r="F8" i="23"/>
  <c r="E8" i="23"/>
  <c r="F1" i="23"/>
  <c r="A1" i="23"/>
  <c r="I21" i="22"/>
  <c r="H21" i="22"/>
  <c r="G21" i="22"/>
  <c r="F21" i="22"/>
  <c r="E21" i="22"/>
  <c r="I16" i="22"/>
  <c r="H16" i="22"/>
  <c r="G16" i="22"/>
  <c r="F16" i="22"/>
  <c r="E16" i="22"/>
  <c r="I15" i="22"/>
  <c r="H15" i="22"/>
  <c r="G15" i="22"/>
  <c r="F15" i="22"/>
  <c r="E15" i="22"/>
  <c r="G10" i="22"/>
  <c r="E10" i="22"/>
  <c r="F1" i="22"/>
  <c r="A1" i="22"/>
  <c r="BQ12" i="21"/>
  <c r="BP12" i="21"/>
  <c r="BO12" i="21"/>
  <c r="BN12" i="21"/>
  <c r="BM12" i="21"/>
  <c r="BL12" i="21"/>
  <c r="BK12" i="21"/>
  <c r="BJ12" i="21"/>
  <c r="BI12" i="21"/>
  <c r="BH12" i="21"/>
  <c r="BG12" i="21"/>
  <c r="BF12" i="21"/>
  <c r="BE12" i="21"/>
  <c r="BD12" i="21"/>
  <c r="BC12" i="21"/>
  <c r="BB12" i="21"/>
  <c r="BA12" i="21"/>
  <c r="AZ12" i="21"/>
  <c r="AY12" i="21"/>
  <c r="AX12" i="21"/>
  <c r="AW12" i="21"/>
  <c r="AV12" i="21"/>
  <c r="AU12" i="21"/>
  <c r="AT12" i="21"/>
  <c r="AS12" i="21"/>
  <c r="AR12" i="21"/>
  <c r="AQ12" i="21"/>
  <c r="AP12" i="21"/>
  <c r="AO12" i="21"/>
  <c r="AN12" i="21"/>
  <c r="AM12" i="21"/>
  <c r="AL12" i="21"/>
  <c r="AK12" i="21"/>
  <c r="AJ12" i="21"/>
  <c r="AI12" i="21"/>
  <c r="AH12" i="21"/>
  <c r="AG12" i="21"/>
  <c r="AF12" i="21"/>
  <c r="AE12" i="21"/>
  <c r="AD12" i="21"/>
  <c r="AC12" i="21"/>
  <c r="AB12" i="21"/>
  <c r="AA12" i="21"/>
  <c r="Z12" i="21"/>
  <c r="Y12" i="21"/>
  <c r="X12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G12" i="21"/>
  <c r="F12" i="21"/>
  <c r="E12" i="21"/>
  <c r="I10" i="21"/>
  <c r="H10" i="21"/>
  <c r="G10" i="21"/>
  <c r="F10" i="21"/>
  <c r="E10" i="21"/>
  <c r="G9" i="21"/>
  <c r="E9" i="21"/>
  <c r="F1" i="21"/>
  <c r="A1" i="21"/>
  <c r="I82" i="20"/>
  <c r="G82" i="20"/>
  <c r="F82" i="20"/>
  <c r="E82" i="20"/>
  <c r="I81" i="20"/>
  <c r="G81" i="20"/>
  <c r="F81" i="20"/>
  <c r="E81" i="20"/>
  <c r="I77" i="20"/>
  <c r="G77" i="20"/>
  <c r="F77" i="20"/>
  <c r="E77" i="20"/>
  <c r="I76" i="20"/>
  <c r="G76" i="20"/>
  <c r="F76" i="20"/>
  <c r="E76" i="20"/>
  <c r="I74" i="20"/>
  <c r="H74" i="20"/>
  <c r="G74" i="20"/>
  <c r="F74" i="20"/>
  <c r="E74" i="20"/>
  <c r="G73" i="20"/>
  <c r="E73" i="20"/>
  <c r="G69" i="20"/>
  <c r="E69" i="20"/>
  <c r="I67" i="20"/>
  <c r="G67" i="20"/>
  <c r="F67" i="20"/>
  <c r="E67" i="20"/>
  <c r="I66" i="20"/>
  <c r="H66" i="20"/>
  <c r="G66" i="20"/>
  <c r="F66" i="20"/>
  <c r="E66" i="20"/>
  <c r="I60" i="20"/>
  <c r="H60" i="20"/>
  <c r="G60" i="20"/>
  <c r="F60" i="20"/>
  <c r="E60" i="20"/>
  <c r="I59" i="20"/>
  <c r="H59" i="20"/>
  <c r="G59" i="20"/>
  <c r="F59" i="20"/>
  <c r="E59" i="20"/>
  <c r="I58" i="20"/>
  <c r="H58" i="20"/>
  <c r="G58" i="20"/>
  <c r="F58" i="20"/>
  <c r="E58" i="20"/>
  <c r="I53" i="20"/>
  <c r="H53" i="20"/>
  <c r="G53" i="20"/>
  <c r="F53" i="20"/>
  <c r="E53" i="20"/>
  <c r="G52" i="20"/>
  <c r="E52" i="20"/>
  <c r="G48" i="20"/>
  <c r="E48" i="20"/>
  <c r="I46" i="20"/>
  <c r="G46" i="20"/>
  <c r="F46" i="20"/>
  <c r="E46" i="20"/>
  <c r="G45" i="20"/>
  <c r="E45" i="20"/>
  <c r="I40" i="20"/>
  <c r="G40" i="20"/>
  <c r="F40" i="20"/>
  <c r="E40" i="20"/>
  <c r="I39" i="20"/>
  <c r="G39" i="20"/>
  <c r="F39" i="20"/>
  <c r="E39" i="20"/>
  <c r="I35" i="20"/>
  <c r="G35" i="20"/>
  <c r="F35" i="20"/>
  <c r="E35" i="20"/>
  <c r="I34" i="20"/>
  <c r="G34" i="20"/>
  <c r="F34" i="20"/>
  <c r="E34" i="20"/>
  <c r="I32" i="20"/>
  <c r="I36" i="20" s="1"/>
  <c r="J33" i="20" s="1"/>
  <c r="J26" i="20" s="1"/>
  <c r="H32" i="20"/>
  <c r="G32" i="20"/>
  <c r="F32" i="20"/>
  <c r="E32" i="20"/>
  <c r="G31" i="20"/>
  <c r="E31" i="20"/>
  <c r="I26" i="20"/>
  <c r="H26" i="20"/>
  <c r="G26" i="20"/>
  <c r="F26" i="20"/>
  <c r="E26" i="20"/>
  <c r="I25" i="20"/>
  <c r="G25" i="20"/>
  <c r="F25" i="20"/>
  <c r="E25" i="20"/>
  <c r="I20" i="20"/>
  <c r="G20" i="20"/>
  <c r="F20" i="20"/>
  <c r="E20" i="20"/>
  <c r="I14" i="20"/>
  <c r="G14" i="20"/>
  <c r="F14" i="20"/>
  <c r="E14" i="20"/>
  <c r="I9" i="20"/>
  <c r="G9" i="20"/>
  <c r="F9" i="20"/>
  <c r="E9" i="20"/>
  <c r="F1" i="20"/>
  <c r="A1" i="20"/>
  <c r="I50" i="19"/>
  <c r="G50" i="19"/>
  <c r="F50" i="19"/>
  <c r="E50" i="19"/>
  <c r="I49" i="19"/>
  <c r="G49" i="19"/>
  <c r="F49" i="19"/>
  <c r="E49" i="19"/>
  <c r="I48" i="19"/>
  <c r="H48" i="19"/>
  <c r="G48" i="19"/>
  <c r="F48" i="19"/>
  <c r="E48" i="19"/>
  <c r="G43" i="19"/>
  <c r="F43" i="19"/>
  <c r="E43" i="19"/>
  <c r="G42" i="19"/>
  <c r="E42" i="19"/>
  <c r="G38" i="19"/>
  <c r="E38" i="19"/>
  <c r="I36" i="19"/>
  <c r="G36" i="19"/>
  <c r="F36" i="19"/>
  <c r="E36" i="19"/>
  <c r="G35" i="19"/>
  <c r="E35" i="19"/>
  <c r="I31" i="19"/>
  <c r="G31" i="19"/>
  <c r="F31" i="19"/>
  <c r="E31" i="19"/>
  <c r="I30" i="19"/>
  <c r="G30" i="19"/>
  <c r="F30" i="19"/>
  <c r="E30" i="19"/>
  <c r="I28" i="19"/>
  <c r="H28" i="19"/>
  <c r="G28" i="19"/>
  <c r="F28" i="19"/>
  <c r="E28" i="19"/>
  <c r="G27" i="19"/>
  <c r="E27" i="19"/>
  <c r="I22" i="19"/>
  <c r="G22" i="19"/>
  <c r="F22" i="19"/>
  <c r="E22" i="19"/>
  <c r="I21" i="19"/>
  <c r="G21" i="19"/>
  <c r="F21" i="19"/>
  <c r="E21" i="19"/>
  <c r="I16" i="19"/>
  <c r="G16" i="19"/>
  <c r="F16" i="19"/>
  <c r="E16" i="19"/>
  <c r="G15" i="19"/>
  <c r="E15" i="19"/>
  <c r="I10" i="19"/>
  <c r="G10" i="19"/>
  <c r="F10" i="19"/>
  <c r="E10" i="19"/>
  <c r="I9" i="19"/>
  <c r="G9" i="19"/>
  <c r="F9" i="19"/>
  <c r="E9" i="19"/>
  <c r="F1" i="19"/>
  <c r="A1" i="19"/>
  <c r="G54" i="18"/>
  <c r="E54" i="18"/>
  <c r="G53" i="18"/>
  <c r="E53" i="18"/>
  <c r="G52" i="18"/>
  <c r="E52" i="18"/>
  <c r="G48" i="18"/>
  <c r="E48" i="18"/>
  <c r="I46" i="18"/>
  <c r="G46" i="18"/>
  <c r="F46" i="18"/>
  <c r="E46" i="18"/>
  <c r="G42" i="18"/>
  <c r="E42" i="18"/>
  <c r="I40" i="18"/>
  <c r="H40" i="18"/>
  <c r="G40" i="18"/>
  <c r="F40" i="18"/>
  <c r="E40" i="18"/>
  <c r="G39" i="18"/>
  <c r="E39" i="18"/>
  <c r="I34" i="18"/>
  <c r="G34" i="18"/>
  <c r="F34" i="18"/>
  <c r="E34" i="18"/>
  <c r="I33" i="18"/>
  <c r="G33" i="18"/>
  <c r="F33" i="18"/>
  <c r="E33" i="18"/>
  <c r="G29" i="18"/>
  <c r="E29" i="18"/>
  <c r="I27" i="18"/>
  <c r="H27" i="18"/>
  <c r="G27" i="18"/>
  <c r="F27" i="18"/>
  <c r="E27" i="18"/>
  <c r="G26" i="18"/>
  <c r="E26" i="18"/>
  <c r="I21" i="18"/>
  <c r="G21" i="18"/>
  <c r="F21" i="18"/>
  <c r="E21" i="18"/>
  <c r="I20" i="18"/>
  <c r="G20" i="18"/>
  <c r="F20" i="18"/>
  <c r="E20" i="18"/>
  <c r="G19" i="18"/>
  <c r="E19" i="18"/>
  <c r="G18" i="18"/>
  <c r="E18" i="18"/>
  <c r="I14" i="18"/>
  <c r="G14" i="18"/>
  <c r="F14" i="18"/>
  <c r="E14" i="18"/>
  <c r="I13" i="18"/>
  <c r="G13" i="18"/>
  <c r="F13" i="18"/>
  <c r="E13" i="18"/>
  <c r="I12" i="18"/>
  <c r="G12" i="18"/>
  <c r="F12" i="18"/>
  <c r="E12" i="18"/>
  <c r="I10" i="18"/>
  <c r="H10" i="18"/>
  <c r="G10" i="18"/>
  <c r="F10" i="18"/>
  <c r="E10" i="18"/>
  <c r="G9" i="18"/>
  <c r="E9" i="18"/>
  <c r="F1" i="18"/>
  <c r="A1" i="18"/>
  <c r="G54" i="17"/>
  <c r="E54" i="17"/>
  <c r="G53" i="17"/>
  <c r="E53" i="17"/>
  <c r="G52" i="17"/>
  <c r="E52" i="17"/>
  <c r="G48" i="17"/>
  <c r="E48" i="17"/>
  <c r="I46" i="17"/>
  <c r="G46" i="17"/>
  <c r="F46" i="17"/>
  <c r="E46" i="17"/>
  <c r="G42" i="17"/>
  <c r="E42" i="17"/>
  <c r="I40" i="17"/>
  <c r="H40" i="17"/>
  <c r="G40" i="17"/>
  <c r="F40" i="17"/>
  <c r="E40" i="17"/>
  <c r="G39" i="17"/>
  <c r="E39" i="17"/>
  <c r="I34" i="17"/>
  <c r="G34" i="17"/>
  <c r="F34" i="17"/>
  <c r="E34" i="17"/>
  <c r="I33" i="17"/>
  <c r="G33" i="17"/>
  <c r="F33" i="17"/>
  <c r="E33" i="17"/>
  <c r="G29" i="17"/>
  <c r="E29" i="17"/>
  <c r="I27" i="17"/>
  <c r="G27" i="17"/>
  <c r="F27" i="17"/>
  <c r="E27" i="17"/>
  <c r="G26" i="17"/>
  <c r="E26" i="17"/>
  <c r="I21" i="17"/>
  <c r="G21" i="17"/>
  <c r="F21" i="17"/>
  <c r="E21" i="17"/>
  <c r="I20" i="17"/>
  <c r="G20" i="17"/>
  <c r="F20" i="17"/>
  <c r="E20" i="17"/>
  <c r="G19" i="17"/>
  <c r="E19" i="17"/>
  <c r="G18" i="17"/>
  <c r="E18" i="17"/>
  <c r="I14" i="17"/>
  <c r="G14" i="17"/>
  <c r="F14" i="17"/>
  <c r="E14" i="17"/>
  <c r="I13" i="17"/>
  <c r="G13" i="17"/>
  <c r="F13" i="17"/>
  <c r="E13" i="17"/>
  <c r="I12" i="17"/>
  <c r="G12" i="17"/>
  <c r="F12" i="17"/>
  <c r="E12" i="17"/>
  <c r="I10" i="17"/>
  <c r="H10" i="17"/>
  <c r="G10" i="17"/>
  <c r="F10" i="17"/>
  <c r="E10" i="17"/>
  <c r="G9" i="17"/>
  <c r="E9" i="17"/>
  <c r="F1" i="17"/>
  <c r="A1" i="17"/>
  <c r="G53" i="16"/>
  <c r="E53" i="16"/>
  <c r="G52" i="16"/>
  <c r="E52" i="16"/>
  <c r="G51" i="16"/>
  <c r="E51" i="16"/>
  <c r="G47" i="16"/>
  <c r="E47" i="16"/>
  <c r="I45" i="16"/>
  <c r="G45" i="16"/>
  <c r="F45" i="16"/>
  <c r="E45" i="16"/>
  <c r="G41" i="16"/>
  <c r="E41" i="16"/>
  <c r="I39" i="16"/>
  <c r="H39" i="16"/>
  <c r="G39" i="16"/>
  <c r="F39" i="16"/>
  <c r="E39" i="16"/>
  <c r="G38" i="16"/>
  <c r="E38" i="16"/>
  <c r="I33" i="16"/>
  <c r="G33" i="16"/>
  <c r="F33" i="16"/>
  <c r="E33" i="16"/>
  <c r="I32" i="16"/>
  <c r="G32" i="16"/>
  <c r="F32" i="16"/>
  <c r="E32" i="16"/>
  <c r="G28" i="16"/>
  <c r="E28" i="16"/>
  <c r="I26" i="16"/>
  <c r="G26" i="16"/>
  <c r="F26" i="16"/>
  <c r="E26" i="16"/>
  <c r="G25" i="16"/>
  <c r="E25" i="16"/>
  <c r="I20" i="16"/>
  <c r="G20" i="16"/>
  <c r="F20" i="16"/>
  <c r="E20" i="16"/>
  <c r="I19" i="16"/>
  <c r="G19" i="16"/>
  <c r="F19" i="16"/>
  <c r="E19" i="16"/>
  <c r="G18" i="16"/>
  <c r="E18" i="16"/>
  <c r="I14" i="16"/>
  <c r="G14" i="16"/>
  <c r="F14" i="16"/>
  <c r="E14" i="16"/>
  <c r="I13" i="16"/>
  <c r="G13" i="16"/>
  <c r="F13" i="16"/>
  <c r="E13" i="16"/>
  <c r="I12" i="16"/>
  <c r="G12" i="16"/>
  <c r="F12" i="16"/>
  <c r="E12" i="16"/>
  <c r="I10" i="16"/>
  <c r="H10" i="16"/>
  <c r="G10" i="16"/>
  <c r="F10" i="16"/>
  <c r="E10" i="16"/>
  <c r="G9" i="16"/>
  <c r="E9" i="16"/>
  <c r="F1" i="16"/>
  <c r="A1" i="16"/>
  <c r="G52" i="15"/>
  <c r="E52" i="15"/>
  <c r="I50" i="15"/>
  <c r="G50" i="15"/>
  <c r="F50" i="15"/>
  <c r="E50" i="15"/>
  <c r="I49" i="15"/>
  <c r="G49" i="15"/>
  <c r="F49" i="15"/>
  <c r="E49" i="15"/>
  <c r="I48" i="15"/>
  <c r="G48" i="15"/>
  <c r="F48" i="15"/>
  <c r="E48" i="15"/>
  <c r="I44" i="15"/>
  <c r="G44" i="15"/>
  <c r="F44" i="15"/>
  <c r="E44" i="15"/>
  <c r="I43" i="15"/>
  <c r="G43" i="15"/>
  <c r="F43" i="15"/>
  <c r="E43" i="15"/>
  <c r="I42" i="15"/>
  <c r="G42" i="15"/>
  <c r="F42" i="15"/>
  <c r="E42" i="15"/>
  <c r="I40" i="15"/>
  <c r="H40" i="15"/>
  <c r="G40" i="15"/>
  <c r="F40" i="15"/>
  <c r="E40" i="15"/>
  <c r="G39" i="15"/>
  <c r="E39" i="15"/>
  <c r="I35" i="15"/>
  <c r="G35" i="15"/>
  <c r="F35" i="15"/>
  <c r="E35" i="15"/>
  <c r="I34" i="15"/>
  <c r="G34" i="15"/>
  <c r="F34" i="15"/>
  <c r="E34" i="15"/>
  <c r="I33" i="15"/>
  <c r="G33" i="15"/>
  <c r="F33" i="15"/>
  <c r="E33" i="15"/>
  <c r="I32" i="15"/>
  <c r="G32" i="15"/>
  <c r="F32" i="15"/>
  <c r="E32" i="15"/>
  <c r="I31" i="15"/>
  <c r="G31" i="15"/>
  <c r="F31" i="15"/>
  <c r="E31" i="15"/>
  <c r="I30" i="15"/>
  <c r="G30" i="15"/>
  <c r="F30" i="15"/>
  <c r="E30" i="15"/>
  <c r="I29" i="15"/>
  <c r="G29" i="15"/>
  <c r="F29" i="15"/>
  <c r="E29" i="15"/>
  <c r="I27" i="15"/>
  <c r="H27" i="15"/>
  <c r="G27" i="15"/>
  <c r="F27" i="15"/>
  <c r="E27" i="15"/>
  <c r="G26" i="15"/>
  <c r="E26" i="15"/>
  <c r="I21" i="15"/>
  <c r="G21" i="15"/>
  <c r="F21" i="15"/>
  <c r="E21" i="15"/>
  <c r="I20" i="15"/>
  <c r="G20" i="15"/>
  <c r="F20" i="15"/>
  <c r="E20" i="15"/>
  <c r="G19" i="15"/>
  <c r="E19" i="15"/>
  <c r="G15" i="15"/>
  <c r="E15" i="15"/>
  <c r="I13" i="15"/>
  <c r="G13" i="15"/>
  <c r="F13" i="15"/>
  <c r="E13" i="15"/>
  <c r="G12" i="15"/>
  <c r="E12" i="15"/>
  <c r="G11" i="15"/>
  <c r="E11" i="15"/>
  <c r="G10" i="15"/>
  <c r="E10" i="15"/>
  <c r="G9" i="15"/>
  <c r="E9" i="15"/>
  <c r="F1" i="15"/>
  <c r="A1" i="15"/>
  <c r="G27" i="14"/>
  <c r="E27" i="14"/>
  <c r="I25" i="14"/>
  <c r="G25" i="14"/>
  <c r="F25" i="14"/>
  <c r="E25" i="14"/>
  <c r="G24" i="14"/>
  <c r="E24" i="14"/>
  <c r="G20" i="14"/>
  <c r="E20" i="14"/>
  <c r="I18" i="14"/>
  <c r="H18" i="14"/>
  <c r="G18" i="14"/>
  <c r="F18" i="14"/>
  <c r="E18" i="14"/>
  <c r="G17" i="14"/>
  <c r="E17" i="14"/>
  <c r="I12" i="14"/>
  <c r="G12" i="14"/>
  <c r="F12" i="14"/>
  <c r="E12" i="14"/>
  <c r="I11" i="14"/>
  <c r="G11" i="14"/>
  <c r="F11" i="14"/>
  <c r="E11" i="14"/>
  <c r="G10" i="14"/>
  <c r="E10" i="14"/>
  <c r="G9" i="14"/>
  <c r="E9" i="14"/>
  <c r="F1" i="14"/>
  <c r="A1" i="14"/>
  <c r="G30" i="13"/>
  <c r="E30" i="13"/>
  <c r="I28" i="13"/>
  <c r="G28" i="13"/>
  <c r="F28" i="13"/>
  <c r="E28" i="13"/>
  <c r="I27" i="13"/>
  <c r="G27" i="13"/>
  <c r="F27" i="13"/>
  <c r="E27" i="13"/>
  <c r="I25" i="13"/>
  <c r="H25" i="13"/>
  <c r="G25" i="13"/>
  <c r="F25" i="13"/>
  <c r="E25" i="13"/>
  <c r="G24" i="13"/>
  <c r="E24" i="13"/>
  <c r="I20" i="13"/>
  <c r="G20" i="13"/>
  <c r="F20" i="13"/>
  <c r="E20" i="13"/>
  <c r="I19" i="13"/>
  <c r="G19" i="13"/>
  <c r="F19" i="13"/>
  <c r="E19" i="13"/>
  <c r="I17" i="13"/>
  <c r="H17" i="13"/>
  <c r="G17" i="13"/>
  <c r="F17" i="13"/>
  <c r="E17" i="13"/>
  <c r="G16" i="13"/>
  <c r="E16" i="13"/>
  <c r="G12" i="13"/>
  <c r="E12" i="13"/>
  <c r="I10" i="13"/>
  <c r="H10" i="13"/>
  <c r="G10" i="13"/>
  <c r="F10" i="13"/>
  <c r="E10" i="13"/>
  <c r="G9" i="13"/>
  <c r="E9" i="13"/>
  <c r="F1" i="13"/>
  <c r="A1" i="13"/>
  <c r="I67" i="12"/>
  <c r="G67" i="12"/>
  <c r="F67" i="12"/>
  <c r="E67" i="12"/>
  <c r="I63" i="12"/>
  <c r="G63" i="12"/>
  <c r="F63" i="12"/>
  <c r="E63" i="12"/>
  <c r="I62" i="12"/>
  <c r="G62" i="12"/>
  <c r="F62" i="12"/>
  <c r="E62" i="12"/>
  <c r="I60" i="12"/>
  <c r="H60" i="12"/>
  <c r="G60" i="12"/>
  <c r="F60" i="12"/>
  <c r="E60" i="12"/>
  <c r="G59" i="12"/>
  <c r="E59" i="12"/>
  <c r="I55" i="12"/>
  <c r="G55" i="12"/>
  <c r="F55" i="12"/>
  <c r="E55" i="12"/>
  <c r="I54" i="12"/>
  <c r="G54" i="12"/>
  <c r="F54" i="12"/>
  <c r="E54" i="12"/>
  <c r="I53" i="12"/>
  <c r="G53" i="12"/>
  <c r="F53" i="12"/>
  <c r="E53" i="12"/>
  <c r="I52" i="12"/>
  <c r="G52" i="12"/>
  <c r="F52" i="12"/>
  <c r="E52" i="12"/>
  <c r="I50" i="12"/>
  <c r="H50" i="12"/>
  <c r="G50" i="12"/>
  <c r="F50" i="12"/>
  <c r="E50" i="12"/>
  <c r="G49" i="12"/>
  <c r="E49" i="12"/>
  <c r="I44" i="12"/>
  <c r="G44" i="12"/>
  <c r="F44" i="12"/>
  <c r="E44" i="12"/>
  <c r="I40" i="12"/>
  <c r="G40" i="12"/>
  <c r="F40" i="12"/>
  <c r="E40" i="12"/>
  <c r="I39" i="12"/>
  <c r="G39" i="12"/>
  <c r="F39" i="12"/>
  <c r="E39" i="12"/>
  <c r="I37" i="12"/>
  <c r="H37" i="12"/>
  <c r="G37" i="12"/>
  <c r="F37" i="12"/>
  <c r="E37" i="12"/>
  <c r="G36" i="12"/>
  <c r="E36" i="12"/>
  <c r="I31" i="12"/>
  <c r="G31" i="12"/>
  <c r="F31" i="12"/>
  <c r="E31" i="12"/>
  <c r="G30" i="12"/>
  <c r="E30" i="12"/>
  <c r="I25" i="12"/>
  <c r="H25" i="12"/>
  <c r="G25" i="12"/>
  <c r="F25" i="12"/>
  <c r="E25" i="12"/>
  <c r="H24" i="12"/>
  <c r="G24" i="12"/>
  <c r="F24" i="12"/>
  <c r="E24" i="12"/>
  <c r="G23" i="12"/>
  <c r="E23" i="12"/>
  <c r="G22" i="12"/>
  <c r="E22" i="12"/>
  <c r="I17" i="12"/>
  <c r="G17" i="12"/>
  <c r="F17" i="12"/>
  <c r="E17" i="12"/>
  <c r="I16" i="12"/>
  <c r="G16" i="12"/>
  <c r="F16" i="12"/>
  <c r="E16" i="12"/>
  <c r="G15" i="12"/>
  <c r="E15" i="12"/>
  <c r="I10" i="12"/>
  <c r="G10" i="12"/>
  <c r="F10" i="12"/>
  <c r="E10" i="12"/>
  <c r="G9" i="12"/>
  <c r="E9" i="12"/>
  <c r="F1" i="12"/>
  <c r="A1" i="12"/>
  <c r="I26" i="11"/>
  <c r="G26" i="11"/>
  <c r="F26" i="11"/>
  <c r="E26" i="11"/>
  <c r="I25" i="11"/>
  <c r="G25" i="11"/>
  <c r="F25" i="11"/>
  <c r="E25" i="11"/>
  <c r="I23" i="11"/>
  <c r="H23" i="11"/>
  <c r="G23" i="11"/>
  <c r="F23" i="11"/>
  <c r="E23" i="11"/>
  <c r="G22" i="11"/>
  <c r="E22" i="11"/>
  <c r="H17" i="11"/>
  <c r="G17" i="11"/>
  <c r="F17" i="11"/>
  <c r="E17" i="11"/>
  <c r="G16" i="11"/>
  <c r="E16" i="11"/>
  <c r="I11" i="11"/>
  <c r="G11" i="11"/>
  <c r="F11" i="11"/>
  <c r="E11" i="11"/>
  <c r="G10" i="11"/>
  <c r="E10" i="11"/>
  <c r="G9" i="11"/>
  <c r="E9" i="11"/>
  <c r="F1" i="11"/>
  <c r="A1" i="11"/>
  <c r="I39" i="10"/>
  <c r="G39" i="10"/>
  <c r="F39" i="10"/>
  <c r="E39" i="10"/>
  <c r="I38" i="10"/>
  <c r="G38" i="10"/>
  <c r="F38" i="10"/>
  <c r="E38" i="10"/>
  <c r="G37" i="10"/>
  <c r="E37" i="10"/>
  <c r="G36" i="10"/>
  <c r="E36" i="10"/>
  <c r="I31" i="10"/>
  <c r="G31" i="10"/>
  <c r="F31" i="10"/>
  <c r="E31" i="10"/>
  <c r="G30" i="10"/>
  <c r="E30" i="10"/>
  <c r="I25" i="10"/>
  <c r="H25" i="10"/>
  <c r="G25" i="10"/>
  <c r="F25" i="10"/>
  <c r="E25" i="10"/>
  <c r="I24" i="10"/>
  <c r="H24" i="10"/>
  <c r="G24" i="10"/>
  <c r="F24" i="10"/>
  <c r="E24" i="10"/>
  <c r="I20" i="10"/>
  <c r="G20" i="10"/>
  <c r="F20" i="10"/>
  <c r="E20" i="10"/>
  <c r="I19" i="10"/>
  <c r="G19" i="10"/>
  <c r="F19" i="10"/>
  <c r="E19" i="10"/>
  <c r="I18" i="10"/>
  <c r="G18" i="10"/>
  <c r="F18" i="10"/>
  <c r="E18" i="10"/>
  <c r="I16" i="10"/>
  <c r="H16" i="10"/>
  <c r="G16" i="10"/>
  <c r="F16" i="10"/>
  <c r="E16" i="10"/>
  <c r="G15" i="10"/>
  <c r="E15" i="10"/>
  <c r="I10" i="10"/>
  <c r="H10" i="10"/>
  <c r="G10" i="10"/>
  <c r="F10" i="10"/>
  <c r="E10" i="10"/>
  <c r="G9" i="10"/>
  <c r="E9" i="10"/>
  <c r="F1" i="10"/>
  <c r="A1" i="10"/>
  <c r="I37" i="9"/>
  <c r="G37" i="9"/>
  <c r="F37" i="9"/>
  <c r="E37" i="9"/>
  <c r="I35" i="9"/>
  <c r="H35" i="9"/>
  <c r="G35" i="9"/>
  <c r="F35" i="9"/>
  <c r="E35" i="9"/>
  <c r="G34" i="9"/>
  <c r="E34" i="9"/>
  <c r="H29" i="9"/>
  <c r="G29" i="9"/>
  <c r="F29" i="9"/>
  <c r="E29" i="9"/>
  <c r="H28" i="9"/>
  <c r="G28" i="9"/>
  <c r="F28" i="9"/>
  <c r="E28" i="9"/>
  <c r="I23" i="9"/>
  <c r="H23" i="9"/>
  <c r="G23" i="9"/>
  <c r="F23" i="9"/>
  <c r="E23" i="9"/>
  <c r="I22" i="9"/>
  <c r="H22" i="9"/>
  <c r="G22" i="9"/>
  <c r="F22" i="9"/>
  <c r="E22" i="9"/>
  <c r="I17" i="9"/>
  <c r="G17" i="9"/>
  <c r="F17" i="9"/>
  <c r="E17" i="9"/>
  <c r="G16" i="9"/>
  <c r="E16" i="9"/>
  <c r="I12" i="9"/>
  <c r="G12" i="9"/>
  <c r="F12" i="9"/>
  <c r="E12" i="9"/>
  <c r="I10" i="9"/>
  <c r="H10" i="9"/>
  <c r="G10" i="9"/>
  <c r="F10" i="9"/>
  <c r="E10" i="9"/>
  <c r="G9" i="9"/>
  <c r="E9" i="9"/>
  <c r="F1" i="9"/>
  <c r="A1" i="9"/>
  <c r="H9" i="8"/>
  <c r="G9" i="8"/>
  <c r="F9" i="8"/>
  <c r="E9" i="8"/>
  <c r="F1" i="8"/>
  <c r="A1" i="8"/>
  <c r="F1" i="7"/>
  <c r="A1" i="7"/>
  <c r="F351" i="6"/>
  <c r="G350" i="6"/>
  <c r="F350" i="6"/>
  <c r="E350" i="6"/>
  <c r="I346" i="6"/>
  <c r="I345" i="6"/>
  <c r="H345" i="6"/>
  <c r="G345" i="6"/>
  <c r="F345" i="6"/>
  <c r="E345" i="6"/>
  <c r="I340" i="6"/>
  <c r="H340" i="6"/>
  <c r="G340" i="6"/>
  <c r="F340" i="6"/>
  <c r="E340" i="6"/>
  <c r="G335" i="6"/>
  <c r="F335" i="6"/>
  <c r="F336" i="6" s="1"/>
  <c r="E335" i="6"/>
  <c r="I330" i="6"/>
  <c r="I331" i="6" s="1"/>
  <c r="H330" i="6"/>
  <c r="G330" i="6"/>
  <c r="F330" i="6"/>
  <c r="E330" i="6"/>
  <c r="I325" i="6"/>
  <c r="H325" i="6"/>
  <c r="G325" i="6"/>
  <c r="F325" i="6"/>
  <c r="E325" i="6"/>
  <c r="G320" i="6"/>
  <c r="F320" i="6"/>
  <c r="E320" i="6"/>
  <c r="G319" i="6"/>
  <c r="F319" i="6"/>
  <c r="E319" i="6"/>
  <c r="I315" i="6"/>
  <c r="I314" i="6"/>
  <c r="H314" i="6"/>
  <c r="G314" i="6"/>
  <c r="F314" i="6"/>
  <c r="E314" i="6"/>
  <c r="I313" i="6"/>
  <c r="H313" i="6"/>
  <c r="G313" i="6"/>
  <c r="F313" i="6"/>
  <c r="E313" i="6"/>
  <c r="G312" i="6"/>
  <c r="F312" i="6"/>
  <c r="E312" i="6"/>
  <c r="I307" i="6"/>
  <c r="H307" i="6"/>
  <c r="G307" i="6"/>
  <c r="F307" i="6"/>
  <c r="E307" i="6"/>
  <c r="I306" i="6"/>
  <c r="H306" i="6"/>
  <c r="G306" i="6"/>
  <c r="F306" i="6"/>
  <c r="E306" i="6"/>
  <c r="G305" i="6"/>
  <c r="F305" i="6"/>
  <c r="E305" i="6"/>
  <c r="F301" i="6"/>
  <c r="G300" i="6"/>
  <c r="F300" i="6"/>
  <c r="E300" i="6"/>
  <c r="I296" i="6"/>
  <c r="I295" i="6"/>
  <c r="H295" i="6"/>
  <c r="G295" i="6"/>
  <c r="F295" i="6"/>
  <c r="E295" i="6"/>
  <c r="I290" i="6"/>
  <c r="H290" i="6"/>
  <c r="G290" i="6"/>
  <c r="F290" i="6"/>
  <c r="E290" i="6"/>
  <c r="I284" i="6"/>
  <c r="H284" i="6"/>
  <c r="G284" i="6"/>
  <c r="F284" i="6"/>
  <c r="E284" i="6"/>
  <c r="G283" i="6"/>
  <c r="E283" i="6"/>
  <c r="I277" i="6"/>
  <c r="H277" i="6"/>
  <c r="G277" i="6"/>
  <c r="F277" i="6"/>
  <c r="E277" i="6"/>
  <c r="I276" i="6"/>
  <c r="H276" i="6"/>
  <c r="G276" i="6"/>
  <c r="F276" i="6"/>
  <c r="E276" i="6"/>
  <c r="G275" i="6"/>
  <c r="E275" i="6"/>
  <c r="I270" i="6"/>
  <c r="G270" i="6"/>
  <c r="F270" i="6"/>
  <c r="E270" i="6"/>
  <c r="I269" i="6"/>
  <c r="H269" i="6"/>
  <c r="G269" i="6"/>
  <c r="F269" i="6"/>
  <c r="E269" i="6"/>
  <c r="I264" i="6"/>
  <c r="G264" i="6"/>
  <c r="F264" i="6"/>
  <c r="E264" i="6"/>
  <c r="G259" i="6"/>
  <c r="E259" i="6"/>
  <c r="G258" i="6"/>
  <c r="E258" i="6"/>
  <c r="I253" i="6"/>
  <c r="H253" i="6"/>
  <c r="G253" i="6"/>
  <c r="F253" i="6"/>
  <c r="E253" i="6"/>
  <c r="G252" i="6"/>
  <c r="E252" i="6"/>
  <c r="G251" i="6"/>
  <c r="E251" i="6"/>
  <c r="G250" i="6"/>
  <c r="E250" i="6"/>
  <c r="I244" i="6"/>
  <c r="H244" i="6"/>
  <c r="G244" i="6"/>
  <c r="F244" i="6"/>
  <c r="E244" i="6"/>
  <c r="I243" i="6"/>
  <c r="H243" i="6"/>
  <c r="G243" i="6"/>
  <c r="F243" i="6"/>
  <c r="E243" i="6"/>
  <c r="G242" i="6"/>
  <c r="E242" i="6"/>
  <c r="G241" i="6"/>
  <c r="E241" i="6"/>
  <c r="I236" i="6"/>
  <c r="H236" i="6"/>
  <c r="G236" i="6"/>
  <c r="F236" i="6"/>
  <c r="E236" i="6"/>
  <c r="I235" i="6"/>
  <c r="H235" i="6"/>
  <c r="G235" i="6"/>
  <c r="F235" i="6"/>
  <c r="E235" i="6"/>
  <c r="G234" i="6"/>
  <c r="E234" i="6"/>
  <c r="G233" i="6"/>
  <c r="E233" i="6"/>
  <c r="I228" i="6"/>
  <c r="H228" i="6"/>
  <c r="G228" i="6"/>
  <c r="F228" i="6"/>
  <c r="E228" i="6"/>
  <c r="I227" i="6"/>
  <c r="H227" i="6"/>
  <c r="G227" i="6"/>
  <c r="F227" i="6"/>
  <c r="E227" i="6"/>
  <c r="G226" i="6"/>
  <c r="E226" i="6"/>
  <c r="G225" i="6"/>
  <c r="E225" i="6"/>
  <c r="I219" i="6"/>
  <c r="G219" i="6"/>
  <c r="F219" i="6"/>
  <c r="E219" i="6"/>
  <c r="I218" i="6"/>
  <c r="G218" i="6"/>
  <c r="F218" i="6"/>
  <c r="E218" i="6"/>
  <c r="I217" i="6"/>
  <c r="G217" i="6"/>
  <c r="F217" i="6"/>
  <c r="E217" i="6"/>
  <c r="G216" i="6"/>
  <c r="E216" i="6"/>
  <c r="I211" i="6"/>
  <c r="G211" i="6"/>
  <c r="F211" i="6"/>
  <c r="E211" i="6"/>
  <c r="I210" i="6"/>
  <c r="H210" i="6"/>
  <c r="G210" i="6"/>
  <c r="F210" i="6"/>
  <c r="E210" i="6"/>
  <c r="G209" i="6"/>
  <c r="F209" i="6"/>
  <c r="E209" i="6"/>
  <c r="I204" i="6"/>
  <c r="G204" i="6"/>
  <c r="F204" i="6"/>
  <c r="E204" i="6"/>
  <c r="I203" i="6"/>
  <c r="H203" i="6"/>
  <c r="G203" i="6"/>
  <c r="F203" i="6"/>
  <c r="E203" i="6"/>
  <c r="G202" i="6"/>
  <c r="F202" i="6"/>
  <c r="E202" i="6"/>
  <c r="I197" i="6"/>
  <c r="G197" i="6"/>
  <c r="F197" i="6"/>
  <c r="E197" i="6"/>
  <c r="I196" i="6"/>
  <c r="H196" i="6"/>
  <c r="G196" i="6"/>
  <c r="F196" i="6"/>
  <c r="E196" i="6"/>
  <c r="G195" i="6"/>
  <c r="F195" i="6"/>
  <c r="E195" i="6"/>
  <c r="G194" i="6"/>
  <c r="E194" i="6"/>
  <c r="G193" i="6"/>
  <c r="E193" i="6"/>
  <c r="I188" i="6"/>
  <c r="G188" i="6"/>
  <c r="F188" i="6"/>
  <c r="E188" i="6"/>
  <c r="I183" i="6"/>
  <c r="G183" i="6"/>
  <c r="F183" i="6"/>
  <c r="E183" i="6"/>
  <c r="I182" i="6"/>
  <c r="H182" i="6"/>
  <c r="G182" i="6"/>
  <c r="F182" i="6"/>
  <c r="E182" i="6"/>
  <c r="I177" i="6"/>
  <c r="H177" i="6"/>
  <c r="G177" i="6"/>
  <c r="F177" i="6"/>
  <c r="E177" i="6"/>
  <c r="I176" i="6"/>
  <c r="H176" i="6"/>
  <c r="G176" i="6"/>
  <c r="F176" i="6"/>
  <c r="E176" i="6"/>
  <c r="G175" i="6"/>
  <c r="F175" i="6"/>
  <c r="E175" i="6"/>
  <c r="I170" i="6"/>
  <c r="H170" i="6"/>
  <c r="G170" i="6"/>
  <c r="F170" i="6"/>
  <c r="E170" i="6"/>
  <c r="G169" i="6"/>
  <c r="F169" i="6"/>
  <c r="E169" i="6"/>
  <c r="I163" i="6"/>
  <c r="G163" i="6"/>
  <c r="F163" i="6"/>
  <c r="E163" i="6"/>
  <c r="I162" i="6"/>
  <c r="G162" i="6"/>
  <c r="F162" i="6"/>
  <c r="E162" i="6"/>
  <c r="I161" i="6"/>
  <c r="G161" i="6"/>
  <c r="F161" i="6"/>
  <c r="E161" i="6"/>
  <c r="G160" i="6"/>
  <c r="E160" i="6"/>
  <c r="I155" i="6"/>
  <c r="G155" i="6"/>
  <c r="F155" i="6"/>
  <c r="E155" i="6"/>
  <c r="I154" i="6"/>
  <c r="H154" i="6"/>
  <c r="G154" i="6"/>
  <c r="F154" i="6"/>
  <c r="E154" i="6"/>
  <c r="G153" i="6"/>
  <c r="F153" i="6"/>
  <c r="E153" i="6"/>
  <c r="I148" i="6"/>
  <c r="G148" i="6"/>
  <c r="F148" i="6"/>
  <c r="E148" i="6"/>
  <c r="I147" i="6"/>
  <c r="H147" i="6"/>
  <c r="G147" i="6"/>
  <c r="F147" i="6"/>
  <c r="E147" i="6"/>
  <c r="G146" i="6"/>
  <c r="F146" i="6"/>
  <c r="E146" i="6"/>
  <c r="I141" i="6"/>
  <c r="G141" i="6"/>
  <c r="F141" i="6"/>
  <c r="E141" i="6"/>
  <c r="I140" i="6"/>
  <c r="H140" i="6"/>
  <c r="G140" i="6"/>
  <c r="F140" i="6"/>
  <c r="E140" i="6"/>
  <c r="G139" i="6"/>
  <c r="F139" i="6"/>
  <c r="E139" i="6"/>
  <c r="G138" i="6"/>
  <c r="E138" i="6"/>
  <c r="G137" i="6"/>
  <c r="E137" i="6"/>
  <c r="I132" i="6"/>
  <c r="G132" i="6"/>
  <c r="F132" i="6"/>
  <c r="E132" i="6"/>
  <c r="I127" i="6"/>
  <c r="G127" i="6"/>
  <c r="F127" i="6"/>
  <c r="E127" i="6"/>
  <c r="I126" i="6"/>
  <c r="H126" i="6"/>
  <c r="G126" i="6"/>
  <c r="F126" i="6"/>
  <c r="E126" i="6"/>
  <c r="I121" i="6"/>
  <c r="H121" i="6"/>
  <c r="G121" i="6"/>
  <c r="F121" i="6"/>
  <c r="E121" i="6"/>
  <c r="I120" i="6"/>
  <c r="H120" i="6"/>
  <c r="G120" i="6"/>
  <c r="F120" i="6"/>
  <c r="E120" i="6"/>
  <c r="G119" i="6"/>
  <c r="F119" i="6"/>
  <c r="E119" i="6"/>
  <c r="I114" i="6"/>
  <c r="H114" i="6"/>
  <c r="G114" i="6"/>
  <c r="F114" i="6"/>
  <c r="E114" i="6"/>
  <c r="G113" i="6"/>
  <c r="F113" i="6"/>
  <c r="E113" i="6"/>
  <c r="I107" i="6"/>
  <c r="H107" i="6"/>
  <c r="G107" i="6"/>
  <c r="F107" i="6"/>
  <c r="E107" i="6"/>
  <c r="I106" i="6"/>
  <c r="H106" i="6"/>
  <c r="G106" i="6"/>
  <c r="F106" i="6"/>
  <c r="E106" i="6"/>
  <c r="I101" i="6"/>
  <c r="H101" i="6"/>
  <c r="G101" i="6"/>
  <c r="F101" i="6"/>
  <c r="E101" i="6"/>
  <c r="I100" i="6"/>
  <c r="H100" i="6"/>
  <c r="G100" i="6"/>
  <c r="F100" i="6"/>
  <c r="E100" i="6"/>
  <c r="I99" i="6"/>
  <c r="G99" i="6"/>
  <c r="F99" i="6"/>
  <c r="E99" i="6"/>
  <c r="I94" i="6"/>
  <c r="H94" i="6"/>
  <c r="G94" i="6"/>
  <c r="F94" i="6"/>
  <c r="E94" i="6"/>
  <c r="I93" i="6"/>
  <c r="H93" i="6"/>
  <c r="G93" i="6"/>
  <c r="F93" i="6"/>
  <c r="E93" i="6"/>
  <c r="I92" i="6"/>
  <c r="H92" i="6"/>
  <c r="G92" i="6"/>
  <c r="F92" i="6"/>
  <c r="E92" i="6"/>
  <c r="I87" i="6"/>
  <c r="H87" i="6"/>
  <c r="G87" i="6"/>
  <c r="F87" i="6"/>
  <c r="E87" i="6"/>
  <c r="I86" i="6"/>
  <c r="H86" i="6"/>
  <c r="G86" i="6"/>
  <c r="F86" i="6"/>
  <c r="E86" i="6"/>
  <c r="I81" i="6"/>
  <c r="H81" i="6"/>
  <c r="G81" i="6"/>
  <c r="F81" i="6"/>
  <c r="E81" i="6"/>
  <c r="I80" i="6"/>
  <c r="H80" i="6"/>
  <c r="G80" i="6"/>
  <c r="F80" i="6"/>
  <c r="E80" i="6"/>
  <c r="I79" i="6"/>
  <c r="G79" i="6"/>
  <c r="F79" i="6"/>
  <c r="E79" i="6"/>
  <c r="I74" i="6"/>
  <c r="H74" i="6"/>
  <c r="G74" i="6"/>
  <c r="F74" i="6"/>
  <c r="E74" i="6"/>
  <c r="I73" i="6"/>
  <c r="H73" i="6"/>
  <c r="G73" i="6"/>
  <c r="F73" i="6"/>
  <c r="E73" i="6"/>
  <c r="I72" i="6"/>
  <c r="H72" i="6"/>
  <c r="G72" i="6"/>
  <c r="F72" i="6"/>
  <c r="E72" i="6"/>
  <c r="I67" i="6"/>
  <c r="H67" i="6"/>
  <c r="G67" i="6"/>
  <c r="F67" i="6"/>
  <c r="E67" i="6"/>
  <c r="I66" i="6"/>
  <c r="H66" i="6"/>
  <c r="G66" i="6"/>
  <c r="F66" i="6"/>
  <c r="E66" i="6"/>
  <c r="I61" i="6"/>
  <c r="H61" i="6"/>
  <c r="G61" i="6"/>
  <c r="F61" i="6"/>
  <c r="E61" i="6"/>
  <c r="I60" i="6"/>
  <c r="H60" i="6"/>
  <c r="G60" i="6"/>
  <c r="F60" i="6"/>
  <c r="E60" i="6"/>
  <c r="I59" i="6"/>
  <c r="G59" i="6"/>
  <c r="F59" i="6"/>
  <c r="E59" i="6"/>
  <c r="I54" i="6"/>
  <c r="H54" i="6"/>
  <c r="G54" i="6"/>
  <c r="F54" i="6"/>
  <c r="E54" i="6"/>
  <c r="I53" i="6"/>
  <c r="H53" i="6"/>
  <c r="G53" i="6"/>
  <c r="F53" i="6"/>
  <c r="E53" i="6"/>
  <c r="I52" i="6"/>
  <c r="H52" i="6"/>
  <c r="G52" i="6"/>
  <c r="F52" i="6"/>
  <c r="E52" i="6"/>
  <c r="I47" i="6"/>
  <c r="H47" i="6"/>
  <c r="G47" i="6"/>
  <c r="F47" i="6"/>
  <c r="E47" i="6"/>
  <c r="I46" i="6"/>
  <c r="H46" i="6"/>
  <c r="G46" i="6"/>
  <c r="F46" i="6"/>
  <c r="E46" i="6"/>
  <c r="I41" i="6"/>
  <c r="H41" i="6"/>
  <c r="G41" i="6"/>
  <c r="F41" i="6"/>
  <c r="E41" i="6"/>
  <c r="I40" i="6"/>
  <c r="H40" i="6"/>
  <c r="G40" i="6"/>
  <c r="F40" i="6"/>
  <c r="E40" i="6"/>
  <c r="I39" i="6"/>
  <c r="G39" i="6"/>
  <c r="F39" i="6"/>
  <c r="E39" i="6"/>
  <c r="I34" i="6"/>
  <c r="H34" i="6"/>
  <c r="G34" i="6"/>
  <c r="F34" i="6"/>
  <c r="E34" i="6"/>
  <c r="I33" i="6"/>
  <c r="H33" i="6"/>
  <c r="G33" i="6"/>
  <c r="F33" i="6"/>
  <c r="E33" i="6"/>
  <c r="I32" i="6"/>
  <c r="H32" i="6"/>
  <c r="G32" i="6"/>
  <c r="F32" i="6"/>
  <c r="E32" i="6"/>
  <c r="J28" i="6"/>
  <c r="J46" i="6" s="1"/>
  <c r="I23" i="6"/>
  <c r="H23" i="6"/>
  <c r="G23" i="6"/>
  <c r="F23" i="6"/>
  <c r="E23" i="6"/>
  <c r="I18" i="6"/>
  <c r="H18" i="6"/>
  <c r="G18" i="6"/>
  <c r="F18" i="6"/>
  <c r="E18" i="6"/>
  <c r="G17" i="6"/>
  <c r="F17" i="6"/>
  <c r="E17" i="6"/>
  <c r="I11" i="6"/>
  <c r="H11" i="6"/>
  <c r="G11" i="6"/>
  <c r="F11" i="6"/>
  <c r="E11" i="6"/>
  <c r="G10" i="6"/>
  <c r="F10" i="6"/>
  <c r="E10" i="6"/>
  <c r="G9" i="6"/>
  <c r="F9" i="6"/>
  <c r="E9" i="6"/>
  <c r="F1" i="6"/>
  <c r="A1" i="6"/>
  <c r="F1" i="5"/>
  <c r="A1" i="5"/>
  <c r="H11" i="4"/>
  <c r="J4" i="4"/>
  <c r="F1" i="4"/>
  <c r="A1" i="4"/>
  <c r="I78" i="3"/>
  <c r="F78" i="3"/>
  <c r="F9" i="18" s="1"/>
  <c r="F76" i="3"/>
  <c r="F26" i="18" s="1"/>
  <c r="I68" i="3"/>
  <c r="F68" i="3"/>
  <c r="F9" i="17" s="1"/>
  <c r="F63" i="3"/>
  <c r="F9" i="16" s="1"/>
  <c r="I61" i="3"/>
  <c r="I27" i="3"/>
  <c r="F27" i="3"/>
  <c r="F194" i="6" s="1"/>
  <c r="I22" i="3"/>
  <c r="F22" i="3"/>
  <c r="F9" i="11" s="1"/>
  <c r="I18" i="3"/>
  <c r="F18" i="3"/>
  <c r="F15" i="10" s="1"/>
  <c r="I17" i="3"/>
  <c r="F17" i="3"/>
  <c r="F138" i="6" s="1"/>
  <c r="I13" i="3"/>
  <c r="M7" i="3"/>
  <c r="L7" i="3"/>
  <c r="K7" i="3"/>
  <c r="F6" i="3"/>
  <c r="I6" i="3" s="1"/>
  <c r="I5" i="3"/>
  <c r="I4" i="3"/>
  <c r="F3" i="3"/>
  <c r="M2" i="3" s="1"/>
  <c r="F1" i="3"/>
  <c r="A1" i="3"/>
  <c r="B106" i="2"/>
  <c r="A105" i="2"/>
  <c r="A103" i="2"/>
  <c r="B101" i="2"/>
  <c r="B100" i="2"/>
  <c r="A99" i="2"/>
  <c r="A97" i="2"/>
  <c r="A95" i="2"/>
  <c r="A93" i="2"/>
  <c r="A91" i="2"/>
  <c r="A89" i="2"/>
  <c r="A87" i="2"/>
  <c r="A85" i="2"/>
  <c r="A83" i="2"/>
  <c r="A81" i="2"/>
  <c r="A79" i="2"/>
  <c r="A77" i="2"/>
  <c r="A75" i="2"/>
  <c r="B73" i="2"/>
  <c r="B72" i="2"/>
  <c r="B71" i="2"/>
  <c r="B70" i="2"/>
  <c r="B69" i="2"/>
  <c r="B68" i="2"/>
  <c r="B67" i="2"/>
  <c r="A66" i="2"/>
  <c r="B64" i="2"/>
  <c r="B63" i="2"/>
  <c r="B62" i="2"/>
  <c r="B61" i="2"/>
  <c r="C60" i="2"/>
  <c r="C59" i="2"/>
  <c r="C58" i="2"/>
  <c r="B57" i="2"/>
  <c r="B56" i="2"/>
  <c r="B55" i="2"/>
  <c r="B54" i="2"/>
  <c r="B53" i="2"/>
  <c r="B52" i="2"/>
  <c r="B51" i="2"/>
  <c r="A50" i="2"/>
  <c r="A48" i="2"/>
  <c r="A44" i="2"/>
  <c r="A42" i="2"/>
  <c r="A40" i="2"/>
  <c r="A38" i="2"/>
  <c r="A36" i="2"/>
  <c r="A34" i="2"/>
  <c r="A32" i="2"/>
  <c r="A30" i="2"/>
  <c r="A28" i="2"/>
  <c r="A26" i="2"/>
  <c r="A24" i="2"/>
  <c r="A22" i="2"/>
  <c r="A20" i="2"/>
  <c r="A18" i="2"/>
  <c r="A16" i="2"/>
  <c r="A14" i="2"/>
  <c r="A12" i="2"/>
  <c r="A10" i="2"/>
  <c r="A8" i="2"/>
  <c r="A6" i="2"/>
  <c r="A1" i="2"/>
  <c r="B68" i="47"/>
  <c r="BK67" i="47"/>
  <c r="BJ67" i="47"/>
  <c r="BI67" i="47"/>
  <c r="BH67" i="47"/>
  <c r="BG67" i="47"/>
  <c r="BF67" i="47"/>
  <c r="BE67" i="47"/>
  <c r="BD67" i="47"/>
  <c r="BC67" i="47"/>
  <c r="BB67" i="47"/>
  <c r="BA67" i="47"/>
  <c r="AZ67" i="47"/>
  <c r="AY67" i="47"/>
  <c r="AX67" i="47"/>
  <c r="AW67" i="47"/>
  <c r="AV67" i="47"/>
  <c r="AU67" i="47"/>
  <c r="AT67" i="47"/>
  <c r="AS67" i="47"/>
  <c r="AR67" i="47"/>
  <c r="AQ67" i="47"/>
  <c r="AP67" i="47"/>
  <c r="AO67" i="47"/>
  <c r="AN67" i="47"/>
  <c r="AM67" i="47"/>
  <c r="AL67" i="47"/>
  <c r="AK67" i="47"/>
  <c r="AJ67" i="47"/>
  <c r="AI67" i="47"/>
  <c r="AH67" i="47"/>
  <c r="AG67" i="47"/>
  <c r="AF67" i="47"/>
  <c r="AE67" i="47"/>
  <c r="AD67" i="47"/>
  <c r="AC67" i="47"/>
  <c r="AB67" i="47"/>
  <c r="AA67" i="47"/>
  <c r="Z67" i="47"/>
  <c r="Y67" i="47"/>
  <c r="X67" i="47"/>
  <c r="W67" i="47"/>
  <c r="V67" i="47"/>
  <c r="U67" i="47"/>
  <c r="T67" i="47"/>
  <c r="S67" i="47"/>
  <c r="R67" i="47"/>
  <c r="Q67" i="47"/>
  <c r="P67" i="47"/>
  <c r="O67" i="47"/>
  <c r="N67" i="47"/>
  <c r="M67" i="47"/>
  <c r="L67" i="47"/>
  <c r="K67" i="47"/>
  <c r="J67" i="47"/>
  <c r="I67" i="47"/>
  <c r="H67" i="47"/>
  <c r="G67" i="47"/>
  <c r="F67" i="47"/>
  <c r="E67" i="47"/>
  <c r="D67" i="47"/>
  <c r="B67" i="47"/>
  <c r="B65" i="47"/>
  <c r="B60" i="47"/>
  <c r="B58" i="47"/>
  <c r="B56" i="47"/>
  <c r="B54" i="47"/>
  <c r="B51" i="47"/>
  <c r="B47" i="47"/>
  <c r="B42" i="47"/>
  <c r="B41" i="47"/>
  <c r="B40" i="47"/>
  <c r="B38" i="47"/>
  <c r="B36" i="47"/>
  <c r="B35" i="47"/>
  <c r="B34" i="47"/>
  <c r="B33" i="47"/>
  <c r="B32" i="47"/>
  <c r="B31" i="47"/>
  <c r="B30" i="47"/>
  <c r="B29" i="47"/>
  <c r="B27" i="47"/>
  <c r="B26" i="47"/>
  <c r="B25" i="47"/>
  <c r="B23" i="47"/>
  <c r="B18" i="47"/>
  <c r="B15" i="47"/>
  <c r="B10" i="47"/>
  <c r="B7" i="47"/>
  <c r="B4" i="47"/>
  <c r="B68" i="50"/>
  <c r="B67" i="50"/>
  <c r="B65" i="50"/>
  <c r="B60" i="50"/>
  <c r="B58" i="50"/>
  <c r="B56" i="50"/>
  <c r="B54" i="50"/>
  <c r="B51" i="50"/>
  <c r="B47" i="50"/>
  <c r="B42" i="50"/>
  <c r="B41" i="50"/>
  <c r="B40" i="50"/>
  <c r="B38" i="50"/>
  <c r="B36" i="50"/>
  <c r="B35" i="50"/>
  <c r="B34" i="50"/>
  <c r="B33" i="50"/>
  <c r="B32" i="50"/>
  <c r="B31" i="50"/>
  <c r="B30" i="50"/>
  <c r="B29" i="50"/>
  <c r="B27" i="50"/>
  <c r="B26" i="50"/>
  <c r="B25" i="50"/>
  <c r="B23" i="50"/>
  <c r="B18" i="50"/>
  <c r="B15" i="50"/>
  <c r="B10" i="50"/>
  <c r="B7" i="50"/>
  <c r="B4" i="50"/>
  <c r="I63" i="49"/>
  <c r="F77" i="3" s="1"/>
  <c r="F19" i="18" s="1"/>
  <c r="I61" i="49"/>
  <c r="F75" i="3" s="1"/>
  <c r="F52" i="18" s="1"/>
  <c r="I60" i="49"/>
  <c r="F74" i="3" s="1"/>
  <c r="F241" i="6" s="1"/>
  <c r="I56" i="49"/>
  <c r="F70" i="3" s="1"/>
  <c r="F19" i="17" s="1"/>
  <c r="I55" i="49"/>
  <c r="F69" i="3" s="1"/>
  <c r="F52" i="17" s="1"/>
  <c r="I48" i="49"/>
  <c r="F62" i="3" s="1"/>
  <c r="F51" i="16" s="1"/>
  <c r="I47" i="49"/>
  <c r="F61" i="3" s="1"/>
  <c r="F18" i="16" s="1"/>
  <c r="I46" i="49"/>
  <c r="F60" i="3" s="1"/>
  <c r="F234" i="6" s="1"/>
  <c r="E46" i="49"/>
  <c r="I59" i="49" s="1"/>
  <c r="F73" i="3" s="1"/>
  <c r="E43" i="49"/>
  <c r="E39" i="49"/>
  <c r="I52" i="49" s="1"/>
  <c r="F66" i="3" s="1"/>
  <c r="F226" i="6" s="1"/>
  <c r="E36" i="49"/>
  <c r="I53" i="49" s="1"/>
  <c r="F67" i="3" s="1"/>
  <c r="F225" i="6" s="1"/>
  <c r="E32" i="49"/>
  <c r="E29" i="49"/>
  <c r="I45" i="49" s="1"/>
  <c r="F59" i="3" s="1"/>
  <c r="F233" i="6" s="1"/>
  <c r="I24" i="49"/>
  <c r="F35" i="3" s="1"/>
  <c r="F23" i="12" s="1"/>
  <c r="I23" i="49"/>
  <c r="F34" i="3" s="1"/>
  <c r="I22" i="49"/>
  <c r="F33" i="3" s="1"/>
  <c r="I21" i="49"/>
  <c r="F32" i="3" s="1"/>
  <c r="F12" i="15" s="1"/>
  <c r="I20" i="49"/>
  <c r="F31" i="3" s="1"/>
  <c r="F22" i="12" s="1"/>
  <c r="I17" i="49"/>
  <c r="F28" i="3" s="1"/>
  <c r="F24" i="14" s="1"/>
  <c r="I15" i="49"/>
  <c r="F26" i="3" s="1"/>
  <c r="F216" i="6" s="1"/>
  <c r="I14" i="49"/>
  <c r="F25" i="3" s="1"/>
  <c r="F17" i="14" s="1"/>
  <c r="I10" i="49"/>
  <c r="F21" i="3" s="1"/>
  <c r="I9" i="49"/>
  <c r="F20" i="3" s="1"/>
  <c r="I8" i="49"/>
  <c r="F19" i="3" s="1"/>
  <c r="I5" i="49"/>
  <c r="F16" i="3" s="1"/>
  <c r="F160" i="6" s="1"/>
  <c r="I4" i="49"/>
  <c r="F15" i="3" s="1"/>
  <c r="F9" i="10" s="1"/>
  <c r="I3" i="49"/>
  <c r="F14" i="3" s="1"/>
  <c r="F30" i="10" s="1"/>
  <c r="E18" i="48"/>
  <c r="D18" i="48"/>
  <c r="C18" i="48"/>
  <c r="C23" i="48" s="1"/>
  <c r="B18" i="48"/>
  <c r="E12" i="48"/>
  <c r="D12" i="48"/>
  <c r="B12" i="48"/>
  <c r="C11" i="48"/>
  <c r="C12" i="48" s="1"/>
  <c r="C17" i="48" s="1"/>
  <c r="E6" i="48"/>
  <c r="D6" i="48"/>
  <c r="C6" i="48"/>
  <c r="B6" i="48"/>
  <c r="L5" i="48"/>
  <c r="K5" i="48"/>
  <c r="J5" i="48"/>
  <c r="I5" i="48"/>
  <c r="F242" i="6" l="1"/>
  <c r="I73" i="3"/>
  <c r="F37" i="10"/>
  <c r="F15" i="12"/>
  <c r="I21" i="3"/>
  <c r="I74" i="3"/>
  <c r="F18" i="17"/>
  <c r="F18" i="18"/>
  <c r="F11" i="15"/>
  <c r="F16" i="9"/>
  <c r="I34" i="3"/>
  <c r="F10" i="11"/>
  <c r="F16" i="11"/>
  <c r="F36" i="10"/>
  <c r="I67" i="3"/>
  <c r="I62" i="3"/>
  <c r="I77" i="3"/>
  <c r="J330" i="6"/>
  <c r="J331" i="6" s="1"/>
  <c r="K32" i="10"/>
  <c r="J32" i="10"/>
  <c r="G6" i="51"/>
  <c r="O6" i="51"/>
  <c r="W6" i="51"/>
  <c r="I6" i="51"/>
  <c r="Q6" i="51"/>
  <c r="Y6" i="51"/>
  <c r="L19" i="51"/>
  <c r="T19" i="51"/>
  <c r="AB19" i="51"/>
  <c r="E21" i="51"/>
  <c r="J6" i="51"/>
  <c r="R6" i="51"/>
  <c r="Z6" i="51"/>
  <c r="M19" i="51"/>
  <c r="U19" i="51"/>
  <c r="E20" i="51"/>
  <c r="K6" i="51"/>
  <c r="S6" i="51"/>
  <c r="AA6" i="51"/>
  <c r="F19" i="51"/>
  <c r="N19" i="51"/>
  <c r="V19" i="51"/>
  <c r="E19" i="51"/>
  <c r="L6" i="51"/>
  <c r="T6" i="51"/>
  <c r="AB6" i="51"/>
  <c r="G19" i="51"/>
  <c r="O19" i="51"/>
  <c r="W19" i="51"/>
  <c r="M6" i="51"/>
  <c r="U6" i="51"/>
  <c r="H19" i="51"/>
  <c r="P19" i="51"/>
  <c r="X19" i="51"/>
  <c r="F6" i="51"/>
  <c r="Z19" i="51"/>
  <c r="E6" i="51"/>
  <c r="H6" i="51"/>
  <c r="I19" i="51"/>
  <c r="AA19" i="51"/>
  <c r="N6" i="51"/>
  <c r="J19" i="51"/>
  <c r="E23" i="51"/>
  <c r="P6" i="51"/>
  <c r="K19" i="51"/>
  <c r="E22" i="51"/>
  <c r="V6" i="51"/>
  <c r="Q19" i="51"/>
  <c r="S19" i="51"/>
  <c r="X6" i="51"/>
  <c r="R19" i="51"/>
  <c r="Y19" i="51"/>
  <c r="I14" i="3"/>
  <c r="J4" i="40"/>
  <c r="J4" i="37"/>
  <c r="J4" i="34"/>
  <c r="J4" i="31"/>
  <c r="J4" i="28"/>
  <c r="J74" i="20"/>
  <c r="J4" i="21"/>
  <c r="J4" i="22"/>
  <c r="J32" i="20"/>
  <c r="J4" i="20"/>
  <c r="J28" i="19"/>
  <c r="J10" i="21"/>
  <c r="J4" i="19"/>
  <c r="J4" i="18"/>
  <c r="J4" i="17"/>
  <c r="J10" i="18"/>
  <c r="J10" i="17"/>
  <c r="J4" i="16"/>
  <c r="J40" i="15"/>
  <c r="J4" i="15"/>
  <c r="J27" i="15"/>
  <c r="J4" i="14"/>
  <c r="J25" i="13"/>
  <c r="J60" i="12"/>
  <c r="J18" i="12"/>
  <c r="J50" i="12"/>
  <c r="J4" i="13"/>
  <c r="J4" i="12"/>
  <c r="J4" i="10"/>
  <c r="J35" i="9"/>
  <c r="J22" i="15"/>
  <c r="J37" i="12"/>
  <c r="J4" i="11"/>
  <c r="J16" i="10"/>
  <c r="J4" i="9"/>
  <c r="J4" i="7"/>
  <c r="J345" i="6"/>
  <c r="J346" i="6" s="1"/>
  <c r="J295" i="6"/>
  <c r="J296" i="6" s="1"/>
  <c r="J17" i="13"/>
  <c r="J4" i="8"/>
  <c r="J314" i="6"/>
  <c r="J23" i="11"/>
  <c r="J306" i="6"/>
  <c r="J308" i="6" s="1"/>
  <c r="J10" i="16"/>
  <c r="J10" i="9"/>
  <c r="J253" i="6"/>
  <c r="J269" i="6"/>
  <c r="J196" i="6"/>
  <c r="J80" i="6"/>
  <c r="J140" i="6"/>
  <c r="J86" i="6"/>
  <c r="J182" i="6"/>
  <c r="J93" i="6"/>
  <c r="J126" i="6"/>
  <c r="J100" i="6"/>
  <c r="J290" i="6"/>
  <c r="J291" i="6" s="1"/>
  <c r="J106" i="6"/>
  <c r="J66" i="6"/>
  <c r="J325" i="6"/>
  <c r="J326" i="6" s="1"/>
  <c r="J60" i="6"/>
  <c r="J4" i="6"/>
  <c r="J33" i="6"/>
  <c r="J11" i="6"/>
  <c r="J12" i="6" s="1"/>
  <c r="J340" i="6"/>
  <c r="J341" i="6" s="1"/>
  <c r="J40" i="6"/>
  <c r="K28" i="6"/>
  <c r="J73" i="6"/>
  <c r="J53" i="6"/>
  <c r="J23" i="6"/>
  <c r="J24" i="6" s="1"/>
  <c r="F89" i="3"/>
  <c r="F83" i="3"/>
  <c r="F55" i="3"/>
  <c r="F49" i="3"/>
  <c r="F45" i="3"/>
  <c r="F39" i="3"/>
  <c r="F94" i="3"/>
  <c r="F283" i="6" s="1"/>
  <c r="F88" i="3"/>
  <c r="F45" i="20" s="1"/>
  <c r="F82" i="3"/>
  <c r="F275" i="6" s="1"/>
  <c r="F52" i="3"/>
  <c r="F34" i="9" s="1"/>
  <c r="F48" i="3"/>
  <c r="F22" i="11" s="1"/>
  <c r="F44" i="3"/>
  <c r="F27" i="19" s="1"/>
  <c r="F38" i="3"/>
  <c r="F9" i="13" s="1"/>
  <c r="F91" i="3"/>
  <c r="F73" i="20" s="1"/>
  <c r="I78" i="20" s="1"/>
  <c r="F85" i="3"/>
  <c r="F42" i="19" s="1"/>
  <c r="F44" i="19" s="1"/>
  <c r="F35" i="19" s="1"/>
  <c r="J37" i="19" s="1"/>
  <c r="F81" i="3"/>
  <c r="F51" i="3"/>
  <c r="F26" i="15" s="1"/>
  <c r="F47" i="3"/>
  <c r="F9" i="9" s="1"/>
  <c r="F41" i="3"/>
  <c r="F59" i="12" s="1"/>
  <c r="F90" i="3"/>
  <c r="F84" i="3"/>
  <c r="F56" i="3"/>
  <c r="F50" i="3"/>
  <c r="F46" i="3"/>
  <c r="F40" i="3"/>
  <c r="F49" i="12" s="1"/>
  <c r="I56" i="12" s="1"/>
  <c r="I94" i="3"/>
  <c r="I28" i="3"/>
  <c r="F25" i="16"/>
  <c r="J27" i="16" s="1"/>
  <c r="F19" i="15"/>
  <c r="F26" i="17"/>
  <c r="J28" i="17" s="1"/>
  <c r="F10" i="15"/>
  <c r="F30" i="12"/>
  <c r="J32" i="12" s="1"/>
  <c r="I33" i="3"/>
  <c r="K2" i="3"/>
  <c r="I15" i="3"/>
  <c r="I19" i="3"/>
  <c r="I25" i="3"/>
  <c r="I31" i="3"/>
  <c r="I35" i="3"/>
  <c r="I47" i="3"/>
  <c r="I51" i="3"/>
  <c r="I59" i="3"/>
  <c r="I63" i="3"/>
  <c r="I69" i="3"/>
  <c r="I75" i="3"/>
  <c r="I81" i="3"/>
  <c r="I85" i="3"/>
  <c r="L2" i="3"/>
  <c r="I16" i="3"/>
  <c r="I20" i="3"/>
  <c r="I26" i="3"/>
  <c r="I32" i="3"/>
  <c r="I38" i="3"/>
  <c r="I48" i="3"/>
  <c r="I52" i="3"/>
  <c r="I60" i="3"/>
  <c r="I66" i="3"/>
  <c r="I70" i="3"/>
  <c r="I76" i="3"/>
  <c r="I82" i="3"/>
  <c r="I88" i="3"/>
  <c r="H28" i="36"/>
  <c r="H28" i="35"/>
  <c r="H28" i="34"/>
  <c r="H28" i="25"/>
  <c r="H12" i="21"/>
  <c r="I13" i="9"/>
  <c r="F321" i="6"/>
  <c r="I21" i="10"/>
  <c r="I64" i="12"/>
  <c r="I38" i="9"/>
  <c r="E9" i="33"/>
  <c r="E9" i="32"/>
  <c r="E9" i="31"/>
  <c r="B24" i="47" s="1"/>
  <c r="E9" i="24"/>
  <c r="B24" i="50" s="1"/>
  <c r="I27" i="11"/>
  <c r="I36" i="15"/>
  <c r="G9" i="33"/>
  <c r="G9" i="32"/>
  <c r="G9" i="31"/>
  <c r="G9" i="24"/>
  <c r="I15" i="16"/>
  <c r="E23" i="36"/>
  <c r="E23" i="35"/>
  <c r="E23" i="34"/>
  <c r="B62" i="47" s="1"/>
  <c r="E23" i="25"/>
  <c r="B62" i="50" s="1"/>
  <c r="E13" i="29"/>
  <c r="E13" i="30"/>
  <c r="E13" i="28"/>
  <c r="B9" i="47" s="1"/>
  <c r="E13" i="23"/>
  <c r="B9" i="50" s="1"/>
  <c r="E10" i="30"/>
  <c r="E10" i="28"/>
  <c r="B6" i="47" s="1"/>
  <c r="E10" i="23"/>
  <c r="B6" i="50" s="1"/>
  <c r="E10" i="29"/>
  <c r="E9" i="29"/>
  <c r="E9" i="30"/>
  <c r="E9" i="23"/>
  <c r="B5" i="50" s="1"/>
  <c r="E9" i="28"/>
  <c r="B5" i="47" s="1"/>
  <c r="E14" i="36"/>
  <c r="E14" i="35"/>
  <c r="E14" i="34"/>
  <c r="B53" i="47" s="1"/>
  <c r="E14" i="25"/>
  <c r="B53" i="50" s="1"/>
  <c r="G24" i="36"/>
  <c r="G24" i="35"/>
  <c r="G24" i="34"/>
  <c r="G24" i="25"/>
  <c r="G13" i="30"/>
  <c r="G13" i="29"/>
  <c r="G13" i="28"/>
  <c r="G13" i="23"/>
  <c r="G10" i="30"/>
  <c r="G10" i="29"/>
  <c r="G10" i="28"/>
  <c r="G10" i="23"/>
  <c r="G9" i="30"/>
  <c r="G9" i="28"/>
  <c r="G9" i="29"/>
  <c r="G9" i="23"/>
  <c r="G14" i="36"/>
  <c r="G14" i="35"/>
  <c r="G14" i="34"/>
  <c r="G14" i="25"/>
  <c r="E24" i="36"/>
  <c r="E24" i="35"/>
  <c r="E24" i="34"/>
  <c r="B63" i="47" s="1"/>
  <c r="E24" i="25"/>
  <c r="B63" i="50" s="1"/>
  <c r="E9" i="35"/>
  <c r="E9" i="36"/>
  <c r="E9" i="34"/>
  <c r="B48" i="47" s="1"/>
  <c r="E9" i="25"/>
  <c r="B48" i="50" s="1"/>
  <c r="G16" i="30"/>
  <c r="G16" i="29"/>
  <c r="G16" i="23"/>
  <c r="G16" i="28"/>
  <c r="G9" i="35"/>
  <c r="G9" i="36"/>
  <c r="G9" i="34"/>
  <c r="G9" i="25"/>
  <c r="I15" i="17"/>
  <c r="G23" i="36"/>
  <c r="G23" i="35"/>
  <c r="G23" i="34"/>
  <c r="G23" i="25"/>
  <c r="I15" i="18"/>
  <c r="E17" i="29"/>
  <c r="E17" i="30"/>
  <c r="E17" i="28"/>
  <c r="B13" i="47" s="1"/>
  <c r="E17" i="23"/>
  <c r="B13" i="50" s="1"/>
  <c r="E20" i="36"/>
  <c r="E20" i="35"/>
  <c r="E20" i="34"/>
  <c r="B59" i="47" s="1"/>
  <c r="E20" i="25"/>
  <c r="B59" i="50" s="1"/>
  <c r="G17" i="29"/>
  <c r="G17" i="30"/>
  <c r="G17" i="28"/>
  <c r="G17" i="23"/>
  <c r="E18" i="35"/>
  <c r="E18" i="36"/>
  <c r="E18" i="34"/>
  <c r="B57" i="47" s="1"/>
  <c r="E18" i="25"/>
  <c r="B57" i="50" s="1"/>
  <c r="G20" i="36"/>
  <c r="G20" i="35"/>
  <c r="G20" i="34"/>
  <c r="G20" i="25"/>
  <c r="G18" i="35"/>
  <c r="G18" i="36"/>
  <c r="G18" i="34"/>
  <c r="G18" i="25"/>
  <c r="G25" i="35"/>
  <c r="G25" i="36"/>
  <c r="G25" i="34"/>
  <c r="G25" i="25"/>
  <c r="I32" i="19"/>
  <c r="E16" i="30"/>
  <c r="E16" i="29"/>
  <c r="E16" i="28"/>
  <c r="B12" i="47" s="1"/>
  <c r="E16" i="23"/>
  <c r="B12" i="50" s="1"/>
  <c r="G18" i="30"/>
  <c r="G18" i="29"/>
  <c r="G18" i="28"/>
  <c r="G18" i="23"/>
  <c r="G11" i="35"/>
  <c r="G11" i="36"/>
  <c r="G11" i="34"/>
  <c r="G11" i="25"/>
  <c r="E22" i="36"/>
  <c r="E22" i="34"/>
  <c r="B61" i="47" s="1"/>
  <c r="E22" i="35"/>
  <c r="E22" i="25"/>
  <c r="B61" i="50" s="1"/>
  <c r="G22" i="36"/>
  <c r="G22" i="35"/>
  <c r="G22" i="34"/>
  <c r="G22" i="25"/>
  <c r="E10" i="36"/>
  <c r="E10" i="35"/>
  <c r="E10" i="34"/>
  <c r="B49" i="47" s="1"/>
  <c r="E10" i="25"/>
  <c r="B49" i="50" s="1"/>
  <c r="E25" i="35"/>
  <c r="E25" i="34"/>
  <c r="B64" i="47" s="1"/>
  <c r="E25" i="36"/>
  <c r="E25" i="25"/>
  <c r="B64" i="50" s="1"/>
  <c r="G10" i="36"/>
  <c r="G10" i="35"/>
  <c r="G10" i="34"/>
  <c r="G10" i="25"/>
  <c r="E18" i="29"/>
  <c r="E18" i="30"/>
  <c r="E18" i="28"/>
  <c r="B14" i="47" s="1"/>
  <c r="E18" i="23"/>
  <c r="B14" i="50" s="1"/>
  <c r="E11" i="36"/>
  <c r="E11" i="35"/>
  <c r="E11" i="34"/>
  <c r="B50" i="47" s="1"/>
  <c r="E11" i="25"/>
  <c r="B50" i="50" s="1"/>
  <c r="E21" i="30"/>
  <c r="E21" i="29"/>
  <c r="E21" i="28"/>
  <c r="B17" i="47" s="1"/>
  <c r="G21" i="30"/>
  <c r="G21" i="29"/>
  <c r="E21" i="23"/>
  <c r="B17" i="50" s="1"/>
  <c r="G21" i="23"/>
  <c r="G21" i="28"/>
  <c r="K10" i="44"/>
  <c r="J38" i="19" l="1"/>
  <c r="J31" i="19"/>
  <c r="J29" i="17"/>
  <c r="J14" i="17"/>
  <c r="J28" i="16"/>
  <c r="J14" i="16"/>
  <c r="J13" i="37"/>
  <c r="J40" i="12"/>
  <c r="J52" i="12"/>
  <c r="I16" i="33"/>
  <c r="I16" i="32"/>
  <c r="I16" i="31"/>
  <c r="I16" i="24"/>
  <c r="J11" i="17"/>
  <c r="J40" i="17" s="1"/>
  <c r="I25" i="33"/>
  <c r="I25" i="32"/>
  <c r="I25" i="31"/>
  <c r="I25" i="24"/>
  <c r="J36" i="9"/>
  <c r="I28" i="9"/>
  <c r="F15" i="19"/>
  <c r="F9" i="14"/>
  <c r="F9" i="15"/>
  <c r="F9" i="12"/>
  <c r="I84" i="3"/>
  <c r="F24" i="13"/>
  <c r="I29" i="13" s="1"/>
  <c r="J26" i="13" s="1"/>
  <c r="I45" i="3"/>
  <c r="J34" i="6"/>
  <c r="J41" i="6"/>
  <c r="J47" i="6"/>
  <c r="I17" i="32"/>
  <c r="I17" i="33"/>
  <c r="I17" i="31"/>
  <c r="I17" i="24"/>
  <c r="J11" i="16"/>
  <c r="J39" i="16" s="1"/>
  <c r="I17" i="39"/>
  <c r="I17" i="38"/>
  <c r="I17" i="37"/>
  <c r="I17" i="26"/>
  <c r="J61" i="12"/>
  <c r="I17" i="11"/>
  <c r="F52" i="20"/>
  <c r="I90" i="3"/>
  <c r="F16" i="13"/>
  <c r="I21" i="13" s="1"/>
  <c r="I49" i="3"/>
  <c r="J3" i="40"/>
  <c r="J3" i="37"/>
  <c r="J3" i="34"/>
  <c r="J3" i="31"/>
  <c r="J3" i="22"/>
  <c r="J3" i="28"/>
  <c r="J3" i="21"/>
  <c r="J3" i="19"/>
  <c r="J3" i="20"/>
  <c r="J3" i="18"/>
  <c r="J3" i="17"/>
  <c r="J3" i="16"/>
  <c r="J3" i="14"/>
  <c r="J3" i="15"/>
  <c r="J3" i="13"/>
  <c r="J3" i="11"/>
  <c r="J3" i="10"/>
  <c r="J3" i="9"/>
  <c r="J79" i="6"/>
  <c r="J3" i="12"/>
  <c r="J3" i="7"/>
  <c r="J99" i="6"/>
  <c r="J59" i="6"/>
  <c r="J3" i="4"/>
  <c r="J3" i="8"/>
  <c r="J3" i="6"/>
  <c r="J39" i="6"/>
  <c r="J94" i="6"/>
  <c r="J101" i="6"/>
  <c r="J107" i="6"/>
  <c r="J8" i="34"/>
  <c r="J44" i="15"/>
  <c r="I91" i="3"/>
  <c r="F54" i="17"/>
  <c r="F54" i="18"/>
  <c r="F53" i="16"/>
  <c r="I55" i="3"/>
  <c r="J87" i="6"/>
  <c r="J74" i="6"/>
  <c r="J81" i="6"/>
  <c r="F36" i="12"/>
  <c r="I41" i="12" s="1"/>
  <c r="I39" i="3"/>
  <c r="K9" i="37"/>
  <c r="K39" i="10"/>
  <c r="K17" i="12"/>
  <c r="K19" i="10"/>
  <c r="I18" i="33"/>
  <c r="I18" i="32"/>
  <c r="I18" i="31"/>
  <c r="I18" i="24"/>
  <c r="J11" i="18"/>
  <c r="I14" i="33"/>
  <c r="I14" i="32"/>
  <c r="I14" i="31"/>
  <c r="I14" i="24"/>
  <c r="J24" i="11"/>
  <c r="I44" i="3"/>
  <c r="I41" i="3"/>
  <c r="F10" i="14"/>
  <c r="I83" i="3"/>
  <c r="I15" i="39"/>
  <c r="I15" i="38"/>
  <c r="I15" i="37"/>
  <c r="I15" i="26"/>
  <c r="J51" i="12"/>
  <c r="J24" i="10" s="1"/>
  <c r="J26" i="10" s="1"/>
  <c r="F31" i="20"/>
  <c r="I89" i="3"/>
  <c r="K4" i="40"/>
  <c r="K4" i="37"/>
  <c r="K4" i="34"/>
  <c r="K4" i="31"/>
  <c r="K4" i="28"/>
  <c r="K4" i="21"/>
  <c r="K4" i="22"/>
  <c r="K74" i="20"/>
  <c r="K32" i="20"/>
  <c r="K10" i="21"/>
  <c r="K4" i="20"/>
  <c r="K28" i="19"/>
  <c r="K4" i="19"/>
  <c r="K4" i="18"/>
  <c r="K4" i="17"/>
  <c r="K10" i="18"/>
  <c r="K4" i="16"/>
  <c r="K40" i="15"/>
  <c r="K28" i="17"/>
  <c r="K27" i="16"/>
  <c r="K10" i="16"/>
  <c r="K27" i="15"/>
  <c r="K4" i="13"/>
  <c r="K4" i="15"/>
  <c r="K17" i="13"/>
  <c r="K22" i="15"/>
  <c r="K25" i="13"/>
  <c r="K50" i="12"/>
  <c r="K32" i="12"/>
  <c r="K4" i="12"/>
  <c r="K4" i="10"/>
  <c r="K4" i="14"/>
  <c r="K35" i="9"/>
  <c r="K23" i="11"/>
  <c r="K18" i="12"/>
  <c r="K4" i="8"/>
  <c r="K314" i="6"/>
  <c r="K10" i="17"/>
  <c r="K37" i="12"/>
  <c r="K306" i="6"/>
  <c r="K10" i="9"/>
  <c r="K325" i="6"/>
  <c r="K326" i="6" s="1"/>
  <c r="K16" i="10"/>
  <c r="K330" i="6"/>
  <c r="K331" i="6" s="1"/>
  <c r="K269" i="6"/>
  <c r="K140" i="6"/>
  <c r="K86" i="6"/>
  <c r="K182" i="6"/>
  <c r="K93" i="6"/>
  <c r="K4" i="11"/>
  <c r="K295" i="6"/>
  <c r="K296" i="6" s="1"/>
  <c r="K126" i="6"/>
  <c r="K100" i="6"/>
  <c r="K4" i="9"/>
  <c r="K290" i="6"/>
  <c r="K291" i="6" s="1"/>
  <c r="K253" i="6"/>
  <c r="K106" i="6"/>
  <c r="K340" i="6"/>
  <c r="K341" i="6" s="1"/>
  <c r="K73" i="6"/>
  <c r="K60" i="6"/>
  <c r="K60" i="12"/>
  <c r="K4" i="6"/>
  <c r="K33" i="6"/>
  <c r="K11" i="6"/>
  <c r="K12" i="6" s="1"/>
  <c r="K345" i="6"/>
  <c r="K346" i="6" s="1"/>
  <c r="K80" i="6"/>
  <c r="K40" i="6"/>
  <c r="L28" i="6"/>
  <c r="K46" i="6"/>
  <c r="K4" i="4"/>
  <c r="K4" i="7"/>
  <c r="K53" i="6"/>
  <c r="K66" i="6"/>
  <c r="K23" i="6"/>
  <c r="K24" i="6" s="1"/>
  <c r="K196" i="6"/>
  <c r="J36" i="20"/>
  <c r="K33" i="20" s="1"/>
  <c r="K26" i="20" s="1"/>
  <c r="F53" i="18"/>
  <c r="F55" i="18" s="1"/>
  <c r="F39" i="18" s="1"/>
  <c r="F53" i="17"/>
  <c r="F55" i="17" s="1"/>
  <c r="F39" i="17" s="1"/>
  <c r="F52" i="16"/>
  <c r="F54" i="16" s="1"/>
  <c r="F38" i="16" s="1"/>
  <c r="I56" i="3"/>
  <c r="J59" i="20"/>
  <c r="J53" i="20"/>
  <c r="J54" i="20" s="1"/>
  <c r="J58" i="20" s="1"/>
  <c r="J236" i="6"/>
  <c r="J284" i="6"/>
  <c r="J285" i="6" s="1"/>
  <c r="J177" i="6"/>
  <c r="J121" i="6"/>
  <c r="J228" i="6"/>
  <c r="J277" i="6"/>
  <c r="J18" i="6"/>
  <c r="J19" i="6" s="1"/>
  <c r="J244" i="6"/>
  <c r="J9" i="37"/>
  <c r="J19" i="10"/>
  <c r="J39" i="10"/>
  <c r="J17" i="12"/>
  <c r="I11" i="33"/>
  <c r="I11" i="32"/>
  <c r="I11" i="31"/>
  <c r="I11" i="24"/>
  <c r="J11" i="9"/>
  <c r="I9" i="8"/>
  <c r="F9" i="21"/>
  <c r="I13" i="21" s="1"/>
  <c r="I46" i="3"/>
  <c r="F251" i="6"/>
  <c r="F259" i="6"/>
  <c r="I40" i="3"/>
  <c r="F7" i="3" s="1"/>
  <c r="I15" i="33"/>
  <c r="I15" i="31"/>
  <c r="I15" i="32"/>
  <c r="I15" i="24"/>
  <c r="J28" i="15"/>
  <c r="I20" i="33"/>
  <c r="I20" i="31"/>
  <c r="I20" i="32"/>
  <c r="J75" i="20"/>
  <c r="J66" i="20" s="1"/>
  <c r="I20" i="24"/>
  <c r="I19" i="32"/>
  <c r="I19" i="33"/>
  <c r="I19" i="31"/>
  <c r="J29" i="19"/>
  <c r="J48" i="19" s="1"/>
  <c r="I19" i="24"/>
  <c r="I10" i="39"/>
  <c r="I10" i="37"/>
  <c r="I10" i="38"/>
  <c r="I10" i="26"/>
  <c r="I24" i="12"/>
  <c r="J17" i="10"/>
  <c r="J25" i="10" s="1"/>
  <c r="F39" i="15"/>
  <c r="I45" i="15" s="1"/>
  <c r="I50" i="3"/>
  <c r="J14" i="37"/>
  <c r="J63" i="12"/>
  <c r="J54" i="12"/>
  <c r="J67" i="12"/>
  <c r="J68" i="12" s="1"/>
  <c r="K53" i="20" l="1"/>
  <c r="K54" i="20" s="1"/>
  <c r="K58" i="20" s="1"/>
  <c r="K59" i="20"/>
  <c r="K236" i="6"/>
  <c r="K284" i="6"/>
  <c r="K285" i="6" s="1"/>
  <c r="K277" i="6"/>
  <c r="K228" i="6"/>
  <c r="K121" i="6"/>
  <c r="K244" i="6"/>
  <c r="K18" i="6"/>
  <c r="K19" i="6" s="1"/>
  <c r="K177" i="6"/>
  <c r="J18" i="37"/>
  <c r="E30" i="51" s="1"/>
  <c r="J28" i="13"/>
  <c r="J55" i="12"/>
  <c r="J20" i="13"/>
  <c r="I10" i="33"/>
  <c r="I10" i="32"/>
  <c r="I10" i="31"/>
  <c r="I10" i="24"/>
  <c r="J41" i="15"/>
  <c r="J27" i="18"/>
  <c r="J28" i="18" s="1"/>
  <c r="J40" i="18"/>
  <c r="I26" i="33"/>
  <c r="I26" i="32"/>
  <c r="I26" i="31"/>
  <c r="I26" i="24"/>
  <c r="J11" i="21"/>
  <c r="J13" i="21" s="1"/>
  <c r="I29" i="9"/>
  <c r="J40" i="16"/>
  <c r="J41" i="17"/>
  <c r="K13" i="37"/>
  <c r="K52" i="12"/>
  <c r="K40" i="12"/>
  <c r="D47" i="47"/>
  <c r="I8" i="33"/>
  <c r="I8" i="32"/>
  <c r="I8" i="31"/>
  <c r="I8" i="24"/>
  <c r="J18" i="13"/>
  <c r="J18" i="34"/>
  <c r="D57" i="47" s="1"/>
  <c r="J44" i="12"/>
  <c r="J45" i="12" s="1"/>
  <c r="J20" i="10"/>
  <c r="J11" i="11"/>
  <c r="J12" i="11" s="1"/>
  <c r="I12" i="38"/>
  <c r="I12" i="39"/>
  <c r="I12" i="37"/>
  <c r="I12" i="26"/>
  <c r="J38" i="12"/>
  <c r="K94" i="6"/>
  <c r="K101" i="6"/>
  <c r="K107" i="6"/>
  <c r="J2" i="40"/>
  <c r="J2" i="37"/>
  <c r="J2" i="34"/>
  <c r="J2" i="31"/>
  <c r="J2" i="28"/>
  <c r="D2" i="47" s="1"/>
  <c r="J2" i="21"/>
  <c r="J60" i="20"/>
  <c r="J61" i="20" s="1"/>
  <c r="J2" i="20"/>
  <c r="J2" i="18"/>
  <c r="J2" i="22"/>
  <c r="J2" i="19"/>
  <c r="J2" i="17"/>
  <c r="J2" i="16"/>
  <c r="J2" i="15"/>
  <c r="J2" i="14"/>
  <c r="J2" i="12"/>
  <c r="J2" i="10"/>
  <c r="J2" i="11"/>
  <c r="J2" i="9"/>
  <c r="J2" i="7"/>
  <c r="J227" i="6"/>
  <c r="J229" i="6" s="1"/>
  <c r="J2" i="8"/>
  <c r="J2" i="13"/>
  <c r="J313" i="6"/>
  <c r="J315" i="6" s="1"/>
  <c r="J307" i="6"/>
  <c r="J235" i="6"/>
  <c r="J237" i="6" s="1"/>
  <c r="J243" i="6"/>
  <c r="J245" i="6" s="1"/>
  <c r="J72" i="6"/>
  <c r="J203" i="6"/>
  <c r="J176" i="6"/>
  <c r="J178" i="6" s="1"/>
  <c r="J170" i="6"/>
  <c r="J171" i="6" s="1"/>
  <c r="J120" i="6"/>
  <c r="J122" i="6" s="1"/>
  <c r="J114" i="6"/>
  <c r="J115" i="6" s="1"/>
  <c r="J92" i="6"/>
  <c r="J2" i="6"/>
  <c r="J147" i="6"/>
  <c r="J32" i="6"/>
  <c r="J276" i="6"/>
  <c r="J278" i="6" s="1"/>
  <c r="J2" i="4"/>
  <c r="J52" i="6"/>
  <c r="K308" i="6"/>
  <c r="J41" i="18"/>
  <c r="L4" i="40"/>
  <c r="L4" i="37"/>
  <c r="L4" i="34"/>
  <c r="L4" i="31"/>
  <c r="L4" i="28"/>
  <c r="L4" i="21"/>
  <c r="L4" i="22"/>
  <c r="L10" i="21"/>
  <c r="L74" i="20"/>
  <c r="L4" i="20"/>
  <c r="L28" i="19"/>
  <c r="L4" i="19"/>
  <c r="L4" i="18"/>
  <c r="L10" i="18"/>
  <c r="L32" i="20"/>
  <c r="L10" i="17"/>
  <c r="L28" i="17"/>
  <c r="L40" i="15"/>
  <c r="L10" i="16"/>
  <c r="L4" i="17"/>
  <c r="L4" i="15"/>
  <c r="L4" i="16"/>
  <c r="L27" i="15"/>
  <c r="L17" i="13"/>
  <c r="L4" i="14"/>
  <c r="L25" i="13"/>
  <c r="L32" i="12"/>
  <c r="L4" i="13"/>
  <c r="L4" i="12"/>
  <c r="L4" i="10"/>
  <c r="L35" i="9"/>
  <c r="L23" i="11"/>
  <c r="L37" i="12"/>
  <c r="L4" i="11"/>
  <c r="L16" i="10"/>
  <c r="L60" i="12"/>
  <c r="L18" i="12"/>
  <c r="L306" i="6"/>
  <c r="L10" i="9"/>
  <c r="L325" i="6"/>
  <c r="L326" i="6" s="1"/>
  <c r="L340" i="6"/>
  <c r="L341" i="6" s="1"/>
  <c r="L290" i="6"/>
  <c r="L291" i="6" s="1"/>
  <c r="L4" i="9"/>
  <c r="L4" i="7"/>
  <c r="L345" i="6"/>
  <c r="L346" i="6" s="1"/>
  <c r="L295" i="6"/>
  <c r="L296" i="6" s="1"/>
  <c r="L182" i="6"/>
  <c r="L93" i="6"/>
  <c r="L126" i="6"/>
  <c r="L100" i="6"/>
  <c r="L253" i="6"/>
  <c r="L106" i="6"/>
  <c r="L60" i="6"/>
  <c r="L50" i="12"/>
  <c r="L330" i="6"/>
  <c r="L331" i="6" s="1"/>
  <c r="L66" i="6"/>
  <c r="L4" i="8"/>
  <c r="L196" i="6"/>
  <c r="L80" i="6"/>
  <c r="L314" i="6"/>
  <c r="L4" i="6"/>
  <c r="L269" i="6"/>
  <c r="L33" i="6"/>
  <c r="L11" i="6"/>
  <c r="L12" i="6" s="1"/>
  <c r="L86" i="6"/>
  <c r="L40" i="6"/>
  <c r="M28" i="6"/>
  <c r="L46" i="6"/>
  <c r="L4" i="4"/>
  <c r="L53" i="6"/>
  <c r="L23" i="6"/>
  <c r="L24" i="6" s="1"/>
  <c r="L140" i="6"/>
  <c r="L73" i="6"/>
  <c r="L32" i="10"/>
  <c r="K81" i="6"/>
  <c r="K74" i="6"/>
  <c r="K87" i="6"/>
  <c r="K28" i="16"/>
  <c r="K20" i="34" s="1"/>
  <c r="E59" i="47" s="1"/>
  <c r="K14" i="16"/>
  <c r="K34" i="6"/>
  <c r="K41" i="6"/>
  <c r="K47" i="6"/>
  <c r="K14" i="37"/>
  <c r="K63" i="12"/>
  <c r="K54" i="12"/>
  <c r="K67" i="12"/>
  <c r="K68" i="12" s="1"/>
  <c r="K29" i="17"/>
  <c r="K18" i="34" s="1"/>
  <c r="E57" i="47" s="1"/>
  <c r="K14" i="17"/>
  <c r="K3" i="40"/>
  <c r="K3" i="37"/>
  <c r="K3" i="34"/>
  <c r="K3" i="31"/>
  <c r="K3" i="22"/>
  <c r="K3" i="28"/>
  <c r="K3" i="19"/>
  <c r="K3" i="21"/>
  <c r="K3" i="20"/>
  <c r="K3" i="18"/>
  <c r="K3" i="17"/>
  <c r="K3" i="16"/>
  <c r="K3" i="14"/>
  <c r="K3" i="13"/>
  <c r="K3" i="11"/>
  <c r="K3" i="15"/>
  <c r="K3" i="12"/>
  <c r="K3" i="10"/>
  <c r="K3" i="9"/>
  <c r="K3" i="7"/>
  <c r="K3" i="8"/>
  <c r="K79" i="6"/>
  <c r="K99" i="6"/>
  <c r="K3" i="4"/>
  <c r="K39" i="6"/>
  <c r="K59" i="6"/>
  <c r="K3" i="6"/>
  <c r="K8" i="34"/>
  <c r="K44" i="15"/>
  <c r="J20" i="34"/>
  <c r="D59" i="47" s="1"/>
  <c r="J10" i="34"/>
  <c r="D49" i="47" s="1"/>
  <c r="J67" i="20" l="1"/>
  <c r="J68" i="20" s="1"/>
  <c r="L3" i="40"/>
  <c r="L3" i="37"/>
  <c r="L3" i="34"/>
  <c r="L3" i="31"/>
  <c r="L3" i="28"/>
  <c r="L3" i="22"/>
  <c r="L3" i="21"/>
  <c r="L3" i="19"/>
  <c r="L3" i="20"/>
  <c r="L3" i="17"/>
  <c r="L3" i="18"/>
  <c r="L3" i="16"/>
  <c r="L3" i="14"/>
  <c r="L3" i="13"/>
  <c r="L3" i="15"/>
  <c r="L3" i="11"/>
  <c r="L3" i="9"/>
  <c r="L3" i="7"/>
  <c r="L3" i="8"/>
  <c r="L3" i="12"/>
  <c r="L99" i="6"/>
  <c r="L3" i="10"/>
  <c r="L39" i="6"/>
  <c r="L3" i="6"/>
  <c r="L59" i="6"/>
  <c r="L79" i="6"/>
  <c r="L3" i="4"/>
  <c r="L34" i="6"/>
  <c r="L41" i="6"/>
  <c r="L47" i="6"/>
  <c r="J141" i="6"/>
  <c r="J162" i="6"/>
  <c r="L74" i="6"/>
  <c r="L87" i="6"/>
  <c r="L81" i="6"/>
  <c r="J82" i="6" s="1"/>
  <c r="J20" i="16"/>
  <c r="L101" i="6"/>
  <c r="L107" i="6"/>
  <c r="L94" i="6"/>
  <c r="J42" i="18"/>
  <c r="J46" i="18"/>
  <c r="J47" i="18" s="1"/>
  <c r="J33" i="18"/>
  <c r="J127" i="6"/>
  <c r="J128" i="6" s="1"/>
  <c r="J67" i="6"/>
  <c r="J61" i="6"/>
  <c r="J54" i="6"/>
  <c r="L14" i="37"/>
  <c r="L63" i="12"/>
  <c r="L54" i="12"/>
  <c r="L67" i="12"/>
  <c r="L68" i="12" s="1"/>
  <c r="J197" i="6"/>
  <c r="J218" i="6"/>
  <c r="J16" i="19"/>
  <c r="J17" i="19" s="1"/>
  <c r="J42" i="15"/>
  <c r="J25" i="11"/>
  <c r="J20" i="15"/>
  <c r="J10" i="13"/>
  <c r="J11" i="13" s="1"/>
  <c r="J26" i="31"/>
  <c r="D41" i="47" s="1"/>
  <c r="K11" i="21"/>
  <c r="K13" i="21" s="1"/>
  <c r="J29" i="9"/>
  <c r="K18" i="37"/>
  <c r="F30" i="51" s="1"/>
  <c r="K20" i="13"/>
  <c r="K55" i="12"/>
  <c r="K28" i="13"/>
  <c r="M4" i="40"/>
  <c r="M4" i="37"/>
  <c r="M4" i="34"/>
  <c r="M4" i="31"/>
  <c r="M4" i="28"/>
  <c r="M4" i="21"/>
  <c r="M4" i="22"/>
  <c r="M10" i="21"/>
  <c r="M74" i="20"/>
  <c r="M32" i="20"/>
  <c r="M4" i="20"/>
  <c r="M28" i="19"/>
  <c r="M4" i="18"/>
  <c r="M10" i="18"/>
  <c r="M28" i="17"/>
  <c r="M10" i="17"/>
  <c r="M4" i="17"/>
  <c r="M40" i="15"/>
  <c r="M10" i="16"/>
  <c r="M4" i="19"/>
  <c r="M27" i="15"/>
  <c r="M4" i="16"/>
  <c r="M17" i="13"/>
  <c r="M4" i="14"/>
  <c r="M25" i="13"/>
  <c r="M4" i="13"/>
  <c r="M4" i="12"/>
  <c r="M4" i="10"/>
  <c r="M23" i="11"/>
  <c r="M37" i="12"/>
  <c r="M4" i="11"/>
  <c r="M16" i="10"/>
  <c r="M4" i="15"/>
  <c r="M50" i="12"/>
  <c r="M32" i="12"/>
  <c r="M306" i="6"/>
  <c r="M10" i="9"/>
  <c r="M325" i="6"/>
  <c r="M326" i="6" s="1"/>
  <c r="M340" i="6"/>
  <c r="M341" i="6" s="1"/>
  <c r="M290" i="6"/>
  <c r="M291" i="6" s="1"/>
  <c r="M35" i="9"/>
  <c r="M253" i="6"/>
  <c r="M60" i="12"/>
  <c r="M4" i="8"/>
  <c r="M314" i="6"/>
  <c r="M126" i="6"/>
  <c r="M100" i="6"/>
  <c r="M295" i="6"/>
  <c r="M296" i="6" s="1"/>
  <c r="M106" i="6"/>
  <c r="M4" i="9"/>
  <c r="M60" i="6"/>
  <c r="M18" i="12"/>
  <c r="M330" i="6"/>
  <c r="M331" i="6" s="1"/>
  <c r="M66" i="6"/>
  <c r="M4" i="7"/>
  <c r="M345" i="6"/>
  <c r="M346" i="6" s="1"/>
  <c r="M73" i="6"/>
  <c r="M269" i="6"/>
  <c r="M140" i="6"/>
  <c r="M86" i="6"/>
  <c r="M93" i="6"/>
  <c r="M33" i="6"/>
  <c r="M11" i="6"/>
  <c r="M12" i="6" s="1"/>
  <c r="M182" i="6"/>
  <c r="M40" i="6"/>
  <c r="N28" i="6"/>
  <c r="M80" i="6"/>
  <c r="M46" i="6"/>
  <c r="M4" i="4"/>
  <c r="M53" i="6"/>
  <c r="M23" i="6"/>
  <c r="M24" i="6" s="1"/>
  <c r="M196" i="6"/>
  <c r="M4" i="6"/>
  <c r="M32" i="10"/>
  <c r="J270" i="6"/>
  <c r="J271" i="6" s="1"/>
  <c r="J183" i="6"/>
  <c r="J184" i="6" s="1"/>
  <c r="J46" i="17"/>
  <c r="J47" i="17" s="1"/>
  <c r="J42" i="17"/>
  <c r="J33" i="17"/>
  <c r="L13" i="37"/>
  <c r="L52" i="12"/>
  <c r="L40" i="12"/>
  <c r="J21" i="17"/>
  <c r="D45" i="47"/>
  <c r="D21" i="47"/>
  <c r="J45" i="16"/>
  <c r="J46" i="16" s="1"/>
  <c r="J32" i="16"/>
  <c r="J41" i="16"/>
  <c r="L9" i="37"/>
  <c r="L39" i="10"/>
  <c r="L17" i="12"/>
  <c r="L19" i="10"/>
  <c r="J25" i="12"/>
  <c r="J16" i="37"/>
  <c r="J62" i="12"/>
  <c r="J64" i="12" s="1"/>
  <c r="J53" i="12"/>
  <c r="J56" i="12" s="1"/>
  <c r="J14" i="18"/>
  <c r="J29" i="18"/>
  <c r="E47" i="47"/>
  <c r="L53" i="20"/>
  <c r="L54" i="20" s="1"/>
  <c r="L58" i="20" s="1"/>
  <c r="L59" i="20"/>
  <c r="L236" i="6"/>
  <c r="L284" i="6"/>
  <c r="L285" i="6" s="1"/>
  <c r="L277" i="6"/>
  <c r="L244" i="6"/>
  <c r="L228" i="6"/>
  <c r="L177" i="6"/>
  <c r="L18" i="6"/>
  <c r="L19" i="6" s="1"/>
  <c r="L121" i="6"/>
  <c r="L14" i="17"/>
  <c r="L29" i="17"/>
  <c r="J21" i="18"/>
  <c r="K2" i="40"/>
  <c r="K2" i="37"/>
  <c r="K2" i="34"/>
  <c r="K2" i="31"/>
  <c r="K2" i="28"/>
  <c r="E2" i="47" s="1"/>
  <c r="K2" i="21"/>
  <c r="K2" i="22"/>
  <c r="K60" i="20"/>
  <c r="K61" i="20" s="1"/>
  <c r="K2" i="20"/>
  <c r="K2" i="19"/>
  <c r="K2" i="18"/>
  <c r="K2" i="17"/>
  <c r="K2" i="16"/>
  <c r="K2" i="13"/>
  <c r="K2" i="15"/>
  <c r="K2" i="14"/>
  <c r="K2" i="12"/>
  <c r="K2" i="10"/>
  <c r="K2" i="8"/>
  <c r="K313" i="6"/>
  <c r="K315" i="6" s="1"/>
  <c r="K307" i="6"/>
  <c r="L308" i="6" s="1"/>
  <c r="K235" i="6"/>
  <c r="K237" i="6" s="1"/>
  <c r="K20" i="16" s="1"/>
  <c r="K2" i="11"/>
  <c r="K203" i="6"/>
  <c r="K176" i="6"/>
  <c r="K178" i="6" s="1"/>
  <c r="K183" i="6" s="1"/>
  <c r="K184" i="6" s="1"/>
  <c r="K188" i="6" s="1"/>
  <c r="K2" i="9"/>
  <c r="K243" i="6"/>
  <c r="K245" i="6" s="1"/>
  <c r="K21" i="18" s="1"/>
  <c r="K170" i="6"/>
  <c r="K171" i="6" s="1"/>
  <c r="K120" i="6"/>
  <c r="K122" i="6" s="1"/>
  <c r="K127" i="6" s="1"/>
  <c r="K128" i="6" s="1"/>
  <c r="K132" i="6" s="1"/>
  <c r="K2" i="7"/>
  <c r="K114" i="6"/>
  <c r="K115" i="6" s="1"/>
  <c r="K92" i="6"/>
  <c r="K276" i="6"/>
  <c r="K278" i="6" s="1"/>
  <c r="K270" i="6" s="1"/>
  <c r="K271" i="6" s="1"/>
  <c r="K264" i="6" s="1"/>
  <c r="K227" i="6"/>
  <c r="K229" i="6" s="1"/>
  <c r="K21" i="17" s="1"/>
  <c r="K147" i="6"/>
  <c r="K2" i="6"/>
  <c r="K72" i="6"/>
  <c r="K32" i="6"/>
  <c r="K2" i="4"/>
  <c r="K52" i="6"/>
  <c r="J3" i="41" l="1"/>
  <c r="J3" i="38"/>
  <c r="J3" i="32"/>
  <c r="J3" i="35"/>
  <c r="J3" i="29"/>
  <c r="J75" i="6"/>
  <c r="K67" i="20"/>
  <c r="L2" i="40"/>
  <c r="L2" i="37"/>
  <c r="L2" i="34"/>
  <c r="L2" i="31"/>
  <c r="L2" i="28"/>
  <c r="F2" i="47" s="1"/>
  <c r="L2" i="21"/>
  <c r="L2" i="22"/>
  <c r="L60" i="20"/>
  <c r="L61" i="20" s="1"/>
  <c r="L2" i="20"/>
  <c r="L2" i="18"/>
  <c r="L2" i="19"/>
  <c r="L2" i="17"/>
  <c r="L2" i="15"/>
  <c r="L2" i="16"/>
  <c r="L2" i="14"/>
  <c r="L2" i="12"/>
  <c r="L2" i="10"/>
  <c r="L2" i="11"/>
  <c r="L2" i="13"/>
  <c r="L313" i="6"/>
  <c r="L315" i="6" s="1"/>
  <c r="L307" i="6"/>
  <c r="L235" i="6"/>
  <c r="L237" i="6" s="1"/>
  <c r="L20" i="16" s="1"/>
  <c r="L276" i="6"/>
  <c r="L278" i="6" s="1"/>
  <c r="L270" i="6" s="1"/>
  <c r="L271" i="6" s="1"/>
  <c r="L264" i="6" s="1"/>
  <c r="L2" i="9"/>
  <c r="L2" i="7"/>
  <c r="L227" i="6"/>
  <c r="L229" i="6" s="1"/>
  <c r="L21" i="17" s="1"/>
  <c r="L203" i="6"/>
  <c r="L243" i="6"/>
  <c r="L245" i="6" s="1"/>
  <c r="L170" i="6"/>
  <c r="L171" i="6" s="1"/>
  <c r="L120" i="6"/>
  <c r="L122" i="6" s="1"/>
  <c r="L127" i="6" s="1"/>
  <c r="L128" i="6" s="1"/>
  <c r="L132" i="6" s="1"/>
  <c r="L114" i="6"/>
  <c r="L115" i="6" s="1"/>
  <c r="L92" i="6"/>
  <c r="L2" i="8"/>
  <c r="L72" i="6"/>
  <c r="L176" i="6"/>
  <c r="L178" i="6" s="1"/>
  <c r="L183" i="6" s="1"/>
  <c r="L184" i="6" s="1"/>
  <c r="L188" i="6" s="1"/>
  <c r="L2" i="6"/>
  <c r="L32" i="6"/>
  <c r="L147" i="6"/>
  <c r="L2" i="4"/>
  <c r="L52" i="6"/>
  <c r="J16" i="28"/>
  <c r="D12" i="47" s="1"/>
  <c r="M107" i="6"/>
  <c r="M94" i="6"/>
  <c r="M101" i="6"/>
  <c r="M41" i="6"/>
  <c r="M47" i="6"/>
  <c r="M34" i="6"/>
  <c r="J35" i="18"/>
  <c r="K162" i="6"/>
  <c r="K141" i="6"/>
  <c r="J48" i="17"/>
  <c r="J34" i="17"/>
  <c r="M3" i="40"/>
  <c r="M3" i="37"/>
  <c r="M3" i="34"/>
  <c r="M3" i="31"/>
  <c r="M3" i="28"/>
  <c r="M3" i="21"/>
  <c r="M3" i="22"/>
  <c r="M3" i="19"/>
  <c r="M3" i="20"/>
  <c r="M3" i="18"/>
  <c r="M3" i="17"/>
  <c r="M3" i="16"/>
  <c r="M3" i="13"/>
  <c r="M3" i="15"/>
  <c r="M3" i="14"/>
  <c r="M3" i="12"/>
  <c r="M3" i="10"/>
  <c r="M3" i="9"/>
  <c r="M3" i="7"/>
  <c r="M3" i="8"/>
  <c r="M3" i="11"/>
  <c r="M99" i="6"/>
  <c r="M79" i="6"/>
  <c r="M39" i="6"/>
  <c r="M3" i="6"/>
  <c r="M3" i="4"/>
  <c r="M59" i="6"/>
  <c r="M53" i="20"/>
  <c r="M54" i="20" s="1"/>
  <c r="M58" i="20" s="1"/>
  <c r="M59" i="20"/>
  <c r="M284" i="6"/>
  <c r="M285" i="6" s="1"/>
  <c r="M277" i="6"/>
  <c r="M244" i="6"/>
  <c r="M236" i="6"/>
  <c r="M228" i="6"/>
  <c r="M121" i="6"/>
  <c r="M18" i="6"/>
  <c r="M19" i="6" s="1"/>
  <c r="M177" i="6"/>
  <c r="J48" i="18"/>
  <c r="J34" i="18"/>
  <c r="J18" i="28"/>
  <c r="D14" i="47" s="1"/>
  <c r="J17" i="28"/>
  <c r="D13" i="47" s="1"/>
  <c r="J188" i="6"/>
  <c r="K218" i="6"/>
  <c r="K197" i="6"/>
  <c r="K61" i="6"/>
  <c r="K67" i="6"/>
  <c r="K54" i="6"/>
  <c r="L18" i="34"/>
  <c r="F57" i="47" s="1"/>
  <c r="J264" i="6"/>
  <c r="M74" i="6"/>
  <c r="M81" i="6"/>
  <c r="M87" i="6"/>
  <c r="M14" i="17"/>
  <c r="M29" i="17"/>
  <c r="L18" i="37"/>
  <c r="G30" i="51" s="1"/>
  <c r="L28" i="13"/>
  <c r="L20" i="13"/>
  <c r="L55" i="12"/>
  <c r="E45" i="47"/>
  <c r="E21" i="47"/>
  <c r="J15" i="37"/>
  <c r="E28" i="51" s="1"/>
  <c r="K51" i="12"/>
  <c r="M14" i="37"/>
  <c r="M67" i="12"/>
  <c r="M68" i="12" s="1"/>
  <c r="M63" i="12"/>
  <c r="M54" i="12"/>
  <c r="M308" i="6"/>
  <c r="J77" i="20"/>
  <c r="J69" i="20"/>
  <c r="J17" i="37"/>
  <c r="E29" i="51" s="1"/>
  <c r="K61" i="12"/>
  <c r="J17" i="11"/>
  <c r="J18" i="11" s="1"/>
  <c r="J47" i="16"/>
  <c r="J33" i="16"/>
  <c r="J34" i="16" s="1"/>
  <c r="M13" i="37"/>
  <c r="M52" i="12"/>
  <c r="M40" i="12"/>
  <c r="K26" i="31"/>
  <c r="E41" i="47" s="1"/>
  <c r="L11" i="21"/>
  <c r="L13" i="21" s="1"/>
  <c r="K29" i="9"/>
  <c r="J27" i="13"/>
  <c r="J29" i="13" s="1"/>
  <c r="J12" i="13"/>
  <c r="J21" i="19"/>
  <c r="J21" i="15"/>
  <c r="L22" i="15" s="1"/>
  <c r="J43" i="15"/>
  <c r="J45" i="15" s="1"/>
  <c r="J22" i="34"/>
  <c r="D61" i="47" s="1"/>
  <c r="J35" i="17"/>
  <c r="M9" i="37"/>
  <c r="M17" i="12"/>
  <c r="M39" i="10"/>
  <c r="M19" i="10"/>
  <c r="N4" i="40"/>
  <c r="N4" i="37"/>
  <c r="N4" i="34"/>
  <c r="N4" i="31"/>
  <c r="N4" i="22"/>
  <c r="N10" i="21"/>
  <c r="N4" i="28"/>
  <c r="N74" i="20"/>
  <c r="N32" i="20"/>
  <c r="N4" i="21"/>
  <c r="N28" i="19"/>
  <c r="N4" i="19"/>
  <c r="N4" i="20"/>
  <c r="N10" i="18"/>
  <c r="N4" i="18"/>
  <c r="N10" i="17"/>
  <c r="N28" i="17"/>
  <c r="N10" i="16"/>
  <c r="N27" i="15"/>
  <c r="N17" i="13"/>
  <c r="N4" i="17"/>
  <c r="N4" i="16"/>
  <c r="N4" i="14"/>
  <c r="N25" i="13"/>
  <c r="N4" i="15"/>
  <c r="N4" i="13"/>
  <c r="N35" i="9"/>
  <c r="N23" i="11"/>
  <c r="N37" i="12"/>
  <c r="N4" i="11"/>
  <c r="N16" i="10"/>
  <c r="N40" i="15"/>
  <c r="N60" i="12"/>
  <c r="N18" i="12"/>
  <c r="N32" i="12"/>
  <c r="N4" i="10"/>
  <c r="N10" i="9"/>
  <c r="N325" i="6"/>
  <c r="N326" i="6" s="1"/>
  <c r="N340" i="6"/>
  <c r="N341" i="6" s="1"/>
  <c r="N290" i="6"/>
  <c r="N291" i="6" s="1"/>
  <c r="N253" i="6"/>
  <c r="N330" i="6"/>
  <c r="N331" i="6" s="1"/>
  <c r="N269" i="6"/>
  <c r="N50" i="12"/>
  <c r="N4" i="9"/>
  <c r="N295" i="6"/>
  <c r="N296" i="6" s="1"/>
  <c r="N106" i="6"/>
  <c r="N306" i="6"/>
  <c r="N66" i="6"/>
  <c r="N4" i="7"/>
  <c r="N345" i="6"/>
  <c r="N346" i="6" s="1"/>
  <c r="N73" i="6"/>
  <c r="N196" i="6"/>
  <c r="N80" i="6"/>
  <c r="N4" i="12"/>
  <c r="N314" i="6"/>
  <c r="N182" i="6"/>
  <c r="N93" i="6"/>
  <c r="N40" i="6"/>
  <c r="O28" i="6"/>
  <c r="N86" i="6"/>
  <c r="N46" i="6"/>
  <c r="N4" i="4"/>
  <c r="N53" i="6"/>
  <c r="N23" i="6"/>
  <c r="N24" i="6" s="1"/>
  <c r="N126" i="6"/>
  <c r="N140" i="6"/>
  <c r="N4" i="6"/>
  <c r="N100" i="6"/>
  <c r="N60" i="6"/>
  <c r="N11" i="6"/>
  <c r="N12" i="6" s="1"/>
  <c r="N4" i="8"/>
  <c r="N33" i="6"/>
  <c r="N32" i="10"/>
  <c r="J132" i="6"/>
  <c r="J88" i="6"/>
  <c r="L67" i="20" l="1"/>
  <c r="J13" i="16"/>
  <c r="L8" i="34"/>
  <c r="L44" i="15"/>
  <c r="N47" i="6"/>
  <c r="N34" i="6"/>
  <c r="N41" i="6"/>
  <c r="J25" i="34"/>
  <c r="D64" i="47" s="1"/>
  <c r="J24" i="34"/>
  <c r="D63" i="47" s="1"/>
  <c r="J11" i="34"/>
  <c r="D50" i="47" s="1"/>
  <c r="J10" i="31"/>
  <c r="D25" i="47" s="1"/>
  <c r="K41" i="15"/>
  <c r="L26" i="31"/>
  <c r="F41" i="47" s="1"/>
  <c r="M11" i="21"/>
  <c r="M13" i="21" s="1"/>
  <c r="L29" i="9"/>
  <c r="J8" i="28"/>
  <c r="E12" i="51" s="1"/>
  <c r="J19" i="16"/>
  <c r="J21" i="16" s="1"/>
  <c r="J26" i="11"/>
  <c r="J27" i="11" s="1"/>
  <c r="M2" i="40"/>
  <c r="M2" i="37"/>
  <c r="M2" i="34"/>
  <c r="M2" i="31"/>
  <c r="M2" i="28"/>
  <c r="G2" i="47" s="1"/>
  <c r="M2" i="21"/>
  <c r="M2" i="22"/>
  <c r="M60" i="20"/>
  <c r="M2" i="20"/>
  <c r="M2" i="18"/>
  <c r="M2" i="19"/>
  <c r="M2" i="17"/>
  <c r="M2" i="16"/>
  <c r="M2" i="14"/>
  <c r="M2" i="13"/>
  <c r="M2" i="12"/>
  <c r="M2" i="10"/>
  <c r="M2" i="15"/>
  <c r="M2" i="11"/>
  <c r="M235" i="6"/>
  <c r="M237" i="6" s="1"/>
  <c r="M276" i="6"/>
  <c r="M278" i="6" s="1"/>
  <c r="M243" i="6"/>
  <c r="M245" i="6" s="1"/>
  <c r="M21" i="18" s="1"/>
  <c r="M2" i="8"/>
  <c r="M2" i="9"/>
  <c r="M114" i="6"/>
  <c r="M115" i="6" s="1"/>
  <c r="M92" i="6"/>
  <c r="M2" i="7"/>
  <c r="M313" i="6"/>
  <c r="M315" i="6" s="1"/>
  <c r="M147" i="6"/>
  <c r="M176" i="6"/>
  <c r="M178" i="6" s="1"/>
  <c r="M203" i="6"/>
  <c r="M32" i="6"/>
  <c r="M120" i="6"/>
  <c r="M122" i="6" s="1"/>
  <c r="M72" i="6"/>
  <c r="M2" i="4"/>
  <c r="M52" i="6"/>
  <c r="M227" i="6"/>
  <c r="M229" i="6" s="1"/>
  <c r="M170" i="6"/>
  <c r="M171" i="6" s="1"/>
  <c r="M307" i="6"/>
  <c r="M2" i="6"/>
  <c r="M61" i="20"/>
  <c r="M67" i="20" s="1"/>
  <c r="O4" i="40"/>
  <c r="O4" i="37"/>
  <c r="O4" i="34"/>
  <c r="O4" i="31"/>
  <c r="O4" i="22"/>
  <c r="O10" i="21"/>
  <c r="O4" i="28"/>
  <c r="O74" i="20"/>
  <c r="O32" i="20"/>
  <c r="O4" i="19"/>
  <c r="O4" i="20"/>
  <c r="O4" i="21"/>
  <c r="O10" i="18"/>
  <c r="O10" i="17"/>
  <c r="O28" i="17"/>
  <c r="O10" i="16"/>
  <c r="O27" i="15"/>
  <c r="O28" i="19"/>
  <c r="O4" i="17"/>
  <c r="O4" i="16"/>
  <c r="O40" i="15"/>
  <c r="O4" i="18"/>
  <c r="O17" i="13"/>
  <c r="O4" i="14"/>
  <c r="O25" i="13"/>
  <c r="O4" i="13"/>
  <c r="O23" i="11"/>
  <c r="O37" i="12"/>
  <c r="O4" i="11"/>
  <c r="O16" i="10"/>
  <c r="O4" i="15"/>
  <c r="O60" i="12"/>
  <c r="O18" i="12"/>
  <c r="O50" i="12"/>
  <c r="O4" i="12"/>
  <c r="O4" i="10"/>
  <c r="O340" i="6"/>
  <c r="O341" i="6" s="1"/>
  <c r="O290" i="6"/>
  <c r="O291" i="6" s="1"/>
  <c r="O253" i="6"/>
  <c r="O35" i="9"/>
  <c r="O330" i="6"/>
  <c r="O331" i="6" s="1"/>
  <c r="O269" i="6"/>
  <c r="O4" i="9"/>
  <c r="O4" i="7"/>
  <c r="O345" i="6"/>
  <c r="O346" i="6" s="1"/>
  <c r="O295" i="6"/>
  <c r="O296" i="6" s="1"/>
  <c r="O4" i="8"/>
  <c r="O306" i="6"/>
  <c r="O60" i="6"/>
  <c r="O73" i="6"/>
  <c r="O196" i="6"/>
  <c r="O80" i="6"/>
  <c r="O10" i="9"/>
  <c r="O140" i="6"/>
  <c r="O86" i="6"/>
  <c r="O325" i="6"/>
  <c r="O326" i="6" s="1"/>
  <c r="O126" i="6"/>
  <c r="O100" i="6"/>
  <c r="O182" i="6"/>
  <c r="O46" i="6"/>
  <c r="O4" i="4"/>
  <c r="O106" i="6"/>
  <c r="O53" i="6"/>
  <c r="O23" i="6"/>
  <c r="O24" i="6" s="1"/>
  <c r="O66" i="6"/>
  <c r="O32" i="12"/>
  <c r="O33" i="6"/>
  <c r="O11" i="6"/>
  <c r="O12" i="6" s="1"/>
  <c r="O40" i="6"/>
  <c r="P28" i="6"/>
  <c r="O4" i="6"/>
  <c r="O314" i="6"/>
  <c r="O93" i="6"/>
  <c r="O32" i="10"/>
  <c r="J13" i="17"/>
  <c r="K24" i="10"/>
  <c r="K26" i="10" s="1"/>
  <c r="N101" i="6"/>
  <c r="N94" i="6"/>
  <c r="N107" i="6"/>
  <c r="M18" i="37"/>
  <c r="H30" i="51" s="1"/>
  <c r="M20" i="13"/>
  <c r="M28" i="13"/>
  <c r="M55" i="12"/>
  <c r="J23" i="34"/>
  <c r="D62" i="47" s="1"/>
  <c r="J13" i="18"/>
  <c r="N9" i="37"/>
  <c r="N17" i="12"/>
  <c r="N19" i="10"/>
  <c r="N39" i="10"/>
  <c r="N74" i="6"/>
  <c r="N81" i="6"/>
  <c r="N87" i="6"/>
  <c r="N14" i="37"/>
  <c r="N67" i="12"/>
  <c r="N68" i="12" s="1"/>
  <c r="N63" i="12"/>
  <c r="N54" i="12"/>
  <c r="M18" i="34"/>
  <c r="G57" i="47" s="1"/>
  <c r="L162" i="6"/>
  <c r="L141" i="6"/>
  <c r="N13" i="37"/>
  <c r="N52" i="12"/>
  <c r="N40" i="12"/>
  <c r="J4" i="41"/>
  <c r="J4" i="38"/>
  <c r="J4" i="35"/>
  <c r="J4" i="32"/>
  <c r="J4" i="29"/>
  <c r="N3" i="40"/>
  <c r="N3" i="37"/>
  <c r="N3" i="34"/>
  <c r="N3" i="31"/>
  <c r="N3" i="28"/>
  <c r="N3" i="21"/>
  <c r="N3" i="22"/>
  <c r="N3" i="20"/>
  <c r="N3" i="18"/>
  <c r="N3" i="19"/>
  <c r="N3" i="17"/>
  <c r="N3" i="16"/>
  <c r="N3" i="15"/>
  <c r="N3" i="14"/>
  <c r="N3" i="12"/>
  <c r="N3" i="10"/>
  <c r="N3" i="11"/>
  <c r="N3" i="9"/>
  <c r="N3" i="7"/>
  <c r="N3" i="8"/>
  <c r="N3" i="13"/>
  <c r="N99" i="6"/>
  <c r="N39" i="6"/>
  <c r="N3" i="6"/>
  <c r="N59" i="6"/>
  <c r="N79" i="6"/>
  <c r="N3" i="4"/>
  <c r="N308" i="6"/>
  <c r="N29" i="17"/>
  <c r="N18" i="34" s="1"/>
  <c r="H57" i="47" s="1"/>
  <c r="N14" i="17"/>
  <c r="J13" i="28"/>
  <c r="D9" i="47" s="1"/>
  <c r="L218" i="6"/>
  <c r="L197" i="6"/>
  <c r="F21" i="47"/>
  <c r="F45" i="47"/>
  <c r="N53" i="20"/>
  <c r="N54" i="20" s="1"/>
  <c r="N58" i="20" s="1"/>
  <c r="N59" i="20"/>
  <c r="N277" i="6"/>
  <c r="N244" i="6"/>
  <c r="N228" i="6"/>
  <c r="N236" i="6"/>
  <c r="N177" i="6"/>
  <c r="N284" i="6"/>
  <c r="N285" i="6" s="1"/>
  <c r="N121" i="6"/>
  <c r="N18" i="6"/>
  <c r="N19" i="6" s="1"/>
  <c r="K26" i="13"/>
  <c r="J30" i="13"/>
  <c r="J9" i="31" s="1"/>
  <c r="D24" i="47" s="1"/>
  <c r="L21" i="18"/>
  <c r="L61" i="6"/>
  <c r="L67" i="6"/>
  <c r="L54" i="6"/>
  <c r="J2" i="41"/>
  <c r="J2" i="38"/>
  <c r="J2" i="35"/>
  <c r="J2" i="29"/>
  <c r="J2" i="32"/>
  <c r="M21" i="17" l="1"/>
  <c r="M270" i="6"/>
  <c r="M271" i="6" s="1"/>
  <c r="G45" i="47"/>
  <c r="G21" i="47"/>
  <c r="N2" i="40"/>
  <c r="N2" i="37"/>
  <c r="N2" i="34"/>
  <c r="N2" i="31"/>
  <c r="N2" i="28"/>
  <c r="H2" i="47" s="1"/>
  <c r="N2" i="22"/>
  <c r="N60" i="20"/>
  <c r="N2" i="21"/>
  <c r="N2" i="19"/>
  <c r="N2" i="20"/>
  <c r="N2" i="18"/>
  <c r="N2" i="17"/>
  <c r="N2" i="16"/>
  <c r="N2" i="14"/>
  <c r="N2" i="15"/>
  <c r="N2" i="11"/>
  <c r="N2" i="13"/>
  <c r="N276" i="6"/>
  <c r="N278" i="6" s="1"/>
  <c r="N270" i="6" s="1"/>
  <c r="N271" i="6" s="1"/>
  <c r="N264" i="6" s="1"/>
  <c r="N243" i="6"/>
  <c r="N245" i="6" s="1"/>
  <c r="N2" i="12"/>
  <c r="N2" i="9"/>
  <c r="N2" i="10"/>
  <c r="N313" i="6"/>
  <c r="N315" i="6" s="1"/>
  <c r="N307" i="6"/>
  <c r="O308" i="6" s="1"/>
  <c r="N2" i="7"/>
  <c r="N235" i="6"/>
  <c r="N237" i="6" s="1"/>
  <c r="N20" i="16" s="1"/>
  <c r="N2" i="8"/>
  <c r="N147" i="6"/>
  <c r="N227" i="6"/>
  <c r="N229" i="6" s="1"/>
  <c r="N21" i="17" s="1"/>
  <c r="N72" i="6"/>
  <c r="N203" i="6"/>
  <c r="N170" i="6"/>
  <c r="N171" i="6" s="1"/>
  <c r="N120" i="6"/>
  <c r="N122" i="6" s="1"/>
  <c r="N127" i="6" s="1"/>
  <c r="N128" i="6" s="1"/>
  <c r="N132" i="6" s="1"/>
  <c r="N114" i="6"/>
  <c r="N115" i="6" s="1"/>
  <c r="N32" i="6"/>
  <c r="N2" i="4"/>
  <c r="N92" i="6"/>
  <c r="N52" i="6"/>
  <c r="N2" i="6"/>
  <c r="N176" i="6"/>
  <c r="N178" i="6" s="1"/>
  <c r="N183" i="6" s="1"/>
  <c r="N184" i="6" s="1"/>
  <c r="N188" i="6" s="1"/>
  <c r="N61" i="20"/>
  <c r="N67" i="20" s="1"/>
  <c r="O14" i="17"/>
  <c r="O29" i="17"/>
  <c r="O18" i="34" s="1"/>
  <c r="I57" i="47" s="1"/>
  <c r="P4" i="40"/>
  <c r="P4" i="37"/>
  <c r="P4" i="34"/>
  <c r="P4" i="31"/>
  <c r="P4" i="28"/>
  <c r="P4" i="22"/>
  <c r="P10" i="21"/>
  <c r="P74" i="20"/>
  <c r="P4" i="21"/>
  <c r="P32" i="20"/>
  <c r="P4" i="19"/>
  <c r="P28" i="19"/>
  <c r="P4" i="20"/>
  <c r="P10" i="18"/>
  <c r="P4" i="17"/>
  <c r="P4" i="18"/>
  <c r="P4" i="16"/>
  <c r="P10" i="17"/>
  <c r="P4" i="14"/>
  <c r="P25" i="13"/>
  <c r="P27" i="15"/>
  <c r="P4" i="13"/>
  <c r="P10" i="16"/>
  <c r="P40" i="15"/>
  <c r="P4" i="15"/>
  <c r="P37" i="12"/>
  <c r="P4" i="11"/>
  <c r="P16" i="10"/>
  <c r="P60" i="12"/>
  <c r="P18" i="12"/>
  <c r="P50" i="12"/>
  <c r="P17" i="13"/>
  <c r="P35" i="9"/>
  <c r="P253" i="6"/>
  <c r="P23" i="11"/>
  <c r="P330" i="6"/>
  <c r="P331" i="6" s="1"/>
  <c r="P269" i="6"/>
  <c r="P4" i="9"/>
  <c r="P4" i="7"/>
  <c r="P345" i="6"/>
  <c r="P346" i="6" s="1"/>
  <c r="P295" i="6"/>
  <c r="P296" i="6" s="1"/>
  <c r="P4" i="8"/>
  <c r="P314" i="6"/>
  <c r="P4" i="12"/>
  <c r="P10" i="9"/>
  <c r="P325" i="6"/>
  <c r="P326" i="6" s="1"/>
  <c r="P306" i="6"/>
  <c r="P66" i="6"/>
  <c r="P73" i="6"/>
  <c r="P4" i="10"/>
  <c r="P290" i="6"/>
  <c r="P291" i="6" s="1"/>
  <c r="P196" i="6"/>
  <c r="P80" i="6"/>
  <c r="P140" i="6"/>
  <c r="P86" i="6"/>
  <c r="P182" i="6"/>
  <c r="P93" i="6"/>
  <c r="P106" i="6"/>
  <c r="P53" i="6"/>
  <c r="P23" i="6"/>
  <c r="P24" i="6" s="1"/>
  <c r="P126" i="6"/>
  <c r="P340" i="6"/>
  <c r="P341" i="6" s="1"/>
  <c r="P4" i="6"/>
  <c r="P100" i="6"/>
  <c r="P60" i="6"/>
  <c r="P40" i="6"/>
  <c r="Q28" i="6"/>
  <c r="P11" i="6"/>
  <c r="P12" i="6" s="1"/>
  <c r="P46" i="6"/>
  <c r="P33" i="6"/>
  <c r="P4" i="4"/>
  <c r="P32" i="10"/>
  <c r="O41" i="6"/>
  <c r="O47" i="6"/>
  <c r="O34" i="6"/>
  <c r="N18" i="37"/>
  <c r="I30" i="51" s="1"/>
  <c r="N20" i="13"/>
  <c r="N28" i="13"/>
  <c r="N55" i="12"/>
  <c r="O59" i="20"/>
  <c r="O53" i="20"/>
  <c r="O54" i="20" s="1"/>
  <c r="O58" i="20" s="1"/>
  <c r="O244" i="6"/>
  <c r="O228" i="6"/>
  <c r="O284" i="6"/>
  <c r="O285" i="6" s="1"/>
  <c r="O277" i="6"/>
  <c r="O177" i="6"/>
  <c r="O121" i="6"/>
  <c r="O18" i="6"/>
  <c r="O19" i="6" s="1"/>
  <c r="O236" i="6"/>
  <c r="O9" i="37"/>
  <c r="O17" i="12"/>
  <c r="O19" i="10"/>
  <c r="O39" i="10"/>
  <c r="O13" i="37"/>
  <c r="O40" i="12"/>
  <c r="O52" i="12"/>
  <c r="M127" i="6"/>
  <c r="M128" i="6" s="1"/>
  <c r="M162" i="6"/>
  <c r="M141" i="6"/>
  <c r="J14" i="31"/>
  <c r="K24" i="11"/>
  <c r="M26" i="31"/>
  <c r="G41" i="47" s="1"/>
  <c r="N11" i="21"/>
  <c r="N13" i="21" s="1"/>
  <c r="M29" i="9"/>
  <c r="F47" i="47"/>
  <c r="O74" i="6"/>
  <c r="O81" i="6"/>
  <c r="O87" i="6"/>
  <c r="O14" i="37"/>
  <c r="O67" i="12"/>
  <c r="O68" i="12" s="1"/>
  <c r="O63" i="12"/>
  <c r="O54" i="12"/>
  <c r="O3" i="40"/>
  <c r="O3" i="37"/>
  <c r="O3" i="34"/>
  <c r="O3" i="31"/>
  <c r="O3" i="28"/>
  <c r="O3" i="21"/>
  <c r="O3" i="22"/>
  <c r="O3" i="20"/>
  <c r="O3" i="19"/>
  <c r="O3" i="18"/>
  <c r="O3" i="17"/>
  <c r="O3" i="16"/>
  <c r="O3" i="13"/>
  <c r="O3" i="15"/>
  <c r="O3" i="14"/>
  <c r="O3" i="12"/>
  <c r="O3" i="10"/>
  <c r="O3" i="8"/>
  <c r="O3" i="11"/>
  <c r="O3" i="9"/>
  <c r="O3" i="7"/>
  <c r="O79" i="6"/>
  <c r="O39" i="6"/>
  <c r="O3" i="6"/>
  <c r="O99" i="6"/>
  <c r="O59" i="6"/>
  <c r="O3" i="4"/>
  <c r="J19" i="34"/>
  <c r="D58" i="47" s="1"/>
  <c r="J26" i="16"/>
  <c r="L27" i="16" s="1"/>
  <c r="J12" i="16"/>
  <c r="J15" i="16" s="1"/>
  <c r="M218" i="6"/>
  <c r="M197" i="6"/>
  <c r="M183" i="6"/>
  <c r="M184" i="6" s="1"/>
  <c r="D4" i="47"/>
  <c r="K44" i="12"/>
  <c r="K45" i="12" s="1"/>
  <c r="K11" i="11"/>
  <c r="K12" i="11" s="1"/>
  <c r="K20" i="10"/>
  <c r="O94" i="6"/>
  <c r="O107" i="6"/>
  <c r="O101" i="6"/>
  <c r="M67" i="6"/>
  <c r="M54" i="6"/>
  <c r="M61" i="6"/>
  <c r="M20" i="16"/>
  <c r="L28" i="16" l="1"/>
  <c r="L14" i="16"/>
  <c r="N61" i="6"/>
  <c r="N67" i="6"/>
  <c r="N54" i="6"/>
  <c r="N218" i="6"/>
  <c r="N197" i="6"/>
  <c r="O18" i="37"/>
  <c r="J30" i="51" s="1"/>
  <c r="O20" i="13"/>
  <c r="O28" i="13"/>
  <c r="O55" i="12"/>
  <c r="D29" i="47"/>
  <c r="P14" i="37"/>
  <c r="P63" i="12"/>
  <c r="P54" i="12"/>
  <c r="P67" i="12"/>
  <c r="P68" i="12" s="1"/>
  <c r="H45" i="47"/>
  <c r="H21" i="47"/>
  <c r="M264" i="6"/>
  <c r="P9" i="37"/>
  <c r="P19" i="10"/>
  <c r="P39" i="10"/>
  <c r="P17" i="12"/>
  <c r="P59" i="20"/>
  <c r="P53" i="20"/>
  <c r="P54" i="20" s="1"/>
  <c r="P58" i="20" s="1"/>
  <c r="P228" i="6"/>
  <c r="P277" i="6"/>
  <c r="P177" i="6"/>
  <c r="P244" i="6"/>
  <c r="P121" i="6"/>
  <c r="P236" i="6"/>
  <c r="P284" i="6"/>
  <c r="P285" i="6" s="1"/>
  <c r="P18" i="6"/>
  <c r="P19" i="6" s="1"/>
  <c r="P3" i="40"/>
  <c r="P3" i="37"/>
  <c r="P3" i="34"/>
  <c r="P3" i="31"/>
  <c r="P3" i="28"/>
  <c r="P3" i="21"/>
  <c r="P3" i="22"/>
  <c r="P3" i="20"/>
  <c r="P3" i="18"/>
  <c r="P3" i="19"/>
  <c r="P3" i="17"/>
  <c r="P3" i="15"/>
  <c r="P3" i="16"/>
  <c r="P3" i="14"/>
  <c r="P3" i="12"/>
  <c r="P3" i="10"/>
  <c r="P3" i="11"/>
  <c r="P3" i="13"/>
  <c r="P3" i="9"/>
  <c r="P3" i="7"/>
  <c r="P79" i="6"/>
  <c r="P3" i="8"/>
  <c r="P99" i="6"/>
  <c r="P3" i="6"/>
  <c r="P59" i="6"/>
  <c r="P3" i="4"/>
  <c r="P39" i="6"/>
  <c r="P74" i="6"/>
  <c r="P81" i="6"/>
  <c r="P87" i="6"/>
  <c r="K16" i="37"/>
  <c r="K62" i="12"/>
  <c r="K64" i="12" s="1"/>
  <c r="K53" i="12"/>
  <c r="K56" i="12" s="1"/>
  <c r="J17" i="31"/>
  <c r="K11" i="16"/>
  <c r="P94" i="6"/>
  <c r="P101" i="6"/>
  <c r="P107" i="6"/>
  <c r="M188" i="6"/>
  <c r="O2" i="40"/>
  <c r="O2" i="37"/>
  <c r="O2" i="34"/>
  <c r="O2" i="31"/>
  <c r="O2" i="28"/>
  <c r="I2" i="47" s="1"/>
  <c r="O2" i="22"/>
  <c r="O60" i="20"/>
  <c r="O61" i="20" s="1"/>
  <c r="O2" i="21"/>
  <c r="O2" i="19"/>
  <c r="O2" i="20"/>
  <c r="O2" i="18"/>
  <c r="O2" i="17"/>
  <c r="O2" i="16"/>
  <c r="O2" i="14"/>
  <c r="O2" i="13"/>
  <c r="O2" i="15"/>
  <c r="O2" i="11"/>
  <c r="O2" i="12"/>
  <c r="O2" i="10"/>
  <c r="O276" i="6"/>
  <c r="O278" i="6" s="1"/>
  <c r="O243" i="6"/>
  <c r="O245" i="6" s="1"/>
  <c r="O21" i="18" s="1"/>
  <c r="O2" i="9"/>
  <c r="O2" i="7"/>
  <c r="O227" i="6"/>
  <c r="O229" i="6" s="1"/>
  <c r="O21" i="17" s="1"/>
  <c r="O203" i="6"/>
  <c r="O2" i="8"/>
  <c r="O235" i="6"/>
  <c r="O237" i="6" s="1"/>
  <c r="O313" i="6"/>
  <c r="O315" i="6" s="1"/>
  <c r="O147" i="6"/>
  <c r="O72" i="6"/>
  <c r="O176" i="6"/>
  <c r="O178" i="6" s="1"/>
  <c r="O183" i="6" s="1"/>
  <c r="O184" i="6" s="1"/>
  <c r="O188" i="6" s="1"/>
  <c r="O307" i="6"/>
  <c r="P308" i="6" s="1"/>
  <c r="O114" i="6"/>
  <c r="O115" i="6" s="1"/>
  <c r="O92" i="6"/>
  <c r="O2" i="4"/>
  <c r="O120" i="6"/>
  <c r="O122" i="6" s="1"/>
  <c r="O52" i="6"/>
  <c r="O2" i="6"/>
  <c r="O170" i="6"/>
  <c r="O171" i="6" s="1"/>
  <c r="O32" i="6"/>
  <c r="Q4" i="40"/>
  <c r="Q4" i="37"/>
  <c r="Q4" i="34"/>
  <c r="Q4" i="31"/>
  <c r="Q4" i="28"/>
  <c r="Q10" i="21"/>
  <c r="Q74" i="20"/>
  <c r="Q4" i="21"/>
  <c r="Q4" i="22"/>
  <c r="Q4" i="19"/>
  <c r="Q32" i="20"/>
  <c r="Q4" i="20"/>
  <c r="Q10" i="18"/>
  <c r="Q28" i="19"/>
  <c r="Q4" i="18"/>
  <c r="Q4" i="17"/>
  <c r="Q10" i="17"/>
  <c r="Q4" i="16"/>
  <c r="Q40" i="15"/>
  <c r="Q10" i="16"/>
  <c r="Q27" i="15"/>
  <c r="Q4" i="13"/>
  <c r="Q4" i="15"/>
  <c r="Q17" i="13"/>
  <c r="Q60" i="12"/>
  <c r="Q18" i="12"/>
  <c r="Q4" i="14"/>
  <c r="Q50" i="12"/>
  <c r="Q4" i="12"/>
  <c r="Q4" i="10"/>
  <c r="Q23" i="11"/>
  <c r="Q37" i="12"/>
  <c r="Q330" i="6"/>
  <c r="Q331" i="6" s="1"/>
  <c r="Q269" i="6"/>
  <c r="Q35" i="9"/>
  <c r="Q4" i="9"/>
  <c r="Q4" i="7"/>
  <c r="Q345" i="6"/>
  <c r="Q346" i="6" s="1"/>
  <c r="Q295" i="6"/>
  <c r="Q296" i="6" s="1"/>
  <c r="Q4" i="8"/>
  <c r="Q314" i="6"/>
  <c r="Q16" i="10"/>
  <c r="Q4" i="11"/>
  <c r="Q25" i="13"/>
  <c r="Q340" i="6"/>
  <c r="Q341" i="6" s="1"/>
  <c r="Q290" i="6"/>
  <c r="Q291" i="6" s="1"/>
  <c r="Q73" i="6"/>
  <c r="Q253" i="6"/>
  <c r="Q196" i="6"/>
  <c r="Q80" i="6"/>
  <c r="Q140" i="6"/>
  <c r="Q86" i="6"/>
  <c r="Q10" i="9"/>
  <c r="Q182" i="6"/>
  <c r="Q93" i="6"/>
  <c r="Q126" i="6"/>
  <c r="Q100" i="6"/>
  <c r="Q60" i="6"/>
  <c r="Q106" i="6"/>
  <c r="Q306" i="6"/>
  <c r="Q66" i="6"/>
  <c r="Q4" i="6"/>
  <c r="Q33" i="6"/>
  <c r="Q11" i="6"/>
  <c r="Q12" i="6" s="1"/>
  <c r="Q46" i="6"/>
  <c r="Q4" i="4"/>
  <c r="Q23" i="6"/>
  <c r="Q24" i="6" s="1"/>
  <c r="Q40" i="6"/>
  <c r="R28" i="6"/>
  <c r="Q325" i="6"/>
  <c r="Q326" i="6" s="1"/>
  <c r="Q53" i="6"/>
  <c r="Q32" i="10"/>
  <c r="N21" i="18"/>
  <c r="N141" i="6"/>
  <c r="N162" i="6"/>
  <c r="M132" i="6"/>
  <c r="K16" i="19"/>
  <c r="K17" i="19" s="1"/>
  <c r="K42" i="15"/>
  <c r="K20" i="15"/>
  <c r="K25" i="11"/>
  <c r="N26" i="31"/>
  <c r="H41" i="47" s="1"/>
  <c r="O11" i="21"/>
  <c r="O13" i="21" s="1"/>
  <c r="N29" i="9"/>
  <c r="P34" i="6"/>
  <c r="P47" i="6"/>
  <c r="P41" i="6"/>
  <c r="D32" i="47" l="1"/>
  <c r="E8" i="51"/>
  <c r="O67" i="20"/>
  <c r="Q308" i="6"/>
  <c r="I45" i="47"/>
  <c r="I21" i="47"/>
  <c r="Q3" i="40"/>
  <c r="Q3" i="37"/>
  <c r="Q3" i="34"/>
  <c r="Q3" i="31"/>
  <c r="Q3" i="28"/>
  <c r="Q3" i="21"/>
  <c r="Q3" i="22"/>
  <c r="Q3" i="20"/>
  <c r="Q3" i="18"/>
  <c r="Q3" i="19"/>
  <c r="Q3" i="17"/>
  <c r="Q3" i="16"/>
  <c r="Q3" i="14"/>
  <c r="Q3" i="13"/>
  <c r="Q3" i="12"/>
  <c r="Q3" i="10"/>
  <c r="Q3" i="15"/>
  <c r="Q3" i="11"/>
  <c r="Q3" i="8"/>
  <c r="Q3" i="9"/>
  <c r="Q3" i="7"/>
  <c r="Q79" i="6"/>
  <c r="Q99" i="6"/>
  <c r="Q59" i="6"/>
  <c r="Q3" i="4"/>
  <c r="Q39" i="6"/>
  <c r="Q3" i="6"/>
  <c r="O127" i="6"/>
  <c r="O128" i="6" s="1"/>
  <c r="O67" i="6"/>
  <c r="O54" i="6"/>
  <c r="O61" i="6"/>
  <c r="O270" i="6"/>
  <c r="O271" i="6" s="1"/>
  <c r="K15" i="37"/>
  <c r="F28" i="51" s="1"/>
  <c r="L51" i="12"/>
  <c r="O20" i="16"/>
  <c r="K17" i="37"/>
  <c r="F29" i="51" s="1"/>
  <c r="L61" i="12"/>
  <c r="K17" i="11"/>
  <c r="K18" i="11" s="1"/>
  <c r="P18" i="37"/>
  <c r="K30" i="51" s="1"/>
  <c r="P20" i="13"/>
  <c r="P28" i="13"/>
  <c r="P55" i="12"/>
  <c r="L20" i="34"/>
  <c r="F59" i="47" s="1"/>
  <c r="K39" i="16"/>
  <c r="K40" i="16" s="1"/>
  <c r="P2" i="40"/>
  <c r="P2" i="37"/>
  <c r="P2" i="34"/>
  <c r="P2" i="28"/>
  <c r="J2" i="47" s="1"/>
  <c r="P2" i="22"/>
  <c r="P60" i="20"/>
  <c r="P2" i="21"/>
  <c r="P2" i="31"/>
  <c r="P2" i="19"/>
  <c r="P2" i="20"/>
  <c r="P2" i="18"/>
  <c r="P2" i="17"/>
  <c r="P2" i="16"/>
  <c r="P2" i="14"/>
  <c r="P2" i="13"/>
  <c r="P2" i="15"/>
  <c r="P2" i="11"/>
  <c r="P243" i="6"/>
  <c r="P245" i="6" s="1"/>
  <c r="P2" i="12"/>
  <c r="P2" i="9"/>
  <c r="P2" i="7"/>
  <c r="P227" i="6"/>
  <c r="P229" i="6" s="1"/>
  <c r="P203" i="6"/>
  <c r="P2" i="8"/>
  <c r="P313" i="6"/>
  <c r="P315" i="6" s="1"/>
  <c r="P2" i="10"/>
  <c r="P235" i="6"/>
  <c r="P237" i="6" s="1"/>
  <c r="P20" i="16" s="1"/>
  <c r="P147" i="6"/>
  <c r="P72" i="6"/>
  <c r="P176" i="6"/>
  <c r="P178" i="6" s="1"/>
  <c r="P183" i="6" s="1"/>
  <c r="P184" i="6" s="1"/>
  <c r="P170" i="6"/>
  <c r="P171" i="6" s="1"/>
  <c r="P120" i="6"/>
  <c r="P122" i="6" s="1"/>
  <c r="P127" i="6" s="1"/>
  <c r="P128" i="6" s="1"/>
  <c r="P132" i="6" s="1"/>
  <c r="P52" i="6"/>
  <c r="P92" i="6"/>
  <c r="P2" i="6"/>
  <c r="P307" i="6"/>
  <c r="P32" i="6"/>
  <c r="P2" i="4"/>
  <c r="P276" i="6"/>
  <c r="P278" i="6" s="1"/>
  <c r="P270" i="6" s="1"/>
  <c r="P271" i="6" s="1"/>
  <c r="P264" i="6" s="1"/>
  <c r="P114" i="6"/>
  <c r="P115" i="6" s="1"/>
  <c r="P61" i="20"/>
  <c r="P67" i="20" s="1"/>
  <c r="R4" i="40"/>
  <c r="R4" i="37"/>
  <c r="R4" i="34"/>
  <c r="R4" i="31"/>
  <c r="R4" i="28"/>
  <c r="R74" i="20"/>
  <c r="R4" i="21"/>
  <c r="R10" i="21"/>
  <c r="R32" i="20"/>
  <c r="R4" i="20"/>
  <c r="R28" i="19"/>
  <c r="R4" i="22"/>
  <c r="R4" i="18"/>
  <c r="R4" i="19"/>
  <c r="R10" i="18"/>
  <c r="R4" i="17"/>
  <c r="R4" i="16"/>
  <c r="R40" i="15"/>
  <c r="R27" i="15"/>
  <c r="R4" i="15"/>
  <c r="R10" i="16"/>
  <c r="R10" i="17"/>
  <c r="R4" i="14"/>
  <c r="R25" i="13"/>
  <c r="R60" i="12"/>
  <c r="R18" i="12"/>
  <c r="R50" i="12"/>
  <c r="R17" i="13"/>
  <c r="R4" i="12"/>
  <c r="R4" i="10"/>
  <c r="R35" i="9"/>
  <c r="R37" i="12"/>
  <c r="R4" i="11"/>
  <c r="R16" i="10"/>
  <c r="R23" i="11"/>
  <c r="R4" i="9"/>
  <c r="R4" i="7"/>
  <c r="R345" i="6"/>
  <c r="R346" i="6" s="1"/>
  <c r="R295" i="6"/>
  <c r="R296" i="6" s="1"/>
  <c r="R4" i="8"/>
  <c r="R314" i="6"/>
  <c r="R306" i="6"/>
  <c r="R10" i="9"/>
  <c r="R4" i="13"/>
  <c r="R253" i="6"/>
  <c r="R196" i="6"/>
  <c r="R80" i="6"/>
  <c r="R290" i="6"/>
  <c r="R291" i="6" s="1"/>
  <c r="R140" i="6"/>
  <c r="R86" i="6"/>
  <c r="R330" i="6"/>
  <c r="R331" i="6" s="1"/>
  <c r="R182" i="6"/>
  <c r="R93" i="6"/>
  <c r="R126" i="6"/>
  <c r="R100" i="6"/>
  <c r="R340" i="6"/>
  <c r="R341" i="6" s="1"/>
  <c r="R325" i="6"/>
  <c r="R326" i="6" s="1"/>
  <c r="R106" i="6"/>
  <c r="R66" i="6"/>
  <c r="R269" i="6"/>
  <c r="R4" i="6"/>
  <c r="R33" i="6"/>
  <c r="R11" i="6"/>
  <c r="R12" i="6" s="1"/>
  <c r="R73" i="6"/>
  <c r="R40" i="6"/>
  <c r="S28" i="6"/>
  <c r="R53" i="6"/>
  <c r="R23" i="6"/>
  <c r="R24" i="6" s="1"/>
  <c r="R60" i="6"/>
  <c r="R46" i="6"/>
  <c r="R4" i="4"/>
  <c r="R32" i="10"/>
  <c r="Q81" i="6"/>
  <c r="Q87" i="6"/>
  <c r="Q74" i="6"/>
  <c r="Q14" i="37"/>
  <c r="Q63" i="12"/>
  <c r="Q54" i="12"/>
  <c r="Q67" i="12"/>
  <c r="Q68" i="12" s="1"/>
  <c r="Q9" i="37"/>
  <c r="Q19" i="10"/>
  <c r="Q39" i="10"/>
  <c r="Q17" i="12"/>
  <c r="Q59" i="20"/>
  <c r="Q53" i="20"/>
  <c r="Q54" i="20" s="1"/>
  <c r="Q58" i="20" s="1"/>
  <c r="Q228" i="6"/>
  <c r="Q236" i="6"/>
  <c r="Q244" i="6"/>
  <c r="Q277" i="6"/>
  <c r="Q177" i="6"/>
  <c r="Q121" i="6"/>
  <c r="Q284" i="6"/>
  <c r="Q285" i="6" s="1"/>
  <c r="Q18" i="6"/>
  <c r="Q19" i="6" s="1"/>
  <c r="O141" i="6"/>
  <c r="O162" i="6"/>
  <c r="K21" i="19"/>
  <c r="K43" i="15"/>
  <c r="K45" i="15" s="1"/>
  <c r="K21" i="15"/>
  <c r="M22" i="15" s="1"/>
  <c r="Q34" i="6"/>
  <c r="Q41" i="6"/>
  <c r="Q47" i="6"/>
  <c r="O26" i="31"/>
  <c r="I41" i="47" s="1"/>
  <c r="P11" i="21"/>
  <c r="P13" i="21" s="1"/>
  <c r="O29" i="9"/>
  <c r="Q94" i="6"/>
  <c r="Q101" i="6"/>
  <c r="Q107" i="6"/>
  <c r="O197" i="6"/>
  <c r="O218" i="6"/>
  <c r="K10" i="31" l="1"/>
  <c r="E25" i="47" s="1"/>
  <c r="L41" i="15"/>
  <c r="P141" i="6"/>
  <c r="P162" i="6"/>
  <c r="K41" i="16"/>
  <c r="K45" i="16"/>
  <c r="K46" i="16" s="1"/>
  <c r="K32" i="16"/>
  <c r="Q2" i="40"/>
  <c r="Q2" i="37"/>
  <c r="Q2" i="34"/>
  <c r="Q2" i="28"/>
  <c r="K2" i="47" s="1"/>
  <c r="Q60" i="20"/>
  <c r="Q61" i="20" s="1"/>
  <c r="Q67" i="20" s="1"/>
  <c r="Q2" i="21"/>
  <c r="Q2" i="31"/>
  <c r="Q2" i="22"/>
  <c r="Q2" i="19"/>
  <c r="Q2" i="20"/>
  <c r="Q2" i="18"/>
  <c r="Q2" i="17"/>
  <c r="Q2" i="16"/>
  <c r="Q2" i="13"/>
  <c r="Q2" i="15"/>
  <c r="Q2" i="14"/>
  <c r="Q2" i="12"/>
  <c r="Q2" i="10"/>
  <c r="Q2" i="9"/>
  <c r="Q2" i="7"/>
  <c r="Q227" i="6"/>
  <c r="Q229" i="6" s="1"/>
  <c r="Q21" i="17" s="1"/>
  <c r="Q203" i="6"/>
  <c r="Q2" i="11"/>
  <c r="Q2" i="8"/>
  <c r="Q313" i="6"/>
  <c r="Q315" i="6" s="1"/>
  <c r="Q307" i="6"/>
  <c r="Q276" i="6"/>
  <c r="Q278" i="6" s="1"/>
  <c r="Q270" i="6" s="1"/>
  <c r="Q271" i="6" s="1"/>
  <c r="Q264" i="6" s="1"/>
  <c r="Q235" i="6"/>
  <c r="Q237" i="6" s="1"/>
  <c r="Q20" i="16" s="1"/>
  <c r="Q147" i="6"/>
  <c r="Q72" i="6"/>
  <c r="Q176" i="6"/>
  <c r="Q178" i="6" s="1"/>
  <c r="Q183" i="6" s="1"/>
  <c r="Q184" i="6" s="1"/>
  <c r="Q188" i="6" s="1"/>
  <c r="Q170" i="6"/>
  <c r="Q171" i="6" s="1"/>
  <c r="Q120" i="6"/>
  <c r="Q122" i="6" s="1"/>
  <c r="Q127" i="6" s="1"/>
  <c r="Q128" i="6" s="1"/>
  <c r="Q132" i="6" s="1"/>
  <c r="Q114" i="6"/>
  <c r="Q115" i="6" s="1"/>
  <c r="Q92" i="6"/>
  <c r="Q243" i="6"/>
  <c r="Q245" i="6" s="1"/>
  <c r="Q21" i="18" s="1"/>
  <c r="Q52" i="6"/>
  <c r="Q2" i="6"/>
  <c r="Q2" i="4"/>
  <c r="Q32" i="6"/>
  <c r="R3" i="40"/>
  <c r="R3" i="37"/>
  <c r="R3" i="34"/>
  <c r="R3" i="31"/>
  <c r="R3" i="28"/>
  <c r="R3" i="22"/>
  <c r="R3" i="21"/>
  <c r="R3" i="19"/>
  <c r="R3" i="18"/>
  <c r="R3" i="17"/>
  <c r="R3" i="20"/>
  <c r="R3" i="16"/>
  <c r="R3" i="14"/>
  <c r="R3" i="15"/>
  <c r="R3" i="11"/>
  <c r="R3" i="13"/>
  <c r="R3" i="12"/>
  <c r="R3" i="9"/>
  <c r="R3" i="10"/>
  <c r="R3" i="7"/>
  <c r="R79" i="6"/>
  <c r="R3" i="8"/>
  <c r="R99" i="6"/>
  <c r="R59" i="6"/>
  <c r="R3" i="4"/>
  <c r="R3" i="6"/>
  <c r="R39" i="6"/>
  <c r="P197" i="6"/>
  <c r="P218" i="6"/>
  <c r="P188" i="6"/>
  <c r="P21" i="17"/>
  <c r="O132" i="6"/>
  <c r="R94" i="6"/>
  <c r="R101" i="6"/>
  <c r="R107" i="6"/>
  <c r="P26" i="31"/>
  <c r="J41" i="47" s="1"/>
  <c r="Q11" i="21"/>
  <c r="Q13" i="21" s="1"/>
  <c r="P29" i="9"/>
  <c r="S4" i="40"/>
  <c r="S4" i="37"/>
  <c r="S4" i="34"/>
  <c r="S4" i="31"/>
  <c r="S4" i="28"/>
  <c r="S4" i="21"/>
  <c r="S4" i="22"/>
  <c r="S74" i="20"/>
  <c r="S32" i="20"/>
  <c r="S4" i="20"/>
  <c r="S28" i="19"/>
  <c r="S10" i="21"/>
  <c r="S4" i="19"/>
  <c r="S4" i="18"/>
  <c r="S4" i="17"/>
  <c r="S10" i="18"/>
  <c r="S4" i="16"/>
  <c r="S40" i="15"/>
  <c r="S10" i="17"/>
  <c r="S10" i="16"/>
  <c r="S27" i="15"/>
  <c r="S4" i="13"/>
  <c r="S4" i="15"/>
  <c r="S17" i="13"/>
  <c r="S50" i="12"/>
  <c r="S4" i="14"/>
  <c r="S4" i="12"/>
  <c r="S4" i="10"/>
  <c r="S35" i="9"/>
  <c r="S23" i="11"/>
  <c r="S25" i="13"/>
  <c r="S4" i="8"/>
  <c r="S314" i="6"/>
  <c r="S16" i="10"/>
  <c r="S306" i="6"/>
  <c r="S60" i="12"/>
  <c r="S4" i="11"/>
  <c r="S10" i="9"/>
  <c r="S325" i="6"/>
  <c r="S326" i="6" s="1"/>
  <c r="S18" i="12"/>
  <c r="S330" i="6"/>
  <c r="S331" i="6" s="1"/>
  <c r="S269" i="6"/>
  <c r="S290" i="6"/>
  <c r="S291" i="6" s="1"/>
  <c r="S253" i="6"/>
  <c r="S140" i="6"/>
  <c r="S86" i="6"/>
  <c r="S4" i="9"/>
  <c r="S182" i="6"/>
  <c r="S93" i="6"/>
  <c r="S37" i="12"/>
  <c r="S4" i="7"/>
  <c r="S345" i="6"/>
  <c r="S346" i="6" s="1"/>
  <c r="S126" i="6"/>
  <c r="S100" i="6"/>
  <c r="S340" i="6"/>
  <c r="S341" i="6" s="1"/>
  <c r="S106" i="6"/>
  <c r="S73" i="6"/>
  <c r="S80" i="6"/>
  <c r="S4" i="6"/>
  <c r="S295" i="6"/>
  <c r="S296" i="6" s="1"/>
  <c r="S66" i="6"/>
  <c r="S33" i="6"/>
  <c r="S11" i="6"/>
  <c r="S12" i="6" s="1"/>
  <c r="S40" i="6"/>
  <c r="T28" i="6"/>
  <c r="S60" i="6"/>
  <c r="S46" i="6"/>
  <c r="S4" i="4"/>
  <c r="S196" i="6"/>
  <c r="S53" i="6"/>
  <c r="S23" i="6"/>
  <c r="S24" i="6" s="1"/>
  <c r="S32" i="10"/>
  <c r="R308" i="6"/>
  <c r="K8" i="28"/>
  <c r="F12" i="51" s="1"/>
  <c r="K19" i="16"/>
  <c r="K21" i="16" s="1"/>
  <c r="K26" i="11"/>
  <c r="K27" i="11" s="1"/>
  <c r="Q18" i="37"/>
  <c r="L30" i="51" s="1"/>
  <c r="Q20" i="13"/>
  <c r="Q28" i="13"/>
  <c r="Q55" i="12"/>
  <c r="J45" i="47"/>
  <c r="J21" i="47"/>
  <c r="M8" i="34"/>
  <c r="M44" i="15"/>
  <c r="P61" i="6"/>
  <c r="P67" i="6"/>
  <c r="P54" i="6"/>
  <c r="L24" i="10"/>
  <c r="L26" i="10" s="1"/>
  <c r="R87" i="6"/>
  <c r="R74" i="6"/>
  <c r="R81" i="6"/>
  <c r="R9" i="37"/>
  <c r="R19" i="10"/>
  <c r="R39" i="10"/>
  <c r="R17" i="12"/>
  <c r="R14" i="37"/>
  <c r="R63" i="12"/>
  <c r="R54" i="12"/>
  <c r="R67" i="12"/>
  <c r="R68" i="12" s="1"/>
  <c r="O264" i="6"/>
  <c r="R53" i="20"/>
  <c r="R54" i="20" s="1"/>
  <c r="R58" i="20" s="1"/>
  <c r="R59" i="20"/>
  <c r="R236" i="6"/>
  <c r="R284" i="6"/>
  <c r="R285" i="6" s="1"/>
  <c r="R277" i="6"/>
  <c r="R177" i="6"/>
  <c r="R121" i="6"/>
  <c r="R244" i="6"/>
  <c r="R18" i="6"/>
  <c r="R19" i="6" s="1"/>
  <c r="R228" i="6"/>
  <c r="R34" i="6"/>
  <c r="R41" i="6"/>
  <c r="R47" i="6"/>
  <c r="P21" i="18"/>
  <c r="L44" i="12" l="1"/>
  <c r="L45" i="12" s="1"/>
  <c r="L20" i="10"/>
  <c r="L11" i="11"/>
  <c r="L12" i="11" s="1"/>
  <c r="K45" i="47"/>
  <c r="K21" i="47"/>
  <c r="S94" i="6"/>
  <c r="S101" i="6"/>
  <c r="S107" i="6"/>
  <c r="R18" i="37"/>
  <c r="M30" i="51" s="1"/>
  <c r="R28" i="13"/>
  <c r="R55" i="12"/>
  <c r="R20" i="13"/>
  <c r="K14" i="31"/>
  <c r="L24" i="11"/>
  <c r="Q141" i="6"/>
  <c r="Q162" i="6"/>
  <c r="K17" i="28"/>
  <c r="K19" i="34"/>
  <c r="E58" i="47" s="1"/>
  <c r="K26" i="16"/>
  <c r="M27" i="16" s="1"/>
  <c r="K12" i="16"/>
  <c r="Q67" i="6"/>
  <c r="Q61" i="6"/>
  <c r="Q54" i="6"/>
  <c r="S34" i="6"/>
  <c r="S41" i="6"/>
  <c r="S47" i="6"/>
  <c r="E4" i="47"/>
  <c r="T4" i="40"/>
  <c r="T4" i="37"/>
  <c r="T4" i="34"/>
  <c r="T4" i="31"/>
  <c r="T4" i="28"/>
  <c r="T4" i="21"/>
  <c r="T4" i="22"/>
  <c r="T10" i="21"/>
  <c r="T74" i="20"/>
  <c r="T4" i="20"/>
  <c r="T28" i="19"/>
  <c r="T32" i="20"/>
  <c r="T4" i="18"/>
  <c r="T10" i="17"/>
  <c r="T4" i="19"/>
  <c r="T10" i="18"/>
  <c r="T40" i="15"/>
  <c r="T4" i="17"/>
  <c r="T10" i="16"/>
  <c r="T4" i="15"/>
  <c r="T4" i="16"/>
  <c r="T17" i="13"/>
  <c r="T4" i="14"/>
  <c r="T25" i="13"/>
  <c r="T4" i="12"/>
  <c r="T4" i="10"/>
  <c r="T35" i="9"/>
  <c r="T23" i="11"/>
  <c r="T37" i="12"/>
  <c r="T4" i="11"/>
  <c r="T16" i="10"/>
  <c r="T4" i="13"/>
  <c r="T60" i="12"/>
  <c r="T18" i="12"/>
  <c r="T306" i="6"/>
  <c r="T10" i="9"/>
  <c r="T325" i="6"/>
  <c r="T326" i="6" s="1"/>
  <c r="T50" i="12"/>
  <c r="T340" i="6"/>
  <c r="T341" i="6" s="1"/>
  <c r="T290" i="6"/>
  <c r="T291" i="6" s="1"/>
  <c r="T4" i="9"/>
  <c r="T4" i="7"/>
  <c r="T345" i="6"/>
  <c r="T346" i="6" s="1"/>
  <c r="T295" i="6"/>
  <c r="T296" i="6" s="1"/>
  <c r="T182" i="6"/>
  <c r="T93" i="6"/>
  <c r="T27" i="15"/>
  <c r="T330" i="6"/>
  <c r="T331" i="6" s="1"/>
  <c r="T126" i="6"/>
  <c r="T100" i="6"/>
  <c r="T106" i="6"/>
  <c r="T60" i="6"/>
  <c r="T4" i="8"/>
  <c r="T314" i="6"/>
  <c r="T269" i="6"/>
  <c r="T66" i="6"/>
  <c r="T196" i="6"/>
  <c r="T80" i="6"/>
  <c r="T86" i="6"/>
  <c r="T4" i="6"/>
  <c r="T33" i="6"/>
  <c r="T11" i="6"/>
  <c r="T12" i="6" s="1"/>
  <c r="T40" i="6"/>
  <c r="U28" i="6"/>
  <c r="T140" i="6"/>
  <c r="T73" i="6"/>
  <c r="T46" i="6"/>
  <c r="T4" i="4"/>
  <c r="T53" i="6"/>
  <c r="T23" i="6"/>
  <c r="T24" i="6" s="1"/>
  <c r="T253" i="6"/>
  <c r="T32" i="10"/>
  <c r="S81" i="6"/>
  <c r="S87" i="6"/>
  <c r="S74" i="6"/>
  <c r="Q26" i="31"/>
  <c r="K41" i="47" s="1"/>
  <c r="R11" i="21"/>
  <c r="R13" i="21" s="1"/>
  <c r="Q29" i="9"/>
  <c r="Q197" i="6"/>
  <c r="Q218" i="6"/>
  <c r="K47" i="16"/>
  <c r="K33" i="16"/>
  <c r="K34" i="16" s="1"/>
  <c r="G47" i="47"/>
  <c r="S9" i="37"/>
  <c r="S39" i="10"/>
  <c r="S17" i="12"/>
  <c r="S19" i="10"/>
  <c r="S14" i="37"/>
  <c r="S63" i="12"/>
  <c r="S54" i="12"/>
  <c r="S67" i="12"/>
  <c r="S68" i="12" s="1"/>
  <c r="R2" i="40"/>
  <c r="R2" i="37"/>
  <c r="R2" i="34"/>
  <c r="R2" i="31"/>
  <c r="R2" i="28"/>
  <c r="L2" i="47" s="1"/>
  <c r="R2" i="21"/>
  <c r="R60" i="20"/>
  <c r="R61" i="20" s="1"/>
  <c r="R67" i="20" s="1"/>
  <c r="R2" i="22"/>
  <c r="R2" i="20"/>
  <c r="R2" i="19"/>
  <c r="R2" i="18"/>
  <c r="R2" i="17"/>
  <c r="R2" i="16"/>
  <c r="R2" i="15"/>
  <c r="R2" i="14"/>
  <c r="R2" i="12"/>
  <c r="R2" i="10"/>
  <c r="R2" i="13"/>
  <c r="R2" i="11"/>
  <c r="R2" i="9"/>
  <c r="R2" i="7"/>
  <c r="R227" i="6"/>
  <c r="R229" i="6" s="1"/>
  <c r="R21" i="17" s="1"/>
  <c r="R2" i="8"/>
  <c r="R313" i="6"/>
  <c r="R315" i="6" s="1"/>
  <c r="R307" i="6"/>
  <c r="S308" i="6" s="1"/>
  <c r="R235" i="6"/>
  <c r="R237" i="6" s="1"/>
  <c r="R20" i="16" s="1"/>
  <c r="R243" i="6"/>
  <c r="R245" i="6" s="1"/>
  <c r="R72" i="6"/>
  <c r="R176" i="6"/>
  <c r="R178" i="6" s="1"/>
  <c r="R183" i="6" s="1"/>
  <c r="R184" i="6" s="1"/>
  <c r="R170" i="6"/>
  <c r="R171" i="6" s="1"/>
  <c r="R120" i="6"/>
  <c r="R122" i="6" s="1"/>
  <c r="R127" i="6" s="1"/>
  <c r="R128" i="6" s="1"/>
  <c r="R114" i="6"/>
  <c r="R115" i="6" s="1"/>
  <c r="R92" i="6"/>
  <c r="R276" i="6"/>
  <c r="R278" i="6" s="1"/>
  <c r="R270" i="6" s="1"/>
  <c r="R271" i="6" s="1"/>
  <c r="R147" i="6"/>
  <c r="R2" i="6"/>
  <c r="R32" i="6"/>
  <c r="R2" i="4"/>
  <c r="R52" i="6"/>
  <c r="R203" i="6"/>
  <c r="S3" i="40"/>
  <c r="S3" i="37"/>
  <c r="S3" i="34"/>
  <c r="S3" i="31"/>
  <c r="S3" i="28"/>
  <c r="S3" i="22"/>
  <c r="S3" i="21"/>
  <c r="S3" i="19"/>
  <c r="S3" i="20"/>
  <c r="S3" i="18"/>
  <c r="S3" i="17"/>
  <c r="S3" i="16"/>
  <c r="S3" i="14"/>
  <c r="S3" i="13"/>
  <c r="S3" i="15"/>
  <c r="S3" i="11"/>
  <c r="S3" i="12"/>
  <c r="S3" i="10"/>
  <c r="S3" i="9"/>
  <c r="S3" i="7"/>
  <c r="S3" i="8"/>
  <c r="S79" i="6"/>
  <c r="S99" i="6"/>
  <c r="S3" i="4"/>
  <c r="S39" i="6"/>
  <c r="S59" i="6"/>
  <c r="S3" i="6"/>
  <c r="S53" i="20"/>
  <c r="S54" i="20" s="1"/>
  <c r="S58" i="20" s="1"/>
  <c r="S59" i="20"/>
  <c r="S236" i="6"/>
  <c r="S284" i="6"/>
  <c r="S285" i="6" s="1"/>
  <c r="S277" i="6"/>
  <c r="S228" i="6"/>
  <c r="S121" i="6"/>
  <c r="S244" i="6"/>
  <c r="S177" i="6"/>
  <c r="S18" i="6"/>
  <c r="S19" i="6" s="1"/>
  <c r="E13" i="47" l="1"/>
  <c r="F22" i="51"/>
  <c r="K13" i="16"/>
  <c r="K15" i="16" s="1"/>
  <c r="T14" i="37"/>
  <c r="T63" i="12"/>
  <c r="T54" i="12"/>
  <c r="T67" i="12"/>
  <c r="T68" i="12" s="1"/>
  <c r="S61" i="20"/>
  <c r="S67" i="20" s="1"/>
  <c r="T34" i="6"/>
  <c r="T41" i="6"/>
  <c r="T47" i="6"/>
  <c r="R132" i="6"/>
  <c r="R141" i="6"/>
  <c r="R162" i="6"/>
  <c r="R61" i="6"/>
  <c r="R54" i="6"/>
  <c r="R67" i="6"/>
  <c r="K24" i="34"/>
  <c r="E63" i="47" s="1"/>
  <c r="R26" i="31"/>
  <c r="L41" i="47" s="1"/>
  <c r="S11" i="21"/>
  <c r="S13" i="21" s="1"/>
  <c r="R29" i="9"/>
  <c r="T101" i="6"/>
  <c r="T107" i="6"/>
  <c r="T94" i="6"/>
  <c r="E29" i="47"/>
  <c r="L16" i="37"/>
  <c r="L62" i="12"/>
  <c r="L64" i="12" s="1"/>
  <c r="L53" i="12"/>
  <c r="L56" i="12" s="1"/>
  <c r="R188" i="6"/>
  <c r="L45" i="47"/>
  <c r="L21" i="47"/>
  <c r="S18" i="37"/>
  <c r="N30" i="51" s="1"/>
  <c r="S20" i="13"/>
  <c r="S55" i="12"/>
  <c r="S28" i="13"/>
  <c r="T9" i="37"/>
  <c r="T39" i="10"/>
  <c r="T17" i="12"/>
  <c r="T19" i="10"/>
  <c r="U4" i="40"/>
  <c r="U4" i="37"/>
  <c r="U4" i="34"/>
  <c r="U4" i="31"/>
  <c r="U4" i="28"/>
  <c r="U4" i="21"/>
  <c r="U4" i="22"/>
  <c r="U10" i="21"/>
  <c r="U74" i="20"/>
  <c r="U32" i="20"/>
  <c r="U4" i="20"/>
  <c r="U28" i="19"/>
  <c r="U4" i="18"/>
  <c r="U4" i="19"/>
  <c r="U10" i="18"/>
  <c r="U10" i="17"/>
  <c r="U4" i="17"/>
  <c r="U40" i="15"/>
  <c r="U10" i="16"/>
  <c r="U27" i="15"/>
  <c r="U4" i="16"/>
  <c r="U17" i="13"/>
  <c r="U4" i="14"/>
  <c r="U25" i="13"/>
  <c r="U4" i="13"/>
  <c r="U4" i="12"/>
  <c r="U4" i="10"/>
  <c r="U4" i="15"/>
  <c r="U23" i="11"/>
  <c r="U37" i="12"/>
  <c r="U4" i="11"/>
  <c r="U16" i="10"/>
  <c r="U50" i="12"/>
  <c r="U35" i="9"/>
  <c r="U306" i="6"/>
  <c r="U10" i="9"/>
  <c r="U325" i="6"/>
  <c r="U326" i="6" s="1"/>
  <c r="U60" i="12"/>
  <c r="U340" i="6"/>
  <c r="U341" i="6" s="1"/>
  <c r="U290" i="6"/>
  <c r="U291" i="6" s="1"/>
  <c r="U253" i="6"/>
  <c r="U4" i="8"/>
  <c r="U314" i="6"/>
  <c r="U4" i="9"/>
  <c r="U330" i="6"/>
  <c r="U331" i="6" s="1"/>
  <c r="U126" i="6"/>
  <c r="U100" i="6"/>
  <c r="U4" i="7"/>
  <c r="U345" i="6"/>
  <c r="U346" i="6" s="1"/>
  <c r="U106" i="6"/>
  <c r="U18" i="12"/>
  <c r="U60" i="6"/>
  <c r="U269" i="6"/>
  <c r="U66" i="6"/>
  <c r="U73" i="6"/>
  <c r="U295" i="6"/>
  <c r="U296" i="6" s="1"/>
  <c r="U140" i="6"/>
  <c r="U86" i="6"/>
  <c r="U80" i="6"/>
  <c r="U33" i="6"/>
  <c r="U11" i="6"/>
  <c r="U12" i="6" s="1"/>
  <c r="U40" i="6"/>
  <c r="V28" i="6"/>
  <c r="U46" i="6"/>
  <c r="U4" i="4"/>
  <c r="U53" i="6"/>
  <c r="U23" i="6"/>
  <c r="U24" i="6" s="1"/>
  <c r="U196" i="6"/>
  <c r="U93" i="6"/>
  <c r="U4" i="6"/>
  <c r="U182" i="6"/>
  <c r="U32" i="10"/>
  <c r="T74" i="6"/>
  <c r="T87" i="6"/>
  <c r="T81" i="6"/>
  <c r="R21" i="18"/>
  <c r="T3" i="40"/>
  <c r="T3" i="37"/>
  <c r="T3" i="34"/>
  <c r="T3" i="28"/>
  <c r="T3" i="22"/>
  <c r="T3" i="31"/>
  <c r="T3" i="21"/>
  <c r="T3" i="19"/>
  <c r="T3" i="20"/>
  <c r="T3" i="18"/>
  <c r="T3" i="17"/>
  <c r="T3" i="16"/>
  <c r="T3" i="14"/>
  <c r="T3" i="13"/>
  <c r="T3" i="15"/>
  <c r="T3" i="11"/>
  <c r="T3" i="12"/>
  <c r="T3" i="9"/>
  <c r="T3" i="7"/>
  <c r="T3" i="8"/>
  <c r="T99" i="6"/>
  <c r="T3" i="10"/>
  <c r="T39" i="6"/>
  <c r="T3" i="6"/>
  <c r="T59" i="6"/>
  <c r="T79" i="6"/>
  <c r="T3" i="4"/>
  <c r="T53" i="20"/>
  <c r="T54" i="20" s="1"/>
  <c r="T58" i="20" s="1"/>
  <c r="T59" i="20"/>
  <c r="T236" i="6"/>
  <c r="T284" i="6"/>
  <c r="T285" i="6" s="1"/>
  <c r="T277" i="6"/>
  <c r="T244" i="6"/>
  <c r="T228" i="6"/>
  <c r="T177" i="6"/>
  <c r="T18" i="6"/>
  <c r="T19" i="6" s="1"/>
  <c r="T121" i="6"/>
  <c r="R197" i="6"/>
  <c r="R218" i="6"/>
  <c r="S2" i="40"/>
  <c r="S2" i="37"/>
  <c r="S2" i="34"/>
  <c r="S2" i="31"/>
  <c r="S2" i="28"/>
  <c r="M2" i="47" s="1"/>
  <c r="S2" i="21"/>
  <c r="S2" i="22"/>
  <c r="S60" i="20"/>
  <c r="S2" i="20"/>
  <c r="S2" i="19"/>
  <c r="S2" i="18"/>
  <c r="S2" i="17"/>
  <c r="S2" i="16"/>
  <c r="S2" i="13"/>
  <c r="S2" i="15"/>
  <c r="S2" i="12"/>
  <c r="S2" i="10"/>
  <c r="S2" i="8"/>
  <c r="S2" i="11"/>
  <c r="S313" i="6"/>
  <c r="S315" i="6" s="1"/>
  <c r="S307" i="6"/>
  <c r="T308" i="6" s="1"/>
  <c r="S235" i="6"/>
  <c r="S237" i="6" s="1"/>
  <c r="S20" i="16" s="1"/>
  <c r="S2" i="14"/>
  <c r="S176" i="6"/>
  <c r="S178" i="6" s="1"/>
  <c r="S183" i="6" s="1"/>
  <c r="S184" i="6" s="1"/>
  <c r="S188" i="6" s="1"/>
  <c r="S170" i="6"/>
  <c r="S171" i="6" s="1"/>
  <c r="S120" i="6"/>
  <c r="S122" i="6" s="1"/>
  <c r="S127" i="6" s="1"/>
  <c r="S128" i="6" s="1"/>
  <c r="S132" i="6" s="1"/>
  <c r="S114" i="6"/>
  <c r="S115" i="6" s="1"/>
  <c r="S92" i="6"/>
  <c r="S276" i="6"/>
  <c r="S278" i="6" s="1"/>
  <c r="S270" i="6" s="1"/>
  <c r="S271" i="6" s="1"/>
  <c r="S264" i="6" s="1"/>
  <c r="S227" i="6"/>
  <c r="S229" i="6" s="1"/>
  <c r="S21" i="17" s="1"/>
  <c r="S203" i="6"/>
  <c r="S243" i="6"/>
  <c r="S245" i="6" s="1"/>
  <c r="S21" i="18" s="1"/>
  <c r="S147" i="6"/>
  <c r="S2" i="7"/>
  <c r="S72" i="6"/>
  <c r="S2" i="6"/>
  <c r="S2" i="9"/>
  <c r="S32" i="6"/>
  <c r="S2" i="4"/>
  <c r="S52" i="6"/>
  <c r="R264" i="6"/>
  <c r="M28" i="16"/>
  <c r="M14" i="16"/>
  <c r="L16" i="19"/>
  <c r="L17" i="19" s="1"/>
  <c r="L42" i="15"/>
  <c r="L20" i="15"/>
  <c r="L25" i="11"/>
  <c r="L21" i="19" l="1"/>
  <c r="L43" i="15"/>
  <c r="L45" i="15" s="1"/>
  <c r="L21" i="15"/>
  <c r="N22" i="15" s="1"/>
  <c r="U3" i="40"/>
  <c r="U3" i="37"/>
  <c r="U3" i="34"/>
  <c r="U3" i="28"/>
  <c r="U3" i="31"/>
  <c r="U3" i="21"/>
  <c r="U3" i="22"/>
  <c r="U3" i="19"/>
  <c r="U3" i="20"/>
  <c r="U3" i="18"/>
  <c r="U3" i="17"/>
  <c r="U3" i="16"/>
  <c r="U3" i="13"/>
  <c r="U3" i="15"/>
  <c r="U3" i="14"/>
  <c r="U3" i="12"/>
  <c r="U3" i="10"/>
  <c r="U3" i="9"/>
  <c r="U3" i="7"/>
  <c r="U3" i="11"/>
  <c r="U3" i="8"/>
  <c r="U99" i="6"/>
  <c r="U79" i="6"/>
  <c r="U39" i="6"/>
  <c r="U3" i="6"/>
  <c r="U3" i="4"/>
  <c r="U59" i="6"/>
  <c r="U53" i="20"/>
  <c r="U54" i="20" s="1"/>
  <c r="U58" i="20" s="1"/>
  <c r="U59" i="20"/>
  <c r="U284" i="6"/>
  <c r="U285" i="6" s="1"/>
  <c r="U277" i="6"/>
  <c r="U244" i="6"/>
  <c r="U121" i="6"/>
  <c r="U18" i="6"/>
  <c r="U19" i="6" s="1"/>
  <c r="U177" i="6"/>
  <c r="U228" i="6"/>
  <c r="U236" i="6"/>
  <c r="U74" i="6"/>
  <c r="U81" i="6"/>
  <c r="U87" i="6"/>
  <c r="U14" i="37"/>
  <c r="U67" i="12"/>
  <c r="U68" i="12" s="1"/>
  <c r="U54" i="12"/>
  <c r="U63" i="12"/>
  <c r="M45" i="47"/>
  <c r="M21" i="47"/>
  <c r="M20" i="34"/>
  <c r="G59" i="47" s="1"/>
  <c r="U107" i="6"/>
  <c r="U94" i="6"/>
  <c r="U101" i="6"/>
  <c r="L15" i="37"/>
  <c r="G28" i="51" s="1"/>
  <c r="M51" i="12"/>
  <c r="T18" i="37"/>
  <c r="O30" i="51" s="1"/>
  <c r="T28" i="13"/>
  <c r="T20" i="13"/>
  <c r="T55" i="12"/>
  <c r="S61" i="6"/>
  <c r="S67" i="6"/>
  <c r="S54" i="6"/>
  <c r="S218" i="6"/>
  <c r="S197" i="6"/>
  <c r="K17" i="31"/>
  <c r="L11" i="16"/>
  <c r="U9" i="37"/>
  <c r="U17" i="12"/>
  <c r="U39" i="10"/>
  <c r="U19" i="10"/>
  <c r="U41" i="6"/>
  <c r="U47" i="6"/>
  <c r="U34" i="6"/>
  <c r="L17" i="37"/>
  <c r="G29" i="51" s="1"/>
  <c r="M61" i="12"/>
  <c r="L17" i="11"/>
  <c r="L18" i="11" s="1"/>
  <c r="T2" i="40"/>
  <c r="T2" i="37"/>
  <c r="T2" i="34"/>
  <c r="T2" i="31"/>
  <c r="T2" i="28"/>
  <c r="N2" i="47" s="1"/>
  <c r="T2" i="21"/>
  <c r="T2" i="22"/>
  <c r="T60" i="20"/>
  <c r="T61" i="20" s="1"/>
  <c r="T67" i="20" s="1"/>
  <c r="T2" i="20"/>
  <c r="T2" i="18"/>
  <c r="T2" i="19"/>
  <c r="T2" i="17"/>
  <c r="T2" i="15"/>
  <c r="T2" i="14"/>
  <c r="T2" i="16"/>
  <c r="T2" i="12"/>
  <c r="T2" i="10"/>
  <c r="T2" i="13"/>
  <c r="T2" i="11"/>
  <c r="T313" i="6"/>
  <c r="T315" i="6" s="1"/>
  <c r="T307" i="6"/>
  <c r="U308" i="6" s="1"/>
  <c r="T235" i="6"/>
  <c r="T237" i="6" s="1"/>
  <c r="T20" i="16" s="1"/>
  <c r="T276" i="6"/>
  <c r="T278" i="6" s="1"/>
  <c r="T270" i="6" s="1"/>
  <c r="T271" i="6" s="1"/>
  <c r="T264" i="6" s="1"/>
  <c r="T2" i="9"/>
  <c r="T2" i="7"/>
  <c r="T227" i="6"/>
  <c r="T229" i="6" s="1"/>
  <c r="T21" i="17" s="1"/>
  <c r="T203" i="6"/>
  <c r="T170" i="6"/>
  <c r="T171" i="6" s="1"/>
  <c r="T120" i="6"/>
  <c r="T122" i="6" s="1"/>
  <c r="T127" i="6" s="1"/>
  <c r="T128" i="6" s="1"/>
  <c r="T132" i="6" s="1"/>
  <c r="T114" i="6"/>
  <c r="T115" i="6" s="1"/>
  <c r="T92" i="6"/>
  <c r="T2" i="8"/>
  <c r="T72" i="6"/>
  <c r="T2" i="6"/>
  <c r="T147" i="6"/>
  <c r="T32" i="6"/>
  <c r="T2" i="4"/>
  <c r="T176" i="6"/>
  <c r="T178" i="6" s="1"/>
  <c r="T183" i="6" s="1"/>
  <c r="T184" i="6" s="1"/>
  <c r="T188" i="6" s="1"/>
  <c r="T52" i="6"/>
  <c r="T243" i="6"/>
  <c r="T245" i="6" s="1"/>
  <c r="T21" i="18" s="1"/>
  <c r="V4" i="40"/>
  <c r="V4" i="37"/>
  <c r="V4" i="34"/>
  <c r="V4" i="31"/>
  <c r="V4" i="28"/>
  <c r="V4" i="22"/>
  <c r="V10" i="21"/>
  <c r="V74" i="20"/>
  <c r="V32" i="20"/>
  <c r="V4" i="21"/>
  <c r="V28" i="19"/>
  <c r="V4" i="19"/>
  <c r="V10" i="18"/>
  <c r="V10" i="17"/>
  <c r="V4" i="20"/>
  <c r="V10" i="16"/>
  <c r="V4" i="17"/>
  <c r="V27" i="15"/>
  <c r="V4" i="18"/>
  <c r="V4" i="16"/>
  <c r="V17" i="13"/>
  <c r="V4" i="14"/>
  <c r="V25" i="13"/>
  <c r="V40" i="15"/>
  <c r="V4" i="15"/>
  <c r="V35" i="9"/>
  <c r="V23" i="11"/>
  <c r="V37" i="12"/>
  <c r="V4" i="11"/>
  <c r="V16" i="10"/>
  <c r="V60" i="12"/>
  <c r="V18" i="12"/>
  <c r="V10" i="9"/>
  <c r="V325" i="6"/>
  <c r="V326" i="6" s="1"/>
  <c r="V340" i="6"/>
  <c r="V341" i="6" s="1"/>
  <c r="V290" i="6"/>
  <c r="V291" i="6" s="1"/>
  <c r="V50" i="12"/>
  <c r="V253" i="6"/>
  <c r="V4" i="12"/>
  <c r="V330" i="6"/>
  <c r="V331" i="6" s="1"/>
  <c r="V269" i="6"/>
  <c r="V4" i="9"/>
  <c r="V4" i="10"/>
  <c r="V4" i="7"/>
  <c r="V345" i="6"/>
  <c r="V346" i="6" s="1"/>
  <c r="V106" i="6"/>
  <c r="V66" i="6"/>
  <c r="V4" i="8"/>
  <c r="V314" i="6"/>
  <c r="V73" i="6"/>
  <c r="V4" i="13"/>
  <c r="V196" i="6"/>
  <c r="V80" i="6"/>
  <c r="V306" i="6"/>
  <c r="V182" i="6"/>
  <c r="V93" i="6"/>
  <c r="V40" i="6"/>
  <c r="W28" i="6"/>
  <c r="V295" i="6"/>
  <c r="V296" i="6" s="1"/>
  <c r="V126" i="6"/>
  <c r="V46" i="6"/>
  <c r="V4" i="4"/>
  <c r="V140" i="6"/>
  <c r="V53" i="6"/>
  <c r="V23" i="6"/>
  <c r="V24" i="6" s="1"/>
  <c r="V60" i="6"/>
  <c r="V4" i="6"/>
  <c r="V11" i="6"/>
  <c r="V12" i="6" s="1"/>
  <c r="V100" i="6"/>
  <c r="V33" i="6"/>
  <c r="V86" i="6"/>
  <c r="V32" i="10"/>
  <c r="S162" i="6"/>
  <c r="S141" i="6"/>
  <c r="S26" i="31"/>
  <c r="M41" i="47" s="1"/>
  <c r="T11" i="21"/>
  <c r="T13" i="21" s="1"/>
  <c r="S29" i="9"/>
  <c r="E32" i="47" l="1"/>
  <c r="F8" i="51"/>
  <c r="V53" i="20"/>
  <c r="V54" i="20" s="1"/>
  <c r="V58" i="20" s="1"/>
  <c r="V59" i="20"/>
  <c r="V277" i="6"/>
  <c r="V244" i="6"/>
  <c r="V228" i="6"/>
  <c r="V236" i="6"/>
  <c r="V284" i="6"/>
  <c r="V285" i="6" s="1"/>
  <c r="V177" i="6"/>
  <c r="V121" i="6"/>
  <c r="V18" i="6"/>
  <c r="V19" i="6" s="1"/>
  <c r="T162" i="6"/>
  <c r="T141" i="6"/>
  <c r="N8" i="34"/>
  <c r="N44" i="15"/>
  <c r="M24" i="10"/>
  <c r="M26" i="10" s="1"/>
  <c r="N21" i="47"/>
  <c r="N45" i="47"/>
  <c r="L8" i="28"/>
  <c r="G12" i="51" s="1"/>
  <c r="L19" i="16"/>
  <c r="L21" i="16" s="1"/>
  <c r="L26" i="11"/>
  <c r="L27" i="11" s="1"/>
  <c r="W4" i="40"/>
  <c r="W4" i="37"/>
  <c r="W4" i="34"/>
  <c r="W4" i="31"/>
  <c r="W4" i="28"/>
  <c r="W4" i="22"/>
  <c r="W10" i="21"/>
  <c r="W74" i="20"/>
  <c r="W32" i="20"/>
  <c r="W4" i="21"/>
  <c r="W4" i="19"/>
  <c r="W4" i="20"/>
  <c r="W10" i="18"/>
  <c r="W28" i="19"/>
  <c r="W10" i="17"/>
  <c r="W4" i="18"/>
  <c r="W10" i="16"/>
  <c r="W4" i="17"/>
  <c r="W27" i="15"/>
  <c r="W4" i="16"/>
  <c r="W40" i="15"/>
  <c r="W17" i="13"/>
  <c r="W4" i="14"/>
  <c r="W25" i="13"/>
  <c r="W4" i="13"/>
  <c r="W23" i="11"/>
  <c r="W4" i="15"/>
  <c r="W37" i="12"/>
  <c r="W4" i="11"/>
  <c r="W16" i="10"/>
  <c r="W60" i="12"/>
  <c r="W18" i="12"/>
  <c r="W50" i="12"/>
  <c r="W4" i="12"/>
  <c r="W4" i="10"/>
  <c r="W340" i="6"/>
  <c r="W341" i="6" s="1"/>
  <c r="W290" i="6"/>
  <c r="W291" i="6" s="1"/>
  <c r="W253" i="6"/>
  <c r="W330" i="6"/>
  <c r="W331" i="6" s="1"/>
  <c r="W269" i="6"/>
  <c r="W4" i="9"/>
  <c r="W4" i="7"/>
  <c r="W345" i="6"/>
  <c r="W346" i="6" s="1"/>
  <c r="W295" i="6"/>
  <c r="W296" i="6" s="1"/>
  <c r="W4" i="8"/>
  <c r="W306" i="6"/>
  <c r="W60" i="6"/>
  <c r="W10" i="9"/>
  <c r="W314" i="6"/>
  <c r="W73" i="6"/>
  <c r="W325" i="6"/>
  <c r="W326" i="6" s="1"/>
  <c r="W196" i="6"/>
  <c r="W80" i="6"/>
  <c r="W35" i="9"/>
  <c r="W140" i="6"/>
  <c r="W86" i="6"/>
  <c r="W126" i="6"/>
  <c r="W100" i="6"/>
  <c r="W46" i="6"/>
  <c r="W4" i="4"/>
  <c r="W66" i="6"/>
  <c r="W53" i="6"/>
  <c r="W23" i="6"/>
  <c r="W24" i="6" s="1"/>
  <c r="W182" i="6"/>
  <c r="W33" i="6"/>
  <c r="W11" i="6"/>
  <c r="W12" i="6" s="1"/>
  <c r="W40" i="6"/>
  <c r="X28" i="6"/>
  <c r="W93" i="6"/>
  <c r="W4" i="6"/>
  <c r="W106" i="6"/>
  <c r="W32" i="10"/>
  <c r="T218" i="6"/>
  <c r="T197" i="6"/>
  <c r="T61" i="6"/>
  <c r="T67" i="6"/>
  <c r="T54" i="6"/>
  <c r="L10" i="31"/>
  <c r="F25" i="47" s="1"/>
  <c r="M41" i="15"/>
  <c r="L39" i="16"/>
  <c r="L40" i="16" s="1"/>
  <c r="V47" i="6"/>
  <c r="V34" i="6"/>
  <c r="V41" i="6"/>
  <c r="V3" i="40"/>
  <c r="V3" i="37"/>
  <c r="V3" i="34"/>
  <c r="V3" i="31"/>
  <c r="V3" i="28"/>
  <c r="V3" i="21"/>
  <c r="V3" i="22"/>
  <c r="V3" i="20"/>
  <c r="V3" i="19"/>
  <c r="V3" i="18"/>
  <c r="V3" i="17"/>
  <c r="V3" i="16"/>
  <c r="V3" i="15"/>
  <c r="V3" i="14"/>
  <c r="V3" i="12"/>
  <c r="V3" i="10"/>
  <c r="V3" i="13"/>
  <c r="V3" i="11"/>
  <c r="V3" i="9"/>
  <c r="V3" i="7"/>
  <c r="V3" i="8"/>
  <c r="V99" i="6"/>
  <c r="V39" i="6"/>
  <c r="V3" i="6"/>
  <c r="V79" i="6"/>
  <c r="V59" i="6"/>
  <c r="V3" i="4"/>
  <c r="V9" i="37"/>
  <c r="V17" i="12"/>
  <c r="V19" i="10"/>
  <c r="V39" i="10"/>
  <c r="V74" i="6"/>
  <c r="V81" i="6"/>
  <c r="V87" i="6"/>
  <c r="U18" i="37"/>
  <c r="P30" i="51" s="1"/>
  <c r="U20" i="13"/>
  <c r="U28" i="13"/>
  <c r="U55" i="12"/>
  <c r="V101" i="6"/>
  <c r="V94" i="6"/>
  <c r="V107" i="6"/>
  <c r="U2" i="40"/>
  <c r="U2" i="37"/>
  <c r="U2" i="34"/>
  <c r="U2" i="31"/>
  <c r="U2" i="28"/>
  <c r="O2" i="47" s="1"/>
  <c r="U2" i="21"/>
  <c r="U2" i="22"/>
  <c r="U60" i="20"/>
  <c r="U61" i="20" s="1"/>
  <c r="U67" i="20" s="1"/>
  <c r="U2" i="20"/>
  <c r="U2" i="18"/>
  <c r="U2" i="19"/>
  <c r="U2" i="17"/>
  <c r="U2" i="16"/>
  <c r="U2" i="14"/>
  <c r="U2" i="13"/>
  <c r="U2" i="15"/>
  <c r="U2" i="12"/>
  <c r="U2" i="10"/>
  <c r="U2" i="11"/>
  <c r="U235" i="6"/>
  <c r="U237" i="6" s="1"/>
  <c r="U20" i="16" s="1"/>
  <c r="U276" i="6"/>
  <c r="U278" i="6" s="1"/>
  <c r="U270" i="6" s="1"/>
  <c r="U271" i="6" s="1"/>
  <c r="U264" i="6" s="1"/>
  <c r="U243" i="6"/>
  <c r="U245" i="6" s="1"/>
  <c r="U21" i="18" s="1"/>
  <c r="U2" i="8"/>
  <c r="U114" i="6"/>
  <c r="U115" i="6" s="1"/>
  <c r="U92" i="6"/>
  <c r="U227" i="6"/>
  <c r="U229" i="6" s="1"/>
  <c r="U21" i="17" s="1"/>
  <c r="U203" i="6"/>
  <c r="U307" i="6"/>
  <c r="U147" i="6"/>
  <c r="U2" i="9"/>
  <c r="U2" i="7"/>
  <c r="U176" i="6"/>
  <c r="U178" i="6" s="1"/>
  <c r="U183" i="6" s="1"/>
  <c r="U184" i="6" s="1"/>
  <c r="U188" i="6" s="1"/>
  <c r="U120" i="6"/>
  <c r="U122" i="6" s="1"/>
  <c r="U127" i="6" s="1"/>
  <c r="U128" i="6" s="1"/>
  <c r="U132" i="6" s="1"/>
  <c r="U72" i="6"/>
  <c r="U32" i="6"/>
  <c r="U2" i="4"/>
  <c r="U313" i="6"/>
  <c r="U315" i="6" s="1"/>
  <c r="U170" i="6"/>
  <c r="U171" i="6" s="1"/>
  <c r="U52" i="6"/>
  <c r="U2" i="6"/>
  <c r="V14" i="37"/>
  <c r="V67" i="12"/>
  <c r="V68" i="12" s="1"/>
  <c r="V63" i="12"/>
  <c r="V54" i="12"/>
  <c r="T26" i="31"/>
  <c r="N41" i="47" s="1"/>
  <c r="U11" i="21"/>
  <c r="U13" i="21" s="1"/>
  <c r="T29" i="9"/>
  <c r="V308" i="6"/>
  <c r="W94" i="6" l="1"/>
  <c r="W107" i="6"/>
  <c r="W101" i="6"/>
  <c r="V18" i="37"/>
  <c r="Q30" i="51" s="1"/>
  <c r="V20" i="13"/>
  <c r="V28" i="13"/>
  <c r="V55" i="12"/>
  <c r="L32" i="16"/>
  <c r="L45" i="16"/>
  <c r="L46" i="16" s="1"/>
  <c r="L41" i="16"/>
  <c r="W9" i="37"/>
  <c r="W17" i="12"/>
  <c r="W19" i="10"/>
  <c r="W39" i="10"/>
  <c r="U218" i="6"/>
  <c r="U197" i="6"/>
  <c r="W3" i="40"/>
  <c r="W3" i="37"/>
  <c r="W3" i="34"/>
  <c r="W3" i="31"/>
  <c r="W3" i="28"/>
  <c r="W3" i="21"/>
  <c r="W3" i="22"/>
  <c r="W3" i="20"/>
  <c r="W3" i="19"/>
  <c r="W3" i="18"/>
  <c r="W3" i="17"/>
  <c r="W3" i="16"/>
  <c r="W3" i="13"/>
  <c r="W3" i="15"/>
  <c r="W3" i="12"/>
  <c r="W3" i="10"/>
  <c r="W3" i="14"/>
  <c r="W3" i="8"/>
  <c r="W3" i="11"/>
  <c r="W79" i="6"/>
  <c r="W99" i="6"/>
  <c r="W39" i="6"/>
  <c r="W3" i="6"/>
  <c r="W3" i="7"/>
  <c r="W59" i="6"/>
  <c r="W3" i="4"/>
  <c r="W3" i="9"/>
  <c r="W14" i="37"/>
  <c r="W54" i="12"/>
  <c r="W67" i="12"/>
  <c r="W68" i="12" s="1"/>
  <c r="W63" i="12"/>
  <c r="M11" i="11"/>
  <c r="M12" i="11" s="1"/>
  <c r="M20" i="10"/>
  <c r="M44" i="12"/>
  <c r="M45" i="12" s="1"/>
  <c r="F4" i="47"/>
  <c r="U67" i="6"/>
  <c r="U61" i="6"/>
  <c r="U54" i="6"/>
  <c r="O45" i="47"/>
  <c r="O21" i="47"/>
  <c r="W74" i="6"/>
  <c r="W81" i="6"/>
  <c r="W87" i="6"/>
  <c r="U162" i="6"/>
  <c r="U141" i="6"/>
  <c r="W59" i="20"/>
  <c r="W53" i="20"/>
  <c r="W54" i="20" s="1"/>
  <c r="W58" i="20" s="1"/>
  <c r="W244" i="6"/>
  <c r="W228" i="6"/>
  <c r="W284" i="6"/>
  <c r="W285" i="6" s="1"/>
  <c r="W177" i="6"/>
  <c r="W236" i="6"/>
  <c r="W121" i="6"/>
  <c r="W277" i="6"/>
  <c r="W18" i="6"/>
  <c r="W19" i="6" s="1"/>
  <c r="X4" i="40"/>
  <c r="X4" i="37"/>
  <c r="X4" i="34"/>
  <c r="X4" i="28"/>
  <c r="X4" i="22"/>
  <c r="X10" i="21"/>
  <c r="X74" i="20"/>
  <c r="X4" i="21"/>
  <c r="X32" i="20"/>
  <c r="X4" i="19"/>
  <c r="X4" i="31"/>
  <c r="X28" i="19"/>
  <c r="X10" i="18"/>
  <c r="X4" i="20"/>
  <c r="X4" i="18"/>
  <c r="X4" i="17"/>
  <c r="X27" i="15"/>
  <c r="X10" i="17"/>
  <c r="X4" i="16"/>
  <c r="X4" i="14"/>
  <c r="X25" i="13"/>
  <c r="X10" i="16"/>
  <c r="X40" i="15"/>
  <c r="X4" i="13"/>
  <c r="X4" i="15"/>
  <c r="X37" i="12"/>
  <c r="X4" i="11"/>
  <c r="X16" i="10"/>
  <c r="X17" i="13"/>
  <c r="X60" i="12"/>
  <c r="X18" i="12"/>
  <c r="X50" i="12"/>
  <c r="X35" i="9"/>
  <c r="X253" i="6"/>
  <c r="X330" i="6"/>
  <c r="X331" i="6" s="1"/>
  <c r="X269" i="6"/>
  <c r="X4" i="12"/>
  <c r="X4" i="9"/>
  <c r="X4" i="7"/>
  <c r="X345" i="6"/>
  <c r="X346" i="6" s="1"/>
  <c r="X295" i="6"/>
  <c r="X296" i="6" s="1"/>
  <c r="X4" i="8"/>
  <c r="X314" i="6"/>
  <c r="X10" i="9"/>
  <c r="X325" i="6"/>
  <c r="X326" i="6" s="1"/>
  <c r="X66" i="6"/>
  <c r="X4" i="10"/>
  <c r="X73" i="6"/>
  <c r="X23" i="11"/>
  <c r="X340" i="6"/>
  <c r="X341" i="6" s="1"/>
  <c r="X196" i="6"/>
  <c r="X80" i="6"/>
  <c r="X140" i="6"/>
  <c r="X86" i="6"/>
  <c r="X182" i="6"/>
  <c r="X93" i="6"/>
  <c r="X106" i="6"/>
  <c r="X126" i="6"/>
  <c r="X53" i="6"/>
  <c r="X23" i="6"/>
  <c r="X24" i="6" s="1"/>
  <c r="X306" i="6"/>
  <c r="X290" i="6"/>
  <c r="X291" i="6" s="1"/>
  <c r="X60" i="6"/>
  <c r="X100" i="6"/>
  <c r="X4" i="6"/>
  <c r="X40" i="6"/>
  <c r="Y28" i="6"/>
  <c r="X46" i="6"/>
  <c r="X33" i="6"/>
  <c r="X4" i="4"/>
  <c r="X11" i="6"/>
  <c r="X12" i="6" s="1"/>
  <c r="X32" i="10"/>
  <c r="L14" i="31"/>
  <c r="M24" i="11"/>
  <c r="V2" i="40"/>
  <c r="V2" i="37"/>
  <c r="V2" i="34"/>
  <c r="V2" i="31"/>
  <c r="V2" i="28"/>
  <c r="P2" i="47" s="1"/>
  <c r="V2" i="22"/>
  <c r="V60" i="20"/>
  <c r="V2" i="21"/>
  <c r="V2" i="19"/>
  <c r="V2" i="20"/>
  <c r="V2" i="18"/>
  <c r="V2" i="14"/>
  <c r="V2" i="16"/>
  <c r="V2" i="15"/>
  <c r="V2" i="17"/>
  <c r="V2" i="13"/>
  <c r="V2" i="11"/>
  <c r="V2" i="12"/>
  <c r="V276" i="6"/>
  <c r="V278" i="6" s="1"/>
  <c r="V270" i="6" s="1"/>
  <c r="V271" i="6" s="1"/>
  <c r="V264" i="6" s="1"/>
  <c r="V243" i="6"/>
  <c r="V245" i="6" s="1"/>
  <c r="V21" i="18" s="1"/>
  <c r="V2" i="10"/>
  <c r="V2" i="9"/>
  <c r="V313" i="6"/>
  <c r="V315" i="6" s="1"/>
  <c r="V307" i="6"/>
  <c r="W308" i="6" s="1"/>
  <c r="V2" i="8"/>
  <c r="V227" i="6"/>
  <c r="V229" i="6" s="1"/>
  <c r="V21" i="17" s="1"/>
  <c r="V203" i="6"/>
  <c r="V147" i="6"/>
  <c r="V72" i="6"/>
  <c r="V170" i="6"/>
  <c r="V171" i="6" s="1"/>
  <c r="V120" i="6"/>
  <c r="V122" i="6" s="1"/>
  <c r="V127" i="6" s="1"/>
  <c r="V128" i="6" s="1"/>
  <c r="V132" i="6" s="1"/>
  <c r="V2" i="7"/>
  <c r="V32" i="6"/>
  <c r="V92" i="6"/>
  <c r="V2" i="4"/>
  <c r="V52" i="6"/>
  <c r="V114" i="6"/>
  <c r="V115" i="6" s="1"/>
  <c r="V2" i="6"/>
  <c r="V176" i="6"/>
  <c r="V178" i="6" s="1"/>
  <c r="V183" i="6" s="1"/>
  <c r="V184" i="6" s="1"/>
  <c r="V188" i="6" s="1"/>
  <c r="V235" i="6"/>
  <c r="V237" i="6" s="1"/>
  <c r="V20" i="16" s="1"/>
  <c r="U26" i="31"/>
  <c r="O41" i="47" s="1"/>
  <c r="V11" i="21"/>
  <c r="V13" i="21" s="1"/>
  <c r="U29" i="9"/>
  <c r="W41" i="6"/>
  <c r="W47" i="6"/>
  <c r="W34" i="6"/>
  <c r="L19" i="34"/>
  <c r="F58" i="47" s="1"/>
  <c r="L26" i="16"/>
  <c r="N27" i="16" s="1"/>
  <c r="L12" i="16"/>
  <c r="H47" i="47"/>
  <c r="V61" i="20"/>
  <c r="V67" i="20" s="1"/>
  <c r="N28" i="16" l="1"/>
  <c r="N14" i="16"/>
  <c r="Y4" i="40"/>
  <c r="Y4" i="37"/>
  <c r="Y4" i="34"/>
  <c r="Y4" i="28"/>
  <c r="Y10" i="21"/>
  <c r="Y74" i="20"/>
  <c r="Y4" i="21"/>
  <c r="Y4" i="31"/>
  <c r="Y4" i="22"/>
  <c r="Y4" i="19"/>
  <c r="Y32" i="20"/>
  <c r="Y4" i="20"/>
  <c r="Y10" i="18"/>
  <c r="Y28" i="19"/>
  <c r="Y4" i="18"/>
  <c r="Y4" i="17"/>
  <c r="Y10" i="17"/>
  <c r="Y4" i="16"/>
  <c r="Y40" i="15"/>
  <c r="Y10" i="16"/>
  <c r="Y4" i="13"/>
  <c r="Y4" i="15"/>
  <c r="Y27" i="15"/>
  <c r="Y17" i="13"/>
  <c r="Y4" i="14"/>
  <c r="Y60" i="12"/>
  <c r="Y18" i="12"/>
  <c r="Y50" i="12"/>
  <c r="Y4" i="12"/>
  <c r="Y4" i="10"/>
  <c r="Y23" i="11"/>
  <c r="Y330" i="6"/>
  <c r="Y331" i="6" s="1"/>
  <c r="Y269" i="6"/>
  <c r="Y16" i="10"/>
  <c r="Y4" i="9"/>
  <c r="Y4" i="7"/>
  <c r="Y345" i="6"/>
  <c r="Y346" i="6" s="1"/>
  <c r="Y295" i="6"/>
  <c r="Y296" i="6" s="1"/>
  <c r="Y4" i="11"/>
  <c r="Y4" i="8"/>
  <c r="Y314" i="6"/>
  <c r="Y37" i="12"/>
  <c r="Y35" i="9"/>
  <c r="Y340" i="6"/>
  <c r="Y341" i="6" s="1"/>
  <c r="Y290" i="6"/>
  <c r="Y291" i="6" s="1"/>
  <c r="Y73" i="6"/>
  <c r="Y10" i="9"/>
  <c r="Y196" i="6"/>
  <c r="Y80" i="6"/>
  <c r="Y325" i="6"/>
  <c r="Y326" i="6" s="1"/>
  <c r="Y140" i="6"/>
  <c r="Y86" i="6"/>
  <c r="Y25" i="13"/>
  <c r="Y182" i="6"/>
  <c r="Y93" i="6"/>
  <c r="Y306" i="6"/>
  <c r="Y126" i="6"/>
  <c r="Y100" i="6"/>
  <c r="Y253" i="6"/>
  <c r="Y60" i="6"/>
  <c r="Y66" i="6"/>
  <c r="Y4" i="6"/>
  <c r="Y33" i="6"/>
  <c r="Y11" i="6"/>
  <c r="Y12" i="6" s="1"/>
  <c r="Y106" i="6"/>
  <c r="Y46" i="6"/>
  <c r="Y4" i="4"/>
  <c r="Y23" i="6"/>
  <c r="Y24" i="6" s="1"/>
  <c r="Y53" i="6"/>
  <c r="Y40" i="6"/>
  <c r="Z28" i="6"/>
  <c r="Y32" i="10"/>
  <c r="X74" i="6"/>
  <c r="X81" i="6"/>
  <c r="X87" i="6"/>
  <c r="F29" i="47"/>
  <c r="W18" i="37"/>
  <c r="R30" i="51" s="1"/>
  <c r="W20" i="13"/>
  <c r="W28" i="13"/>
  <c r="W55" i="12"/>
  <c r="X34" i="6"/>
  <c r="X47" i="6"/>
  <c r="X41" i="6"/>
  <c r="X9" i="37"/>
  <c r="X19" i="10"/>
  <c r="X39" i="10"/>
  <c r="X17" i="12"/>
  <c r="X94" i="6"/>
  <c r="X101" i="6"/>
  <c r="X107" i="6"/>
  <c r="M16" i="37"/>
  <c r="M62" i="12"/>
  <c r="M64" i="12" s="1"/>
  <c r="M53" i="12"/>
  <c r="M56" i="12" s="1"/>
  <c r="V61" i="6"/>
  <c r="V54" i="6"/>
  <c r="V67" i="6"/>
  <c r="X59" i="20"/>
  <c r="X53" i="20"/>
  <c r="X54" i="20" s="1"/>
  <c r="X58" i="20" s="1"/>
  <c r="X228" i="6"/>
  <c r="X277" i="6"/>
  <c r="X244" i="6"/>
  <c r="X284" i="6"/>
  <c r="X285" i="6" s="1"/>
  <c r="X177" i="6"/>
  <c r="X236" i="6"/>
  <c r="X121" i="6"/>
  <c r="X18" i="6"/>
  <c r="X19" i="6" s="1"/>
  <c r="L17" i="28"/>
  <c r="X3" i="40"/>
  <c r="X3" i="34"/>
  <c r="X3" i="37"/>
  <c r="X3" i="31"/>
  <c r="X3" i="28"/>
  <c r="X3" i="21"/>
  <c r="X3" i="22"/>
  <c r="X3" i="20"/>
  <c r="X3" i="18"/>
  <c r="X3" i="19"/>
  <c r="X3" i="17"/>
  <c r="X3" i="15"/>
  <c r="X3" i="14"/>
  <c r="X3" i="12"/>
  <c r="X3" i="10"/>
  <c r="X3" i="13"/>
  <c r="X3" i="16"/>
  <c r="X3" i="11"/>
  <c r="X3" i="9"/>
  <c r="X3" i="7"/>
  <c r="X3" i="8"/>
  <c r="X79" i="6"/>
  <c r="X99" i="6"/>
  <c r="X3" i="6"/>
  <c r="X59" i="6"/>
  <c r="X3" i="4"/>
  <c r="X39" i="6"/>
  <c r="V218" i="6"/>
  <c r="V197" i="6"/>
  <c r="X14" i="37"/>
  <c r="X63" i="12"/>
  <c r="X54" i="12"/>
  <c r="X67" i="12"/>
  <c r="X68" i="12" s="1"/>
  <c r="M16" i="19"/>
  <c r="M17" i="19" s="1"/>
  <c r="M42" i="15"/>
  <c r="M20" i="15"/>
  <c r="M25" i="11"/>
  <c r="L47" i="16"/>
  <c r="L33" i="16"/>
  <c r="L34" i="16" s="1"/>
  <c r="V26" i="31"/>
  <c r="P41" i="47" s="1"/>
  <c r="W11" i="21"/>
  <c r="W13" i="21" s="1"/>
  <c r="V29" i="9"/>
  <c r="V141" i="6"/>
  <c r="V162" i="6"/>
  <c r="P45" i="47"/>
  <c r="P21" i="47"/>
  <c r="W2" i="40"/>
  <c r="W2" i="37"/>
  <c r="W2" i="34"/>
  <c r="W2" i="31"/>
  <c r="W2" i="22"/>
  <c r="W60" i="20"/>
  <c r="W61" i="20" s="1"/>
  <c r="W67" i="20" s="1"/>
  <c r="W2" i="21"/>
  <c r="W2" i="28"/>
  <c r="Q2" i="47" s="1"/>
  <c r="W2" i="19"/>
  <c r="W2" i="20"/>
  <c r="W2" i="18"/>
  <c r="W2" i="16"/>
  <c r="W2" i="17"/>
  <c r="W2" i="14"/>
  <c r="W2" i="13"/>
  <c r="W2" i="11"/>
  <c r="W2" i="12"/>
  <c r="W2" i="10"/>
  <c r="W276" i="6"/>
  <c r="W278" i="6" s="1"/>
  <c r="W270" i="6" s="1"/>
  <c r="W271" i="6" s="1"/>
  <c r="W264" i="6" s="1"/>
  <c r="W243" i="6"/>
  <c r="W245" i="6" s="1"/>
  <c r="W21" i="18" s="1"/>
  <c r="W2" i="9"/>
  <c r="W2" i="7"/>
  <c r="W227" i="6"/>
  <c r="W229" i="6" s="1"/>
  <c r="W21" i="17" s="1"/>
  <c r="W203" i="6"/>
  <c r="W2" i="8"/>
  <c r="W2" i="15"/>
  <c r="W235" i="6"/>
  <c r="W237" i="6" s="1"/>
  <c r="W20" i="16" s="1"/>
  <c r="W147" i="6"/>
  <c r="W307" i="6"/>
  <c r="X308" i="6" s="1"/>
  <c r="W72" i="6"/>
  <c r="W176" i="6"/>
  <c r="W178" i="6" s="1"/>
  <c r="W183" i="6" s="1"/>
  <c r="W184" i="6" s="1"/>
  <c r="W188" i="6" s="1"/>
  <c r="W313" i="6"/>
  <c r="W315" i="6" s="1"/>
  <c r="W114" i="6"/>
  <c r="W115" i="6" s="1"/>
  <c r="W92" i="6"/>
  <c r="W2" i="4"/>
  <c r="W52" i="6"/>
  <c r="W170" i="6"/>
  <c r="W171" i="6" s="1"/>
  <c r="W120" i="6"/>
  <c r="W122" i="6" s="1"/>
  <c r="W127" i="6" s="1"/>
  <c r="W128" i="6" s="1"/>
  <c r="W132" i="6" s="1"/>
  <c r="W32" i="6"/>
  <c r="W2" i="6"/>
  <c r="F13" i="47" l="1"/>
  <c r="G22" i="51"/>
  <c r="L13" i="16"/>
  <c r="L15" i="16" s="1"/>
  <c r="M21" i="19"/>
  <c r="M43" i="15"/>
  <c r="M21" i="15"/>
  <c r="O22" i="15" s="1"/>
  <c r="Z4" i="40"/>
  <c r="Z4" i="37"/>
  <c r="Z4" i="34"/>
  <c r="Z4" i="31"/>
  <c r="Z4" i="28"/>
  <c r="Z74" i="20"/>
  <c r="Z4" i="21"/>
  <c r="Z10" i="21"/>
  <c r="Z4" i="22"/>
  <c r="Z32" i="20"/>
  <c r="Z4" i="20"/>
  <c r="Z28" i="19"/>
  <c r="Z4" i="19"/>
  <c r="Z4" i="18"/>
  <c r="Z4" i="17"/>
  <c r="Z4" i="16"/>
  <c r="Z10" i="17"/>
  <c r="Z40" i="15"/>
  <c r="Z10" i="18"/>
  <c r="Z10" i="16"/>
  <c r="Z4" i="15"/>
  <c r="Z4" i="14"/>
  <c r="Z25" i="13"/>
  <c r="Z60" i="12"/>
  <c r="Z18" i="12"/>
  <c r="Z17" i="13"/>
  <c r="Z50" i="12"/>
  <c r="Z4" i="12"/>
  <c r="Z4" i="10"/>
  <c r="Z4" i="13"/>
  <c r="Z35" i="9"/>
  <c r="Z27" i="15"/>
  <c r="Z37" i="12"/>
  <c r="Z4" i="11"/>
  <c r="Z16" i="10"/>
  <c r="Z4" i="9"/>
  <c r="Z4" i="7"/>
  <c r="Z345" i="6"/>
  <c r="Z346" i="6" s="1"/>
  <c r="Z295" i="6"/>
  <c r="Z296" i="6" s="1"/>
  <c r="Z4" i="8"/>
  <c r="Z314" i="6"/>
  <c r="Z306" i="6"/>
  <c r="Z10" i="9"/>
  <c r="Z23" i="11"/>
  <c r="Z253" i="6"/>
  <c r="Z196" i="6"/>
  <c r="Z80" i="6"/>
  <c r="Z340" i="6"/>
  <c r="Z341" i="6" s="1"/>
  <c r="Z325" i="6"/>
  <c r="Z326" i="6" s="1"/>
  <c r="Z140" i="6"/>
  <c r="Z86" i="6"/>
  <c r="Z269" i="6"/>
  <c r="Z182" i="6"/>
  <c r="Z93" i="6"/>
  <c r="Z126" i="6"/>
  <c r="Z100" i="6"/>
  <c r="Z106" i="6"/>
  <c r="Z290" i="6"/>
  <c r="Z291" i="6" s="1"/>
  <c r="Z66" i="6"/>
  <c r="Z60" i="6"/>
  <c r="Z73" i="6"/>
  <c r="Z4" i="6"/>
  <c r="Z33" i="6"/>
  <c r="Z11" i="6"/>
  <c r="Z12" i="6" s="1"/>
  <c r="Z40" i="6"/>
  <c r="AA28" i="6"/>
  <c r="Z330" i="6"/>
  <c r="Z331" i="6" s="1"/>
  <c r="Z53" i="6"/>
  <c r="Z23" i="6"/>
  <c r="Z24" i="6" s="1"/>
  <c r="Z46" i="6"/>
  <c r="Z4" i="4"/>
  <c r="Z32" i="10"/>
  <c r="N20" i="34"/>
  <c r="H59" i="47" s="1"/>
  <c r="W218" i="6"/>
  <c r="W197" i="6"/>
  <c r="Y9" i="37"/>
  <c r="Y19" i="10"/>
  <c r="Y39" i="10"/>
  <c r="Y17" i="12"/>
  <c r="Y34" i="6"/>
  <c r="Y41" i="6"/>
  <c r="Y47" i="6"/>
  <c r="Y94" i="6"/>
  <c r="Y101" i="6"/>
  <c r="Y107" i="6"/>
  <c r="Y81" i="6"/>
  <c r="Y87" i="6"/>
  <c r="Y74" i="6"/>
  <c r="L24" i="34"/>
  <c r="F63" i="47" s="1"/>
  <c r="W141" i="6"/>
  <c r="W162" i="6"/>
  <c r="Y3" i="40"/>
  <c r="Y3" i="37"/>
  <c r="Y3" i="34"/>
  <c r="Y3" i="31"/>
  <c r="Y3" i="28"/>
  <c r="Y3" i="21"/>
  <c r="Y3" i="22"/>
  <c r="Y3" i="20"/>
  <c r="Y3" i="18"/>
  <c r="Y3" i="19"/>
  <c r="Y3" i="17"/>
  <c r="Y3" i="16"/>
  <c r="Y3" i="14"/>
  <c r="Y3" i="13"/>
  <c r="Y3" i="15"/>
  <c r="Y3" i="12"/>
  <c r="Y3" i="10"/>
  <c r="Y3" i="11"/>
  <c r="Y3" i="8"/>
  <c r="Y79" i="6"/>
  <c r="Y3" i="9"/>
  <c r="Y3" i="7"/>
  <c r="Y59" i="6"/>
  <c r="Y3" i="4"/>
  <c r="Y39" i="6"/>
  <c r="Y3" i="6"/>
  <c r="Y99" i="6"/>
  <c r="M45" i="15"/>
  <c r="W67" i="6"/>
  <c r="W61" i="6"/>
  <c r="W54" i="6"/>
  <c r="W26" i="31"/>
  <c r="Q41" i="47" s="1"/>
  <c r="X11" i="21"/>
  <c r="X13" i="21" s="1"/>
  <c r="W29" i="9"/>
  <c r="Y59" i="20"/>
  <c r="Y53" i="20"/>
  <c r="Y54" i="20" s="1"/>
  <c r="Y58" i="20" s="1"/>
  <c r="Y228" i="6"/>
  <c r="Y236" i="6"/>
  <c r="Y244" i="6"/>
  <c r="Y284" i="6"/>
  <c r="Y285" i="6" s="1"/>
  <c r="Y177" i="6"/>
  <c r="Y121" i="6"/>
  <c r="Y277" i="6"/>
  <c r="Y18" i="6"/>
  <c r="Y19" i="6" s="1"/>
  <c r="X2" i="40"/>
  <c r="X2" i="37"/>
  <c r="X2" i="34"/>
  <c r="X2" i="31"/>
  <c r="X2" i="28"/>
  <c r="R2" i="47" s="1"/>
  <c r="X2" i="22"/>
  <c r="X60" i="20"/>
  <c r="X61" i="20" s="1"/>
  <c r="X67" i="20" s="1"/>
  <c r="X2" i="21"/>
  <c r="X2" i="19"/>
  <c r="X2" i="20"/>
  <c r="X2" i="18"/>
  <c r="X2" i="17"/>
  <c r="X2" i="16"/>
  <c r="X2" i="14"/>
  <c r="X2" i="13"/>
  <c r="X2" i="15"/>
  <c r="X2" i="11"/>
  <c r="X2" i="12"/>
  <c r="X243" i="6"/>
  <c r="X245" i="6" s="1"/>
  <c r="X21" i="18" s="1"/>
  <c r="X2" i="9"/>
  <c r="X2" i="7"/>
  <c r="X227" i="6"/>
  <c r="X229" i="6" s="1"/>
  <c r="X21" i="17" s="1"/>
  <c r="X203" i="6"/>
  <c r="X2" i="10"/>
  <c r="X2" i="8"/>
  <c r="X147" i="6"/>
  <c r="X307" i="6"/>
  <c r="Y308" i="6" s="1"/>
  <c r="X276" i="6"/>
  <c r="X278" i="6" s="1"/>
  <c r="X270" i="6" s="1"/>
  <c r="X271" i="6" s="1"/>
  <c r="X264" i="6" s="1"/>
  <c r="X72" i="6"/>
  <c r="X176" i="6"/>
  <c r="X178" i="6" s="1"/>
  <c r="X183" i="6" s="1"/>
  <c r="X184" i="6" s="1"/>
  <c r="X188" i="6" s="1"/>
  <c r="X170" i="6"/>
  <c r="X171" i="6" s="1"/>
  <c r="X120" i="6"/>
  <c r="X122" i="6" s="1"/>
  <c r="X127" i="6" s="1"/>
  <c r="X128" i="6" s="1"/>
  <c r="X132" i="6" s="1"/>
  <c r="X235" i="6"/>
  <c r="X237" i="6" s="1"/>
  <c r="X20" i="16" s="1"/>
  <c r="X92" i="6"/>
  <c r="X52" i="6"/>
  <c r="X313" i="6"/>
  <c r="X315" i="6" s="1"/>
  <c r="X2" i="6"/>
  <c r="X32" i="6"/>
  <c r="X2" i="4"/>
  <c r="X114" i="6"/>
  <c r="X115" i="6" s="1"/>
  <c r="Q45" i="47"/>
  <c r="Q21" i="47"/>
  <c r="X18" i="37"/>
  <c r="S30" i="51" s="1"/>
  <c r="X20" i="13"/>
  <c r="X28" i="13"/>
  <c r="X55" i="12"/>
  <c r="Y14" i="37"/>
  <c r="Y63" i="12"/>
  <c r="Y54" i="12"/>
  <c r="Y67" i="12"/>
  <c r="Y68" i="12" s="1"/>
  <c r="M17" i="37"/>
  <c r="H29" i="51" s="1"/>
  <c r="N61" i="12"/>
  <c r="M17" i="11"/>
  <c r="M18" i="11" s="1"/>
  <c r="M15" i="37"/>
  <c r="H28" i="51" s="1"/>
  <c r="N51" i="12"/>
  <c r="Z34" i="6" l="1"/>
  <c r="Z41" i="6"/>
  <c r="Z47" i="6"/>
  <c r="Z14" i="37"/>
  <c r="Z63" i="12"/>
  <c r="Z54" i="12"/>
  <c r="Z67" i="12"/>
  <c r="Z68" i="12" s="1"/>
  <c r="L17" i="31"/>
  <c r="M11" i="16"/>
  <c r="Z59" i="20"/>
  <c r="Z53" i="20"/>
  <c r="Z54" i="20" s="1"/>
  <c r="Z58" i="20" s="1"/>
  <c r="Z236" i="6"/>
  <c r="Z284" i="6"/>
  <c r="Z285" i="6" s="1"/>
  <c r="Z177" i="6"/>
  <c r="Z121" i="6"/>
  <c r="Z228" i="6"/>
  <c r="Z277" i="6"/>
  <c r="Z18" i="6"/>
  <c r="Z19" i="6" s="1"/>
  <c r="Z244" i="6"/>
  <c r="Y2" i="40"/>
  <c r="Y2" i="37"/>
  <c r="Y2" i="34"/>
  <c r="Y2" i="31"/>
  <c r="Y2" i="28"/>
  <c r="S2" i="47" s="1"/>
  <c r="Y60" i="20"/>
  <c r="Y2" i="21"/>
  <c r="Y2" i="19"/>
  <c r="Y2" i="20"/>
  <c r="Y2" i="22"/>
  <c r="Y2" i="18"/>
  <c r="Y2" i="17"/>
  <c r="Y2" i="16"/>
  <c r="Y2" i="13"/>
  <c r="Y2" i="15"/>
  <c r="Y2" i="12"/>
  <c r="Y2" i="10"/>
  <c r="Y2" i="14"/>
  <c r="Y2" i="11"/>
  <c r="Y2" i="9"/>
  <c r="Y2" i="7"/>
  <c r="Y227" i="6"/>
  <c r="Y229" i="6" s="1"/>
  <c r="Y21" i="17" s="1"/>
  <c r="Y203" i="6"/>
  <c r="Y2" i="8"/>
  <c r="Y313" i="6"/>
  <c r="Y315" i="6" s="1"/>
  <c r="Y307" i="6"/>
  <c r="Y276" i="6"/>
  <c r="Y278" i="6" s="1"/>
  <c r="Y270" i="6" s="1"/>
  <c r="Y271" i="6" s="1"/>
  <c r="Y264" i="6" s="1"/>
  <c r="Y147" i="6"/>
  <c r="Y72" i="6"/>
  <c r="Y176" i="6"/>
  <c r="Y178" i="6" s="1"/>
  <c r="Y183" i="6" s="1"/>
  <c r="Y184" i="6" s="1"/>
  <c r="Y188" i="6" s="1"/>
  <c r="Y170" i="6"/>
  <c r="Y171" i="6" s="1"/>
  <c r="Y120" i="6"/>
  <c r="Y122" i="6" s="1"/>
  <c r="Y127" i="6" s="1"/>
  <c r="Y128" i="6" s="1"/>
  <c r="Y132" i="6" s="1"/>
  <c r="Y243" i="6"/>
  <c r="Y245" i="6" s="1"/>
  <c r="Y21" i="18" s="1"/>
  <c r="Y114" i="6"/>
  <c r="Y115" i="6" s="1"/>
  <c r="Y92" i="6"/>
  <c r="Y52" i="6"/>
  <c r="Y2" i="6"/>
  <c r="Y235" i="6"/>
  <c r="Y237" i="6" s="1"/>
  <c r="Y20" i="16" s="1"/>
  <c r="Y2" i="4"/>
  <c r="Y32" i="6"/>
  <c r="Y61" i="20"/>
  <c r="Y67" i="20" s="1"/>
  <c r="Z94" i="6"/>
  <c r="Z101" i="6"/>
  <c r="Z107" i="6"/>
  <c r="X197" i="6"/>
  <c r="X218" i="6"/>
  <c r="Y18" i="37"/>
  <c r="T30" i="51" s="1"/>
  <c r="Y20" i="13"/>
  <c r="Y28" i="13"/>
  <c r="Y55" i="12"/>
  <c r="R45" i="47"/>
  <c r="R21" i="47"/>
  <c r="Z3" i="40"/>
  <c r="Z3" i="37"/>
  <c r="Z3" i="34"/>
  <c r="Z3" i="31"/>
  <c r="Z3" i="28"/>
  <c r="Z3" i="22"/>
  <c r="Z3" i="21"/>
  <c r="Z3" i="19"/>
  <c r="Z3" i="18"/>
  <c r="Z3" i="20"/>
  <c r="Z3" i="14"/>
  <c r="Z3" i="16"/>
  <c r="Z3" i="15"/>
  <c r="Z3" i="13"/>
  <c r="Z3" i="11"/>
  <c r="Z3" i="12"/>
  <c r="Z3" i="17"/>
  <c r="Z3" i="10"/>
  <c r="Z3" i="9"/>
  <c r="Z3" i="8"/>
  <c r="Z79" i="6"/>
  <c r="Z99" i="6"/>
  <c r="Z59" i="6"/>
  <c r="Z3" i="4"/>
  <c r="Z3" i="7"/>
  <c r="Z3" i="6"/>
  <c r="Z39" i="6"/>
  <c r="X61" i="6"/>
  <c r="X54" i="6"/>
  <c r="X67" i="6"/>
  <c r="X141" i="6"/>
  <c r="X162" i="6"/>
  <c r="Z9" i="37"/>
  <c r="Z19" i="10"/>
  <c r="Z39" i="10"/>
  <c r="Z17" i="12"/>
  <c r="N24" i="10"/>
  <c r="N26" i="10" s="1"/>
  <c r="O8" i="34"/>
  <c r="O44" i="15"/>
  <c r="X26" i="31"/>
  <c r="R41" i="47" s="1"/>
  <c r="Y11" i="21"/>
  <c r="Y13" i="21" s="1"/>
  <c r="X29" i="9"/>
  <c r="M10" i="31"/>
  <c r="G25" i="47" s="1"/>
  <c r="N41" i="15"/>
  <c r="Z87" i="6"/>
  <c r="Z74" i="6"/>
  <c r="Z81" i="6"/>
  <c r="M8" i="28"/>
  <c r="H12" i="51" s="1"/>
  <c r="M19" i="16"/>
  <c r="M21" i="16" s="1"/>
  <c r="M26" i="11"/>
  <c r="M27" i="11" s="1"/>
  <c r="AA4" i="40"/>
  <c r="AA4" i="37"/>
  <c r="AA4" i="34"/>
  <c r="AA4" i="31"/>
  <c r="AA4" i="28"/>
  <c r="AA4" i="21"/>
  <c r="AA4" i="22"/>
  <c r="AA74" i="20"/>
  <c r="AA10" i="21"/>
  <c r="AA32" i="20"/>
  <c r="AA4" i="20"/>
  <c r="AA28" i="19"/>
  <c r="AA4" i="19"/>
  <c r="AA4" i="18"/>
  <c r="AA4" i="17"/>
  <c r="AA10" i="18"/>
  <c r="AA4" i="16"/>
  <c r="AA10" i="17"/>
  <c r="AA40" i="15"/>
  <c r="AA10" i="16"/>
  <c r="AA27" i="15"/>
  <c r="AA4" i="13"/>
  <c r="AA4" i="15"/>
  <c r="AA17" i="13"/>
  <c r="AA50" i="12"/>
  <c r="AA4" i="12"/>
  <c r="AA4" i="10"/>
  <c r="AA35" i="9"/>
  <c r="AA25" i="13"/>
  <c r="AA23" i="11"/>
  <c r="AA16" i="10"/>
  <c r="AA4" i="8"/>
  <c r="AA314" i="6"/>
  <c r="AA60" i="12"/>
  <c r="AA4" i="11"/>
  <c r="AA306" i="6"/>
  <c r="AA10" i="9"/>
  <c r="AA325" i="6"/>
  <c r="AA326" i="6" s="1"/>
  <c r="AA4" i="14"/>
  <c r="AA18" i="12"/>
  <c r="AA330" i="6"/>
  <c r="AA331" i="6" s="1"/>
  <c r="AA269" i="6"/>
  <c r="AA340" i="6"/>
  <c r="AA341" i="6" s="1"/>
  <c r="AA140" i="6"/>
  <c r="AA86" i="6"/>
  <c r="AA37" i="12"/>
  <c r="AA182" i="6"/>
  <c r="AA93" i="6"/>
  <c r="AA126" i="6"/>
  <c r="AA100" i="6"/>
  <c r="AA106" i="6"/>
  <c r="AA295" i="6"/>
  <c r="AA296" i="6" s="1"/>
  <c r="AA73" i="6"/>
  <c r="AA290" i="6"/>
  <c r="AA291" i="6" s="1"/>
  <c r="AA60" i="6"/>
  <c r="AA4" i="6"/>
  <c r="AA4" i="9"/>
  <c r="AA345" i="6"/>
  <c r="AA346" i="6" s="1"/>
  <c r="AA33" i="6"/>
  <c r="AA11" i="6"/>
  <c r="AA12" i="6" s="1"/>
  <c r="AA196" i="6"/>
  <c r="AA40" i="6"/>
  <c r="AB28" i="6"/>
  <c r="AA46" i="6"/>
  <c r="AA4" i="4"/>
  <c r="AA253" i="6"/>
  <c r="AA66" i="6"/>
  <c r="AA80" i="6"/>
  <c r="AA53" i="6"/>
  <c r="AA23" i="6"/>
  <c r="AA24" i="6" s="1"/>
  <c r="AA4" i="7"/>
  <c r="AA32" i="10"/>
  <c r="Z308" i="6"/>
  <c r="F32" i="47" l="1"/>
  <c r="G8" i="51"/>
  <c r="AA94" i="6"/>
  <c r="AA101" i="6"/>
  <c r="AA107" i="6"/>
  <c r="Y67" i="6"/>
  <c r="Y54" i="6"/>
  <c r="Y61" i="6"/>
  <c r="Z18" i="37"/>
  <c r="U30" i="51" s="1"/>
  <c r="Z28" i="13"/>
  <c r="Z55" i="12"/>
  <c r="Z20" i="13"/>
  <c r="AA81" i="6"/>
  <c r="AA87" i="6"/>
  <c r="AA74" i="6"/>
  <c r="M14" i="31"/>
  <c r="N24" i="11"/>
  <c r="N11" i="11"/>
  <c r="N12" i="11" s="1"/>
  <c r="N20" i="10"/>
  <c r="N44" i="12"/>
  <c r="N45" i="12" s="1"/>
  <c r="AA9" i="37"/>
  <c r="AA39" i="10"/>
  <c r="AA17" i="12"/>
  <c r="AA19" i="10"/>
  <c r="AA14" i="37"/>
  <c r="AA63" i="12"/>
  <c r="AA54" i="12"/>
  <c r="AA67" i="12"/>
  <c r="AA68" i="12" s="1"/>
  <c r="M19" i="34"/>
  <c r="G58" i="47" s="1"/>
  <c r="M26" i="16"/>
  <c r="O27" i="16" s="1"/>
  <c r="M12" i="16"/>
  <c r="Y197" i="6"/>
  <c r="Y218" i="6"/>
  <c r="AB4" i="40"/>
  <c r="AB4" i="37"/>
  <c r="AB4" i="34"/>
  <c r="AB4" i="31"/>
  <c r="AB4" i="28"/>
  <c r="AB4" i="21"/>
  <c r="AB4" i="22"/>
  <c r="AB10" i="21"/>
  <c r="AB74" i="20"/>
  <c r="AB32" i="20"/>
  <c r="AB4" i="20"/>
  <c r="AB28" i="19"/>
  <c r="AB4" i="18"/>
  <c r="AB4" i="19"/>
  <c r="AB10" i="18"/>
  <c r="AB10" i="17"/>
  <c r="AB4" i="17"/>
  <c r="AB40" i="15"/>
  <c r="AB10" i="16"/>
  <c r="AB4" i="15"/>
  <c r="AB17" i="13"/>
  <c r="AB27" i="15"/>
  <c r="AB4" i="14"/>
  <c r="AB25" i="13"/>
  <c r="AB4" i="16"/>
  <c r="AB4" i="12"/>
  <c r="AB4" i="10"/>
  <c r="AB35" i="9"/>
  <c r="AB4" i="13"/>
  <c r="AB23" i="11"/>
  <c r="AB37" i="12"/>
  <c r="AB4" i="11"/>
  <c r="AB16" i="10"/>
  <c r="AB60" i="12"/>
  <c r="AB18" i="12"/>
  <c r="AB50" i="12"/>
  <c r="AB306" i="6"/>
  <c r="AB10" i="9"/>
  <c r="AB325" i="6"/>
  <c r="AB326" i="6" s="1"/>
  <c r="AB340" i="6"/>
  <c r="AB341" i="6" s="1"/>
  <c r="AB290" i="6"/>
  <c r="AB291" i="6" s="1"/>
  <c r="AB4" i="9"/>
  <c r="AB4" i="7"/>
  <c r="AB345" i="6"/>
  <c r="AB346" i="6" s="1"/>
  <c r="AB295" i="6"/>
  <c r="AB296" i="6" s="1"/>
  <c r="AB182" i="6"/>
  <c r="AB93" i="6"/>
  <c r="AB314" i="6"/>
  <c r="AB269" i="6"/>
  <c r="AB126" i="6"/>
  <c r="AB100" i="6"/>
  <c r="AB4" i="8"/>
  <c r="AB106" i="6"/>
  <c r="AB60" i="6"/>
  <c r="AB253" i="6"/>
  <c r="AB66" i="6"/>
  <c r="AB330" i="6"/>
  <c r="AB331" i="6" s="1"/>
  <c r="AB196" i="6"/>
  <c r="AB80" i="6"/>
  <c r="AB4" i="6"/>
  <c r="AB140" i="6"/>
  <c r="AB73" i="6"/>
  <c r="AB33" i="6"/>
  <c r="AB11" i="6"/>
  <c r="AB12" i="6" s="1"/>
  <c r="AB40" i="6"/>
  <c r="AC28" i="6"/>
  <c r="AB46" i="6"/>
  <c r="AB4" i="4"/>
  <c r="AB53" i="6"/>
  <c r="AB23" i="6"/>
  <c r="AB24" i="6" s="1"/>
  <c r="AB86" i="6"/>
  <c r="AB32" i="10"/>
  <c r="G4" i="47"/>
  <c r="Y26" i="31"/>
  <c r="S41" i="47" s="1"/>
  <c r="Z11" i="21"/>
  <c r="Z13" i="21" s="1"/>
  <c r="Y29" i="9"/>
  <c r="Z2" i="37"/>
  <c r="Z2" i="40"/>
  <c r="Z2" i="34"/>
  <c r="Z2" i="31"/>
  <c r="Z2" i="28"/>
  <c r="T2" i="47" s="1"/>
  <c r="Z2" i="21"/>
  <c r="Z2" i="22"/>
  <c r="Z60" i="20"/>
  <c r="Z61" i="20" s="1"/>
  <c r="Z67" i="20" s="1"/>
  <c r="Z2" i="20"/>
  <c r="Z2" i="19"/>
  <c r="Z2" i="18"/>
  <c r="Z2" i="17"/>
  <c r="Z2" i="16"/>
  <c r="Z2" i="15"/>
  <c r="Z2" i="14"/>
  <c r="Z2" i="13"/>
  <c r="Z2" i="12"/>
  <c r="Z2" i="10"/>
  <c r="Z2" i="11"/>
  <c r="Z2" i="9"/>
  <c r="Z2" i="7"/>
  <c r="Z227" i="6"/>
  <c r="Z229" i="6" s="1"/>
  <c r="Z21" i="17" s="1"/>
  <c r="Z2" i="8"/>
  <c r="Z313" i="6"/>
  <c r="Z315" i="6" s="1"/>
  <c r="Z307" i="6"/>
  <c r="Z235" i="6"/>
  <c r="Z237" i="6" s="1"/>
  <c r="Z20" i="16" s="1"/>
  <c r="Z243" i="6"/>
  <c r="Z245" i="6" s="1"/>
  <c r="Z21" i="18" s="1"/>
  <c r="Z72" i="6"/>
  <c r="Z276" i="6"/>
  <c r="Z278" i="6" s="1"/>
  <c r="Z270" i="6" s="1"/>
  <c r="Z271" i="6" s="1"/>
  <c r="Z264" i="6" s="1"/>
  <c r="Z203" i="6"/>
  <c r="Z176" i="6"/>
  <c r="Z178" i="6" s="1"/>
  <c r="Z183" i="6" s="1"/>
  <c r="Z184" i="6" s="1"/>
  <c r="Z188" i="6" s="1"/>
  <c r="Z170" i="6"/>
  <c r="Z171" i="6" s="1"/>
  <c r="Z120" i="6"/>
  <c r="Z122" i="6" s="1"/>
  <c r="Z127" i="6" s="1"/>
  <c r="Z128" i="6" s="1"/>
  <c r="Z132" i="6" s="1"/>
  <c r="Z114" i="6"/>
  <c r="Z115" i="6" s="1"/>
  <c r="Z92" i="6"/>
  <c r="Z147" i="6"/>
  <c r="Z2" i="6"/>
  <c r="Z32" i="6"/>
  <c r="Z2" i="4"/>
  <c r="Z52" i="6"/>
  <c r="I47" i="47"/>
  <c r="AA3" i="40"/>
  <c r="AA3" i="37"/>
  <c r="AA3" i="34"/>
  <c r="AA3" i="31"/>
  <c r="AA3" i="22"/>
  <c r="AA3" i="21"/>
  <c r="AA3" i="28"/>
  <c r="AA3" i="19"/>
  <c r="AA3" i="20"/>
  <c r="AA3" i="18"/>
  <c r="AA3" i="16"/>
  <c r="AA3" i="17"/>
  <c r="AA3" i="14"/>
  <c r="AA3" i="13"/>
  <c r="AA3" i="11"/>
  <c r="AA3" i="12"/>
  <c r="AA3" i="10"/>
  <c r="AA3" i="15"/>
  <c r="AA3" i="9"/>
  <c r="AA3" i="7"/>
  <c r="AA3" i="8"/>
  <c r="AA79" i="6"/>
  <c r="AA99" i="6"/>
  <c r="AA59" i="6"/>
  <c r="AA3" i="4"/>
  <c r="AA39" i="6"/>
  <c r="AA3" i="6"/>
  <c r="S45" i="47"/>
  <c r="S21" i="47"/>
  <c r="Y141" i="6"/>
  <c r="Y162" i="6"/>
  <c r="M39" i="16"/>
  <c r="M40" i="16" s="1"/>
  <c r="AA53" i="20"/>
  <c r="AA54" i="20" s="1"/>
  <c r="AA58" i="20" s="1"/>
  <c r="AA59" i="20"/>
  <c r="AA236" i="6"/>
  <c r="AA284" i="6"/>
  <c r="AA285" i="6" s="1"/>
  <c r="AA277" i="6"/>
  <c r="AA228" i="6"/>
  <c r="AA121" i="6"/>
  <c r="AA244" i="6"/>
  <c r="AA177" i="6"/>
  <c r="AA18" i="6"/>
  <c r="AA19" i="6" s="1"/>
  <c r="AA34" i="6"/>
  <c r="AA41" i="6"/>
  <c r="AA47" i="6"/>
  <c r="AA308" i="6"/>
  <c r="Z26" i="31" l="1"/>
  <c r="T41" i="47" s="1"/>
  <c r="AA11" i="21"/>
  <c r="AA13" i="21" s="1"/>
  <c r="Z29" i="9"/>
  <c r="O28" i="16"/>
  <c r="O14" i="16"/>
  <c r="Z141" i="6"/>
  <c r="Z162" i="6"/>
  <c r="AB34" i="6"/>
  <c r="AB41" i="6"/>
  <c r="AB47" i="6"/>
  <c r="N16" i="19"/>
  <c r="N17" i="19" s="1"/>
  <c r="N42" i="15"/>
  <c r="N20" i="15"/>
  <c r="N25" i="11"/>
  <c r="AB101" i="6"/>
  <c r="AB107" i="6"/>
  <c r="AB94" i="6"/>
  <c r="Z197" i="6"/>
  <c r="Z218" i="6"/>
  <c r="Z67" i="6"/>
  <c r="Z61" i="6"/>
  <c r="Z54" i="6"/>
  <c r="AB14" i="37"/>
  <c r="AB63" i="12"/>
  <c r="AB54" i="12"/>
  <c r="AB67" i="12"/>
  <c r="AB68" i="12" s="1"/>
  <c r="M32" i="16"/>
  <c r="M45" i="16"/>
  <c r="M46" i="16" s="1"/>
  <c r="M41" i="16"/>
  <c r="AC4" i="40"/>
  <c r="AC4" i="37"/>
  <c r="AC4" i="34"/>
  <c r="AC4" i="31"/>
  <c r="AC4" i="28"/>
  <c r="AC4" i="21"/>
  <c r="AC4" i="22"/>
  <c r="AC10" i="21"/>
  <c r="AC74" i="20"/>
  <c r="AC32" i="20"/>
  <c r="AC4" i="20"/>
  <c r="AC28" i="19"/>
  <c r="AC4" i="18"/>
  <c r="AC4" i="19"/>
  <c r="AC10" i="18"/>
  <c r="AC10" i="17"/>
  <c r="AC4" i="17"/>
  <c r="AC40" i="15"/>
  <c r="AC10" i="16"/>
  <c r="AC27" i="15"/>
  <c r="AC4" i="16"/>
  <c r="AC17" i="13"/>
  <c r="AC4" i="14"/>
  <c r="AC25" i="13"/>
  <c r="AC4" i="13"/>
  <c r="AC4" i="15"/>
  <c r="AC4" i="12"/>
  <c r="AC4" i="10"/>
  <c r="AC23" i="11"/>
  <c r="AC37" i="12"/>
  <c r="AC4" i="11"/>
  <c r="AC16" i="10"/>
  <c r="AC50" i="12"/>
  <c r="AC60" i="12"/>
  <c r="AC306" i="6"/>
  <c r="AC10" i="9"/>
  <c r="AC325" i="6"/>
  <c r="AC326" i="6" s="1"/>
  <c r="AC340" i="6"/>
  <c r="AC341" i="6" s="1"/>
  <c r="AC290" i="6"/>
  <c r="AC291" i="6" s="1"/>
  <c r="AC18" i="12"/>
  <c r="AC253" i="6"/>
  <c r="AC4" i="8"/>
  <c r="AC314" i="6"/>
  <c r="AC269" i="6"/>
  <c r="AC126" i="6"/>
  <c r="AC100" i="6"/>
  <c r="AC106" i="6"/>
  <c r="AC60" i="6"/>
  <c r="AC35" i="9"/>
  <c r="AC295" i="6"/>
  <c r="AC296" i="6" s="1"/>
  <c r="AC66" i="6"/>
  <c r="AC73" i="6"/>
  <c r="AC4" i="9"/>
  <c r="AC4" i="7"/>
  <c r="AC345" i="6"/>
  <c r="AC346" i="6" s="1"/>
  <c r="AC140" i="6"/>
  <c r="AC86" i="6"/>
  <c r="AC33" i="6"/>
  <c r="AC11" i="6"/>
  <c r="AC12" i="6" s="1"/>
  <c r="AC40" i="6"/>
  <c r="AD28" i="6"/>
  <c r="AC196" i="6"/>
  <c r="AC46" i="6"/>
  <c r="AC4" i="4"/>
  <c r="AC53" i="6"/>
  <c r="AC23" i="6"/>
  <c r="AC24" i="6" s="1"/>
  <c r="AC93" i="6"/>
  <c r="AC80" i="6"/>
  <c r="AC4" i="6"/>
  <c r="AC330" i="6"/>
  <c r="AC331" i="6" s="1"/>
  <c r="AC182" i="6"/>
  <c r="AC32" i="10"/>
  <c r="AA18" i="37"/>
  <c r="V30" i="51" s="1"/>
  <c r="AA20" i="13"/>
  <c r="AA55" i="12"/>
  <c r="AA28" i="13"/>
  <c r="AB74" i="6"/>
  <c r="AB87" i="6"/>
  <c r="AB81" i="6"/>
  <c r="AB3" i="40"/>
  <c r="AB3" i="37"/>
  <c r="AB3" i="34"/>
  <c r="AB3" i="31"/>
  <c r="AB3" i="28"/>
  <c r="AB3" i="22"/>
  <c r="AB3" i="21"/>
  <c r="AB3" i="19"/>
  <c r="AB3" i="20"/>
  <c r="AB3" i="18"/>
  <c r="AB3" i="17"/>
  <c r="AB3" i="16"/>
  <c r="AB3" i="14"/>
  <c r="AB3" i="13"/>
  <c r="AB3" i="15"/>
  <c r="AB3" i="11"/>
  <c r="AB3" i="12"/>
  <c r="AB3" i="9"/>
  <c r="AB3" i="7"/>
  <c r="AB3" i="10"/>
  <c r="AB3" i="8"/>
  <c r="AB99" i="6"/>
  <c r="AB79" i="6"/>
  <c r="AB39" i="6"/>
  <c r="AB3" i="6"/>
  <c r="AB3" i="4"/>
  <c r="AB59" i="6"/>
  <c r="T21" i="47"/>
  <c r="T45" i="47"/>
  <c r="AB9" i="37"/>
  <c r="AB39" i="10"/>
  <c r="AB17" i="12"/>
  <c r="AB19" i="10"/>
  <c r="AB53" i="20"/>
  <c r="AB54" i="20" s="1"/>
  <c r="AB58" i="20" s="1"/>
  <c r="AB59" i="20"/>
  <c r="AB236" i="6"/>
  <c r="AB284" i="6"/>
  <c r="AB285" i="6" s="1"/>
  <c r="AB277" i="6"/>
  <c r="AB244" i="6"/>
  <c r="AB228" i="6"/>
  <c r="AB177" i="6"/>
  <c r="AB18" i="6"/>
  <c r="AB19" i="6" s="1"/>
  <c r="AB121" i="6"/>
  <c r="G29" i="47"/>
  <c r="AA2" i="40"/>
  <c r="AA2" i="37"/>
  <c r="AA2" i="34"/>
  <c r="AA2" i="31"/>
  <c r="AA2" i="28"/>
  <c r="U2" i="47" s="1"/>
  <c r="AA2" i="21"/>
  <c r="AA2" i="22"/>
  <c r="AA60" i="20"/>
  <c r="AA61" i="20" s="1"/>
  <c r="AA67" i="20" s="1"/>
  <c r="AA2" i="20"/>
  <c r="AA2" i="19"/>
  <c r="AA2" i="18"/>
  <c r="AA2" i="17"/>
  <c r="AA2" i="16"/>
  <c r="AA2" i="13"/>
  <c r="AA2" i="15"/>
  <c r="AA2" i="12"/>
  <c r="AA2" i="10"/>
  <c r="AA2" i="8"/>
  <c r="AA313" i="6"/>
  <c r="AA315" i="6" s="1"/>
  <c r="AA307" i="6"/>
  <c r="AB308" i="6" s="1"/>
  <c r="AA235" i="6"/>
  <c r="AA237" i="6" s="1"/>
  <c r="AA20" i="16" s="1"/>
  <c r="AA2" i="14"/>
  <c r="AA276" i="6"/>
  <c r="AA278" i="6" s="1"/>
  <c r="AA270" i="6" s="1"/>
  <c r="AA271" i="6" s="1"/>
  <c r="AA264" i="6" s="1"/>
  <c r="AA227" i="6"/>
  <c r="AA229" i="6" s="1"/>
  <c r="AA21" i="17" s="1"/>
  <c r="AA203" i="6"/>
  <c r="AA176" i="6"/>
  <c r="AA178" i="6" s="1"/>
  <c r="AA183" i="6" s="1"/>
  <c r="AA184" i="6" s="1"/>
  <c r="AA188" i="6" s="1"/>
  <c r="AA2" i="11"/>
  <c r="AA170" i="6"/>
  <c r="AA171" i="6" s="1"/>
  <c r="AA120" i="6"/>
  <c r="AA122" i="6" s="1"/>
  <c r="AA127" i="6" s="1"/>
  <c r="AA128" i="6" s="1"/>
  <c r="AA132" i="6" s="1"/>
  <c r="AA114" i="6"/>
  <c r="AA115" i="6" s="1"/>
  <c r="AA92" i="6"/>
  <c r="AA243" i="6"/>
  <c r="AA245" i="6" s="1"/>
  <c r="AA21" i="18" s="1"/>
  <c r="AA2" i="7"/>
  <c r="AA147" i="6"/>
  <c r="AA2" i="9"/>
  <c r="AA2" i="6"/>
  <c r="AA32" i="6"/>
  <c r="AA2" i="4"/>
  <c r="AA52" i="6"/>
  <c r="AA72" i="6"/>
  <c r="N16" i="37"/>
  <c r="N53" i="12"/>
  <c r="N56" i="12" s="1"/>
  <c r="N62" i="12"/>
  <c r="N64" i="12" s="1"/>
  <c r="AA26" i="31" l="1"/>
  <c r="U41" i="47" s="1"/>
  <c r="AB11" i="21"/>
  <c r="AB13" i="21" s="1"/>
  <c r="AA29" i="9"/>
  <c r="M33" i="16"/>
  <c r="M34" i="16" s="1"/>
  <c r="M47" i="16"/>
  <c r="AA162" i="6"/>
  <c r="AA141" i="6"/>
  <c r="AB2" i="40"/>
  <c r="AB2" i="37"/>
  <c r="AB2" i="34"/>
  <c r="AB2" i="31"/>
  <c r="AB2" i="28"/>
  <c r="V2" i="47" s="1"/>
  <c r="AB2" i="21"/>
  <c r="AB2" i="22"/>
  <c r="AB60" i="20"/>
  <c r="AB2" i="20"/>
  <c r="AB2" i="18"/>
  <c r="AB2" i="19"/>
  <c r="AB2" i="15"/>
  <c r="AB2" i="17"/>
  <c r="AB2" i="14"/>
  <c r="AB2" i="13"/>
  <c r="AB2" i="12"/>
  <c r="AB2" i="10"/>
  <c r="AB2" i="11"/>
  <c r="AB313" i="6"/>
  <c r="AB315" i="6" s="1"/>
  <c r="AB307" i="6"/>
  <c r="AC308" i="6" s="1"/>
  <c r="AB235" i="6"/>
  <c r="AB237" i="6" s="1"/>
  <c r="AB20" i="16" s="1"/>
  <c r="AB276" i="6"/>
  <c r="AB278" i="6" s="1"/>
  <c r="AB270" i="6" s="1"/>
  <c r="AB271" i="6" s="1"/>
  <c r="AB264" i="6" s="1"/>
  <c r="AB2" i="9"/>
  <c r="AB2" i="7"/>
  <c r="AB227" i="6"/>
  <c r="AB229" i="6" s="1"/>
  <c r="AB21" i="17" s="1"/>
  <c r="AB203" i="6"/>
  <c r="AB2" i="8"/>
  <c r="AB170" i="6"/>
  <c r="AB171" i="6" s="1"/>
  <c r="AB120" i="6"/>
  <c r="AB122" i="6" s="1"/>
  <c r="AB127" i="6" s="1"/>
  <c r="AB128" i="6" s="1"/>
  <c r="AB132" i="6" s="1"/>
  <c r="AB114" i="6"/>
  <c r="AB115" i="6" s="1"/>
  <c r="AB92" i="6"/>
  <c r="AB243" i="6"/>
  <c r="AB245" i="6" s="1"/>
  <c r="AB21" i="18" s="1"/>
  <c r="AB72" i="6"/>
  <c r="AB2" i="6"/>
  <c r="AB2" i="16"/>
  <c r="AB32" i="6"/>
  <c r="AB2" i="4"/>
  <c r="AB176" i="6"/>
  <c r="AB178" i="6" s="1"/>
  <c r="AB183" i="6" s="1"/>
  <c r="AB184" i="6" s="1"/>
  <c r="AB188" i="6" s="1"/>
  <c r="AB52" i="6"/>
  <c r="AB147" i="6"/>
  <c r="AB61" i="20"/>
  <c r="AB67" i="20" s="1"/>
  <c r="AC53" i="20"/>
  <c r="AC54" i="20" s="1"/>
  <c r="AC58" i="20" s="1"/>
  <c r="AC59" i="20"/>
  <c r="AC284" i="6"/>
  <c r="AC285" i="6" s="1"/>
  <c r="AC277" i="6"/>
  <c r="AC244" i="6"/>
  <c r="AC236" i="6"/>
  <c r="AC228" i="6"/>
  <c r="AC121" i="6"/>
  <c r="AC18" i="6"/>
  <c r="AC19" i="6" s="1"/>
  <c r="AC177" i="6"/>
  <c r="N21" i="19"/>
  <c r="N43" i="15"/>
  <c r="N45" i="15" s="1"/>
  <c r="N21" i="15"/>
  <c r="P22" i="15" s="1"/>
  <c r="AD4" i="40"/>
  <c r="AD4" i="37"/>
  <c r="AD4" i="34"/>
  <c r="AD4" i="31"/>
  <c r="AD4" i="28"/>
  <c r="AD4" i="22"/>
  <c r="AD10" i="21"/>
  <c r="AD74" i="20"/>
  <c r="AD4" i="21"/>
  <c r="AD32" i="20"/>
  <c r="AD28" i="19"/>
  <c r="AD4" i="19"/>
  <c r="AD10" i="18"/>
  <c r="AD10" i="17"/>
  <c r="AD4" i="20"/>
  <c r="AD4" i="18"/>
  <c r="AD10" i="16"/>
  <c r="AD27" i="15"/>
  <c r="AD4" i="17"/>
  <c r="AD40" i="15"/>
  <c r="AD17" i="13"/>
  <c r="AD4" i="14"/>
  <c r="AD25" i="13"/>
  <c r="AD4" i="16"/>
  <c r="AD4" i="15"/>
  <c r="AD35" i="9"/>
  <c r="AD23" i="11"/>
  <c r="AD4" i="13"/>
  <c r="AD37" i="12"/>
  <c r="AD4" i="11"/>
  <c r="AD16" i="10"/>
  <c r="AD60" i="12"/>
  <c r="AD18" i="12"/>
  <c r="AD50" i="12"/>
  <c r="AD10" i="9"/>
  <c r="AD325" i="6"/>
  <c r="AD326" i="6" s="1"/>
  <c r="AD4" i="12"/>
  <c r="AD340" i="6"/>
  <c r="AD341" i="6" s="1"/>
  <c r="AD290" i="6"/>
  <c r="AD291" i="6" s="1"/>
  <c r="AD253" i="6"/>
  <c r="AD330" i="6"/>
  <c r="AD331" i="6" s="1"/>
  <c r="AD269" i="6"/>
  <c r="AD4" i="10"/>
  <c r="AD4" i="9"/>
  <c r="AD314" i="6"/>
  <c r="AD106" i="6"/>
  <c r="AD4" i="8"/>
  <c r="AD295" i="6"/>
  <c r="AD296" i="6" s="1"/>
  <c r="AD66" i="6"/>
  <c r="AD306" i="6"/>
  <c r="AD73" i="6"/>
  <c r="AD196" i="6"/>
  <c r="AD80" i="6"/>
  <c r="AD182" i="6"/>
  <c r="AD93" i="6"/>
  <c r="AD140" i="6"/>
  <c r="AD40" i="6"/>
  <c r="AE28" i="6"/>
  <c r="AD345" i="6"/>
  <c r="AD346" i="6" s="1"/>
  <c r="AD46" i="6"/>
  <c r="AD4" i="4"/>
  <c r="AD53" i="6"/>
  <c r="AD23" i="6"/>
  <c r="AD24" i="6" s="1"/>
  <c r="AD100" i="6"/>
  <c r="AD4" i="7"/>
  <c r="AD4" i="6"/>
  <c r="AD126" i="6"/>
  <c r="AD60" i="6"/>
  <c r="AD33" i="6"/>
  <c r="AD11" i="6"/>
  <c r="AD12" i="6" s="1"/>
  <c r="AD86" i="6"/>
  <c r="AD32" i="10"/>
  <c r="U45" i="47"/>
  <c r="U21" i="47"/>
  <c r="AC3" i="40"/>
  <c r="AC3" i="37"/>
  <c r="AC3" i="34"/>
  <c r="AC3" i="31"/>
  <c r="AC3" i="28"/>
  <c r="AC3" i="21"/>
  <c r="AC3" i="19"/>
  <c r="AC3" i="22"/>
  <c r="AC3" i="20"/>
  <c r="AC3" i="18"/>
  <c r="AC3" i="17"/>
  <c r="AC3" i="16"/>
  <c r="AC3" i="13"/>
  <c r="AC3" i="15"/>
  <c r="AC3" i="12"/>
  <c r="AC3" i="10"/>
  <c r="AC3" i="14"/>
  <c r="AC3" i="11"/>
  <c r="AC3" i="9"/>
  <c r="AC3" i="7"/>
  <c r="AC3" i="8"/>
  <c r="AC99" i="6"/>
  <c r="AC59" i="6"/>
  <c r="AC79" i="6"/>
  <c r="AC39" i="6"/>
  <c r="AC3" i="6"/>
  <c r="AC3" i="4"/>
  <c r="AC41" i="6"/>
  <c r="AC47" i="6"/>
  <c r="AC34" i="6"/>
  <c r="AB18" i="37"/>
  <c r="W30" i="51" s="1"/>
  <c r="AB28" i="13"/>
  <c r="AB20" i="13"/>
  <c r="AB55" i="12"/>
  <c r="AA218" i="6"/>
  <c r="AA197" i="6"/>
  <c r="N17" i="37"/>
  <c r="I29" i="51" s="1"/>
  <c r="N17" i="11"/>
  <c r="N18" i="11" s="1"/>
  <c r="O61" i="12"/>
  <c r="N15" i="37"/>
  <c r="I28" i="51" s="1"/>
  <c r="O51" i="12"/>
  <c r="AA61" i="6"/>
  <c r="AA67" i="6"/>
  <c r="AA54" i="6"/>
  <c r="AC9" i="37"/>
  <c r="AC17" i="12"/>
  <c r="AC39" i="10"/>
  <c r="AC19" i="10"/>
  <c r="O20" i="34"/>
  <c r="I59" i="47" s="1"/>
  <c r="AC107" i="6"/>
  <c r="AC94" i="6"/>
  <c r="AC101" i="6"/>
  <c r="AC14" i="37"/>
  <c r="AC67" i="12"/>
  <c r="AC68" i="12" s="1"/>
  <c r="AC54" i="12"/>
  <c r="AC63" i="12"/>
  <c r="AC74" i="6"/>
  <c r="AC81" i="6"/>
  <c r="AC87" i="6"/>
  <c r="M17" i="28"/>
  <c r="G13" i="47" l="1"/>
  <c r="H22" i="51"/>
  <c r="P8" i="34"/>
  <c r="P44" i="15"/>
  <c r="N10" i="31"/>
  <c r="H25" i="47" s="1"/>
  <c r="O41" i="15"/>
  <c r="AD74" i="6"/>
  <c r="AD81" i="6"/>
  <c r="AD87" i="6"/>
  <c r="V21" i="47"/>
  <c r="V45" i="47"/>
  <c r="M13" i="16"/>
  <c r="M15" i="16" s="1"/>
  <c r="AB218" i="6"/>
  <c r="AB197" i="6"/>
  <c r="AD14" i="37"/>
  <c r="AD67" i="12"/>
  <c r="AD68" i="12" s="1"/>
  <c r="AD63" i="12"/>
  <c r="AD54" i="12"/>
  <c r="N8" i="28"/>
  <c r="I12" i="51" s="1"/>
  <c r="N19" i="16"/>
  <c r="N21" i="16" s="1"/>
  <c r="N26" i="11"/>
  <c r="N27" i="11" s="1"/>
  <c r="AD3" i="37"/>
  <c r="AD3" i="40"/>
  <c r="AD3" i="34"/>
  <c r="AD3" i="31"/>
  <c r="AD3" i="28"/>
  <c r="AD3" i="21"/>
  <c r="AD3" i="22"/>
  <c r="AD3" i="20"/>
  <c r="AD3" i="19"/>
  <c r="AD3" i="18"/>
  <c r="AD3" i="17"/>
  <c r="AD3" i="16"/>
  <c r="AD3" i="15"/>
  <c r="AD3" i="14"/>
  <c r="AD3" i="13"/>
  <c r="AD3" i="12"/>
  <c r="AD3" i="10"/>
  <c r="AD3" i="11"/>
  <c r="AD3" i="9"/>
  <c r="AD3" i="7"/>
  <c r="AD3" i="8"/>
  <c r="AD99" i="6"/>
  <c r="AD39" i="6"/>
  <c r="AD79" i="6"/>
  <c r="AD3" i="6"/>
  <c r="AD59" i="6"/>
  <c r="AD3" i="4"/>
  <c r="AB61" i="6"/>
  <c r="AB67" i="6"/>
  <c r="AB54" i="6"/>
  <c r="M24" i="34"/>
  <c r="G63" i="47" s="1"/>
  <c r="AD9" i="37"/>
  <c r="AD17" i="12"/>
  <c r="AD19" i="10"/>
  <c r="AD39" i="10"/>
  <c r="O24" i="10"/>
  <c r="O26" i="10" s="1"/>
  <c r="AD53" i="20"/>
  <c r="AD54" i="20" s="1"/>
  <c r="AD58" i="20" s="1"/>
  <c r="AD59" i="20"/>
  <c r="AD277" i="6"/>
  <c r="AD244" i="6"/>
  <c r="AD228" i="6"/>
  <c r="AD236" i="6"/>
  <c r="AD284" i="6"/>
  <c r="AD285" i="6" s="1"/>
  <c r="AD177" i="6"/>
  <c r="AD121" i="6"/>
  <c r="AD18" i="6"/>
  <c r="AD19" i="6" s="1"/>
  <c r="AD47" i="6"/>
  <c r="AD34" i="6"/>
  <c r="AD41" i="6"/>
  <c r="AC18" i="37"/>
  <c r="X30" i="51" s="1"/>
  <c r="AC20" i="13"/>
  <c r="AC28" i="13"/>
  <c r="AC55" i="12"/>
  <c r="AB26" i="31"/>
  <c r="V41" i="47" s="1"/>
  <c r="AC11" i="21"/>
  <c r="AC13" i="21" s="1"/>
  <c r="AB29" i="9"/>
  <c r="AD101" i="6"/>
  <c r="AD107" i="6"/>
  <c r="AD94" i="6"/>
  <c r="AE4" i="40"/>
  <c r="AE4" i="37"/>
  <c r="AE4" i="34"/>
  <c r="AE4" i="31"/>
  <c r="AE4" i="22"/>
  <c r="AE10" i="21"/>
  <c r="AE74" i="20"/>
  <c r="AE4" i="21"/>
  <c r="AE32" i="20"/>
  <c r="AE4" i="28"/>
  <c r="AE4" i="19"/>
  <c r="AE4" i="20"/>
  <c r="AE28" i="19"/>
  <c r="AE10" i="18"/>
  <c r="AE10" i="17"/>
  <c r="AE4" i="18"/>
  <c r="AE10" i="16"/>
  <c r="AE27" i="15"/>
  <c r="AE4" i="16"/>
  <c r="AE4" i="17"/>
  <c r="AE40" i="15"/>
  <c r="AE17" i="13"/>
  <c r="AE4" i="14"/>
  <c r="AE25" i="13"/>
  <c r="AE4" i="13"/>
  <c r="AE23" i="11"/>
  <c r="AE37" i="12"/>
  <c r="AE4" i="11"/>
  <c r="AE16" i="10"/>
  <c r="AE60" i="12"/>
  <c r="AE18" i="12"/>
  <c r="AE50" i="12"/>
  <c r="AE4" i="12"/>
  <c r="AE4" i="10"/>
  <c r="AE340" i="6"/>
  <c r="AE341" i="6" s="1"/>
  <c r="AE290" i="6"/>
  <c r="AE291" i="6" s="1"/>
  <c r="AE253" i="6"/>
  <c r="AE330" i="6"/>
  <c r="AE331" i="6" s="1"/>
  <c r="AE269" i="6"/>
  <c r="AE4" i="9"/>
  <c r="AE4" i="7"/>
  <c r="AE345" i="6"/>
  <c r="AE346" i="6" s="1"/>
  <c r="AE295" i="6"/>
  <c r="AE296" i="6" s="1"/>
  <c r="AE35" i="9"/>
  <c r="AE4" i="8"/>
  <c r="AE4" i="15"/>
  <c r="AE306" i="6"/>
  <c r="AE10" i="9"/>
  <c r="AE325" i="6"/>
  <c r="AE326" i="6" s="1"/>
  <c r="AE60" i="6"/>
  <c r="AE73" i="6"/>
  <c r="AE196" i="6"/>
  <c r="AE80" i="6"/>
  <c r="AE140" i="6"/>
  <c r="AE86" i="6"/>
  <c r="AE126" i="6"/>
  <c r="AE100" i="6"/>
  <c r="AE46" i="6"/>
  <c r="AE4" i="4"/>
  <c r="AE53" i="6"/>
  <c r="AE23" i="6"/>
  <c r="AE24" i="6" s="1"/>
  <c r="AE93" i="6"/>
  <c r="AE182" i="6"/>
  <c r="AE314" i="6"/>
  <c r="AE66" i="6"/>
  <c r="AE33" i="6"/>
  <c r="AE11" i="6"/>
  <c r="AE12" i="6" s="1"/>
  <c r="AF28" i="6"/>
  <c r="AE106" i="6"/>
  <c r="AE40" i="6"/>
  <c r="AE4" i="6"/>
  <c r="AE32" i="10"/>
  <c r="AC2" i="40"/>
  <c r="AC2" i="37"/>
  <c r="AC2" i="34"/>
  <c r="AC2" i="31"/>
  <c r="AC2" i="28"/>
  <c r="W2" i="47" s="1"/>
  <c r="AC2" i="21"/>
  <c r="AC2" i="22"/>
  <c r="AC60" i="20"/>
  <c r="AC61" i="20" s="1"/>
  <c r="AC67" i="20" s="1"/>
  <c r="AC2" i="20"/>
  <c r="AC2" i="18"/>
  <c r="AC2" i="19"/>
  <c r="AC2" i="17"/>
  <c r="AC2" i="16"/>
  <c r="AC2" i="14"/>
  <c r="AC2" i="13"/>
  <c r="AC2" i="12"/>
  <c r="AC2" i="10"/>
  <c r="AC2" i="11"/>
  <c r="AC2" i="15"/>
  <c r="AC235" i="6"/>
  <c r="AC237" i="6" s="1"/>
  <c r="AC20" i="16" s="1"/>
  <c r="AC276" i="6"/>
  <c r="AC278" i="6" s="1"/>
  <c r="AC270" i="6" s="1"/>
  <c r="AC271" i="6" s="1"/>
  <c r="AC264" i="6" s="1"/>
  <c r="AC243" i="6"/>
  <c r="AC245" i="6" s="1"/>
  <c r="AC21" i="18" s="1"/>
  <c r="AC2" i="8"/>
  <c r="AC114" i="6"/>
  <c r="AC115" i="6" s="1"/>
  <c r="AC92" i="6"/>
  <c r="AC307" i="6"/>
  <c r="AD308" i="6" s="1"/>
  <c r="AC2" i="7"/>
  <c r="AC2" i="9"/>
  <c r="AC313" i="6"/>
  <c r="AC315" i="6" s="1"/>
  <c r="AC147" i="6"/>
  <c r="AC176" i="6"/>
  <c r="AC178" i="6" s="1"/>
  <c r="AC183" i="6" s="1"/>
  <c r="AC184" i="6" s="1"/>
  <c r="AC188" i="6" s="1"/>
  <c r="AC32" i="6"/>
  <c r="AC170" i="6"/>
  <c r="AC171" i="6" s="1"/>
  <c r="AC2" i="4"/>
  <c r="AC52" i="6"/>
  <c r="AC203" i="6"/>
  <c r="AC120" i="6"/>
  <c r="AC122" i="6" s="1"/>
  <c r="AC127" i="6" s="1"/>
  <c r="AC128" i="6" s="1"/>
  <c r="AC132" i="6" s="1"/>
  <c r="AC72" i="6"/>
  <c r="AC227" i="6"/>
  <c r="AC229" i="6" s="1"/>
  <c r="AC21" i="17" s="1"/>
  <c r="AC2" i="6"/>
  <c r="AB162" i="6"/>
  <c r="AB141" i="6"/>
  <c r="AE9" i="37" l="1"/>
  <c r="AE17" i="12"/>
  <c r="AE19" i="10"/>
  <c r="AE39" i="10"/>
  <c r="AD18" i="37"/>
  <c r="Y30" i="51" s="1"/>
  <c r="AD20" i="13"/>
  <c r="AD28" i="13"/>
  <c r="AD55" i="12"/>
  <c r="M17" i="31"/>
  <c r="N11" i="16"/>
  <c r="W45" i="47"/>
  <c r="W21" i="47"/>
  <c r="AE14" i="37"/>
  <c r="AE54" i="12"/>
  <c r="AE67" i="12"/>
  <c r="AE68" i="12" s="1"/>
  <c r="AE63" i="12"/>
  <c r="O11" i="11"/>
  <c r="O12" i="11" s="1"/>
  <c r="O20" i="10"/>
  <c r="O44" i="12"/>
  <c r="O45" i="12" s="1"/>
  <c r="AC67" i="6"/>
  <c r="AC54" i="6"/>
  <c r="AC61" i="6"/>
  <c r="AE3" i="40"/>
  <c r="AE3" i="37"/>
  <c r="AE3" i="34"/>
  <c r="AE3" i="31"/>
  <c r="AE3" i="28"/>
  <c r="AE3" i="21"/>
  <c r="AE3" i="22"/>
  <c r="AE3" i="20"/>
  <c r="AE3" i="19"/>
  <c r="AE3" i="18"/>
  <c r="AE3" i="17"/>
  <c r="AE3" i="16"/>
  <c r="AE3" i="13"/>
  <c r="AE3" i="15"/>
  <c r="AE3" i="12"/>
  <c r="AE3" i="10"/>
  <c r="AE3" i="8"/>
  <c r="AE3" i="14"/>
  <c r="AE3" i="7"/>
  <c r="AE79" i="6"/>
  <c r="AE39" i="6"/>
  <c r="AE3" i="6"/>
  <c r="AE3" i="4"/>
  <c r="AE3" i="11"/>
  <c r="AE99" i="6"/>
  <c r="AE3" i="9"/>
  <c r="AE59" i="6"/>
  <c r="AE74" i="6"/>
  <c r="AE81" i="6"/>
  <c r="AE87" i="6"/>
  <c r="AF4" i="40"/>
  <c r="AF4" i="37"/>
  <c r="AF4" i="34"/>
  <c r="AF4" i="31"/>
  <c r="AF4" i="28"/>
  <c r="AF4" i="22"/>
  <c r="AF10" i="21"/>
  <c r="AF74" i="20"/>
  <c r="AF4" i="21"/>
  <c r="AF32" i="20"/>
  <c r="AF4" i="19"/>
  <c r="AF28" i="19"/>
  <c r="AF10" i="18"/>
  <c r="AF4" i="20"/>
  <c r="AF4" i="18"/>
  <c r="AF4" i="17"/>
  <c r="AF10" i="17"/>
  <c r="AF27" i="15"/>
  <c r="AF4" i="16"/>
  <c r="AF10" i="16"/>
  <c r="AF40" i="15"/>
  <c r="AF4" i="14"/>
  <c r="AF25" i="13"/>
  <c r="AF4" i="13"/>
  <c r="AF4" i="15"/>
  <c r="AF17" i="13"/>
  <c r="AF37" i="12"/>
  <c r="AF4" i="11"/>
  <c r="AF16" i="10"/>
  <c r="AF60" i="12"/>
  <c r="AF18" i="12"/>
  <c r="AF50" i="12"/>
  <c r="AF35" i="9"/>
  <c r="AF4" i="12"/>
  <c r="AF253" i="6"/>
  <c r="AF330" i="6"/>
  <c r="AF331" i="6" s="1"/>
  <c r="AF269" i="6"/>
  <c r="AF4" i="9"/>
  <c r="AF4" i="7"/>
  <c r="AF345" i="6"/>
  <c r="AF346" i="6" s="1"/>
  <c r="AF295" i="6"/>
  <c r="AF296" i="6" s="1"/>
  <c r="AF4" i="10"/>
  <c r="AF4" i="8"/>
  <c r="AF314" i="6"/>
  <c r="AF10" i="9"/>
  <c r="AF325" i="6"/>
  <c r="AF326" i="6" s="1"/>
  <c r="AF66" i="6"/>
  <c r="AF23" i="11"/>
  <c r="AF73" i="6"/>
  <c r="AF306" i="6"/>
  <c r="AF196" i="6"/>
  <c r="AF80" i="6"/>
  <c r="AF140" i="6"/>
  <c r="AF86" i="6"/>
  <c r="AF290" i="6"/>
  <c r="AF291" i="6" s="1"/>
  <c r="AF182" i="6"/>
  <c r="AF93" i="6"/>
  <c r="AF106" i="6"/>
  <c r="AF53" i="6"/>
  <c r="AF23" i="6"/>
  <c r="AF24" i="6" s="1"/>
  <c r="AF340" i="6"/>
  <c r="AF341" i="6" s="1"/>
  <c r="AF100" i="6"/>
  <c r="AF4" i="6"/>
  <c r="AF126" i="6"/>
  <c r="AF60" i="6"/>
  <c r="AF40" i="6"/>
  <c r="AG28" i="6"/>
  <c r="AF4" i="4"/>
  <c r="AF11" i="6"/>
  <c r="AF12" i="6" s="1"/>
  <c r="AF33" i="6"/>
  <c r="AF46" i="6"/>
  <c r="AF32" i="10"/>
  <c r="N14" i="31"/>
  <c r="O24" i="11"/>
  <c r="AE41" i="6"/>
  <c r="AE47" i="6"/>
  <c r="AE34" i="6"/>
  <c r="N19" i="34"/>
  <c r="H58" i="47" s="1"/>
  <c r="N26" i="16"/>
  <c r="P27" i="16" s="1"/>
  <c r="N12" i="16"/>
  <c r="AC162" i="6"/>
  <c r="AC141" i="6"/>
  <c r="AE59" i="20"/>
  <c r="AE53" i="20"/>
  <c r="AE54" i="20" s="1"/>
  <c r="AE58" i="20" s="1"/>
  <c r="AE244" i="6"/>
  <c r="AE228" i="6"/>
  <c r="AE284" i="6"/>
  <c r="AE285" i="6" s="1"/>
  <c r="AE236" i="6"/>
  <c r="AE177" i="6"/>
  <c r="AE277" i="6"/>
  <c r="AE121" i="6"/>
  <c r="AE18" i="6"/>
  <c r="AE19" i="6" s="1"/>
  <c r="AC218" i="6"/>
  <c r="AC197" i="6"/>
  <c r="AE94" i="6"/>
  <c r="AE107" i="6"/>
  <c r="AE101" i="6"/>
  <c r="AC26" i="31"/>
  <c r="W41" i="47" s="1"/>
  <c r="AD11" i="21"/>
  <c r="AD13" i="21" s="1"/>
  <c r="AC29" i="9"/>
  <c r="AD2" i="40"/>
  <c r="AD2" i="37"/>
  <c r="AD2" i="34"/>
  <c r="AD2" i="31"/>
  <c r="AD2" i="22"/>
  <c r="AD60" i="20"/>
  <c r="AD61" i="20" s="1"/>
  <c r="AD67" i="20" s="1"/>
  <c r="AD2" i="19"/>
  <c r="AD2" i="28"/>
  <c r="X2" i="47" s="1"/>
  <c r="AD2" i="21"/>
  <c r="AD2" i="20"/>
  <c r="AD2" i="17"/>
  <c r="AD2" i="14"/>
  <c r="AD2" i="18"/>
  <c r="AD2" i="16"/>
  <c r="AD2" i="15"/>
  <c r="AD2" i="11"/>
  <c r="AD2" i="13"/>
  <c r="AD276" i="6"/>
  <c r="AD278" i="6" s="1"/>
  <c r="AD270" i="6" s="1"/>
  <c r="AD271" i="6" s="1"/>
  <c r="AD264" i="6" s="1"/>
  <c r="AD2" i="10"/>
  <c r="AD243" i="6"/>
  <c r="AD245" i="6" s="1"/>
  <c r="AD21" i="18" s="1"/>
  <c r="AD2" i="9"/>
  <c r="AD313" i="6"/>
  <c r="AD315" i="6" s="1"/>
  <c r="AD307" i="6"/>
  <c r="AE308" i="6" s="1"/>
  <c r="AD2" i="7"/>
  <c r="AD147" i="6"/>
  <c r="AD235" i="6"/>
  <c r="AD237" i="6" s="1"/>
  <c r="AD20" i="16" s="1"/>
  <c r="AD72" i="6"/>
  <c r="AD227" i="6"/>
  <c r="AD229" i="6" s="1"/>
  <c r="AD21" i="17" s="1"/>
  <c r="AD203" i="6"/>
  <c r="AD170" i="6"/>
  <c r="AD171" i="6" s="1"/>
  <c r="AD120" i="6"/>
  <c r="AD122" i="6" s="1"/>
  <c r="AD127" i="6" s="1"/>
  <c r="AD128" i="6" s="1"/>
  <c r="AD132" i="6" s="1"/>
  <c r="AD32" i="6"/>
  <c r="AD2" i="4"/>
  <c r="AD176" i="6"/>
  <c r="AD178" i="6" s="1"/>
  <c r="AD183" i="6" s="1"/>
  <c r="AD184" i="6" s="1"/>
  <c r="AD188" i="6" s="1"/>
  <c r="AD52" i="6"/>
  <c r="AD114" i="6"/>
  <c r="AD115" i="6" s="1"/>
  <c r="AD2" i="12"/>
  <c r="AD2" i="8"/>
  <c r="AD2" i="6"/>
  <c r="AD92" i="6"/>
  <c r="H4" i="47"/>
  <c r="J47" i="47"/>
  <c r="G32" i="47" l="1"/>
  <c r="H8" i="51"/>
  <c r="AG4" i="40"/>
  <c r="AG4" i="37"/>
  <c r="AG4" i="34"/>
  <c r="AG4" i="31"/>
  <c r="AG4" i="28"/>
  <c r="AG10" i="21"/>
  <c r="AG74" i="20"/>
  <c r="AG4" i="21"/>
  <c r="AG32" i="20"/>
  <c r="AG4" i="19"/>
  <c r="AG4" i="20"/>
  <c r="AG4" i="22"/>
  <c r="AG28" i="19"/>
  <c r="AG10" i="18"/>
  <c r="AG4" i="18"/>
  <c r="AG4" i="17"/>
  <c r="AG10" i="17"/>
  <c r="AG27" i="15"/>
  <c r="AG4" i="16"/>
  <c r="AG40" i="15"/>
  <c r="AG10" i="16"/>
  <c r="AG4" i="13"/>
  <c r="AG4" i="15"/>
  <c r="AG17" i="13"/>
  <c r="AG60" i="12"/>
  <c r="AG18" i="12"/>
  <c r="AG50" i="12"/>
  <c r="AG25" i="13"/>
  <c r="AG4" i="12"/>
  <c r="AG4" i="10"/>
  <c r="AG4" i="14"/>
  <c r="AG23" i="11"/>
  <c r="AG4" i="11"/>
  <c r="AG330" i="6"/>
  <c r="AG331" i="6" s="1"/>
  <c r="AG269" i="6"/>
  <c r="AG4" i="9"/>
  <c r="AG4" i="7"/>
  <c r="AG345" i="6"/>
  <c r="AG346" i="6" s="1"/>
  <c r="AG295" i="6"/>
  <c r="AG296" i="6" s="1"/>
  <c r="AG4" i="8"/>
  <c r="AG314" i="6"/>
  <c r="AG35" i="9"/>
  <c r="AG196" i="6"/>
  <c r="AG37" i="12"/>
  <c r="AG340" i="6"/>
  <c r="AG341" i="6" s="1"/>
  <c r="AG290" i="6"/>
  <c r="AG291" i="6" s="1"/>
  <c r="AG16" i="10"/>
  <c r="AG73" i="6"/>
  <c r="AG306" i="6"/>
  <c r="AG80" i="6"/>
  <c r="AG140" i="6"/>
  <c r="AG86" i="6"/>
  <c r="AG253" i="6"/>
  <c r="AG182" i="6"/>
  <c r="AG93" i="6"/>
  <c r="AG126" i="6"/>
  <c r="AG100" i="6"/>
  <c r="AG60" i="6"/>
  <c r="AG4" i="6"/>
  <c r="AG106" i="6"/>
  <c r="AG33" i="6"/>
  <c r="AG11" i="6"/>
  <c r="AG12" i="6" s="1"/>
  <c r="AG325" i="6"/>
  <c r="AG326" i="6" s="1"/>
  <c r="AG46" i="6"/>
  <c r="AG4" i="4"/>
  <c r="AG53" i="6"/>
  <c r="AG23" i="6"/>
  <c r="AG24" i="6" s="1"/>
  <c r="AG40" i="6"/>
  <c r="AH28" i="6"/>
  <c r="AG66" i="6"/>
  <c r="AG10" i="9"/>
  <c r="AG32" i="10"/>
  <c r="X45" i="47"/>
  <c r="X21" i="47"/>
  <c r="N39" i="16"/>
  <c r="N40" i="16" s="1"/>
  <c r="AF34" i="6"/>
  <c r="AF47" i="6"/>
  <c r="AF41" i="6"/>
  <c r="O16" i="37"/>
  <c r="O62" i="12"/>
  <c r="O64" i="12" s="1"/>
  <c r="O53" i="12"/>
  <c r="O56" i="12" s="1"/>
  <c r="AF3" i="40"/>
  <c r="AF3" i="37"/>
  <c r="AF3" i="34"/>
  <c r="AF3" i="31"/>
  <c r="AF3" i="28"/>
  <c r="AF3" i="21"/>
  <c r="AF3" i="22"/>
  <c r="AF3" i="20"/>
  <c r="AF3" i="18"/>
  <c r="AF3" i="19"/>
  <c r="AF3" i="15"/>
  <c r="AF3" i="14"/>
  <c r="AF3" i="17"/>
  <c r="AF3" i="13"/>
  <c r="AF3" i="12"/>
  <c r="AF3" i="10"/>
  <c r="AF3" i="16"/>
  <c r="AF3" i="11"/>
  <c r="AF3" i="9"/>
  <c r="AF3" i="7"/>
  <c r="AF3" i="8"/>
  <c r="AF79" i="6"/>
  <c r="AF99" i="6"/>
  <c r="AF3" i="6"/>
  <c r="AF3" i="4"/>
  <c r="AF59" i="6"/>
  <c r="AF39" i="6"/>
  <c r="AD218" i="6"/>
  <c r="AD197" i="6"/>
  <c r="H29" i="47"/>
  <c r="O16" i="19"/>
  <c r="O17" i="19" s="1"/>
  <c r="O42" i="15"/>
  <c r="O20" i="15"/>
  <c r="O25" i="11"/>
  <c r="P28" i="16"/>
  <c r="P20" i="34" s="1"/>
  <c r="J59" i="47" s="1"/>
  <c r="P14" i="16"/>
  <c r="AF9" i="37"/>
  <c r="AF19" i="10"/>
  <c r="AF39" i="10"/>
  <c r="AF17" i="12"/>
  <c r="AF94" i="6"/>
  <c r="AF101" i="6"/>
  <c r="AF107" i="6"/>
  <c r="AE2" i="40"/>
  <c r="AE2" i="37"/>
  <c r="AE2" i="34"/>
  <c r="AE2" i="31"/>
  <c r="AE2" i="22"/>
  <c r="AE60" i="20"/>
  <c r="AE2" i="28"/>
  <c r="Y2" i="47" s="1"/>
  <c r="AE2" i="21"/>
  <c r="AE2" i="19"/>
  <c r="AE2" i="20"/>
  <c r="AE2" i="18"/>
  <c r="AE2" i="17"/>
  <c r="AE2" i="16"/>
  <c r="AE2" i="14"/>
  <c r="AE2" i="13"/>
  <c r="AE2" i="11"/>
  <c r="AE2" i="12"/>
  <c r="AE2" i="10"/>
  <c r="AE276" i="6"/>
  <c r="AE278" i="6" s="1"/>
  <c r="AE270" i="6" s="1"/>
  <c r="AE271" i="6" s="1"/>
  <c r="AE264" i="6" s="1"/>
  <c r="AE243" i="6"/>
  <c r="AE245" i="6" s="1"/>
  <c r="AE21" i="18" s="1"/>
  <c r="AE2" i="9"/>
  <c r="AE2" i="7"/>
  <c r="AE227" i="6"/>
  <c r="AE229" i="6" s="1"/>
  <c r="AE21" i="17" s="1"/>
  <c r="AE203" i="6"/>
  <c r="AE2" i="8"/>
  <c r="AE235" i="6"/>
  <c r="AE237" i="6" s="1"/>
  <c r="AE20" i="16" s="1"/>
  <c r="AE307" i="6"/>
  <c r="AF308" i="6" s="1"/>
  <c r="AE147" i="6"/>
  <c r="AE313" i="6"/>
  <c r="AE315" i="6" s="1"/>
  <c r="AE72" i="6"/>
  <c r="AE176" i="6"/>
  <c r="AE178" i="6" s="1"/>
  <c r="AE183" i="6" s="1"/>
  <c r="AE184" i="6" s="1"/>
  <c r="AE188" i="6" s="1"/>
  <c r="AE114" i="6"/>
  <c r="AE115" i="6" s="1"/>
  <c r="AE92" i="6"/>
  <c r="AE2" i="4"/>
  <c r="AE170" i="6"/>
  <c r="AE171" i="6" s="1"/>
  <c r="AE52" i="6"/>
  <c r="AE2" i="15"/>
  <c r="AE32" i="6"/>
  <c r="AE120" i="6"/>
  <c r="AE122" i="6" s="1"/>
  <c r="AE127" i="6" s="1"/>
  <c r="AE128" i="6" s="1"/>
  <c r="AE132" i="6" s="1"/>
  <c r="AE2" i="6"/>
  <c r="AF14" i="37"/>
  <c r="AF63" i="12"/>
  <c r="AF54" i="12"/>
  <c r="AF67" i="12"/>
  <c r="AF68" i="12" s="1"/>
  <c r="AE18" i="37"/>
  <c r="Z30" i="51" s="1"/>
  <c r="AE20" i="13"/>
  <c r="AE28" i="13"/>
  <c r="AE55" i="12"/>
  <c r="AD61" i="6"/>
  <c r="AD54" i="6"/>
  <c r="AD67" i="6"/>
  <c r="AD141" i="6"/>
  <c r="AD162" i="6"/>
  <c r="AE61" i="20"/>
  <c r="AE67" i="20" s="1"/>
  <c r="AD26" i="31"/>
  <c r="X41" i="47" s="1"/>
  <c r="AE11" i="21"/>
  <c r="AE13" i="21" s="1"/>
  <c r="AD29" i="9"/>
  <c r="AF59" i="20"/>
  <c r="AF53" i="20"/>
  <c r="AF54" i="20" s="1"/>
  <c r="AF58" i="20" s="1"/>
  <c r="AF228" i="6"/>
  <c r="AF277" i="6"/>
  <c r="AF236" i="6"/>
  <c r="AF177" i="6"/>
  <c r="AF121" i="6"/>
  <c r="AF284" i="6"/>
  <c r="AF285" i="6" s="1"/>
  <c r="AF244" i="6"/>
  <c r="AF18" i="6"/>
  <c r="AF19" i="6" s="1"/>
  <c r="AF74" i="6"/>
  <c r="AF81" i="6"/>
  <c r="AF87" i="6"/>
  <c r="AE26" i="31" l="1"/>
  <c r="Y41" i="47" s="1"/>
  <c r="AF11" i="21"/>
  <c r="AF13" i="21" s="1"/>
  <c r="AE29" i="9"/>
  <c r="AE218" i="6"/>
  <c r="AE197" i="6"/>
  <c r="O17" i="37"/>
  <c r="J29" i="51" s="1"/>
  <c r="O17" i="11"/>
  <c r="O18" i="11" s="1"/>
  <c r="P61" i="12"/>
  <c r="AG9" i="37"/>
  <c r="AG19" i="10"/>
  <c r="AG39" i="10"/>
  <c r="AG17" i="12"/>
  <c r="AG34" i="6"/>
  <c r="AG41" i="6"/>
  <c r="AG47" i="6"/>
  <c r="AF2" i="40"/>
  <c r="AF2" i="37"/>
  <c r="AF2" i="34"/>
  <c r="AF2" i="31"/>
  <c r="AF2" i="28"/>
  <c r="Z2" i="47" s="1"/>
  <c r="AF2" i="22"/>
  <c r="AF60" i="20"/>
  <c r="AF61" i="20" s="1"/>
  <c r="AF67" i="20" s="1"/>
  <c r="AF2" i="21"/>
  <c r="AF2" i="19"/>
  <c r="AF2" i="20"/>
  <c r="AF2" i="17"/>
  <c r="AF2" i="16"/>
  <c r="AF2" i="18"/>
  <c r="AF2" i="14"/>
  <c r="AF2" i="13"/>
  <c r="AF2" i="15"/>
  <c r="AF2" i="11"/>
  <c r="AF243" i="6"/>
  <c r="AF245" i="6" s="1"/>
  <c r="AF21" i="18" s="1"/>
  <c r="AF2" i="10"/>
  <c r="AF2" i="9"/>
  <c r="AF2" i="7"/>
  <c r="AF227" i="6"/>
  <c r="AF229" i="6" s="1"/>
  <c r="AF21" i="17" s="1"/>
  <c r="AF203" i="6"/>
  <c r="AF2" i="8"/>
  <c r="AF2" i="12"/>
  <c r="AF147" i="6"/>
  <c r="AF313" i="6"/>
  <c r="AF315" i="6" s="1"/>
  <c r="AF72" i="6"/>
  <c r="AF235" i="6"/>
  <c r="AF237" i="6" s="1"/>
  <c r="AF20" i="16" s="1"/>
  <c r="AF176" i="6"/>
  <c r="AF178" i="6" s="1"/>
  <c r="AF183" i="6" s="1"/>
  <c r="AF184" i="6" s="1"/>
  <c r="AF188" i="6" s="1"/>
  <c r="AF170" i="6"/>
  <c r="AF171" i="6" s="1"/>
  <c r="AF120" i="6"/>
  <c r="AF122" i="6" s="1"/>
  <c r="AF127" i="6" s="1"/>
  <c r="AF128" i="6" s="1"/>
  <c r="AF132" i="6" s="1"/>
  <c r="AF52" i="6"/>
  <c r="AF114" i="6"/>
  <c r="AF115" i="6" s="1"/>
  <c r="AF276" i="6"/>
  <c r="AF278" i="6" s="1"/>
  <c r="AF270" i="6" s="1"/>
  <c r="AF271" i="6" s="1"/>
  <c r="AF264" i="6" s="1"/>
  <c r="AF2" i="6"/>
  <c r="AF92" i="6"/>
  <c r="AF32" i="6"/>
  <c r="AF307" i="6"/>
  <c r="AF2" i="4"/>
  <c r="AF18" i="37"/>
  <c r="AA30" i="51" s="1"/>
  <c r="AF20" i="13"/>
  <c r="AF28" i="13"/>
  <c r="AF55" i="12"/>
  <c r="AG59" i="20"/>
  <c r="AG53" i="20"/>
  <c r="AG54" i="20" s="1"/>
  <c r="AG58" i="20" s="1"/>
  <c r="AG228" i="6"/>
  <c r="AG236" i="6"/>
  <c r="AG244" i="6"/>
  <c r="AG177" i="6"/>
  <c r="AG121" i="6"/>
  <c r="AG277" i="6"/>
  <c r="AG284" i="6"/>
  <c r="AG285" i="6" s="1"/>
  <c r="AG18" i="6"/>
  <c r="AG19" i="6" s="1"/>
  <c r="AG94" i="6"/>
  <c r="AG101" i="6"/>
  <c r="AG107" i="6"/>
  <c r="AE141" i="6"/>
  <c r="AE162" i="6"/>
  <c r="O21" i="19"/>
  <c r="O43" i="15"/>
  <c r="O21" i="15"/>
  <c r="Q22" i="15" s="1"/>
  <c r="AH4" i="40"/>
  <c r="AH4" i="37"/>
  <c r="AH4" i="34"/>
  <c r="AH4" i="31"/>
  <c r="AH4" i="28"/>
  <c r="AH74" i="20"/>
  <c r="AH4" i="21"/>
  <c r="AH10" i="21"/>
  <c r="AH4" i="22"/>
  <c r="AH32" i="20"/>
  <c r="AH4" i="20"/>
  <c r="AH28" i="19"/>
  <c r="AH4" i="19"/>
  <c r="AH4" i="18"/>
  <c r="AH4" i="17"/>
  <c r="AH10" i="18"/>
  <c r="AH4" i="16"/>
  <c r="AH40" i="15"/>
  <c r="AH4" i="15"/>
  <c r="AH10" i="17"/>
  <c r="AH27" i="15"/>
  <c r="AH4" i="14"/>
  <c r="AH25" i="13"/>
  <c r="AH60" i="12"/>
  <c r="AH4" i="13"/>
  <c r="AH50" i="12"/>
  <c r="AH4" i="12"/>
  <c r="AH4" i="10"/>
  <c r="AH10" i="16"/>
  <c r="AH35" i="9"/>
  <c r="AH37" i="12"/>
  <c r="AH4" i="11"/>
  <c r="AH16" i="10"/>
  <c r="AH17" i="13"/>
  <c r="AH4" i="9"/>
  <c r="AH4" i="7"/>
  <c r="AH345" i="6"/>
  <c r="AH346" i="6" s="1"/>
  <c r="AH295" i="6"/>
  <c r="AH296" i="6" s="1"/>
  <c r="AH4" i="8"/>
  <c r="AH314" i="6"/>
  <c r="AH196" i="6"/>
  <c r="AH306" i="6"/>
  <c r="AH23" i="11"/>
  <c r="AH10" i="9"/>
  <c r="AH253" i="6"/>
  <c r="AH80" i="6"/>
  <c r="AH140" i="6"/>
  <c r="AH86" i="6"/>
  <c r="AH182" i="6"/>
  <c r="AH93" i="6"/>
  <c r="AH290" i="6"/>
  <c r="AH291" i="6" s="1"/>
  <c r="AH126" i="6"/>
  <c r="AH100" i="6"/>
  <c r="AH330" i="6"/>
  <c r="AH331" i="6" s="1"/>
  <c r="AH106" i="6"/>
  <c r="AH340" i="6"/>
  <c r="AH341" i="6" s="1"/>
  <c r="AH325" i="6"/>
  <c r="AH326" i="6" s="1"/>
  <c r="AH66" i="6"/>
  <c r="AH73" i="6"/>
  <c r="AH4" i="6"/>
  <c r="AH33" i="6"/>
  <c r="AH11" i="6"/>
  <c r="AH12" i="6" s="1"/>
  <c r="AH40" i="6"/>
  <c r="AI28" i="6"/>
  <c r="AH53" i="6"/>
  <c r="AH23" i="6"/>
  <c r="AH24" i="6" s="1"/>
  <c r="AH4" i="4"/>
  <c r="AH269" i="6"/>
  <c r="AH46" i="6"/>
  <c r="AH60" i="6"/>
  <c r="O45" i="15"/>
  <c r="Y45" i="47"/>
  <c r="Y21" i="47"/>
  <c r="N32" i="16"/>
  <c r="N45" i="16"/>
  <c r="N46" i="16" s="1"/>
  <c r="N41" i="16"/>
  <c r="AG3" i="40"/>
  <c r="AG3" i="37"/>
  <c r="AG3" i="34"/>
  <c r="AG3" i="31"/>
  <c r="AG3" i="28"/>
  <c r="AG3" i="21"/>
  <c r="AG3" i="22"/>
  <c r="AG3" i="20"/>
  <c r="AG3" i="18"/>
  <c r="AG3" i="19"/>
  <c r="AG3" i="17"/>
  <c r="AG3" i="16"/>
  <c r="AG3" i="14"/>
  <c r="AG3" i="13"/>
  <c r="AG3" i="12"/>
  <c r="AG3" i="10"/>
  <c r="AG3" i="11"/>
  <c r="AG3" i="15"/>
  <c r="AG3" i="8"/>
  <c r="AG79" i="6"/>
  <c r="AG3" i="7"/>
  <c r="AG3" i="9"/>
  <c r="AG3" i="4"/>
  <c r="AG59" i="6"/>
  <c r="AG39" i="6"/>
  <c r="AG99" i="6"/>
  <c r="AG3" i="6"/>
  <c r="AE67" i="6"/>
  <c r="AE54" i="6"/>
  <c r="AE61" i="6"/>
  <c r="AG81" i="6"/>
  <c r="AG87" i="6"/>
  <c r="AG74" i="6"/>
  <c r="O15" i="37"/>
  <c r="J28" i="51" s="1"/>
  <c r="P51" i="12"/>
  <c r="AG308" i="6"/>
  <c r="AG14" i="37"/>
  <c r="AG63" i="12"/>
  <c r="AG54" i="12"/>
  <c r="AG67" i="12"/>
  <c r="AG68" i="12" s="1"/>
  <c r="P24" i="10" l="1"/>
  <c r="P26" i="10" s="1"/>
  <c r="Q8" i="34"/>
  <c r="Q44" i="15"/>
  <c r="N33" i="16"/>
  <c r="N47" i="16"/>
  <c r="N34" i="16"/>
  <c r="AF61" i="6"/>
  <c r="AF67" i="6"/>
  <c r="AF54" i="6"/>
  <c r="AH53" i="20"/>
  <c r="AH54" i="20" s="1"/>
  <c r="AH58" i="20" s="1"/>
  <c r="AH59" i="20"/>
  <c r="AH236" i="6"/>
  <c r="AH284" i="6"/>
  <c r="AH285" i="6" s="1"/>
  <c r="AH177" i="6"/>
  <c r="AH228" i="6"/>
  <c r="AH121" i="6"/>
  <c r="AH277" i="6"/>
  <c r="AH244" i="6"/>
  <c r="AH18" i="6"/>
  <c r="AH19" i="6" s="1"/>
  <c r="AH87" i="6"/>
  <c r="AH74" i="6"/>
  <c r="AH81" i="6"/>
  <c r="AH34" i="6"/>
  <c r="AH41" i="6"/>
  <c r="AH47" i="6"/>
  <c r="AF141" i="6"/>
  <c r="AF162" i="6"/>
  <c r="O10" i="31"/>
  <c r="I25" i="47" s="1"/>
  <c r="P41" i="15"/>
  <c r="AH94" i="6"/>
  <c r="AH101" i="6"/>
  <c r="AH107" i="6"/>
  <c r="O8" i="28"/>
  <c r="J12" i="51" s="1"/>
  <c r="O19" i="16"/>
  <c r="O21" i="16" s="1"/>
  <c r="O26" i="11"/>
  <c r="O27" i="11" s="1"/>
  <c r="AI4" i="40"/>
  <c r="AI4" i="37"/>
  <c r="AI4" i="34"/>
  <c r="AI4" i="31"/>
  <c r="AI4" i="28"/>
  <c r="AI4" i="21"/>
  <c r="AI4" i="22"/>
  <c r="AI10" i="21"/>
  <c r="AI32" i="20"/>
  <c r="AI74" i="20"/>
  <c r="AI4" i="20"/>
  <c r="AI28" i="19"/>
  <c r="AI4" i="19"/>
  <c r="AI4" i="18"/>
  <c r="AI4" i="17"/>
  <c r="AI10" i="18"/>
  <c r="AI4" i="16"/>
  <c r="AI40" i="15"/>
  <c r="AI10" i="16"/>
  <c r="AI10" i="17"/>
  <c r="AI27" i="15"/>
  <c r="AI4" i="13"/>
  <c r="AI4" i="15"/>
  <c r="AI17" i="13"/>
  <c r="AI50" i="12"/>
  <c r="AI25" i="13"/>
  <c r="AI4" i="12"/>
  <c r="AI4" i="10"/>
  <c r="AI35" i="9"/>
  <c r="AI23" i="11"/>
  <c r="AI4" i="8"/>
  <c r="AI314" i="6"/>
  <c r="AI306" i="6"/>
  <c r="AI4" i="14"/>
  <c r="AI37" i="12"/>
  <c r="AI10" i="9"/>
  <c r="AI325" i="6"/>
  <c r="AI326" i="6" s="1"/>
  <c r="AI16" i="10"/>
  <c r="AI330" i="6"/>
  <c r="AI331" i="6" s="1"/>
  <c r="AI269" i="6"/>
  <c r="AI140" i="6"/>
  <c r="AI86" i="6"/>
  <c r="AI4" i="11"/>
  <c r="AI295" i="6"/>
  <c r="AI296" i="6" s="1"/>
  <c r="AI196" i="6"/>
  <c r="AI182" i="6"/>
  <c r="AI93" i="6"/>
  <c r="AI290" i="6"/>
  <c r="AI291" i="6" s="1"/>
  <c r="AI253" i="6"/>
  <c r="AI126" i="6"/>
  <c r="AI100" i="6"/>
  <c r="AI106" i="6"/>
  <c r="AI60" i="12"/>
  <c r="AI4" i="7"/>
  <c r="AI345" i="6"/>
  <c r="AI346" i="6" s="1"/>
  <c r="AI73" i="6"/>
  <c r="AI4" i="9"/>
  <c r="AI340" i="6"/>
  <c r="AI341" i="6" s="1"/>
  <c r="AI4" i="6"/>
  <c r="AI33" i="6"/>
  <c r="AI11" i="6"/>
  <c r="AI12" i="6" s="1"/>
  <c r="AI40" i="6"/>
  <c r="AJ28" i="6"/>
  <c r="AI66" i="6"/>
  <c r="AI60" i="6"/>
  <c r="AI46" i="6"/>
  <c r="AI4" i="4"/>
  <c r="AI80" i="6"/>
  <c r="AI53" i="6"/>
  <c r="AI23" i="6"/>
  <c r="AI24" i="6" s="1"/>
  <c r="AG2" i="40"/>
  <c r="AG2" i="37"/>
  <c r="AG2" i="34"/>
  <c r="AG2" i="31"/>
  <c r="AG2" i="28"/>
  <c r="AA2" i="47" s="1"/>
  <c r="AG60" i="20"/>
  <c r="AG2" i="21"/>
  <c r="AG2" i="22"/>
  <c r="AG2" i="19"/>
  <c r="AG2" i="20"/>
  <c r="AG2" i="18"/>
  <c r="AG2" i="17"/>
  <c r="AG2" i="16"/>
  <c r="AG2" i="13"/>
  <c r="AG2" i="15"/>
  <c r="AG2" i="14"/>
  <c r="AG2" i="12"/>
  <c r="AG2" i="10"/>
  <c r="AG2" i="9"/>
  <c r="AG2" i="7"/>
  <c r="AG227" i="6"/>
  <c r="AG229" i="6" s="1"/>
  <c r="AG21" i="17" s="1"/>
  <c r="AG203" i="6"/>
  <c r="AG2" i="8"/>
  <c r="AG313" i="6"/>
  <c r="AG315" i="6" s="1"/>
  <c r="AG307" i="6"/>
  <c r="AG2" i="11"/>
  <c r="AG276" i="6"/>
  <c r="AG278" i="6" s="1"/>
  <c r="AG270" i="6" s="1"/>
  <c r="AG271" i="6" s="1"/>
  <c r="AG264" i="6" s="1"/>
  <c r="AG147" i="6"/>
  <c r="AG243" i="6"/>
  <c r="AG245" i="6" s="1"/>
  <c r="AG21" i="18" s="1"/>
  <c r="AG72" i="6"/>
  <c r="AG235" i="6"/>
  <c r="AG237" i="6" s="1"/>
  <c r="AG20" i="16" s="1"/>
  <c r="AG176" i="6"/>
  <c r="AG178" i="6" s="1"/>
  <c r="AG183" i="6" s="1"/>
  <c r="AG184" i="6" s="1"/>
  <c r="AG188" i="6" s="1"/>
  <c r="AG170" i="6"/>
  <c r="AG171" i="6" s="1"/>
  <c r="AG120" i="6"/>
  <c r="AG122" i="6" s="1"/>
  <c r="AG127" i="6" s="1"/>
  <c r="AG128" i="6" s="1"/>
  <c r="AG132" i="6" s="1"/>
  <c r="AG114" i="6"/>
  <c r="AG115" i="6" s="1"/>
  <c r="AG92" i="6"/>
  <c r="AG52" i="6"/>
  <c r="AG2" i="6"/>
  <c r="AG2" i="4"/>
  <c r="AG32" i="6"/>
  <c r="AG61" i="20"/>
  <c r="AG67" i="20" s="1"/>
  <c r="AF197" i="6"/>
  <c r="AF218" i="6"/>
  <c r="AH3" i="40"/>
  <c r="AH3" i="34"/>
  <c r="AH3" i="37"/>
  <c r="AH3" i="31"/>
  <c r="AH3" i="22"/>
  <c r="AH3" i="28"/>
  <c r="AH3" i="21"/>
  <c r="AH3" i="19"/>
  <c r="AH3" i="20"/>
  <c r="AH3" i="18"/>
  <c r="AH3" i="17"/>
  <c r="AH3" i="14"/>
  <c r="AH3" i="16"/>
  <c r="AH3" i="15"/>
  <c r="AH3" i="11"/>
  <c r="AH3" i="13"/>
  <c r="AH3" i="10"/>
  <c r="AH3" i="9"/>
  <c r="AH3" i="12"/>
  <c r="AH79" i="6"/>
  <c r="AH3" i="7"/>
  <c r="AH99" i="6"/>
  <c r="AH59" i="6"/>
  <c r="AH3" i="4"/>
  <c r="AH3" i="8"/>
  <c r="AH3" i="6"/>
  <c r="AH39" i="6"/>
  <c r="AH308" i="6"/>
  <c r="AG18" i="37"/>
  <c r="AB30" i="51" s="1"/>
  <c r="AG20" i="13"/>
  <c r="AG28" i="13"/>
  <c r="AG55" i="12"/>
  <c r="N17" i="28"/>
  <c r="Z45" i="47"/>
  <c r="Z21" i="47"/>
  <c r="AF26" i="31"/>
  <c r="Z41" i="47" s="1"/>
  <c r="AG11" i="21"/>
  <c r="AG13" i="21" s="1"/>
  <c r="AF29" i="9"/>
  <c r="H13" i="47" l="1"/>
  <c r="I22" i="51"/>
  <c r="AA45" i="47"/>
  <c r="AA21" i="47"/>
  <c r="P11" i="11"/>
  <c r="P12" i="11" s="1"/>
  <c r="P20" i="10"/>
  <c r="P44" i="12"/>
  <c r="P45" i="12" s="1"/>
  <c r="O14" i="31"/>
  <c r="P24" i="11"/>
  <c r="AG26" i="31"/>
  <c r="AA41" i="47" s="1"/>
  <c r="AH11" i="21"/>
  <c r="AH13" i="21" s="1"/>
  <c r="AG29" i="9"/>
  <c r="AG141" i="6"/>
  <c r="AG162" i="6"/>
  <c r="AJ4" i="40"/>
  <c r="AJ4" i="37"/>
  <c r="AJ4" i="34"/>
  <c r="AJ4" i="31"/>
  <c r="AJ4" i="28"/>
  <c r="AJ4" i="21"/>
  <c r="AJ4" i="22"/>
  <c r="AJ10" i="21"/>
  <c r="AJ74" i="20"/>
  <c r="AJ4" i="20"/>
  <c r="AJ28" i="19"/>
  <c r="AJ4" i="18"/>
  <c r="AJ32" i="20"/>
  <c r="AJ10" i="18"/>
  <c r="AJ4" i="19"/>
  <c r="AJ10" i="17"/>
  <c r="AJ40" i="15"/>
  <c r="AJ10" i="16"/>
  <c r="AJ4" i="17"/>
  <c r="AJ4" i="15"/>
  <c r="AJ27" i="15"/>
  <c r="AJ17" i="13"/>
  <c r="AJ4" i="14"/>
  <c r="AJ25" i="13"/>
  <c r="AJ4" i="13"/>
  <c r="AJ4" i="12"/>
  <c r="AJ4" i="10"/>
  <c r="AJ35" i="9"/>
  <c r="AJ23" i="11"/>
  <c r="AJ37" i="12"/>
  <c r="AJ4" i="11"/>
  <c r="AJ16" i="10"/>
  <c r="AJ60" i="12"/>
  <c r="AJ306" i="6"/>
  <c r="AJ10" i="9"/>
  <c r="AJ325" i="6"/>
  <c r="AJ326" i="6" s="1"/>
  <c r="AJ340" i="6"/>
  <c r="AJ341" i="6" s="1"/>
  <c r="AJ290" i="6"/>
  <c r="AJ291" i="6" s="1"/>
  <c r="AJ4" i="9"/>
  <c r="AJ4" i="7"/>
  <c r="AJ345" i="6"/>
  <c r="AJ346" i="6" s="1"/>
  <c r="AJ295" i="6"/>
  <c r="AJ296" i="6" s="1"/>
  <c r="AJ4" i="8"/>
  <c r="AJ196" i="6"/>
  <c r="AJ182" i="6"/>
  <c r="AJ93" i="6"/>
  <c r="AJ253" i="6"/>
  <c r="AJ126" i="6"/>
  <c r="AJ100" i="6"/>
  <c r="AJ106" i="6"/>
  <c r="AJ50" i="12"/>
  <c r="AJ330" i="6"/>
  <c r="AJ331" i="6" s="1"/>
  <c r="AJ60" i="6"/>
  <c r="AJ4" i="16"/>
  <c r="AJ66" i="6"/>
  <c r="AJ314" i="6"/>
  <c r="AJ269" i="6"/>
  <c r="AJ80" i="6"/>
  <c r="AJ4" i="6"/>
  <c r="AJ33" i="6"/>
  <c r="AJ11" i="6"/>
  <c r="AJ12" i="6" s="1"/>
  <c r="AJ40" i="6"/>
  <c r="AK28" i="6"/>
  <c r="AJ46" i="6"/>
  <c r="AJ4" i="4"/>
  <c r="AJ86" i="6"/>
  <c r="AJ53" i="6"/>
  <c r="AJ23" i="6"/>
  <c r="AJ24" i="6" s="1"/>
  <c r="AJ73" i="6"/>
  <c r="AJ140" i="6"/>
  <c r="AI94" i="6"/>
  <c r="AI101" i="6"/>
  <c r="AI107" i="6"/>
  <c r="AI81" i="6"/>
  <c r="AI87" i="6"/>
  <c r="AI74" i="6"/>
  <c r="O19" i="34"/>
  <c r="I58" i="47" s="1"/>
  <c r="O26" i="16"/>
  <c r="Q27" i="16" s="1"/>
  <c r="O12" i="16"/>
  <c r="AH2" i="40"/>
  <c r="AH2" i="37"/>
  <c r="AH2" i="34"/>
  <c r="AH2" i="31"/>
  <c r="AH2" i="28"/>
  <c r="AB2" i="47" s="1"/>
  <c r="AH2" i="21"/>
  <c r="AH2" i="22"/>
  <c r="AH60" i="20"/>
  <c r="AH61" i="20" s="1"/>
  <c r="AH67" i="20" s="1"/>
  <c r="AH2" i="20"/>
  <c r="AH2" i="18"/>
  <c r="AH2" i="17"/>
  <c r="AH2" i="19"/>
  <c r="AH2" i="16"/>
  <c r="AH2" i="15"/>
  <c r="AH2" i="14"/>
  <c r="AH2" i="12"/>
  <c r="AH2" i="10"/>
  <c r="AH2" i="13"/>
  <c r="AH2" i="11"/>
  <c r="AH2" i="9"/>
  <c r="AH2" i="7"/>
  <c r="AH227" i="6"/>
  <c r="AH229" i="6" s="1"/>
  <c r="AH21" i="17" s="1"/>
  <c r="AH2" i="8"/>
  <c r="AH313" i="6"/>
  <c r="AH315" i="6" s="1"/>
  <c r="AH307" i="6"/>
  <c r="AI308" i="6" s="1"/>
  <c r="AH235" i="6"/>
  <c r="AH237" i="6" s="1"/>
  <c r="AH20" i="16" s="1"/>
  <c r="AH243" i="6"/>
  <c r="AH245" i="6" s="1"/>
  <c r="AH21" i="18" s="1"/>
  <c r="AH72" i="6"/>
  <c r="AH176" i="6"/>
  <c r="AH178" i="6" s="1"/>
  <c r="AH183" i="6" s="1"/>
  <c r="AH184" i="6" s="1"/>
  <c r="AH188" i="6" s="1"/>
  <c r="AH170" i="6"/>
  <c r="AH171" i="6" s="1"/>
  <c r="AH120" i="6"/>
  <c r="AH122" i="6" s="1"/>
  <c r="AH127" i="6" s="1"/>
  <c r="AH128" i="6" s="1"/>
  <c r="AH132" i="6" s="1"/>
  <c r="AH114" i="6"/>
  <c r="AH115" i="6" s="1"/>
  <c r="AH92" i="6"/>
  <c r="AH276" i="6"/>
  <c r="AH278" i="6" s="1"/>
  <c r="AH270" i="6" s="1"/>
  <c r="AH271" i="6" s="1"/>
  <c r="AH264" i="6" s="1"/>
  <c r="AH2" i="6"/>
  <c r="AH32" i="6"/>
  <c r="AH147" i="6"/>
  <c r="AH2" i="4"/>
  <c r="AH203" i="6"/>
  <c r="AH52" i="6"/>
  <c r="I4" i="47"/>
  <c r="N13" i="16"/>
  <c r="N15" i="16" s="1"/>
  <c r="AG197" i="6"/>
  <c r="AG218" i="6"/>
  <c r="AI53" i="20"/>
  <c r="AI54" i="20" s="1"/>
  <c r="AI58" i="20" s="1"/>
  <c r="AI59" i="20"/>
  <c r="AI236" i="6"/>
  <c r="AI284" i="6"/>
  <c r="AI285" i="6" s="1"/>
  <c r="AI277" i="6"/>
  <c r="AI228" i="6"/>
  <c r="AI121" i="6"/>
  <c r="AI244" i="6"/>
  <c r="AI18" i="6"/>
  <c r="AI19" i="6" s="1"/>
  <c r="AI177" i="6"/>
  <c r="AI3" i="40"/>
  <c r="AI3" i="37"/>
  <c r="AI3" i="34"/>
  <c r="AI3" i="31"/>
  <c r="AI3" i="22"/>
  <c r="AI3" i="28"/>
  <c r="AI3" i="21"/>
  <c r="AI3" i="19"/>
  <c r="AI3" i="20"/>
  <c r="AI3" i="18"/>
  <c r="AI3" i="17"/>
  <c r="AI3" i="16"/>
  <c r="AI3" i="14"/>
  <c r="AI3" i="13"/>
  <c r="AI3" i="11"/>
  <c r="AI3" i="12"/>
  <c r="AI3" i="10"/>
  <c r="AI3" i="15"/>
  <c r="AI3" i="9"/>
  <c r="AI3" i="7"/>
  <c r="AI3" i="8"/>
  <c r="AI79" i="6"/>
  <c r="AI99" i="6"/>
  <c r="AI3" i="4"/>
  <c r="AI59" i="6"/>
  <c r="AI39" i="6"/>
  <c r="AI3" i="6"/>
  <c r="AG67" i="6"/>
  <c r="AG61" i="6"/>
  <c r="AG54" i="6"/>
  <c r="AI34" i="6"/>
  <c r="AI41" i="6"/>
  <c r="AI47" i="6"/>
  <c r="N24" i="34"/>
  <c r="H63" i="47" s="1"/>
  <c r="K47" i="47"/>
  <c r="AJ34" i="6" l="1"/>
  <c r="AJ41" i="6"/>
  <c r="AJ47" i="6"/>
  <c r="AI2" i="40"/>
  <c r="AI2" i="37"/>
  <c r="AI2" i="34"/>
  <c r="AI2" i="31"/>
  <c r="AI2" i="28"/>
  <c r="AC2" i="47" s="1"/>
  <c r="AI2" i="21"/>
  <c r="AI2" i="22"/>
  <c r="AI60" i="20"/>
  <c r="AI2" i="20"/>
  <c r="AI2" i="19"/>
  <c r="AI2" i="18"/>
  <c r="AI2" i="17"/>
  <c r="AI2" i="16"/>
  <c r="AI2" i="13"/>
  <c r="AI2" i="15"/>
  <c r="AI2" i="12"/>
  <c r="AI2" i="10"/>
  <c r="AI2" i="14"/>
  <c r="AI2" i="8"/>
  <c r="AI313" i="6"/>
  <c r="AI315" i="6" s="1"/>
  <c r="AI307" i="6"/>
  <c r="AI235" i="6"/>
  <c r="AI237" i="6" s="1"/>
  <c r="AI20" i="16" s="1"/>
  <c r="AI2" i="11"/>
  <c r="AI243" i="6"/>
  <c r="AI245" i="6" s="1"/>
  <c r="AI21" i="18" s="1"/>
  <c r="AI176" i="6"/>
  <c r="AI178" i="6" s="1"/>
  <c r="AI183" i="6" s="1"/>
  <c r="AI184" i="6" s="1"/>
  <c r="AI188" i="6" s="1"/>
  <c r="AI2" i="7"/>
  <c r="AI170" i="6"/>
  <c r="AI171" i="6" s="1"/>
  <c r="AI120" i="6"/>
  <c r="AI122" i="6" s="1"/>
  <c r="AI127" i="6" s="1"/>
  <c r="AI128" i="6" s="1"/>
  <c r="AI132" i="6" s="1"/>
  <c r="AI114" i="6"/>
  <c r="AI115" i="6" s="1"/>
  <c r="AI92" i="6"/>
  <c r="AI2" i="9"/>
  <c r="AI203" i="6"/>
  <c r="AI147" i="6"/>
  <c r="AI2" i="6"/>
  <c r="AI276" i="6"/>
  <c r="AI278" i="6" s="1"/>
  <c r="AI270" i="6" s="1"/>
  <c r="AI271" i="6" s="1"/>
  <c r="AI264" i="6" s="1"/>
  <c r="AI32" i="6"/>
  <c r="AI227" i="6"/>
  <c r="AI229" i="6" s="1"/>
  <c r="AI21" i="17" s="1"/>
  <c r="AI2" i="4"/>
  <c r="AI52" i="6"/>
  <c r="AI72" i="6"/>
  <c r="AI61" i="20"/>
  <c r="AI67" i="20" s="1"/>
  <c r="AJ101" i="6"/>
  <c r="AJ107" i="6"/>
  <c r="AJ94" i="6"/>
  <c r="AJ308" i="6"/>
  <c r="AK4" i="40"/>
  <c r="AK4" i="37"/>
  <c r="AK4" i="34"/>
  <c r="AK4" i="31"/>
  <c r="AK4" i="28"/>
  <c r="AK4" i="21"/>
  <c r="AK4" i="22"/>
  <c r="AK10" i="21"/>
  <c r="AK74" i="20"/>
  <c r="AK32" i="20"/>
  <c r="AK4" i="20"/>
  <c r="AK28" i="19"/>
  <c r="AK4" i="18"/>
  <c r="AK10" i="18"/>
  <c r="AK4" i="19"/>
  <c r="AK10" i="17"/>
  <c r="AK4" i="17"/>
  <c r="AK40" i="15"/>
  <c r="AK10" i="16"/>
  <c r="AK27" i="15"/>
  <c r="AK4" i="16"/>
  <c r="AK17" i="13"/>
  <c r="AK4" i="14"/>
  <c r="AK25" i="13"/>
  <c r="AK4" i="13"/>
  <c r="AK4" i="12"/>
  <c r="AK4" i="10"/>
  <c r="AK23" i="11"/>
  <c r="AK37" i="12"/>
  <c r="AK4" i="11"/>
  <c r="AK16" i="10"/>
  <c r="AK4" i="15"/>
  <c r="AK50" i="12"/>
  <c r="AK306" i="6"/>
  <c r="AK10" i="9"/>
  <c r="AK325" i="6"/>
  <c r="AK326" i="6" s="1"/>
  <c r="AK35" i="9"/>
  <c r="AK340" i="6"/>
  <c r="AK341" i="6" s="1"/>
  <c r="AK290" i="6"/>
  <c r="AK291" i="6" s="1"/>
  <c r="AK253" i="6"/>
  <c r="AK60" i="12"/>
  <c r="AK4" i="8"/>
  <c r="AK314" i="6"/>
  <c r="AK295" i="6"/>
  <c r="AK296" i="6" s="1"/>
  <c r="AK126" i="6"/>
  <c r="AK100" i="6"/>
  <c r="AK106" i="6"/>
  <c r="AK330" i="6"/>
  <c r="AK331" i="6" s="1"/>
  <c r="AK60" i="6"/>
  <c r="AK4" i="7"/>
  <c r="AK345" i="6"/>
  <c r="AK346" i="6" s="1"/>
  <c r="AK66" i="6"/>
  <c r="AK4" i="9"/>
  <c r="AK73" i="6"/>
  <c r="AK140" i="6"/>
  <c r="AK86" i="6"/>
  <c r="AK33" i="6"/>
  <c r="AK11" i="6"/>
  <c r="AK12" i="6" s="1"/>
  <c r="AK196" i="6"/>
  <c r="AK40" i="6"/>
  <c r="AL28" i="6"/>
  <c r="AK93" i="6"/>
  <c r="AK46" i="6"/>
  <c r="AK4" i="4"/>
  <c r="AK182" i="6"/>
  <c r="AK53" i="6"/>
  <c r="AK23" i="6"/>
  <c r="AK24" i="6" s="1"/>
  <c r="AK80" i="6"/>
  <c r="AK269" i="6"/>
  <c r="AK4" i="6"/>
  <c r="AH26" i="31"/>
  <c r="AB41" i="47" s="1"/>
  <c r="AI11" i="21"/>
  <c r="AI13" i="21" s="1"/>
  <c r="AH29" i="9"/>
  <c r="P16" i="37"/>
  <c r="P62" i="12"/>
  <c r="P64" i="12" s="1"/>
  <c r="P53" i="12"/>
  <c r="AH141" i="6"/>
  <c r="AH162" i="6"/>
  <c r="AH67" i="6"/>
  <c r="AH61" i="6"/>
  <c r="AH54" i="6"/>
  <c r="AJ53" i="20"/>
  <c r="AJ54" i="20" s="1"/>
  <c r="AJ58" i="20" s="1"/>
  <c r="AJ59" i="20"/>
  <c r="AJ236" i="6"/>
  <c r="AJ284" i="6"/>
  <c r="AJ285" i="6" s="1"/>
  <c r="AJ277" i="6"/>
  <c r="AJ244" i="6"/>
  <c r="AJ228" i="6"/>
  <c r="AJ177" i="6"/>
  <c r="AJ121" i="6"/>
  <c r="AJ18" i="6"/>
  <c r="AJ19" i="6" s="1"/>
  <c r="Q28" i="16"/>
  <c r="Q20" i="34" s="1"/>
  <c r="K59" i="47" s="1"/>
  <c r="Q14" i="16"/>
  <c r="AJ3" i="37"/>
  <c r="AJ3" i="40"/>
  <c r="AJ3" i="34"/>
  <c r="AJ3" i="31"/>
  <c r="AJ3" i="28"/>
  <c r="AJ3" i="22"/>
  <c r="AJ3" i="21"/>
  <c r="AJ3" i="19"/>
  <c r="AJ3" i="20"/>
  <c r="AJ3" i="17"/>
  <c r="AJ3" i="18"/>
  <c r="AJ3" i="16"/>
  <c r="AJ3" i="14"/>
  <c r="AJ3" i="13"/>
  <c r="AJ3" i="15"/>
  <c r="AJ3" i="11"/>
  <c r="AJ3" i="10"/>
  <c r="AJ3" i="9"/>
  <c r="AJ3" i="7"/>
  <c r="AJ3" i="8"/>
  <c r="AJ3" i="12"/>
  <c r="AJ99" i="6"/>
  <c r="AJ79" i="6"/>
  <c r="AJ59" i="6"/>
  <c r="AJ39" i="6"/>
  <c r="AJ3" i="6"/>
  <c r="AJ3" i="4"/>
  <c r="AJ74" i="6"/>
  <c r="AJ87" i="6"/>
  <c r="AJ81" i="6"/>
  <c r="I29" i="47"/>
  <c r="P16" i="19"/>
  <c r="P17" i="19" s="1"/>
  <c r="P42" i="15"/>
  <c r="P25" i="11"/>
  <c r="P20" i="15"/>
  <c r="N17" i="31"/>
  <c r="O11" i="16"/>
  <c r="AH197" i="6"/>
  <c r="AH218" i="6"/>
  <c r="AB21" i="47"/>
  <c r="AB45" i="47"/>
  <c r="H32" i="47" l="1"/>
  <c r="I8" i="51"/>
  <c r="AJ2" i="40"/>
  <c r="AJ2" i="37"/>
  <c r="AJ2" i="34"/>
  <c r="AJ2" i="31"/>
  <c r="AJ2" i="28"/>
  <c r="AD2" i="47" s="1"/>
  <c r="AJ2" i="21"/>
  <c r="AJ2" i="22"/>
  <c r="AJ60" i="20"/>
  <c r="AJ2" i="20"/>
  <c r="AJ2" i="18"/>
  <c r="AJ2" i="19"/>
  <c r="AJ2" i="17"/>
  <c r="AJ2" i="15"/>
  <c r="AJ2" i="16"/>
  <c r="AJ2" i="14"/>
  <c r="AJ2" i="12"/>
  <c r="AJ2" i="10"/>
  <c r="AJ2" i="11"/>
  <c r="AJ313" i="6"/>
  <c r="AJ315" i="6" s="1"/>
  <c r="AJ307" i="6"/>
  <c r="AJ235" i="6"/>
  <c r="AJ237" i="6" s="1"/>
  <c r="AJ20" i="16" s="1"/>
  <c r="AJ276" i="6"/>
  <c r="AJ278" i="6" s="1"/>
  <c r="AJ270" i="6" s="1"/>
  <c r="AJ271" i="6" s="1"/>
  <c r="AJ264" i="6" s="1"/>
  <c r="AJ2" i="9"/>
  <c r="AJ2" i="7"/>
  <c r="AJ227" i="6"/>
  <c r="AJ229" i="6" s="1"/>
  <c r="AJ21" i="17" s="1"/>
  <c r="AJ203" i="6"/>
  <c r="AJ170" i="6"/>
  <c r="AJ171" i="6" s="1"/>
  <c r="AJ120" i="6"/>
  <c r="AJ122" i="6" s="1"/>
  <c r="AJ127" i="6" s="1"/>
  <c r="AJ128" i="6" s="1"/>
  <c r="AJ132" i="6" s="1"/>
  <c r="AJ114" i="6"/>
  <c r="AJ115" i="6" s="1"/>
  <c r="AJ92" i="6"/>
  <c r="AJ2" i="8"/>
  <c r="AJ72" i="6"/>
  <c r="AJ2" i="6"/>
  <c r="AJ176" i="6"/>
  <c r="AJ178" i="6" s="1"/>
  <c r="AJ183" i="6" s="1"/>
  <c r="AJ184" i="6" s="1"/>
  <c r="AJ188" i="6" s="1"/>
  <c r="AJ32" i="6"/>
  <c r="AJ2" i="4"/>
  <c r="AJ243" i="6"/>
  <c r="AJ245" i="6" s="1"/>
  <c r="AJ21" i="18" s="1"/>
  <c r="AJ2" i="13"/>
  <c r="AJ52" i="6"/>
  <c r="AJ147" i="6"/>
  <c r="P21" i="19"/>
  <c r="P43" i="15"/>
  <c r="P21" i="15"/>
  <c r="R22" i="15" s="1"/>
  <c r="AL4" i="40"/>
  <c r="AL4" i="37"/>
  <c r="AL4" i="34"/>
  <c r="AL4" i="31"/>
  <c r="AL4" i="22"/>
  <c r="AL10" i="21"/>
  <c r="AL74" i="20"/>
  <c r="AL32" i="20"/>
  <c r="AL28" i="19"/>
  <c r="AL4" i="19"/>
  <c r="AL4" i="28"/>
  <c r="AL4" i="21"/>
  <c r="AL4" i="20"/>
  <c r="AL10" i="18"/>
  <c r="AL10" i="17"/>
  <c r="AL10" i="16"/>
  <c r="AL4" i="18"/>
  <c r="AL27" i="15"/>
  <c r="AL4" i="17"/>
  <c r="AL17" i="13"/>
  <c r="AL4" i="14"/>
  <c r="AL25" i="13"/>
  <c r="AL4" i="16"/>
  <c r="AL4" i="15"/>
  <c r="AL35" i="9"/>
  <c r="AL23" i="11"/>
  <c r="AL37" i="12"/>
  <c r="AL4" i="11"/>
  <c r="AL16" i="10"/>
  <c r="AL40" i="15"/>
  <c r="AL60" i="12"/>
  <c r="AL10" i="9"/>
  <c r="AL325" i="6"/>
  <c r="AL326" i="6" s="1"/>
  <c r="AL340" i="6"/>
  <c r="AL341" i="6" s="1"/>
  <c r="AL290" i="6"/>
  <c r="AL291" i="6" s="1"/>
  <c r="AL4" i="10"/>
  <c r="AL253" i="6"/>
  <c r="AL330" i="6"/>
  <c r="AL331" i="6" s="1"/>
  <c r="AL269" i="6"/>
  <c r="AL4" i="13"/>
  <c r="AL4" i="9"/>
  <c r="AL50" i="12"/>
  <c r="AL306" i="6"/>
  <c r="AL106" i="6"/>
  <c r="AL4" i="7"/>
  <c r="AL345" i="6"/>
  <c r="AL346" i="6" s="1"/>
  <c r="AL66" i="6"/>
  <c r="AL73" i="6"/>
  <c r="AL80" i="6"/>
  <c r="AL196" i="6"/>
  <c r="AL182" i="6"/>
  <c r="AL93" i="6"/>
  <c r="AL295" i="6"/>
  <c r="AL296" i="6" s="1"/>
  <c r="AL40" i="6"/>
  <c r="AM28" i="6"/>
  <c r="AL100" i="6"/>
  <c r="AL46" i="6"/>
  <c r="AL4" i="4"/>
  <c r="AL53" i="6"/>
  <c r="AL23" i="6"/>
  <c r="AL24" i="6" s="1"/>
  <c r="AL86" i="6"/>
  <c r="AL60" i="6"/>
  <c r="AL4" i="12"/>
  <c r="AL4" i="8"/>
  <c r="AL140" i="6"/>
  <c r="AL4" i="6"/>
  <c r="AL11" i="6"/>
  <c r="AL12" i="6" s="1"/>
  <c r="AL314" i="6"/>
  <c r="AL33" i="6"/>
  <c r="AL126" i="6"/>
  <c r="AI218" i="6"/>
  <c r="AI197" i="6"/>
  <c r="O39" i="16"/>
  <c r="O40" i="16" s="1"/>
  <c r="AK41" i="6"/>
  <c r="AK47" i="6"/>
  <c r="AK34" i="6"/>
  <c r="AK74" i="6"/>
  <c r="AK81" i="6"/>
  <c r="AK87" i="6"/>
  <c r="AI26" i="31"/>
  <c r="AC41" i="47" s="1"/>
  <c r="AJ11" i="21"/>
  <c r="AJ13" i="21" s="1"/>
  <c r="AI29" i="9"/>
  <c r="AK3" i="40"/>
  <c r="AK3" i="37"/>
  <c r="AK3" i="34"/>
  <c r="AK3" i="31"/>
  <c r="AK3" i="28"/>
  <c r="AK3" i="21"/>
  <c r="AK3" i="22"/>
  <c r="AK3" i="19"/>
  <c r="AK3" i="20"/>
  <c r="AK3" i="18"/>
  <c r="AK3" i="17"/>
  <c r="AK3" i="16"/>
  <c r="AK3" i="13"/>
  <c r="AK3" i="15"/>
  <c r="AK3" i="14"/>
  <c r="AK3" i="12"/>
  <c r="AK3" i="10"/>
  <c r="AK3" i="9"/>
  <c r="AK3" i="7"/>
  <c r="AK3" i="8"/>
  <c r="AK3" i="11"/>
  <c r="AK99" i="6"/>
  <c r="AK59" i="6"/>
  <c r="AK79" i="6"/>
  <c r="AK39" i="6"/>
  <c r="AK3" i="6"/>
  <c r="AK3" i="4"/>
  <c r="AK107" i="6"/>
  <c r="AK94" i="6"/>
  <c r="AK101" i="6"/>
  <c r="AK53" i="20"/>
  <c r="AK54" i="20" s="1"/>
  <c r="AK58" i="20" s="1"/>
  <c r="AK59" i="20"/>
  <c r="AK284" i="6"/>
  <c r="AK285" i="6" s="1"/>
  <c r="AK277" i="6"/>
  <c r="AK244" i="6"/>
  <c r="AK121" i="6"/>
  <c r="AK18" i="6"/>
  <c r="AK19" i="6" s="1"/>
  <c r="AK228" i="6"/>
  <c r="AK236" i="6"/>
  <c r="AK177" i="6"/>
  <c r="P45" i="15"/>
  <c r="AI61" i="6"/>
  <c r="AI67" i="6"/>
  <c r="AI54" i="6"/>
  <c r="P17" i="37"/>
  <c r="K29" i="51" s="1"/>
  <c r="P17" i="11"/>
  <c r="P18" i="11" s="1"/>
  <c r="Q61" i="12"/>
  <c r="AK308" i="6"/>
  <c r="AJ61" i="20"/>
  <c r="AJ67" i="20" s="1"/>
  <c r="AI162" i="6"/>
  <c r="AI141" i="6"/>
  <c r="AC45" i="47"/>
  <c r="AC21" i="47"/>
  <c r="R8" i="34" l="1"/>
  <c r="R44" i="15"/>
  <c r="AL3" i="37"/>
  <c r="AL3" i="40"/>
  <c r="AL3" i="34"/>
  <c r="AL3" i="31"/>
  <c r="AL3" i="28"/>
  <c r="AL3" i="21"/>
  <c r="AL3" i="22"/>
  <c r="AL3" i="20"/>
  <c r="AL3" i="18"/>
  <c r="AL3" i="19"/>
  <c r="AL3" i="17"/>
  <c r="AL3" i="16"/>
  <c r="AL3" i="15"/>
  <c r="AL3" i="14"/>
  <c r="AL3" i="12"/>
  <c r="AL3" i="10"/>
  <c r="AL3" i="13"/>
  <c r="AL3" i="11"/>
  <c r="AL3" i="9"/>
  <c r="AL3" i="7"/>
  <c r="AL3" i="8"/>
  <c r="AL99" i="6"/>
  <c r="AL79" i="6"/>
  <c r="AL59" i="6"/>
  <c r="AL39" i="6"/>
  <c r="AL3" i="6"/>
  <c r="AL3" i="4"/>
  <c r="P10" i="31"/>
  <c r="J25" i="47" s="1"/>
  <c r="Q41" i="15"/>
  <c r="AL53" i="20"/>
  <c r="AL54" i="20" s="1"/>
  <c r="AL58" i="20" s="1"/>
  <c r="AL59" i="20"/>
  <c r="AL277" i="6"/>
  <c r="AL244" i="6"/>
  <c r="AL228" i="6"/>
  <c r="AL236" i="6"/>
  <c r="AL177" i="6"/>
  <c r="AL18" i="6"/>
  <c r="AL19" i="6" s="1"/>
  <c r="AL121" i="6"/>
  <c r="AL284" i="6"/>
  <c r="AL285" i="6" s="1"/>
  <c r="AL308" i="6"/>
  <c r="AK61" i="20"/>
  <c r="AK67" i="20" s="1"/>
  <c r="AJ162" i="6"/>
  <c r="AJ141" i="6"/>
  <c r="AD45" i="47"/>
  <c r="AD21" i="47"/>
  <c r="AJ26" i="31"/>
  <c r="AD41" i="47" s="1"/>
  <c r="AK11" i="21"/>
  <c r="AK13" i="21" s="1"/>
  <c r="AJ29" i="9"/>
  <c r="AK2" i="40"/>
  <c r="AK2" i="37"/>
  <c r="AK2" i="34"/>
  <c r="AK2" i="31"/>
  <c r="AK2" i="28"/>
  <c r="AE2" i="47" s="1"/>
  <c r="AK2" i="21"/>
  <c r="AK2" i="22"/>
  <c r="AK60" i="20"/>
  <c r="AK2" i="20"/>
  <c r="AK2" i="18"/>
  <c r="AK2" i="19"/>
  <c r="AK2" i="17"/>
  <c r="AK2" i="16"/>
  <c r="AK2" i="14"/>
  <c r="AK2" i="13"/>
  <c r="AK2" i="12"/>
  <c r="AK2" i="10"/>
  <c r="AK2" i="11"/>
  <c r="AK2" i="15"/>
  <c r="AK235" i="6"/>
  <c r="AK237" i="6" s="1"/>
  <c r="AK20" i="16" s="1"/>
  <c r="AK276" i="6"/>
  <c r="AK278" i="6" s="1"/>
  <c r="AK270" i="6" s="1"/>
  <c r="AK271" i="6" s="1"/>
  <c r="AK264" i="6" s="1"/>
  <c r="AK243" i="6"/>
  <c r="AK245" i="6" s="1"/>
  <c r="AK21" i="18" s="1"/>
  <c r="AK2" i="8"/>
  <c r="AK2" i="7"/>
  <c r="AK114" i="6"/>
  <c r="AK115" i="6" s="1"/>
  <c r="AK92" i="6"/>
  <c r="AK313" i="6"/>
  <c r="AK315" i="6" s="1"/>
  <c r="AK2" i="9"/>
  <c r="AK203" i="6"/>
  <c r="AK227" i="6"/>
  <c r="AK229" i="6" s="1"/>
  <c r="AK21" i="17" s="1"/>
  <c r="AK147" i="6"/>
  <c r="AK307" i="6"/>
  <c r="AK176" i="6"/>
  <c r="AK178" i="6" s="1"/>
  <c r="AK183" i="6" s="1"/>
  <c r="AK184" i="6" s="1"/>
  <c r="AK188" i="6" s="1"/>
  <c r="AK170" i="6"/>
  <c r="AK171" i="6" s="1"/>
  <c r="AK32" i="6"/>
  <c r="AK2" i="4"/>
  <c r="AK120" i="6"/>
  <c r="AK122" i="6" s="1"/>
  <c r="AK127" i="6" s="1"/>
  <c r="AK128" i="6" s="1"/>
  <c r="AK132" i="6" s="1"/>
  <c r="AK72" i="6"/>
  <c r="AK52" i="6"/>
  <c r="AK2" i="6"/>
  <c r="O32" i="16"/>
  <c r="O45" i="16"/>
  <c r="O46" i="16" s="1"/>
  <c r="O41" i="16"/>
  <c r="O17" i="28" s="1"/>
  <c r="AM4" i="40"/>
  <c r="AM4" i="37"/>
  <c r="AM4" i="34"/>
  <c r="AM4" i="31"/>
  <c r="AM4" i="22"/>
  <c r="AM10" i="21"/>
  <c r="AM74" i="20"/>
  <c r="AM4" i="28"/>
  <c r="AM32" i="20"/>
  <c r="AM4" i="21"/>
  <c r="AM4" i="19"/>
  <c r="AM4" i="20"/>
  <c r="AM10" i="18"/>
  <c r="AM10" i="17"/>
  <c r="AM28" i="19"/>
  <c r="AM4" i="18"/>
  <c r="AM10" i="16"/>
  <c r="AM27" i="15"/>
  <c r="AM4" i="17"/>
  <c r="AM4" i="16"/>
  <c r="AM40" i="15"/>
  <c r="AM17" i="13"/>
  <c r="AM4" i="14"/>
  <c r="AM25" i="13"/>
  <c r="AM4" i="13"/>
  <c r="AM23" i="11"/>
  <c r="AM37" i="12"/>
  <c r="AM4" i="11"/>
  <c r="AM16" i="10"/>
  <c r="AM60" i="12"/>
  <c r="AM50" i="12"/>
  <c r="AM4" i="12"/>
  <c r="AM4" i="10"/>
  <c r="AM340" i="6"/>
  <c r="AM341" i="6" s="1"/>
  <c r="AM290" i="6"/>
  <c r="AM291" i="6" s="1"/>
  <c r="AM35" i="9"/>
  <c r="AM253" i="6"/>
  <c r="AM330" i="6"/>
  <c r="AM331" i="6" s="1"/>
  <c r="AM269" i="6"/>
  <c r="AM4" i="9"/>
  <c r="AM4" i="7"/>
  <c r="AM345" i="6"/>
  <c r="AM346" i="6" s="1"/>
  <c r="AM295" i="6"/>
  <c r="AM296" i="6" s="1"/>
  <c r="AM4" i="8"/>
  <c r="AM306" i="6"/>
  <c r="AM60" i="6"/>
  <c r="AM73" i="6"/>
  <c r="AM80" i="6"/>
  <c r="AM314" i="6"/>
  <c r="AM140" i="6"/>
  <c r="AM86" i="6"/>
  <c r="AM10" i="9"/>
  <c r="AM126" i="6"/>
  <c r="AM100" i="6"/>
  <c r="AM196" i="6"/>
  <c r="AM46" i="6"/>
  <c r="AM4" i="4"/>
  <c r="AM93" i="6"/>
  <c r="AM53" i="6"/>
  <c r="AM23" i="6"/>
  <c r="AM24" i="6" s="1"/>
  <c r="AM4" i="15"/>
  <c r="AM182" i="6"/>
  <c r="AM106" i="6"/>
  <c r="AM66" i="6"/>
  <c r="AM33" i="6"/>
  <c r="AM11" i="6"/>
  <c r="AM12" i="6" s="1"/>
  <c r="AM40" i="6"/>
  <c r="AN28" i="6"/>
  <c r="AM325" i="6"/>
  <c r="AM326" i="6" s="1"/>
  <c r="AM4" i="6"/>
  <c r="AL101" i="6"/>
  <c r="AL107" i="6"/>
  <c r="AL94" i="6"/>
  <c r="AL74" i="6"/>
  <c r="AL81" i="6"/>
  <c r="AL87" i="6"/>
  <c r="AJ218" i="6"/>
  <c r="AJ197" i="6"/>
  <c r="AJ61" i="6"/>
  <c r="AJ67" i="6"/>
  <c r="AJ54" i="6"/>
  <c r="P8" i="28"/>
  <c r="K12" i="51" s="1"/>
  <c r="P26" i="11"/>
  <c r="P27" i="11" s="1"/>
  <c r="P19" i="16"/>
  <c r="P21" i="16" s="1"/>
  <c r="AL47" i="6"/>
  <c r="AL34" i="6"/>
  <c r="AL41" i="6"/>
  <c r="I13" i="47" l="1"/>
  <c r="J22" i="51"/>
  <c r="AK26" i="31"/>
  <c r="AE41" i="47" s="1"/>
  <c r="AL11" i="21"/>
  <c r="AL13" i="21" s="1"/>
  <c r="AK29" i="9"/>
  <c r="AM74" i="6"/>
  <c r="AM81" i="6"/>
  <c r="AM87" i="6"/>
  <c r="AN4" i="40"/>
  <c r="AN4" i="37"/>
  <c r="AN4" i="34"/>
  <c r="AN4" i="31"/>
  <c r="AN4" i="28"/>
  <c r="AN4" i="22"/>
  <c r="AN10" i="21"/>
  <c r="AN74" i="20"/>
  <c r="AN4" i="21"/>
  <c r="AN32" i="20"/>
  <c r="AN4" i="19"/>
  <c r="AN28" i="19"/>
  <c r="AN10" i="18"/>
  <c r="AN4" i="20"/>
  <c r="AN4" i="17"/>
  <c r="AN27" i="15"/>
  <c r="AN4" i="18"/>
  <c r="AN4" i="16"/>
  <c r="AN4" i="14"/>
  <c r="AN25" i="13"/>
  <c r="AN10" i="17"/>
  <c r="AN4" i="13"/>
  <c r="AN4" i="15"/>
  <c r="AN10" i="16"/>
  <c r="AN40" i="15"/>
  <c r="AN37" i="12"/>
  <c r="AN4" i="11"/>
  <c r="AN16" i="10"/>
  <c r="AN60" i="12"/>
  <c r="AN50" i="12"/>
  <c r="AN17" i="13"/>
  <c r="AN35" i="9"/>
  <c r="AN253" i="6"/>
  <c r="AN4" i="10"/>
  <c r="AN330" i="6"/>
  <c r="AN331" i="6" s="1"/>
  <c r="AN269" i="6"/>
  <c r="AN4" i="9"/>
  <c r="AN4" i="7"/>
  <c r="AN345" i="6"/>
  <c r="AN346" i="6" s="1"/>
  <c r="AN295" i="6"/>
  <c r="AN296" i="6" s="1"/>
  <c r="AN23" i="11"/>
  <c r="AN4" i="8"/>
  <c r="AN314" i="6"/>
  <c r="AN4" i="12"/>
  <c r="AN10" i="9"/>
  <c r="AN325" i="6"/>
  <c r="AN326" i="6" s="1"/>
  <c r="AN66" i="6"/>
  <c r="AN290" i="6"/>
  <c r="AN291" i="6" s="1"/>
  <c r="AN73" i="6"/>
  <c r="AN80" i="6"/>
  <c r="AN140" i="6"/>
  <c r="AN86" i="6"/>
  <c r="AN340" i="6"/>
  <c r="AN341" i="6" s="1"/>
  <c r="AN196" i="6"/>
  <c r="AN182" i="6"/>
  <c r="AN93" i="6"/>
  <c r="AN106" i="6"/>
  <c r="AN306" i="6"/>
  <c r="AN100" i="6"/>
  <c r="AN53" i="6"/>
  <c r="AN23" i="6"/>
  <c r="AN24" i="6" s="1"/>
  <c r="AN60" i="6"/>
  <c r="AN126" i="6"/>
  <c r="AN4" i="6"/>
  <c r="AN40" i="6"/>
  <c r="AO28" i="6"/>
  <c r="AN11" i="6"/>
  <c r="AN12" i="6" s="1"/>
  <c r="AN46" i="6"/>
  <c r="AN33" i="6"/>
  <c r="AN4" i="4"/>
  <c r="AM3" i="40"/>
  <c r="AM3" i="37"/>
  <c r="AM3" i="34"/>
  <c r="AM3" i="31"/>
  <c r="AM3" i="28"/>
  <c r="AM3" i="21"/>
  <c r="AM3" i="22"/>
  <c r="AM3" i="20"/>
  <c r="AM3" i="19"/>
  <c r="AM3" i="18"/>
  <c r="AM3" i="17"/>
  <c r="AM3" i="16"/>
  <c r="AM3" i="13"/>
  <c r="AM3" i="15"/>
  <c r="AM3" i="12"/>
  <c r="AM3" i="10"/>
  <c r="AM3" i="14"/>
  <c r="AM3" i="8"/>
  <c r="AM3" i="7"/>
  <c r="AM3" i="9"/>
  <c r="AM3" i="11"/>
  <c r="AM79" i="6"/>
  <c r="AM39" i="6"/>
  <c r="AM3" i="6"/>
  <c r="AM99" i="6"/>
  <c r="AM3" i="4"/>
  <c r="AM59" i="6"/>
  <c r="AE45" i="47"/>
  <c r="AE21" i="47"/>
  <c r="L47" i="47"/>
  <c r="AM41" i="6"/>
  <c r="AM47" i="6"/>
  <c r="AM34" i="6"/>
  <c r="P19" i="34"/>
  <c r="J58" i="47" s="1"/>
  <c r="P26" i="16"/>
  <c r="R27" i="16" s="1"/>
  <c r="P12" i="16"/>
  <c r="AM59" i="20"/>
  <c r="AM53" i="20"/>
  <c r="AM54" i="20" s="1"/>
  <c r="AM58" i="20" s="1"/>
  <c r="AM244" i="6"/>
  <c r="AM228" i="6"/>
  <c r="AM284" i="6"/>
  <c r="AM285" i="6" s="1"/>
  <c r="AM277" i="6"/>
  <c r="AM177" i="6"/>
  <c r="AM121" i="6"/>
  <c r="AM236" i="6"/>
  <c r="AM18" i="6"/>
  <c r="AM19" i="6" s="1"/>
  <c r="AM94" i="6"/>
  <c r="AM107" i="6"/>
  <c r="AM101" i="6"/>
  <c r="AK67" i="6"/>
  <c r="AK61" i="6"/>
  <c r="AK54" i="6"/>
  <c r="AL61" i="20"/>
  <c r="AL67" i="20" s="1"/>
  <c r="P14" i="31"/>
  <c r="Q24" i="11"/>
  <c r="AL2" i="40"/>
  <c r="AL2" i="37"/>
  <c r="AL2" i="34"/>
  <c r="AL2" i="31"/>
  <c r="AL2" i="22"/>
  <c r="AL60" i="20"/>
  <c r="AL2" i="28"/>
  <c r="AF2" i="47" s="1"/>
  <c r="AL2" i="21"/>
  <c r="AL2" i="19"/>
  <c r="AL2" i="20"/>
  <c r="AL2" i="18"/>
  <c r="AL2" i="17"/>
  <c r="AL2" i="16"/>
  <c r="AL2" i="14"/>
  <c r="AL2" i="15"/>
  <c r="AL2" i="11"/>
  <c r="AL2" i="13"/>
  <c r="AL2" i="10"/>
  <c r="AL276" i="6"/>
  <c r="AL278" i="6" s="1"/>
  <c r="AL270" i="6" s="1"/>
  <c r="AL271" i="6" s="1"/>
  <c r="AL264" i="6" s="1"/>
  <c r="AL243" i="6"/>
  <c r="AL245" i="6" s="1"/>
  <c r="AL21" i="18" s="1"/>
  <c r="AL2" i="9"/>
  <c r="AL313" i="6"/>
  <c r="AL315" i="6" s="1"/>
  <c r="AL307" i="6"/>
  <c r="AM308" i="6" s="1"/>
  <c r="AL235" i="6"/>
  <c r="AL237" i="6" s="1"/>
  <c r="AL20" i="16" s="1"/>
  <c r="AL203" i="6"/>
  <c r="AL227" i="6"/>
  <c r="AL229" i="6" s="1"/>
  <c r="AL21" i="17" s="1"/>
  <c r="AL147" i="6"/>
  <c r="AL2" i="12"/>
  <c r="AL72" i="6"/>
  <c r="AL170" i="6"/>
  <c r="AL171" i="6" s="1"/>
  <c r="AL120" i="6"/>
  <c r="AL122" i="6" s="1"/>
  <c r="AL127" i="6" s="1"/>
  <c r="AL128" i="6" s="1"/>
  <c r="AL132" i="6" s="1"/>
  <c r="AL32" i="6"/>
  <c r="AL176" i="6"/>
  <c r="AL178" i="6" s="1"/>
  <c r="AL183" i="6" s="1"/>
  <c r="AL184" i="6" s="1"/>
  <c r="AL188" i="6" s="1"/>
  <c r="AL2" i="4"/>
  <c r="AL114" i="6"/>
  <c r="AL115" i="6" s="1"/>
  <c r="AL52" i="6"/>
  <c r="AL2" i="6"/>
  <c r="AL2" i="7"/>
  <c r="AL92" i="6"/>
  <c r="AL2" i="8"/>
  <c r="O33" i="16"/>
  <c r="O34" i="16" s="1"/>
  <c r="O13" i="16" s="1"/>
  <c r="O15" i="16" s="1"/>
  <c r="O47" i="16"/>
  <c r="O24" i="34" s="1"/>
  <c r="I63" i="47" s="1"/>
  <c r="AK218" i="6"/>
  <c r="AK197" i="6"/>
  <c r="J4" i="47"/>
  <c r="AK162" i="6"/>
  <c r="AK141" i="6"/>
  <c r="AM2" i="40" l="1"/>
  <c r="AM2" i="37"/>
  <c r="AM2" i="34"/>
  <c r="AM2" i="31"/>
  <c r="AM2" i="22"/>
  <c r="AM60" i="20"/>
  <c r="AM2" i="28"/>
  <c r="AG2" i="47" s="1"/>
  <c r="AM2" i="19"/>
  <c r="AM2" i="20"/>
  <c r="AM2" i="21"/>
  <c r="AM2" i="18"/>
  <c r="AM2" i="17"/>
  <c r="AM2" i="16"/>
  <c r="AM2" i="14"/>
  <c r="AM2" i="13"/>
  <c r="AM2" i="11"/>
  <c r="AM2" i="15"/>
  <c r="AM2" i="12"/>
  <c r="AM2" i="10"/>
  <c r="AM276" i="6"/>
  <c r="AM278" i="6" s="1"/>
  <c r="AM270" i="6" s="1"/>
  <c r="AM271" i="6" s="1"/>
  <c r="AM264" i="6" s="1"/>
  <c r="AM243" i="6"/>
  <c r="AM245" i="6" s="1"/>
  <c r="AM21" i="18" s="1"/>
  <c r="AM2" i="9"/>
  <c r="AM2" i="7"/>
  <c r="AM227" i="6"/>
  <c r="AM229" i="6" s="1"/>
  <c r="AM21" i="17" s="1"/>
  <c r="AM203" i="6"/>
  <c r="AM2" i="8"/>
  <c r="AM235" i="6"/>
  <c r="AM237" i="6" s="1"/>
  <c r="AM20" i="16" s="1"/>
  <c r="AM313" i="6"/>
  <c r="AM315" i="6" s="1"/>
  <c r="AM147" i="6"/>
  <c r="AM72" i="6"/>
  <c r="AM176" i="6"/>
  <c r="AM178" i="6" s="1"/>
  <c r="AM183" i="6" s="1"/>
  <c r="AM184" i="6" s="1"/>
  <c r="AM188" i="6" s="1"/>
  <c r="AM114" i="6"/>
  <c r="AM115" i="6" s="1"/>
  <c r="AM92" i="6"/>
  <c r="AM2" i="4"/>
  <c r="AM52" i="6"/>
  <c r="AM120" i="6"/>
  <c r="AM122" i="6" s="1"/>
  <c r="AM127" i="6" s="1"/>
  <c r="AM128" i="6" s="1"/>
  <c r="AM132" i="6" s="1"/>
  <c r="AM307" i="6"/>
  <c r="AM170" i="6"/>
  <c r="AM171" i="6" s="1"/>
  <c r="AM32" i="6"/>
  <c r="AM2" i="6"/>
  <c r="AN34" i="6"/>
  <c r="AN47" i="6"/>
  <c r="AN41" i="6"/>
  <c r="AL26" i="31"/>
  <c r="AF41" i="47" s="1"/>
  <c r="AM11" i="21"/>
  <c r="AM13" i="21" s="1"/>
  <c r="AL29" i="9"/>
  <c r="AN94" i="6"/>
  <c r="AN101" i="6"/>
  <c r="AN107" i="6"/>
  <c r="O17" i="31"/>
  <c r="P11" i="16"/>
  <c r="AM61" i="20"/>
  <c r="AM67" i="20" s="1"/>
  <c r="AL141" i="6"/>
  <c r="AL162" i="6"/>
  <c r="J29" i="47"/>
  <c r="R28" i="16"/>
  <c r="R20" i="34" s="1"/>
  <c r="L59" i="47" s="1"/>
  <c r="R14" i="16"/>
  <c r="AF45" i="47"/>
  <c r="AF21" i="47"/>
  <c r="AN3" i="40"/>
  <c r="AN3" i="37"/>
  <c r="AN3" i="34"/>
  <c r="AN3" i="31"/>
  <c r="AN3" i="28"/>
  <c r="AN3" i="21"/>
  <c r="AN3" i="22"/>
  <c r="AN3" i="20"/>
  <c r="AN3" i="18"/>
  <c r="AN3" i="19"/>
  <c r="AN3" i="17"/>
  <c r="AN3" i="15"/>
  <c r="AN3" i="16"/>
  <c r="AN3" i="14"/>
  <c r="AN3" i="12"/>
  <c r="AN3" i="10"/>
  <c r="AN3" i="11"/>
  <c r="AN3" i="13"/>
  <c r="AN3" i="9"/>
  <c r="AN3" i="7"/>
  <c r="AN59" i="6"/>
  <c r="AN79" i="6"/>
  <c r="AN3" i="8"/>
  <c r="AN99" i="6"/>
  <c r="AN3" i="6"/>
  <c r="AN3" i="4"/>
  <c r="AN39" i="6"/>
  <c r="AL218" i="6"/>
  <c r="AL197" i="6"/>
  <c r="AL61" i="6"/>
  <c r="AL67" i="6"/>
  <c r="AL54" i="6"/>
  <c r="AN59" i="20"/>
  <c r="AN53" i="20"/>
  <c r="AN54" i="20" s="1"/>
  <c r="AN58" i="20" s="1"/>
  <c r="AN228" i="6"/>
  <c r="AN277" i="6"/>
  <c r="AN244" i="6"/>
  <c r="AN177" i="6"/>
  <c r="AN121" i="6"/>
  <c r="AN284" i="6"/>
  <c r="AN285" i="6" s="1"/>
  <c r="AN236" i="6"/>
  <c r="AN18" i="6"/>
  <c r="AN19" i="6" s="1"/>
  <c r="AN74" i="6"/>
  <c r="AN81" i="6"/>
  <c r="AN87" i="6"/>
  <c r="AO4" i="40"/>
  <c r="AO4" i="37"/>
  <c r="AO4" i="34"/>
  <c r="AO4" i="31"/>
  <c r="AO4" i="28"/>
  <c r="AO10" i="21"/>
  <c r="AO74" i="20"/>
  <c r="AO4" i="21"/>
  <c r="AO4" i="22"/>
  <c r="AO4" i="19"/>
  <c r="AO4" i="20"/>
  <c r="AO32" i="20"/>
  <c r="AO10" i="18"/>
  <c r="AO4" i="18"/>
  <c r="AO28" i="19"/>
  <c r="AO4" i="17"/>
  <c r="AO10" i="17"/>
  <c r="AO27" i="15"/>
  <c r="AO4" i="16"/>
  <c r="AO40" i="15"/>
  <c r="AO10" i="16"/>
  <c r="AO4" i="13"/>
  <c r="AO4" i="15"/>
  <c r="AO17" i="13"/>
  <c r="AO25" i="13"/>
  <c r="AO60" i="12"/>
  <c r="AO50" i="12"/>
  <c r="AO4" i="14"/>
  <c r="AO4" i="12"/>
  <c r="AO4" i="10"/>
  <c r="AO23" i="11"/>
  <c r="AO35" i="9"/>
  <c r="AO330" i="6"/>
  <c r="AO331" i="6" s="1"/>
  <c r="AO269" i="6"/>
  <c r="AO4" i="9"/>
  <c r="AO4" i="7"/>
  <c r="AO345" i="6"/>
  <c r="AO346" i="6" s="1"/>
  <c r="AO295" i="6"/>
  <c r="AO296" i="6" s="1"/>
  <c r="AO37" i="12"/>
  <c r="AO4" i="8"/>
  <c r="AO314" i="6"/>
  <c r="AO196" i="6"/>
  <c r="AO4" i="11"/>
  <c r="AO340" i="6"/>
  <c r="AO341" i="6" s="1"/>
  <c r="AO290" i="6"/>
  <c r="AO291" i="6" s="1"/>
  <c r="AO253" i="6"/>
  <c r="AO73" i="6"/>
  <c r="AO80" i="6"/>
  <c r="AO140" i="6"/>
  <c r="AO86" i="6"/>
  <c r="AO182" i="6"/>
  <c r="AO93" i="6"/>
  <c r="AO325" i="6"/>
  <c r="AO326" i="6" s="1"/>
  <c r="AO126" i="6"/>
  <c r="AO100" i="6"/>
  <c r="AO306" i="6"/>
  <c r="AO60" i="6"/>
  <c r="AO16" i="10"/>
  <c r="AO106" i="6"/>
  <c r="AO66" i="6"/>
  <c r="AO4" i="6"/>
  <c r="AO33" i="6"/>
  <c r="AO11" i="6"/>
  <c r="AO12" i="6" s="1"/>
  <c r="AO10" i="9"/>
  <c r="AO46" i="6"/>
  <c r="AO4" i="4"/>
  <c r="AO53" i="6"/>
  <c r="AO23" i="6"/>
  <c r="AO24" i="6" s="1"/>
  <c r="AO40" i="6"/>
  <c r="AP28" i="6"/>
  <c r="AN308" i="6"/>
  <c r="I32" i="47" l="1"/>
  <c r="J8" i="51"/>
  <c r="AO81" i="6"/>
  <c r="AO87" i="6"/>
  <c r="AO74" i="6"/>
  <c r="AG45" i="47"/>
  <c r="AG21" i="47"/>
  <c r="AM141" i="6"/>
  <c r="AM162" i="6"/>
  <c r="AO59" i="20"/>
  <c r="AO53" i="20"/>
  <c r="AO54" i="20" s="1"/>
  <c r="AO58" i="20" s="1"/>
  <c r="AO228" i="6"/>
  <c r="AO236" i="6"/>
  <c r="AO244" i="6"/>
  <c r="AO277" i="6"/>
  <c r="AO177" i="6"/>
  <c r="AO121" i="6"/>
  <c r="AO284" i="6"/>
  <c r="AO285" i="6" s="1"/>
  <c r="AO18" i="6"/>
  <c r="AO19" i="6" s="1"/>
  <c r="AM218" i="6"/>
  <c r="AM197" i="6"/>
  <c r="AM26" i="31"/>
  <c r="AG41" i="47" s="1"/>
  <c r="AN11" i="21"/>
  <c r="AN13" i="21" s="1"/>
  <c r="AM29" i="9"/>
  <c r="AP4" i="40"/>
  <c r="AP4" i="37"/>
  <c r="AP4" i="34"/>
  <c r="AP4" i="31"/>
  <c r="AP4" i="28"/>
  <c r="AP74" i="20"/>
  <c r="AP4" i="21"/>
  <c r="AP4" i="22"/>
  <c r="AP32" i="20"/>
  <c r="AP10" i="21"/>
  <c r="AP4" i="20"/>
  <c r="AP28" i="19"/>
  <c r="AP4" i="18"/>
  <c r="AP4" i="17"/>
  <c r="AP4" i="19"/>
  <c r="AP4" i="16"/>
  <c r="AP40" i="15"/>
  <c r="AP10" i="17"/>
  <c r="AP10" i="18"/>
  <c r="AP27" i="15"/>
  <c r="AP4" i="15"/>
  <c r="AP4" i="14"/>
  <c r="AP25" i="13"/>
  <c r="AP60" i="12"/>
  <c r="AP50" i="12"/>
  <c r="AP10" i="16"/>
  <c r="AP4" i="12"/>
  <c r="AP4" i="10"/>
  <c r="AP35" i="9"/>
  <c r="AP4" i="13"/>
  <c r="AP37" i="12"/>
  <c r="AP4" i="11"/>
  <c r="AP16" i="10"/>
  <c r="AP4" i="9"/>
  <c r="AP4" i="7"/>
  <c r="AP345" i="6"/>
  <c r="AP346" i="6" s="1"/>
  <c r="AP295" i="6"/>
  <c r="AP296" i="6" s="1"/>
  <c r="AP4" i="8"/>
  <c r="AP314" i="6"/>
  <c r="AP23" i="11"/>
  <c r="AP196" i="6"/>
  <c r="AP306" i="6"/>
  <c r="AP10" i="9"/>
  <c r="AP253" i="6"/>
  <c r="AP17" i="13"/>
  <c r="AP290" i="6"/>
  <c r="AP291" i="6" s="1"/>
  <c r="AP80" i="6"/>
  <c r="AP330" i="6"/>
  <c r="AP331" i="6" s="1"/>
  <c r="AP140" i="6"/>
  <c r="AP86" i="6"/>
  <c r="AP182" i="6"/>
  <c r="AP93" i="6"/>
  <c r="AP340" i="6"/>
  <c r="AP341" i="6" s="1"/>
  <c r="AP325" i="6"/>
  <c r="AP326" i="6" s="1"/>
  <c r="AP126" i="6"/>
  <c r="AP100" i="6"/>
  <c r="AP269" i="6"/>
  <c r="AP106" i="6"/>
  <c r="AP66" i="6"/>
  <c r="AP60" i="6"/>
  <c r="AP4" i="6"/>
  <c r="AP33" i="6"/>
  <c r="AP11" i="6"/>
  <c r="AP12" i="6" s="1"/>
  <c r="AP40" i="6"/>
  <c r="AQ28" i="6"/>
  <c r="AP73" i="6"/>
  <c r="AP53" i="6"/>
  <c r="AP23" i="6"/>
  <c r="AP24" i="6" s="1"/>
  <c r="AP4" i="4"/>
  <c r="AP46" i="6"/>
  <c r="AO34" i="6"/>
  <c r="AO41" i="6"/>
  <c r="AO47" i="6"/>
  <c r="P39" i="16"/>
  <c r="P40" i="16" s="1"/>
  <c r="AM67" i="6"/>
  <c r="AM61" i="6"/>
  <c r="AM54" i="6"/>
  <c r="AO94" i="6"/>
  <c r="AO101" i="6"/>
  <c r="AO107" i="6"/>
  <c r="AO3" i="40"/>
  <c r="AO3" i="37"/>
  <c r="AO3" i="34"/>
  <c r="AO3" i="31"/>
  <c r="AO3" i="28"/>
  <c r="AO3" i="21"/>
  <c r="AO3" i="22"/>
  <c r="AO3" i="20"/>
  <c r="AO3" i="18"/>
  <c r="AO3" i="19"/>
  <c r="AO3" i="17"/>
  <c r="AO3" i="16"/>
  <c r="AO3" i="14"/>
  <c r="AO3" i="13"/>
  <c r="AO3" i="12"/>
  <c r="AO3" i="10"/>
  <c r="AO3" i="11"/>
  <c r="AO3" i="15"/>
  <c r="AO3" i="8"/>
  <c r="AO3" i="7"/>
  <c r="AO3" i="9"/>
  <c r="AO79" i="6"/>
  <c r="AO3" i="4"/>
  <c r="AO99" i="6"/>
  <c r="AO59" i="6"/>
  <c r="AO39" i="6"/>
  <c r="AO3" i="6"/>
  <c r="AN2" i="40"/>
  <c r="AN2" i="37"/>
  <c r="AN2" i="31"/>
  <c r="AN2" i="34"/>
  <c r="AN2" i="28"/>
  <c r="AH2" i="47" s="1"/>
  <c r="AN2" i="22"/>
  <c r="AN60" i="20"/>
  <c r="AN2" i="21"/>
  <c r="AN2" i="19"/>
  <c r="AN2" i="20"/>
  <c r="AN2" i="18"/>
  <c r="AN2" i="17"/>
  <c r="AN2" i="16"/>
  <c r="AN2" i="14"/>
  <c r="AN2" i="13"/>
  <c r="AN2" i="15"/>
  <c r="AN2" i="11"/>
  <c r="AN243" i="6"/>
  <c r="AN245" i="6" s="1"/>
  <c r="AN21" i="18" s="1"/>
  <c r="AN2" i="9"/>
  <c r="AN2" i="7"/>
  <c r="AN227" i="6"/>
  <c r="AN229" i="6" s="1"/>
  <c r="AN21" i="17" s="1"/>
  <c r="AN203" i="6"/>
  <c r="AN2" i="8"/>
  <c r="AN2" i="12"/>
  <c r="AN2" i="10"/>
  <c r="AN235" i="6"/>
  <c r="AN237" i="6" s="1"/>
  <c r="AN20" i="16" s="1"/>
  <c r="AN147" i="6"/>
  <c r="AN72" i="6"/>
  <c r="AN176" i="6"/>
  <c r="AN178" i="6" s="1"/>
  <c r="AN183" i="6" s="1"/>
  <c r="AN184" i="6" s="1"/>
  <c r="AN188" i="6" s="1"/>
  <c r="AN307" i="6"/>
  <c r="AO308" i="6" s="1"/>
  <c r="AN276" i="6"/>
  <c r="AN278" i="6" s="1"/>
  <c r="AN270" i="6" s="1"/>
  <c r="AN271" i="6" s="1"/>
  <c r="AN264" i="6" s="1"/>
  <c r="AN170" i="6"/>
  <c r="AN171" i="6" s="1"/>
  <c r="AN120" i="6"/>
  <c r="AN122" i="6" s="1"/>
  <c r="AN127" i="6" s="1"/>
  <c r="AN128" i="6" s="1"/>
  <c r="AN132" i="6" s="1"/>
  <c r="AN313" i="6"/>
  <c r="AN315" i="6" s="1"/>
  <c r="AN114" i="6"/>
  <c r="AN115" i="6" s="1"/>
  <c r="AN52" i="6"/>
  <c r="AN92" i="6"/>
  <c r="AN2" i="6"/>
  <c r="AN32" i="6"/>
  <c r="AN2" i="4"/>
  <c r="AN61" i="20"/>
  <c r="AN67" i="20" s="1"/>
  <c r="AQ4" i="40" l="1"/>
  <c r="AQ4" i="37"/>
  <c r="AQ4" i="34"/>
  <c r="AQ4" i="31"/>
  <c r="AQ4" i="28"/>
  <c r="AQ4" i="21"/>
  <c r="AQ4" i="22"/>
  <c r="AQ74" i="20"/>
  <c r="AQ32" i="20"/>
  <c r="AQ10" i="21"/>
  <c r="AQ4" i="20"/>
  <c r="AQ28" i="19"/>
  <c r="AQ4" i="19"/>
  <c r="AQ4" i="18"/>
  <c r="AQ4" i="17"/>
  <c r="AQ10" i="18"/>
  <c r="AQ4" i="16"/>
  <c r="AQ40" i="15"/>
  <c r="AQ10" i="17"/>
  <c r="AQ10" i="16"/>
  <c r="AQ27" i="15"/>
  <c r="AQ4" i="13"/>
  <c r="AQ4" i="15"/>
  <c r="AQ17" i="13"/>
  <c r="AQ25" i="13"/>
  <c r="AQ50" i="12"/>
  <c r="AQ4" i="12"/>
  <c r="AQ4" i="10"/>
  <c r="AQ4" i="14"/>
  <c r="AQ35" i="9"/>
  <c r="AQ23" i="11"/>
  <c r="AQ4" i="8"/>
  <c r="AQ314" i="6"/>
  <c r="AQ37" i="12"/>
  <c r="AQ306" i="6"/>
  <c r="AQ10" i="9"/>
  <c r="AQ325" i="6"/>
  <c r="AQ326" i="6" s="1"/>
  <c r="AQ16" i="10"/>
  <c r="AQ330" i="6"/>
  <c r="AQ331" i="6" s="1"/>
  <c r="AQ269" i="6"/>
  <c r="AQ4" i="11"/>
  <c r="AQ140" i="6"/>
  <c r="AQ86" i="6"/>
  <c r="AQ4" i="7"/>
  <c r="AQ345" i="6"/>
  <c r="AQ346" i="6" s="1"/>
  <c r="AQ182" i="6"/>
  <c r="AQ93" i="6"/>
  <c r="AQ340" i="6"/>
  <c r="AQ341" i="6" s="1"/>
  <c r="AQ126" i="6"/>
  <c r="AQ100" i="6"/>
  <c r="AQ60" i="12"/>
  <c r="AQ4" i="9"/>
  <c r="AQ196" i="6"/>
  <c r="AQ106" i="6"/>
  <c r="AQ295" i="6"/>
  <c r="AQ296" i="6" s="1"/>
  <c r="AQ73" i="6"/>
  <c r="AQ60" i="6"/>
  <c r="AQ66" i="6"/>
  <c r="AQ4" i="6"/>
  <c r="AQ33" i="6"/>
  <c r="AQ11" i="6"/>
  <c r="AQ12" i="6" s="1"/>
  <c r="AQ80" i="6"/>
  <c r="AQ40" i="6"/>
  <c r="AR28" i="6"/>
  <c r="AQ46" i="6"/>
  <c r="AQ4" i="4"/>
  <c r="AQ53" i="6"/>
  <c r="AQ23" i="6"/>
  <c r="AQ24" i="6" s="1"/>
  <c r="AQ253" i="6"/>
  <c r="AQ290" i="6"/>
  <c r="AQ291" i="6" s="1"/>
  <c r="AN197" i="6"/>
  <c r="AN218" i="6"/>
  <c r="AP87" i="6"/>
  <c r="AP74" i="6"/>
  <c r="AP81" i="6"/>
  <c r="AP53" i="20"/>
  <c r="AP54" i="20" s="1"/>
  <c r="AP58" i="20" s="1"/>
  <c r="AP59" i="20"/>
  <c r="AP236" i="6"/>
  <c r="AP284" i="6"/>
  <c r="AP285" i="6" s="1"/>
  <c r="AP177" i="6"/>
  <c r="AP244" i="6"/>
  <c r="AP121" i="6"/>
  <c r="AP228" i="6"/>
  <c r="AP277" i="6"/>
  <c r="AP18" i="6"/>
  <c r="AP19" i="6" s="1"/>
  <c r="AH45" i="47"/>
  <c r="AH21" i="47"/>
  <c r="AP34" i="6"/>
  <c r="AP41" i="6"/>
  <c r="AP47" i="6"/>
  <c r="AN141" i="6"/>
  <c r="AN162" i="6"/>
  <c r="AP3" i="40"/>
  <c r="AP3" i="37"/>
  <c r="AP3" i="34"/>
  <c r="AP3" i="31"/>
  <c r="AP3" i="22"/>
  <c r="AP3" i="28"/>
  <c r="AP3" i="21"/>
  <c r="AP3" i="19"/>
  <c r="AP3" i="20"/>
  <c r="AP3" i="18"/>
  <c r="AP3" i="17"/>
  <c r="AP3" i="16"/>
  <c r="AP3" i="14"/>
  <c r="AP3" i="15"/>
  <c r="AP3" i="11"/>
  <c r="AP3" i="13"/>
  <c r="AP3" i="10"/>
  <c r="AP3" i="9"/>
  <c r="AP3" i="12"/>
  <c r="AP79" i="6"/>
  <c r="AP99" i="6"/>
  <c r="AP59" i="6"/>
  <c r="AP3" i="8"/>
  <c r="AP3" i="7"/>
  <c r="AP3" i="4"/>
  <c r="AP3" i="6"/>
  <c r="AP39" i="6"/>
  <c r="AP94" i="6"/>
  <c r="AP101" i="6"/>
  <c r="AP107" i="6"/>
  <c r="AN26" i="31"/>
  <c r="AH41" i="47" s="1"/>
  <c r="AO11" i="21"/>
  <c r="AO13" i="21" s="1"/>
  <c r="AN29" i="9"/>
  <c r="AN61" i="6"/>
  <c r="AN67" i="6"/>
  <c r="AN54" i="6"/>
  <c r="P45" i="16"/>
  <c r="P46" i="16" s="1"/>
  <c r="P41" i="16"/>
  <c r="P17" i="28" s="1"/>
  <c r="P32" i="16"/>
  <c r="AP308" i="6"/>
  <c r="AO2" i="40"/>
  <c r="AO2" i="37"/>
  <c r="AO2" i="34"/>
  <c r="AO2" i="31"/>
  <c r="AO2" i="28"/>
  <c r="AI2" i="47" s="1"/>
  <c r="AO60" i="20"/>
  <c r="AO61" i="20" s="1"/>
  <c r="AO67" i="20" s="1"/>
  <c r="AO2" i="21"/>
  <c r="AO2" i="22"/>
  <c r="AO2" i="19"/>
  <c r="AO2" i="20"/>
  <c r="AO2" i="18"/>
  <c r="AO2" i="17"/>
  <c r="AO2" i="16"/>
  <c r="AO2" i="13"/>
  <c r="AO2" i="15"/>
  <c r="AO2" i="14"/>
  <c r="AO2" i="12"/>
  <c r="AO2" i="10"/>
  <c r="AO2" i="9"/>
  <c r="AO2" i="7"/>
  <c r="AO227" i="6"/>
  <c r="AO229" i="6" s="1"/>
  <c r="AO21" i="17" s="1"/>
  <c r="AO203" i="6"/>
  <c r="AO2" i="8"/>
  <c r="AO313" i="6"/>
  <c r="AO315" i="6" s="1"/>
  <c r="AO307" i="6"/>
  <c r="AO2" i="11"/>
  <c r="AO276" i="6"/>
  <c r="AO278" i="6" s="1"/>
  <c r="AO270" i="6" s="1"/>
  <c r="AO271" i="6" s="1"/>
  <c r="AO264" i="6" s="1"/>
  <c r="AO147" i="6"/>
  <c r="AO72" i="6"/>
  <c r="AO176" i="6"/>
  <c r="AO178" i="6" s="1"/>
  <c r="AO183" i="6" s="1"/>
  <c r="AO184" i="6" s="1"/>
  <c r="AO188" i="6" s="1"/>
  <c r="AO170" i="6"/>
  <c r="AO171" i="6" s="1"/>
  <c r="AO120" i="6"/>
  <c r="AO122" i="6" s="1"/>
  <c r="AO127" i="6" s="1"/>
  <c r="AO128" i="6" s="1"/>
  <c r="AO132" i="6" s="1"/>
  <c r="AO114" i="6"/>
  <c r="AO115" i="6" s="1"/>
  <c r="AO92" i="6"/>
  <c r="AO243" i="6"/>
  <c r="AO245" i="6" s="1"/>
  <c r="AO21" i="18" s="1"/>
  <c r="AO52" i="6"/>
  <c r="AO2" i="6"/>
  <c r="AO2" i="4"/>
  <c r="AO32" i="6"/>
  <c r="AO235" i="6"/>
  <c r="AO237" i="6" s="1"/>
  <c r="AO20" i="16" s="1"/>
  <c r="J13" i="47" l="1"/>
  <c r="K22" i="51"/>
  <c r="P33" i="16"/>
  <c r="P47" i="16"/>
  <c r="P24" i="34" s="1"/>
  <c r="J63" i="47" s="1"/>
  <c r="AO26" i="31"/>
  <c r="AI41" i="47" s="1"/>
  <c r="AP11" i="21"/>
  <c r="AP13" i="21" s="1"/>
  <c r="AO29" i="9"/>
  <c r="AQ53" i="20"/>
  <c r="AQ54" i="20" s="1"/>
  <c r="AQ58" i="20" s="1"/>
  <c r="AQ59" i="20"/>
  <c r="AQ236" i="6"/>
  <c r="AQ284" i="6"/>
  <c r="AQ285" i="6" s="1"/>
  <c r="AQ277" i="6"/>
  <c r="AQ228" i="6"/>
  <c r="AQ244" i="6"/>
  <c r="AQ121" i="6"/>
  <c r="AQ18" i="6"/>
  <c r="AQ19" i="6" s="1"/>
  <c r="AQ177" i="6"/>
  <c r="AQ94" i="6"/>
  <c r="AQ101" i="6"/>
  <c r="AQ107" i="6"/>
  <c r="AQ3" i="40"/>
  <c r="AQ3" i="37"/>
  <c r="AQ3" i="34"/>
  <c r="AQ3" i="31"/>
  <c r="AQ3" i="22"/>
  <c r="AQ3" i="28"/>
  <c r="AQ3" i="21"/>
  <c r="AQ3" i="19"/>
  <c r="AQ3" i="20"/>
  <c r="AQ3" i="18"/>
  <c r="AQ3" i="17"/>
  <c r="AQ3" i="16"/>
  <c r="AQ3" i="14"/>
  <c r="AQ3" i="13"/>
  <c r="AQ3" i="11"/>
  <c r="AQ3" i="15"/>
  <c r="AQ3" i="12"/>
  <c r="AQ3" i="10"/>
  <c r="AQ3" i="9"/>
  <c r="AQ3" i="7"/>
  <c r="AQ3" i="8"/>
  <c r="AQ79" i="6"/>
  <c r="AQ99" i="6"/>
  <c r="AQ3" i="4"/>
  <c r="AQ39" i="6"/>
  <c r="AQ59" i="6"/>
  <c r="AQ3" i="6"/>
  <c r="AO141" i="6"/>
  <c r="AO162" i="6"/>
  <c r="AP2" i="40"/>
  <c r="AP2" i="37"/>
  <c r="AP2" i="34"/>
  <c r="AP2" i="31"/>
  <c r="AP2" i="28"/>
  <c r="AJ2" i="47" s="1"/>
  <c r="AP2" i="21"/>
  <c r="AP60" i="20"/>
  <c r="AP2" i="20"/>
  <c r="AP2" i="19"/>
  <c r="AP2" i="22"/>
  <c r="AP2" i="18"/>
  <c r="AP2" i="17"/>
  <c r="AP2" i="16"/>
  <c r="AP2" i="15"/>
  <c r="AP2" i="14"/>
  <c r="AP2" i="13"/>
  <c r="AP2" i="12"/>
  <c r="AP2" i="10"/>
  <c r="AP2" i="11"/>
  <c r="AP2" i="9"/>
  <c r="AP2" i="7"/>
  <c r="AP227" i="6"/>
  <c r="AP229" i="6" s="1"/>
  <c r="AP21" i="17" s="1"/>
  <c r="AP2" i="8"/>
  <c r="AP313" i="6"/>
  <c r="AP315" i="6" s="1"/>
  <c r="AP307" i="6"/>
  <c r="AQ308" i="6" s="1"/>
  <c r="AP235" i="6"/>
  <c r="AP237" i="6" s="1"/>
  <c r="AP20" i="16" s="1"/>
  <c r="AP243" i="6"/>
  <c r="AP245" i="6" s="1"/>
  <c r="AP21" i="18" s="1"/>
  <c r="AP72" i="6"/>
  <c r="AP203" i="6"/>
  <c r="AP176" i="6"/>
  <c r="AP178" i="6" s="1"/>
  <c r="AP183" i="6" s="1"/>
  <c r="AP184" i="6" s="1"/>
  <c r="AP188" i="6" s="1"/>
  <c r="AP170" i="6"/>
  <c r="AP171" i="6" s="1"/>
  <c r="AP120" i="6"/>
  <c r="AP122" i="6" s="1"/>
  <c r="AP127" i="6" s="1"/>
  <c r="AP128" i="6" s="1"/>
  <c r="AP132" i="6" s="1"/>
  <c r="AP276" i="6"/>
  <c r="AP278" i="6" s="1"/>
  <c r="AP270" i="6" s="1"/>
  <c r="AP271" i="6" s="1"/>
  <c r="AP264" i="6" s="1"/>
  <c r="AP114" i="6"/>
  <c r="AP115" i="6" s="1"/>
  <c r="AP92" i="6"/>
  <c r="AP2" i="6"/>
  <c r="AP147" i="6"/>
  <c r="AP32" i="6"/>
  <c r="AP2" i="4"/>
  <c r="AP52" i="6"/>
  <c r="AO67" i="6"/>
  <c r="AO54" i="6"/>
  <c r="AO61" i="6"/>
  <c r="AO197" i="6"/>
  <c r="AO218" i="6"/>
  <c r="AP61" i="20"/>
  <c r="AP67" i="20" s="1"/>
  <c r="AR4" i="40"/>
  <c r="AR4" i="37"/>
  <c r="AR4" i="34"/>
  <c r="AR4" i="31"/>
  <c r="AR4" i="28"/>
  <c r="AR4" i="21"/>
  <c r="AR4" i="22"/>
  <c r="AR10" i="21"/>
  <c r="AR4" i="20"/>
  <c r="AR28" i="19"/>
  <c r="AR4" i="18"/>
  <c r="AR74" i="20"/>
  <c r="AR32" i="20"/>
  <c r="AR4" i="19"/>
  <c r="AR10" i="17"/>
  <c r="AR40" i="15"/>
  <c r="AR4" i="17"/>
  <c r="AR10" i="16"/>
  <c r="AR27" i="15"/>
  <c r="AR4" i="15"/>
  <c r="AR4" i="16"/>
  <c r="AR17" i="13"/>
  <c r="AR4" i="14"/>
  <c r="AR25" i="13"/>
  <c r="AR4" i="12"/>
  <c r="AR4" i="10"/>
  <c r="AR35" i="9"/>
  <c r="AR10" i="18"/>
  <c r="AR23" i="11"/>
  <c r="AR37" i="12"/>
  <c r="AR4" i="11"/>
  <c r="AR16" i="10"/>
  <c r="AR60" i="12"/>
  <c r="AR306" i="6"/>
  <c r="AR10" i="9"/>
  <c r="AR325" i="6"/>
  <c r="AR326" i="6" s="1"/>
  <c r="AR4" i="13"/>
  <c r="AR340" i="6"/>
  <c r="AR341" i="6" s="1"/>
  <c r="AR290" i="6"/>
  <c r="AR291" i="6" s="1"/>
  <c r="AR4" i="9"/>
  <c r="AR4" i="7"/>
  <c r="AR345" i="6"/>
  <c r="AR346" i="6" s="1"/>
  <c r="AR295" i="6"/>
  <c r="AR296" i="6" s="1"/>
  <c r="AR330" i="6"/>
  <c r="AR331" i="6" s="1"/>
  <c r="AR182" i="6"/>
  <c r="AR93" i="6"/>
  <c r="AR126" i="6"/>
  <c r="AR100" i="6"/>
  <c r="AR50" i="12"/>
  <c r="AR196" i="6"/>
  <c r="AR106" i="6"/>
  <c r="AR314" i="6"/>
  <c r="AR269" i="6"/>
  <c r="AR60" i="6"/>
  <c r="AR66" i="6"/>
  <c r="AR4" i="8"/>
  <c r="AR253" i="6"/>
  <c r="AR80" i="6"/>
  <c r="AR4" i="6"/>
  <c r="AR33" i="6"/>
  <c r="AR11" i="6"/>
  <c r="AR12" i="6" s="1"/>
  <c r="AR86" i="6"/>
  <c r="AR40" i="6"/>
  <c r="AS28" i="6"/>
  <c r="AR46" i="6"/>
  <c r="AR4" i="4"/>
  <c r="AR53" i="6"/>
  <c r="AR23" i="6"/>
  <c r="AR24" i="6" s="1"/>
  <c r="AR140" i="6"/>
  <c r="AR73" i="6"/>
  <c r="AI45" i="47"/>
  <c r="AI21" i="47"/>
  <c r="P34" i="16"/>
  <c r="P13" i="16" s="1"/>
  <c r="P15" i="16" s="1"/>
  <c r="AQ34" i="6"/>
  <c r="AQ41" i="6"/>
  <c r="AQ47" i="6"/>
  <c r="AQ81" i="6"/>
  <c r="AQ74" i="6"/>
  <c r="AQ87" i="6"/>
  <c r="AR34" i="6" l="1"/>
  <c r="AR41" i="6"/>
  <c r="AR47" i="6"/>
  <c r="AP197" i="6"/>
  <c r="AP218" i="6"/>
  <c r="AR3" i="40"/>
  <c r="AR3" i="37"/>
  <c r="AR3" i="34"/>
  <c r="AR3" i="31"/>
  <c r="AR3" i="28"/>
  <c r="AR3" i="22"/>
  <c r="AR3" i="21"/>
  <c r="AR3" i="19"/>
  <c r="AR3" i="20"/>
  <c r="AR3" i="18"/>
  <c r="AR3" i="17"/>
  <c r="AR3" i="16"/>
  <c r="AR3" i="14"/>
  <c r="AR3" i="13"/>
  <c r="AR3" i="15"/>
  <c r="AR3" i="11"/>
  <c r="AR3" i="9"/>
  <c r="AR3" i="7"/>
  <c r="AR3" i="8"/>
  <c r="AR3" i="12"/>
  <c r="AR99" i="6"/>
  <c r="AR3" i="10"/>
  <c r="AR39" i="6"/>
  <c r="AR59" i="6"/>
  <c r="AR3" i="6"/>
  <c r="AR79" i="6"/>
  <c r="AR3" i="4"/>
  <c r="AR74" i="6"/>
  <c r="AR87" i="6"/>
  <c r="AR81" i="6"/>
  <c r="AQ2" i="40"/>
  <c r="AQ2" i="37"/>
  <c r="AQ2" i="34"/>
  <c r="AQ2" i="31"/>
  <c r="AQ2" i="28"/>
  <c r="AK2" i="47" s="1"/>
  <c r="AQ2" i="21"/>
  <c r="AQ2" i="22"/>
  <c r="AQ60" i="20"/>
  <c r="AQ61" i="20" s="1"/>
  <c r="AQ67" i="20" s="1"/>
  <c r="AQ2" i="20"/>
  <c r="AQ2" i="19"/>
  <c r="AQ2" i="18"/>
  <c r="AQ2" i="17"/>
  <c r="AQ2" i="16"/>
  <c r="AQ2" i="13"/>
  <c r="AQ2" i="15"/>
  <c r="AQ2" i="14"/>
  <c r="AQ2" i="12"/>
  <c r="AQ2" i="10"/>
  <c r="AQ2" i="8"/>
  <c r="AQ313" i="6"/>
  <c r="AQ315" i="6" s="1"/>
  <c r="AQ307" i="6"/>
  <c r="AQ235" i="6"/>
  <c r="AQ237" i="6" s="1"/>
  <c r="AQ20" i="16" s="1"/>
  <c r="AQ2" i="11"/>
  <c r="AQ203" i="6"/>
  <c r="AQ176" i="6"/>
  <c r="AQ178" i="6" s="1"/>
  <c r="AQ183" i="6" s="1"/>
  <c r="AQ184" i="6" s="1"/>
  <c r="AQ188" i="6" s="1"/>
  <c r="AQ2" i="9"/>
  <c r="AQ170" i="6"/>
  <c r="AQ171" i="6" s="1"/>
  <c r="AQ120" i="6"/>
  <c r="AQ122" i="6" s="1"/>
  <c r="AQ127" i="6" s="1"/>
  <c r="AQ128" i="6" s="1"/>
  <c r="AQ132" i="6" s="1"/>
  <c r="AQ276" i="6"/>
  <c r="AQ278" i="6" s="1"/>
  <c r="AQ270" i="6" s="1"/>
  <c r="AQ271" i="6" s="1"/>
  <c r="AQ264" i="6" s="1"/>
  <c r="AQ227" i="6"/>
  <c r="AQ229" i="6" s="1"/>
  <c r="AQ21" i="17" s="1"/>
  <c r="AQ114" i="6"/>
  <c r="AQ115" i="6" s="1"/>
  <c r="AQ92" i="6"/>
  <c r="AQ2" i="7"/>
  <c r="AQ147" i="6"/>
  <c r="AQ2" i="6"/>
  <c r="AQ72" i="6"/>
  <c r="AQ32" i="6"/>
  <c r="AQ2" i="4"/>
  <c r="AQ52" i="6"/>
  <c r="AQ243" i="6"/>
  <c r="AQ245" i="6" s="1"/>
  <c r="AQ21" i="18" s="1"/>
  <c r="AR101" i="6"/>
  <c r="AR107" i="6"/>
  <c r="AR94" i="6"/>
  <c r="AR308" i="6"/>
  <c r="AJ21" i="47"/>
  <c r="AJ45" i="47"/>
  <c r="AS4" i="40"/>
  <c r="AS4" i="37"/>
  <c r="AS4" i="34"/>
  <c r="AS4" i="31"/>
  <c r="AS4" i="28"/>
  <c r="AS4" i="21"/>
  <c r="AS4" i="22"/>
  <c r="AS10" i="21"/>
  <c r="AS74" i="20"/>
  <c r="AS32" i="20"/>
  <c r="AS4" i="20"/>
  <c r="AS28" i="19"/>
  <c r="AS4" i="18"/>
  <c r="AS4" i="19"/>
  <c r="AS10" i="18"/>
  <c r="AS10" i="17"/>
  <c r="AS4" i="17"/>
  <c r="AS40" i="15"/>
  <c r="AS10" i="16"/>
  <c r="AS27" i="15"/>
  <c r="AS4" i="16"/>
  <c r="AS17" i="13"/>
  <c r="AS4" i="14"/>
  <c r="AS25" i="13"/>
  <c r="AS4" i="13"/>
  <c r="AS4" i="12"/>
  <c r="AS4" i="10"/>
  <c r="AS23" i="11"/>
  <c r="AS37" i="12"/>
  <c r="AS4" i="11"/>
  <c r="AS16" i="10"/>
  <c r="AS4" i="15"/>
  <c r="AS50" i="12"/>
  <c r="AS306" i="6"/>
  <c r="AS10" i="9"/>
  <c r="AS325" i="6"/>
  <c r="AS326" i="6" s="1"/>
  <c r="AS340" i="6"/>
  <c r="AS341" i="6" s="1"/>
  <c r="AS290" i="6"/>
  <c r="AS291" i="6" s="1"/>
  <c r="AS253" i="6"/>
  <c r="AS60" i="12"/>
  <c r="AS4" i="8"/>
  <c r="AS314" i="6"/>
  <c r="AS4" i="7"/>
  <c r="AS345" i="6"/>
  <c r="AS346" i="6" s="1"/>
  <c r="AS126" i="6"/>
  <c r="AS100" i="6"/>
  <c r="AS196" i="6"/>
  <c r="AS106" i="6"/>
  <c r="AS35" i="9"/>
  <c r="AS4" i="9"/>
  <c r="AS269" i="6"/>
  <c r="AS60" i="6"/>
  <c r="AS66" i="6"/>
  <c r="AS73" i="6"/>
  <c r="AS140" i="6"/>
  <c r="AS86" i="6"/>
  <c r="AS93" i="6"/>
  <c r="AS33" i="6"/>
  <c r="AS11" i="6"/>
  <c r="AS12" i="6" s="1"/>
  <c r="AS182" i="6"/>
  <c r="AS40" i="6"/>
  <c r="AT28" i="6"/>
  <c r="AS80" i="6"/>
  <c r="AS46" i="6"/>
  <c r="AS4" i="4"/>
  <c r="AS53" i="6"/>
  <c r="AS23" i="6"/>
  <c r="AS24" i="6" s="1"/>
  <c r="AS330" i="6"/>
  <c r="AS331" i="6" s="1"/>
  <c r="AS4" i="6"/>
  <c r="AS295" i="6"/>
  <c r="AS296" i="6" s="1"/>
  <c r="AP26" i="31"/>
  <c r="AJ41" i="47" s="1"/>
  <c r="AQ11" i="21"/>
  <c r="AQ13" i="21" s="1"/>
  <c r="AP29" i="9"/>
  <c r="P17" i="31"/>
  <c r="Q11" i="16"/>
  <c r="AP141" i="6"/>
  <c r="AP162" i="6"/>
  <c r="AP67" i="6"/>
  <c r="AP61" i="6"/>
  <c r="AP54" i="6"/>
  <c r="AR53" i="20"/>
  <c r="AR54" i="20" s="1"/>
  <c r="AR58" i="20" s="1"/>
  <c r="AR59" i="20"/>
  <c r="AR236" i="6"/>
  <c r="AR284" i="6"/>
  <c r="AR285" i="6" s="1"/>
  <c r="AR277" i="6"/>
  <c r="AR244" i="6"/>
  <c r="AR177" i="6"/>
  <c r="AR228" i="6"/>
  <c r="AR18" i="6"/>
  <c r="AR19" i="6" s="1"/>
  <c r="AR121" i="6"/>
  <c r="J32" i="47" l="1"/>
  <c r="K8" i="51"/>
  <c r="Q39" i="16"/>
  <c r="Q40" i="16" s="1"/>
  <c r="AS74" i="6"/>
  <c r="AS81" i="6"/>
  <c r="AS87" i="6"/>
  <c r="AS3" i="40"/>
  <c r="AS3" i="37"/>
  <c r="AS3" i="34"/>
  <c r="AS3" i="31"/>
  <c r="AS3" i="28"/>
  <c r="AS3" i="21"/>
  <c r="AS3" i="22"/>
  <c r="AS3" i="19"/>
  <c r="AS3" i="20"/>
  <c r="AS3" i="18"/>
  <c r="AS3" i="17"/>
  <c r="AS3" i="16"/>
  <c r="AS3" i="13"/>
  <c r="AS3" i="15"/>
  <c r="AS3" i="14"/>
  <c r="AS3" i="12"/>
  <c r="AS3" i="10"/>
  <c r="AS3" i="9"/>
  <c r="AS3" i="7"/>
  <c r="AS3" i="8"/>
  <c r="AS3" i="11"/>
  <c r="AS99" i="6"/>
  <c r="AS59" i="6"/>
  <c r="AS79" i="6"/>
  <c r="AS39" i="6"/>
  <c r="AS3" i="6"/>
  <c r="AS3" i="4"/>
  <c r="AS53" i="20"/>
  <c r="AS54" i="20" s="1"/>
  <c r="AS58" i="20" s="1"/>
  <c r="AS59" i="20"/>
  <c r="AS284" i="6"/>
  <c r="AS285" i="6" s="1"/>
  <c r="AS277" i="6"/>
  <c r="AS244" i="6"/>
  <c r="AS236" i="6"/>
  <c r="AS228" i="6"/>
  <c r="AS121" i="6"/>
  <c r="AS18" i="6"/>
  <c r="AS19" i="6" s="1"/>
  <c r="AS177" i="6"/>
  <c r="AS107" i="6"/>
  <c r="AS94" i="6"/>
  <c r="AS101" i="6"/>
  <c r="AS308" i="6"/>
  <c r="AQ162" i="6"/>
  <c r="AQ141" i="6"/>
  <c r="AQ26" i="31"/>
  <c r="AK41" i="47" s="1"/>
  <c r="AR11" i="21"/>
  <c r="AR13" i="21" s="1"/>
  <c r="AQ29" i="9"/>
  <c r="AK45" i="47"/>
  <c r="AK21" i="47"/>
  <c r="AQ61" i="6"/>
  <c r="AQ67" i="6"/>
  <c r="AQ54" i="6"/>
  <c r="AR2" i="40"/>
  <c r="AR2" i="37"/>
  <c r="AR2" i="34"/>
  <c r="AR2" i="31"/>
  <c r="AR2" i="28"/>
  <c r="AL2" i="47" s="1"/>
  <c r="AR2" i="21"/>
  <c r="AR2" i="22"/>
  <c r="AR60" i="20"/>
  <c r="AR61" i="20" s="1"/>
  <c r="AR67" i="20" s="1"/>
  <c r="AR2" i="20"/>
  <c r="AR2" i="19"/>
  <c r="AR2" i="18"/>
  <c r="AR2" i="15"/>
  <c r="AR2" i="16"/>
  <c r="AR2" i="17"/>
  <c r="AR2" i="14"/>
  <c r="AR2" i="12"/>
  <c r="AR2" i="10"/>
  <c r="AR2" i="13"/>
  <c r="AR2" i="11"/>
  <c r="AR313" i="6"/>
  <c r="AR315" i="6" s="1"/>
  <c r="AR307" i="6"/>
  <c r="AR235" i="6"/>
  <c r="AR237" i="6" s="1"/>
  <c r="AR20" i="16" s="1"/>
  <c r="AR276" i="6"/>
  <c r="AR278" i="6" s="1"/>
  <c r="AR270" i="6" s="1"/>
  <c r="AR271" i="6" s="1"/>
  <c r="AR264" i="6" s="1"/>
  <c r="AR2" i="9"/>
  <c r="AR2" i="7"/>
  <c r="AR227" i="6"/>
  <c r="AR229" i="6" s="1"/>
  <c r="AR21" i="17" s="1"/>
  <c r="AR203" i="6"/>
  <c r="AR170" i="6"/>
  <c r="AR171" i="6" s="1"/>
  <c r="AR120" i="6"/>
  <c r="AR122" i="6" s="1"/>
  <c r="AR127" i="6" s="1"/>
  <c r="AR128" i="6" s="1"/>
  <c r="AR132" i="6" s="1"/>
  <c r="AR114" i="6"/>
  <c r="AR115" i="6" s="1"/>
  <c r="AR92" i="6"/>
  <c r="AR2" i="8"/>
  <c r="AR243" i="6"/>
  <c r="AR245" i="6" s="1"/>
  <c r="AR21" i="18" s="1"/>
  <c r="AR72" i="6"/>
  <c r="AR176" i="6"/>
  <c r="AR178" i="6" s="1"/>
  <c r="AR183" i="6" s="1"/>
  <c r="AR184" i="6" s="1"/>
  <c r="AR188" i="6" s="1"/>
  <c r="AR2" i="6"/>
  <c r="AR32" i="6"/>
  <c r="AR147" i="6"/>
  <c r="AR2" i="4"/>
  <c r="AR52" i="6"/>
  <c r="AS41" i="6"/>
  <c r="AS47" i="6"/>
  <c r="AS34" i="6"/>
  <c r="AT4" i="40"/>
  <c r="AT4" i="37"/>
  <c r="AT4" i="34"/>
  <c r="AT4" i="31"/>
  <c r="AT4" i="22"/>
  <c r="AT10" i="21"/>
  <c r="AT4" i="28"/>
  <c r="AT74" i="20"/>
  <c r="AT32" i="20"/>
  <c r="AT4" i="21"/>
  <c r="AT28" i="19"/>
  <c r="AT4" i="19"/>
  <c r="AT4" i="20"/>
  <c r="AT10" i="18"/>
  <c r="AT10" i="17"/>
  <c r="AT4" i="18"/>
  <c r="AT4" i="17"/>
  <c r="AT10" i="16"/>
  <c r="AT27" i="15"/>
  <c r="AT17" i="13"/>
  <c r="AT4" i="16"/>
  <c r="AT4" i="14"/>
  <c r="AT25" i="13"/>
  <c r="AT4" i="15"/>
  <c r="AT35" i="9"/>
  <c r="AT23" i="11"/>
  <c r="AT40" i="15"/>
  <c r="AT37" i="12"/>
  <c r="AT4" i="11"/>
  <c r="AT16" i="10"/>
  <c r="AT4" i="13"/>
  <c r="AT60" i="12"/>
  <c r="AT4" i="10"/>
  <c r="AT10" i="9"/>
  <c r="AT325" i="6"/>
  <c r="AT326" i="6" s="1"/>
  <c r="AT340" i="6"/>
  <c r="AT341" i="6" s="1"/>
  <c r="AT290" i="6"/>
  <c r="AT291" i="6" s="1"/>
  <c r="AT253" i="6"/>
  <c r="AT330" i="6"/>
  <c r="AT331" i="6" s="1"/>
  <c r="AT269" i="6"/>
  <c r="AT50" i="12"/>
  <c r="AT4" i="9"/>
  <c r="AT196" i="6"/>
  <c r="AT106" i="6"/>
  <c r="AT314" i="6"/>
  <c r="AT66" i="6"/>
  <c r="AT73" i="6"/>
  <c r="AT4" i="12"/>
  <c r="AT295" i="6"/>
  <c r="AT296" i="6" s="1"/>
  <c r="AT80" i="6"/>
  <c r="AT182" i="6"/>
  <c r="AT93" i="6"/>
  <c r="AT345" i="6"/>
  <c r="AT346" i="6" s="1"/>
  <c r="AT40" i="6"/>
  <c r="AU28" i="6"/>
  <c r="AT86" i="6"/>
  <c r="AT46" i="6"/>
  <c r="AT4" i="4"/>
  <c r="AT53" i="6"/>
  <c r="AT23" i="6"/>
  <c r="AT24" i="6" s="1"/>
  <c r="AT4" i="7"/>
  <c r="AT126" i="6"/>
  <c r="AT140" i="6"/>
  <c r="AT4" i="6"/>
  <c r="AT100" i="6"/>
  <c r="AT60" i="6"/>
  <c r="AT4" i="8"/>
  <c r="AT11" i="6"/>
  <c r="AT12" i="6" s="1"/>
  <c r="AT33" i="6"/>
  <c r="AT306" i="6"/>
  <c r="AQ218" i="6"/>
  <c r="AQ197" i="6"/>
  <c r="Q41" i="16" l="1"/>
  <c r="Q17" i="28" s="1"/>
  <c r="Q32" i="16"/>
  <c r="Q45" i="16"/>
  <c r="Q46" i="16" s="1"/>
  <c r="AR61" i="6"/>
  <c r="AR67" i="6"/>
  <c r="AR54" i="6"/>
  <c r="AU4" i="40"/>
  <c r="AU4" i="37"/>
  <c r="AU4" i="34"/>
  <c r="AU4" i="31"/>
  <c r="AU4" i="22"/>
  <c r="AU10" i="21"/>
  <c r="AU4" i="28"/>
  <c r="AU74" i="20"/>
  <c r="AU32" i="20"/>
  <c r="AU4" i="19"/>
  <c r="AU4" i="20"/>
  <c r="AU4" i="21"/>
  <c r="AU10" i="18"/>
  <c r="AU10" i="17"/>
  <c r="AU4" i="18"/>
  <c r="AU4" i="17"/>
  <c r="AU10" i="16"/>
  <c r="AU27" i="15"/>
  <c r="AU28" i="19"/>
  <c r="AU4" i="16"/>
  <c r="AU40" i="15"/>
  <c r="AU17" i="13"/>
  <c r="AU4" i="14"/>
  <c r="AU25" i="13"/>
  <c r="AU4" i="13"/>
  <c r="AU23" i="11"/>
  <c r="AU37" i="12"/>
  <c r="AU4" i="11"/>
  <c r="AU16" i="10"/>
  <c r="AU4" i="15"/>
  <c r="AU60" i="12"/>
  <c r="AU50" i="12"/>
  <c r="AU4" i="12"/>
  <c r="AU4" i="10"/>
  <c r="AU340" i="6"/>
  <c r="AU341" i="6" s="1"/>
  <c r="AU290" i="6"/>
  <c r="AU291" i="6" s="1"/>
  <c r="AU253" i="6"/>
  <c r="AU330" i="6"/>
  <c r="AU331" i="6" s="1"/>
  <c r="AU269" i="6"/>
  <c r="AU4" i="9"/>
  <c r="AU4" i="7"/>
  <c r="AU345" i="6"/>
  <c r="AU346" i="6" s="1"/>
  <c r="AU295" i="6"/>
  <c r="AU296" i="6" s="1"/>
  <c r="AU4" i="8"/>
  <c r="AU35" i="9"/>
  <c r="AU306" i="6"/>
  <c r="AU60" i="6"/>
  <c r="AU314" i="6"/>
  <c r="AU325" i="6"/>
  <c r="AU326" i="6" s="1"/>
  <c r="AU73" i="6"/>
  <c r="AU80" i="6"/>
  <c r="AU10" i="9"/>
  <c r="AU140" i="6"/>
  <c r="AU86" i="6"/>
  <c r="AU126" i="6"/>
  <c r="AU100" i="6"/>
  <c r="AU182" i="6"/>
  <c r="AU66" i="6"/>
  <c r="AU46" i="6"/>
  <c r="AU4" i="4"/>
  <c r="AU106" i="6"/>
  <c r="AU53" i="6"/>
  <c r="AU23" i="6"/>
  <c r="AU24" i="6" s="1"/>
  <c r="AU33" i="6"/>
  <c r="AU11" i="6"/>
  <c r="AU12" i="6" s="1"/>
  <c r="AU196" i="6"/>
  <c r="AU40" i="6"/>
  <c r="AV28" i="6"/>
  <c r="AU4" i="6"/>
  <c r="AU93" i="6"/>
  <c r="AT74" i="6"/>
  <c r="AT81" i="6"/>
  <c r="AT87" i="6"/>
  <c r="AR26" i="31"/>
  <c r="AL41" i="47" s="1"/>
  <c r="AS11" i="21"/>
  <c r="AS13" i="21" s="1"/>
  <c r="AR29" i="9"/>
  <c r="AT47" i="6"/>
  <c r="AT34" i="6"/>
  <c r="AT41" i="6"/>
  <c r="AR218" i="6"/>
  <c r="AR197" i="6"/>
  <c r="AT308" i="6"/>
  <c r="AT101" i="6"/>
  <c r="AT94" i="6"/>
  <c r="AT107" i="6"/>
  <c r="AT53" i="20"/>
  <c r="AT54" i="20" s="1"/>
  <c r="AT58" i="20" s="1"/>
  <c r="AT59" i="20"/>
  <c r="AT277" i="6"/>
  <c r="AT244" i="6"/>
  <c r="AT228" i="6"/>
  <c r="AT236" i="6"/>
  <c r="AT284" i="6"/>
  <c r="AT285" i="6" s="1"/>
  <c r="AT177" i="6"/>
  <c r="AT121" i="6"/>
  <c r="AT18" i="6"/>
  <c r="AT19" i="6" s="1"/>
  <c r="AT3" i="40"/>
  <c r="AT3" i="37"/>
  <c r="AT3" i="34"/>
  <c r="AT3" i="31"/>
  <c r="AT3" i="28"/>
  <c r="AT3" i="21"/>
  <c r="AT3" i="22"/>
  <c r="AT3" i="20"/>
  <c r="AT3" i="19"/>
  <c r="AT3" i="18"/>
  <c r="AT3" i="17"/>
  <c r="AT3" i="16"/>
  <c r="AT3" i="15"/>
  <c r="AT3" i="14"/>
  <c r="AT3" i="13"/>
  <c r="AT3" i="12"/>
  <c r="AT3" i="10"/>
  <c r="AT3" i="11"/>
  <c r="AT3" i="9"/>
  <c r="AT3" i="7"/>
  <c r="AT3" i="8"/>
  <c r="AT99" i="6"/>
  <c r="AT39" i="6"/>
  <c r="AT3" i="6"/>
  <c r="AT59" i="6"/>
  <c r="AT79" i="6"/>
  <c r="AT3" i="4"/>
  <c r="AR162" i="6"/>
  <c r="AR141" i="6"/>
  <c r="AS2" i="40"/>
  <c r="AS2" i="37"/>
  <c r="AS2" i="34"/>
  <c r="AS2" i="31"/>
  <c r="AS2" i="28"/>
  <c r="AM2" i="47" s="1"/>
  <c r="AS2" i="21"/>
  <c r="AS2" i="22"/>
  <c r="AS60" i="20"/>
  <c r="AS61" i="20" s="1"/>
  <c r="AS67" i="20" s="1"/>
  <c r="AS2" i="20"/>
  <c r="AS2" i="19"/>
  <c r="AS2" i="18"/>
  <c r="AS2" i="17"/>
  <c r="AS2" i="16"/>
  <c r="AS2" i="14"/>
  <c r="AS2" i="13"/>
  <c r="AS2" i="12"/>
  <c r="AS2" i="10"/>
  <c r="AS2" i="15"/>
  <c r="AS2" i="11"/>
  <c r="AS235" i="6"/>
  <c r="AS237" i="6" s="1"/>
  <c r="AS20" i="16" s="1"/>
  <c r="AS276" i="6"/>
  <c r="AS278" i="6" s="1"/>
  <c r="AS270" i="6" s="1"/>
  <c r="AS271" i="6" s="1"/>
  <c r="AS264" i="6" s="1"/>
  <c r="AS243" i="6"/>
  <c r="AS245" i="6" s="1"/>
  <c r="AS21" i="18" s="1"/>
  <c r="AS2" i="8"/>
  <c r="AS2" i="9"/>
  <c r="AS114" i="6"/>
  <c r="AS115" i="6" s="1"/>
  <c r="AS92" i="6"/>
  <c r="AS227" i="6"/>
  <c r="AS229" i="6" s="1"/>
  <c r="AS21" i="17" s="1"/>
  <c r="AS307" i="6"/>
  <c r="AS147" i="6"/>
  <c r="AS313" i="6"/>
  <c r="AS315" i="6" s="1"/>
  <c r="AS176" i="6"/>
  <c r="AS178" i="6" s="1"/>
  <c r="AS183" i="6" s="1"/>
  <c r="AS184" i="6" s="1"/>
  <c r="AS188" i="6" s="1"/>
  <c r="AS32" i="6"/>
  <c r="AS120" i="6"/>
  <c r="AS122" i="6" s="1"/>
  <c r="AS127" i="6" s="1"/>
  <c r="AS128" i="6" s="1"/>
  <c r="AS132" i="6" s="1"/>
  <c r="AS72" i="6"/>
  <c r="AS2" i="4"/>
  <c r="AS203" i="6"/>
  <c r="AS52" i="6"/>
  <c r="AS2" i="7"/>
  <c r="AS170" i="6"/>
  <c r="AS171" i="6" s="1"/>
  <c r="AS2" i="6"/>
  <c r="AL45" i="47"/>
  <c r="AL21" i="47"/>
  <c r="K13" i="47" l="1"/>
  <c r="L22" i="51"/>
  <c r="AS218" i="6"/>
  <c r="AS197" i="6"/>
  <c r="AU308" i="6"/>
  <c r="AU74" i="6"/>
  <c r="AU81" i="6"/>
  <c r="AU87" i="6"/>
  <c r="Q47" i="16"/>
  <c r="Q24" i="34" s="1"/>
  <c r="K63" i="47" s="1"/>
  <c r="Q33" i="16"/>
  <c r="Q34" i="16" s="1"/>
  <c r="Q13" i="16" s="1"/>
  <c r="AS67" i="6"/>
  <c r="AS54" i="6"/>
  <c r="AS61" i="6"/>
  <c r="AV4" i="40"/>
  <c r="AV4" i="37"/>
  <c r="AV4" i="31"/>
  <c r="AV4" i="34"/>
  <c r="AV4" i="28"/>
  <c r="AV4" i="22"/>
  <c r="AV10" i="21"/>
  <c r="AV74" i="20"/>
  <c r="AV4" i="21"/>
  <c r="AV32" i="20"/>
  <c r="AV4" i="19"/>
  <c r="AV28" i="19"/>
  <c r="AV4" i="20"/>
  <c r="AV10" i="18"/>
  <c r="AV4" i="18"/>
  <c r="AV4" i="17"/>
  <c r="AV27" i="15"/>
  <c r="AV10" i="17"/>
  <c r="AV4" i="16"/>
  <c r="AV4" i="14"/>
  <c r="AV25" i="13"/>
  <c r="AV4" i="13"/>
  <c r="AV10" i="16"/>
  <c r="AV40" i="15"/>
  <c r="AV4" i="15"/>
  <c r="AV37" i="12"/>
  <c r="AV4" i="11"/>
  <c r="AV16" i="10"/>
  <c r="AV60" i="12"/>
  <c r="AV50" i="12"/>
  <c r="AV17" i="13"/>
  <c r="AV35" i="9"/>
  <c r="AV253" i="6"/>
  <c r="AV23" i="11"/>
  <c r="AV330" i="6"/>
  <c r="AV331" i="6" s="1"/>
  <c r="AV269" i="6"/>
  <c r="AV4" i="9"/>
  <c r="AV4" i="7"/>
  <c r="AV345" i="6"/>
  <c r="AV346" i="6" s="1"/>
  <c r="AV295" i="6"/>
  <c r="AV296" i="6" s="1"/>
  <c r="AV4" i="8"/>
  <c r="AV314" i="6"/>
  <c r="AV4" i="12"/>
  <c r="AV10" i="9"/>
  <c r="AV325" i="6"/>
  <c r="AV326" i="6" s="1"/>
  <c r="AV4" i="10"/>
  <c r="AV66" i="6"/>
  <c r="AV340" i="6"/>
  <c r="AV341" i="6" s="1"/>
  <c r="AV73" i="6"/>
  <c r="AV80" i="6"/>
  <c r="AV140" i="6"/>
  <c r="AV86" i="6"/>
  <c r="AV306" i="6"/>
  <c r="AV182" i="6"/>
  <c r="AV93" i="6"/>
  <c r="AV290" i="6"/>
  <c r="AV291" i="6" s="1"/>
  <c r="AV196" i="6"/>
  <c r="AV106" i="6"/>
  <c r="AV53" i="6"/>
  <c r="AV23" i="6"/>
  <c r="AV24" i="6" s="1"/>
  <c r="AV126" i="6"/>
  <c r="AV4" i="6"/>
  <c r="AV100" i="6"/>
  <c r="AV60" i="6"/>
  <c r="AV40" i="6"/>
  <c r="AW28" i="6"/>
  <c r="AV11" i="6"/>
  <c r="AV12" i="6" s="1"/>
  <c r="AV46" i="6"/>
  <c r="AV33" i="6"/>
  <c r="AV4" i="4"/>
  <c r="AM45" i="47"/>
  <c r="AM21" i="47"/>
  <c r="AU41" i="6"/>
  <c r="AU47" i="6"/>
  <c r="AU34" i="6"/>
  <c r="AS26" i="31"/>
  <c r="AM41" i="47" s="1"/>
  <c r="AT11" i="21"/>
  <c r="AT13" i="21" s="1"/>
  <c r="AS29" i="9"/>
  <c r="AU59" i="20"/>
  <c r="AU53" i="20"/>
  <c r="AU54" i="20" s="1"/>
  <c r="AU58" i="20" s="1"/>
  <c r="AU244" i="6"/>
  <c r="AU228" i="6"/>
  <c r="AU284" i="6"/>
  <c r="AU285" i="6" s="1"/>
  <c r="AU236" i="6"/>
  <c r="AU177" i="6"/>
  <c r="AU121" i="6"/>
  <c r="AU277" i="6"/>
  <c r="AU18" i="6"/>
  <c r="AU19" i="6" s="1"/>
  <c r="AU94" i="6"/>
  <c r="AU107" i="6"/>
  <c r="AU101" i="6"/>
  <c r="AT2" i="40"/>
  <c r="AT2" i="37"/>
  <c r="AT2" i="34"/>
  <c r="AT2" i="31"/>
  <c r="AT2" i="28"/>
  <c r="AN2" i="47" s="1"/>
  <c r="AT2" i="22"/>
  <c r="AT60" i="20"/>
  <c r="AT2" i="21"/>
  <c r="AT2" i="19"/>
  <c r="AT2" i="20"/>
  <c r="AT2" i="18"/>
  <c r="AT2" i="17"/>
  <c r="AT2" i="16"/>
  <c r="AT2" i="14"/>
  <c r="AT2" i="15"/>
  <c r="AT2" i="13"/>
  <c r="AT2" i="11"/>
  <c r="AT276" i="6"/>
  <c r="AT278" i="6" s="1"/>
  <c r="AT270" i="6" s="1"/>
  <c r="AT271" i="6" s="1"/>
  <c r="AT264" i="6" s="1"/>
  <c r="AT243" i="6"/>
  <c r="AT245" i="6" s="1"/>
  <c r="AT21" i="18" s="1"/>
  <c r="AT2" i="12"/>
  <c r="AT2" i="9"/>
  <c r="AT2" i="10"/>
  <c r="AT313" i="6"/>
  <c r="AT315" i="6" s="1"/>
  <c r="AT307" i="6"/>
  <c r="AT227" i="6"/>
  <c r="AT229" i="6" s="1"/>
  <c r="AT21" i="17" s="1"/>
  <c r="AT2" i="8"/>
  <c r="AT147" i="6"/>
  <c r="AT2" i="7"/>
  <c r="AT72" i="6"/>
  <c r="AT235" i="6"/>
  <c r="AT237" i="6" s="1"/>
  <c r="AT20" i="16" s="1"/>
  <c r="AT203" i="6"/>
  <c r="AT170" i="6"/>
  <c r="AT171" i="6" s="1"/>
  <c r="AT120" i="6"/>
  <c r="AT122" i="6" s="1"/>
  <c r="AT127" i="6" s="1"/>
  <c r="AT128" i="6" s="1"/>
  <c r="AT132" i="6" s="1"/>
  <c r="AT114" i="6"/>
  <c r="AT115" i="6" s="1"/>
  <c r="AT32" i="6"/>
  <c r="AT2" i="4"/>
  <c r="AT92" i="6"/>
  <c r="AT52" i="6"/>
  <c r="AT2" i="6"/>
  <c r="AT176" i="6"/>
  <c r="AT178" i="6" s="1"/>
  <c r="AT183" i="6" s="1"/>
  <c r="AT184" i="6" s="1"/>
  <c r="AT188" i="6" s="1"/>
  <c r="AS162" i="6"/>
  <c r="AS141" i="6"/>
  <c r="AT61" i="20"/>
  <c r="AT67" i="20" s="1"/>
  <c r="AU3" i="40"/>
  <c r="AU3" i="37"/>
  <c r="AU3" i="34"/>
  <c r="AU3" i="31"/>
  <c r="AU3" i="28"/>
  <c r="AU3" i="21"/>
  <c r="AU3" i="22"/>
  <c r="AU3" i="20"/>
  <c r="AU3" i="19"/>
  <c r="AU3" i="18"/>
  <c r="AU3" i="17"/>
  <c r="AU3" i="16"/>
  <c r="AU3" i="13"/>
  <c r="AU3" i="15"/>
  <c r="AU3" i="14"/>
  <c r="AU3" i="12"/>
  <c r="AU3" i="10"/>
  <c r="AU3" i="8"/>
  <c r="AU3" i="11"/>
  <c r="AU3" i="9"/>
  <c r="AU79" i="6"/>
  <c r="AU3" i="7"/>
  <c r="AU39" i="6"/>
  <c r="AU3" i="6"/>
  <c r="AU99" i="6"/>
  <c r="AU59" i="6"/>
  <c r="AU3" i="4"/>
  <c r="AN45" i="47" l="1"/>
  <c r="AN21" i="47"/>
  <c r="AV3" i="40"/>
  <c r="AV3" i="37"/>
  <c r="AV3" i="34"/>
  <c r="AV3" i="31"/>
  <c r="AV3" i="28"/>
  <c r="AV3" i="21"/>
  <c r="AV3" i="22"/>
  <c r="AV3" i="20"/>
  <c r="AV3" i="19"/>
  <c r="AV3" i="18"/>
  <c r="AV3" i="15"/>
  <c r="AV3" i="16"/>
  <c r="AV3" i="14"/>
  <c r="AV3" i="12"/>
  <c r="AV3" i="10"/>
  <c r="AV3" i="13"/>
  <c r="AV3" i="11"/>
  <c r="AV3" i="17"/>
  <c r="AV3" i="9"/>
  <c r="AV3" i="7"/>
  <c r="AV59" i="6"/>
  <c r="AV79" i="6"/>
  <c r="AV3" i="8"/>
  <c r="AV99" i="6"/>
  <c r="AV3" i="6"/>
  <c r="AV3" i="4"/>
  <c r="AV39" i="6"/>
  <c r="AU2" i="40"/>
  <c r="AU2" i="37"/>
  <c r="AU2" i="34"/>
  <c r="AU2" i="31"/>
  <c r="AU2" i="28"/>
  <c r="AO2" i="47" s="1"/>
  <c r="AU2" i="22"/>
  <c r="AU60" i="20"/>
  <c r="AU2" i="21"/>
  <c r="AU2" i="19"/>
  <c r="AU2" i="20"/>
  <c r="AU2" i="18"/>
  <c r="AU2" i="16"/>
  <c r="AU2" i="14"/>
  <c r="AU2" i="17"/>
  <c r="AU2" i="13"/>
  <c r="AU2" i="15"/>
  <c r="AU2" i="11"/>
  <c r="AU2" i="12"/>
  <c r="AU2" i="10"/>
  <c r="AU276" i="6"/>
  <c r="AU278" i="6" s="1"/>
  <c r="AU270" i="6" s="1"/>
  <c r="AU271" i="6" s="1"/>
  <c r="AU264" i="6" s="1"/>
  <c r="AU243" i="6"/>
  <c r="AU245" i="6" s="1"/>
  <c r="AU21" i="18" s="1"/>
  <c r="AU2" i="9"/>
  <c r="AU2" i="7"/>
  <c r="AU227" i="6"/>
  <c r="AU229" i="6" s="1"/>
  <c r="AU21" i="17" s="1"/>
  <c r="AU203" i="6"/>
  <c r="AU2" i="8"/>
  <c r="AU235" i="6"/>
  <c r="AU237" i="6" s="1"/>
  <c r="AU20" i="16" s="1"/>
  <c r="AU307" i="6"/>
  <c r="AU147" i="6"/>
  <c r="AU72" i="6"/>
  <c r="AU176" i="6"/>
  <c r="AU178" i="6" s="1"/>
  <c r="AU183" i="6" s="1"/>
  <c r="AU184" i="6" s="1"/>
  <c r="AU188" i="6" s="1"/>
  <c r="AU114" i="6"/>
  <c r="AU115" i="6" s="1"/>
  <c r="AU92" i="6"/>
  <c r="AU313" i="6"/>
  <c r="AU315" i="6" s="1"/>
  <c r="AU2" i="4"/>
  <c r="AU120" i="6"/>
  <c r="AU122" i="6" s="1"/>
  <c r="AU127" i="6" s="1"/>
  <c r="AU128" i="6" s="1"/>
  <c r="AU132" i="6" s="1"/>
  <c r="AU52" i="6"/>
  <c r="AU170" i="6"/>
  <c r="AU171" i="6" s="1"/>
  <c r="AU2" i="6"/>
  <c r="AU32" i="6"/>
  <c r="AU61" i="20"/>
  <c r="AU67" i="20" s="1"/>
  <c r="AV59" i="20"/>
  <c r="AV53" i="20"/>
  <c r="AV54" i="20" s="1"/>
  <c r="AV58" i="20" s="1"/>
  <c r="AV228" i="6"/>
  <c r="AV277" i="6"/>
  <c r="AV284" i="6"/>
  <c r="AV285" i="6" s="1"/>
  <c r="AV236" i="6"/>
  <c r="AV177" i="6"/>
  <c r="AV121" i="6"/>
  <c r="AV244" i="6"/>
  <c r="AV18" i="6"/>
  <c r="AV19" i="6" s="1"/>
  <c r="AV74" i="6"/>
  <c r="AV81" i="6"/>
  <c r="AV87" i="6"/>
  <c r="AW4" i="40"/>
  <c r="AW4" i="37"/>
  <c r="AW4" i="34"/>
  <c r="AW4" i="31"/>
  <c r="AW4" i="28"/>
  <c r="AW10" i="21"/>
  <c r="AW74" i="20"/>
  <c r="AW4" i="21"/>
  <c r="AW4" i="22"/>
  <c r="AW4" i="19"/>
  <c r="AW32" i="20"/>
  <c r="AW4" i="20"/>
  <c r="AW10" i="18"/>
  <c r="AW28" i="19"/>
  <c r="AW4" i="18"/>
  <c r="AW4" i="17"/>
  <c r="AW10" i="17"/>
  <c r="AW27" i="15"/>
  <c r="AW4" i="16"/>
  <c r="AW40" i="15"/>
  <c r="AW10" i="16"/>
  <c r="AW4" i="13"/>
  <c r="AW4" i="15"/>
  <c r="AW17" i="13"/>
  <c r="AW60" i="12"/>
  <c r="AW4" i="14"/>
  <c r="AW50" i="12"/>
  <c r="AW4" i="12"/>
  <c r="AW4" i="10"/>
  <c r="AW23" i="11"/>
  <c r="AW37" i="12"/>
  <c r="AW330" i="6"/>
  <c r="AW331" i="6" s="1"/>
  <c r="AW269" i="6"/>
  <c r="AW4" i="9"/>
  <c r="AW4" i="7"/>
  <c r="AW345" i="6"/>
  <c r="AW346" i="6" s="1"/>
  <c r="AW295" i="6"/>
  <c r="AW296" i="6" s="1"/>
  <c r="AW4" i="8"/>
  <c r="AW314" i="6"/>
  <c r="AW16" i="10"/>
  <c r="AW196" i="6"/>
  <c r="AW25" i="13"/>
  <c r="AW4" i="11"/>
  <c r="AW340" i="6"/>
  <c r="AW341" i="6" s="1"/>
  <c r="AW290" i="6"/>
  <c r="AW291" i="6" s="1"/>
  <c r="AW73" i="6"/>
  <c r="AW35" i="9"/>
  <c r="AW325" i="6"/>
  <c r="AW326" i="6" s="1"/>
  <c r="AW80" i="6"/>
  <c r="AW140" i="6"/>
  <c r="AW86" i="6"/>
  <c r="AW10" i="9"/>
  <c r="AW306" i="6"/>
  <c r="AW182" i="6"/>
  <c r="AW93" i="6"/>
  <c r="AW126" i="6"/>
  <c r="AW100" i="6"/>
  <c r="AW60" i="6"/>
  <c r="AW106" i="6"/>
  <c r="AW4" i="6"/>
  <c r="AW253" i="6"/>
  <c r="AW33" i="6"/>
  <c r="AW11" i="6"/>
  <c r="AW12" i="6" s="1"/>
  <c r="AW46" i="6"/>
  <c r="AW4" i="4"/>
  <c r="AW23" i="6"/>
  <c r="AW24" i="6" s="1"/>
  <c r="AW40" i="6"/>
  <c r="AX28" i="6"/>
  <c r="AW66" i="6"/>
  <c r="AW53" i="6"/>
  <c r="AT141" i="6"/>
  <c r="AT162" i="6"/>
  <c r="AV308" i="6"/>
  <c r="AV34" i="6"/>
  <c r="AV47" i="6"/>
  <c r="AV41" i="6"/>
  <c r="AT218" i="6"/>
  <c r="AT197" i="6"/>
  <c r="AT26" i="31"/>
  <c r="AN41" i="47" s="1"/>
  <c r="AU11" i="21"/>
  <c r="AU13" i="21" s="1"/>
  <c r="AT29" i="9"/>
  <c r="AV94" i="6"/>
  <c r="AV101" i="6"/>
  <c r="AV107" i="6"/>
  <c r="AT61" i="6"/>
  <c r="AT54" i="6"/>
  <c r="AT67" i="6"/>
  <c r="AW59" i="20" l="1"/>
  <c r="AW53" i="20"/>
  <c r="AW54" i="20" s="1"/>
  <c r="AW58" i="20" s="1"/>
  <c r="AW228" i="6"/>
  <c r="AW236" i="6"/>
  <c r="AW244" i="6"/>
  <c r="AW284" i="6"/>
  <c r="AW285" i="6" s="1"/>
  <c r="AW177" i="6"/>
  <c r="AW121" i="6"/>
  <c r="AW277" i="6"/>
  <c r="AW18" i="6"/>
  <c r="AW19" i="6" s="1"/>
  <c r="AU67" i="6"/>
  <c r="AU54" i="6"/>
  <c r="AU61" i="6"/>
  <c r="AX4" i="40"/>
  <c r="AX4" i="37"/>
  <c r="AX4" i="34"/>
  <c r="AX4" i="31"/>
  <c r="AX4" i="28"/>
  <c r="AX74" i="20"/>
  <c r="AX4" i="21"/>
  <c r="AX10" i="21"/>
  <c r="AX32" i="20"/>
  <c r="AX4" i="20"/>
  <c r="AX28" i="19"/>
  <c r="AX4" i="22"/>
  <c r="AX4" i="19"/>
  <c r="AX4" i="18"/>
  <c r="AX4" i="17"/>
  <c r="AX10" i="18"/>
  <c r="AX10" i="17"/>
  <c r="AX4" i="16"/>
  <c r="AX40" i="15"/>
  <c r="AX4" i="15"/>
  <c r="AX10" i="16"/>
  <c r="AX4" i="14"/>
  <c r="AX25" i="13"/>
  <c r="AX60" i="12"/>
  <c r="AX50" i="12"/>
  <c r="AX17" i="13"/>
  <c r="AX4" i="13"/>
  <c r="AX4" i="12"/>
  <c r="AX4" i="10"/>
  <c r="AX35" i="9"/>
  <c r="AX37" i="12"/>
  <c r="AX4" i="11"/>
  <c r="AX16" i="10"/>
  <c r="AX23" i="11"/>
  <c r="AX4" i="9"/>
  <c r="AX4" i="7"/>
  <c r="AX345" i="6"/>
  <c r="AX346" i="6" s="1"/>
  <c r="AX295" i="6"/>
  <c r="AX296" i="6" s="1"/>
  <c r="AX4" i="8"/>
  <c r="AX314" i="6"/>
  <c r="AX196" i="6"/>
  <c r="AX306" i="6"/>
  <c r="AX27" i="15"/>
  <c r="AX10" i="9"/>
  <c r="AX253" i="6"/>
  <c r="AX340" i="6"/>
  <c r="AX341" i="6" s="1"/>
  <c r="AX325" i="6"/>
  <c r="AX326" i="6" s="1"/>
  <c r="AX80" i="6"/>
  <c r="AX269" i="6"/>
  <c r="AX140" i="6"/>
  <c r="AX86" i="6"/>
  <c r="AX182" i="6"/>
  <c r="AX93" i="6"/>
  <c r="AX126" i="6"/>
  <c r="AX100" i="6"/>
  <c r="AX106" i="6"/>
  <c r="AX330" i="6"/>
  <c r="AX331" i="6" s="1"/>
  <c r="AX66" i="6"/>
  <c r="AX4" i="6"/>
  <c r="AX33" i="6"/>
  <c r="AX11" i="6"/>
  <c r="AX12" i="6" s="1"/>
  <c r="AX73" i="6"/>
  <c r="AX40" i="6"/>
  <c r="AY28" i="6"/>
  <c r="AX290" i="6"/>
  <c r="AX291" i="6" s="1"/>
  <c r="AX53" i="6"/>
  <c r="AX23" i="6"/>
  <c r="AX24" i="6" s="1"/>
  <c r="AX46" i="6"/>
  <c r="AX4" i="4"/>
  <c r="AX60" i="6"/>
  <c r="AW94" i="6"/>
  <c r="AW101" i="6"/>
  <c r="AW107" i="6"/>
  <c r="AW34" i="6"/>
  <c r="AW41" i="6"/>
  <c r="AW47" i="6"/>
  <c r="AU141" i="6"/>
  <c r="AU162" i="6"/>
  <c r="AU26" i="31"/>
  <c r="AO41" i="47" s="1"/>
  <c r="AV11" i="21"/>
  <c r="AV13" i="21" s="1"/>
  <c r="AU29" i="9"/>
  <c r="AW3" i="40"/>
  <c r="AW3" i="37"/>
  <c r="AW3" i="34"/>
  <c r="AW3" i="31"/>
  <c r="AW3" i="28"/>
  <c r="AW3" i="21"/>
  <c r="AW3" i="22"/>
  <c r="AW3" i="20"/>
  <c r="AW3" i="19"/>
  <c r="AW3" i="18"/>
  <c r="AW3" i="17"/>
  <c r="AW3" i="16"/>
  <c r="AW3" i="14"/>
  <c r="AW3" i="13"/>
  <c r="AW3" i="12"/>
  <c r="AW3" i="10"/>
  <c r="AW3" i="15"/>
  <c r="AW3" i="11"/>
  <c r="AW3" i="8"/>
  <c r="AW3" i="9"/>
  <c r="AW79" i="6"/>
  <c r="AW3" i="7"/>
  <c r="AW99" i="6"/>
  <c r="AW59" i="6"/>
  <c r="AW3" i="4"/>
  <c r="AW39" i="6"/>
  <c r="AW3" i="6"/>
  <c r="AV2" i="40"/>
  <c r="AV2" i="37"/>
  <c r="AV2" i="34"/>
  <c r="AV2" i="28"/>
  <c r="AP2" i="47" s="1"/>
  <c r="AV2" i="22"/>
  <c r="AV60" i="20"/>
  <c r="AV61" i="20" s="1"/>
  <c r="AV67" i="20" s="1"/>
  <c r="AV2" i="31"/>
  <c r="AV2" i="21"/>
  <c r="AV2" i="19"/>
  <c r="AV2" i="20"/>
  <c r="AV2" i="17"/>
  <c r="AV2" i="16"/>
  <c r="AV2" i="14"/>
  <c r="AV2" i="18"/>
  <c r="AV2" i="13"/>
  <c r="AV2" i="15"/>
  <c r="AV2" i="11"/>
  <c r="AV243" i="6"/>
  <c r="AV245" i="6" s="1"/>
  <c r="AV21" i="18" s="1"/>
  <c r="AV2" i="12"/>
  <c r="AV2" i="9"/>
  <c r="AV2" i="7"/>
  <c r="AV227" i="6"/>
  <c r="AV229" i="6" s="1"/>
  <c r="AV21" i="17" s="1"/>
  <c r="AV203" i="6"/>
  <c r="AV2" i="8"/>
  <c r="AV307" i="6"/>
  <c r="AW308" i="6" s="1"/>
  <c r="AV276" i="6"/>
  <c r="AV278" i="6" s="1"/>
  <c r="AV270" i="6" s="1"/>
  <c r="AV271" i="6" s="1"/>
  <c r="AV264" i="6" s="1"/>
  <c r="AV147" i="6"/>
  <c r="AV72" i="6"/>
  <c r="AV176" i="6"/>
  <c r="AV178" i="6" s="1"/>
  <c r="AV183" i="6" s="1"/>
  <c r="AV184" i="6" s="1"/>
  <c r="AV188" i="6" s="1"/>
  <c r="AV313" i="6"/>
  <c r="AV315" i="6" s="1"/>
  <c r="AV170" i="6"/>
  <c r="AV171" i="6" s="1"/>
  <c r="AV120" i="6"/>
  <c r="AV122" i="6" s="1"/>
  <c r="AV127" i="6" s="1"/>
  <c r="AV128" i="6" s="1"/>
  <c r="AV132" i="6" s="1"/>
  <c r="AV52" i="6"/>
  <c r="AV92" i="6"/>
  <c r="AV2" i="10"/>
  <c r="AV235" i="6"/>
  <c r="AV237" i="6" s="1"/>
  <c r="AV20" i="16" s="1"/>
  <c r="AV2" i="6"/>
  <c r="AV32" i="6"/>
  <c r="AV114" i="6"/>
  <c r="AV115" i="6" s="1"/>
  <c r="AV2" i="4"/>
  <c r="AU197" i="6"/>
  <c r="AU218" i="6"/>
  <c r="AW81" i="6"/>
  <c r="AW87" i="6"/>
  <c r="AW74" i="6"/>
  <c r="AO45" i="47"/>
  <c r="AO21" i="47"/>
  <c r="AW2" i="40" l="1"/>
  <c r="AW2" i="37"/>
  <c r="AW2" i="34"/>
  <c r="AW2" i="28"/>
  <c r="AQ2" i="47" s="1"/>
  <c r="AW60" i="20"/>
  <c r="AW2" i="31"/>
  <c r="AW2" i="21"/>
  <c r="AW2" i="22"/>
  <c r="AW2" i="19"/>
  <c r="AW2" i="20"/>
  <c r="AW2" i="18"/>
  <c r="AW2" i="17"/>
  <c r="AW2" i="16"/>
  <c r="AW2" i="13"/>
  <c r="AW2" i="15"/>
  <c r="AW2" i="14"/>
  <c r="AW2" i="12"/>
  <c r="AW2" i="10"/>
  <c r="AW2" i="9"/>
  <c r="AW2" i="7"/>
  <c r="AW227" i="6"/>
  <c r="AW229" i="6" s="1"/>
  <c r="AW21" i="17" s="1"/>
  <c r="AW203" i="6"/>
  <c r="AW2" i="11"/>
  <c r="AW2" i="8"/>
  <c r="AW313" i="6"/>
  <c r="AW315" i="6" s="1"/>
  <c r="AW307" i="6"/>
  <c r="AW276" i="6"/>
  <c r="AW278" i="6" s="1"/>
  <c r="AW270" i="6" s="1"/>
  <c r="AW271" i="6" s="1"/>
  <c r="AW264" i="6" s="1"/>
  <c r="AW147" i="6"/>
  <c r="AW72" i="6"/>
  <c r="AW176" i="6"/>
  <c r="AW178" i="6" s="1"/>
  <c r="AW183" i="6" s="1"/>
  <c r="AW184" i="6" s="1"/>
  <c r="AW188" i="6" s="1"/>
  <c r="AW243" i="6"/>
  <c r="AW245" i="6" s="1"/>
  <c r="AW21" i="18" s="1"/>
  <c r="AW170" i="6"/>
  <c r="AW171" i="6" s="1"/>
  <c r="AW120" i="6"/>
  <c r="AW122" i="6" s="1"/>
  <c r="AW127" i="6" s="1"/>
  <c r="AW128" i="6" s="1"/>
  <c r="AW132" i="6" s="1"/>
  <c r="AW235" i="6"/>
  <c r="AW237" i="6" s="1"/>
  <c r="AW20" i="16" s="1"/>
  <c r="AW114" i="6"/>
  <c r="AW115" i="6" s="1"/>
  <c r="AW92" i="6"/>
  <c r="AW52" i="6"/>
  <c r="AW2" i="6"/>
  <c r="AW2" i="4"/>
  <c r="AW32" i="6"/>
  <c r="AW61" i="20"/>
  <c r="AW67" i="20" s="1"/>
  <c r="AV26" i="31"/>
  <c r="AP41" i="47" s="1"/>
  <c r="AW11" i="21"/>
  <c r="AW13" i="21" s="1"/>
  <c r="AV29" i="9"/>
  <c r="AX34" i="6"/>
  <c r="AX41" i="6"/>
  <c r="AX47" i="6"/>
  <c r="AX59" i="20"/>
  <c r="AX53" i="20"/>
  <c r="AX54" i="20" s="1"/>
  <c r="AX58" i="20" s="1"/>
  <c r="AX236" i="6"/>
  <c r="AX284" i="6"/>
  <c r="AX285" i="6" s="1"/>
  <c r="AX177" i="6"/>
  <c r="AX121" i="6"/>
  <c r="AX228" i="6"/>
  <c r="AX277" i="6"/>
  <c r="AX244" i="6"/>
  <c r="AX18" i="6"/>
  <c r="AX19" i="6" s="1"/>
  <c r="AX94" i="6"/>
  <c r="AX101" i="6"/>
  <c r="AX107" i="6"/>
  <c r="AX3" i="40"/>
  <c r="AX3" i="37"/>
  <c r="AX3" i="34"/>
  <c r="AX3" i="31"/>
  <c r="AX3" i="28"/>
  <c r="AX3" i="22"/>
  <c r="AX3" i="21"/>
  <c r="AX3" i="19"/>
  <c r="AX3" i="18"/>
  <c r="AX3" i="17"/>
  <c r="AX3" i="16"/>
  <c r="AX3" i="14"/>
  <c r="AX3" i="20"/>
  <c r="AX3" i="15"/>
  <c r="AX3" i="13"/>
  <c r="AX3" i="11"/>
  <c r="AX3" i="12"/>
  <c r="AX3" i="9"/>
  <c r="AX3" i="10"/>
  <c r="AX79" i="6"/>
  <c r="AX3" i="8"/>
  <c r="AX3" i="7"/>
  <c r="AX99" i="6"/>
  <c r="AX59" i="6"/>
  <c r="AX3" i="4"/>
  <c r="AX3" i="6"/>
  <c r="AX39" i="6"/>
  <c r="AP45" i="47"/>
  <c r="AP21" i="47"/>
  <c r="AX308" i="6"/>
  <c r="AV61" i="6"/>
  <c r="AV67" i="6"/>
  <c r="AV54" i="6"/>
  <c r="AX87" i="6"/>
  <c r="AX74" i="6"/>
  <c r="AX81" i="6"/>
  <c r="AY4" i="40"/>
  <c r="AY4" i="37"/>
  <c r="AY4" i="34"/>
  <c r="AY4" i="31"/>
  <c r="AY4" i="28"/>
  <c r="AY4" i="21"/>
  <c r="AY4" i="22"/>
  <c r="AY74" i="20"/>
  <c r="AY32" i="20"/>
  <c r="AY10" i="21"/>
  <c r="AY4" i="20"/>
  <c r="AY28" i="19"/>
  <c r="AY4" i="19"/>
  <c r="AY4" i="18"/>
  <c r="AY4" i="17"/>
  <c r="AY10" i="18"/>
  <c r="AY10" i="17"/>
  <c r="AY4" i="16"/>
  <c r="AY40" i="15"/>
  <c r="AY10" i="16"/>
  <c r="AY27" i="15"/>
  <c r="AY4" i="13"/>
  <c r="AY4" i="15"/>
  <c r="AY17" i="13"/>
  <c r="AY50" i="12"/>
  <c r="AY4" i="14"/>
  <c r="AY4" i="12"/>
  <c r="AY4" i="10"/>
  <c r="AY35" i="9"/>
  <c r="AY23" i="11"/>
  <c r="AY25" i="13"/>
  <c r="AY4" i="8"/>
  <c r="AY314" i="6"/>
  <c r="AY196" i="6"/>
  <c r="AY16" i="10"/>
  <c r="AY306" i="6"/>
  <c r="AY60" i="12"/>
  <c r="AY4" i="11"/>
  <c r="AY10" i="9"/>
  <c r="AY325" i="6"/>
  <c r="AY326" i="6" s="1"/>
  <c r="AY330" i="6"/>
  <c r="AY331" i="6" s="1"/>
  <c r="AY269" i="6"/>
  <c r="AY37" i="12"/>
  <c r="AY140" i="6"/>
  <c r="AY86" i="6"/>
  <c r="AY4" i="9"/>
  <c r="AY182" i="6"/>
  <c r="AY93" i="6"/>
  <c r="AY126" i="6"/>
  <c r="AY100" i="6"/>
  <c r="AY295" i="6"/>
  <c r="AY296" i="6" s="1"/>
  <c r="AY106" i="6"/>
  <c r="AY290" i="6"/>
  <c r="AY291" i="6" s="1"/>
  <c r="AY253" i="6"/>
  <c r="AY4" i="7"/>
  <c r="AY345" i="6"/>
  <c r="AY346" i="6" s="1"/>
  <c r="AY73" i="6"/>
  <c r="AY340" i="6"/>
  <c r="AY341" i="6" s="1"/>
  <c r="AY80" i="6"/>
  <c r="AY4" i="6"/>
  <c r="AY33" i="6"/>
  <c r="AY11" i="6"/>
  <c r="AY12" i="6" s="1"/>
  <c r="AY40" i="6"/>
  <c r="AZ28" i="6"/>
  <c r="AY60" i="6"/>
  <c r="AY46" i="6"/>
  <c r="AY4" i="4"/>
  <c r="AY66" i="6"/>
  <c r="AY53" i="6"/>
  <c r="AY23" i="6"/>
  <c r="AY24" i="6" s="1"/>
  <c r="AV141" i="6"/>
  <c r="AV162" i="6"/>
  <c r="AV197" i="6"/>
  <c r="AV218" i="6"/>
  <c r="AY81" i="6" l="1"/>
  <c r="AY87" i="6"/>
  <c r="AY74" i="6"/>
  <c r="AZ4" i="40"/>
  <c r="AZ4" i="37"/>
  <c r="AZ4" i="34"/>
  <c r="AZ4" i="31"/>
  <c r="AZ4" i="28"/>
  <c r="AZ4" i="21"/>
  <c r="AZ4" i="22"/>
  <c r="AZ10" i="21"/>
  <c r="AZ74" i="20"/>
  <c r="AZ4" i="20"/>
  <c r="AZ28" i="19"/>
  <c r="AZ32" i="20"/>
  <c r="AZ4" i="19"/>
  <c r="AZ4" i="18"/>
  <c r="AZ10" i="18"/>
  <c r="AZ10" i="17"/>
  <c r="AZ40" i="15"/>
  <c r="AZ10" i="16"/>
  <c r="AZ4" i="15"/>
  <c r="AZ4" i="16"/>
  <c r="AZ17" i="13"/>
  <c r="AZ4" i="14"/>
  <c r="AZ25" i="13"/>
  <c r="AZ27" i="15"/>
  <c r="AZ4" i="12"/>
  <c r="AZ4" i="10"/>
  <c r="AZ4" i="13"/>
  <c r="AZ35" i="9"/>
  <c r="AZ23" i="11"/>
  <c r="AZ37" i="12"/>
  <c r="AZ4" i="11"/>
  <c r="AZ16" i="10"/>
  <c r="AZ60" i="12"/>
  <c r="AZ4" i="17"/>
  <c r="AZ306" i="6"/>
  <c r="AZ10" i="9"/>
  <c r="AZ325" i="6"/>
  <c r="AZ326" i="6" s="1"/>
  <c r="AZ50" i="12"/>
  <c r="AZ340" i="6"/>
  <c r="AZ341" i="6" s="1"/>
  <c r="AZ290" i="6"/>
  <c r="AZ291" i="6" s="1"/>
  <c r="AZ4" i="9"/>
  <c r="AZ4" i="7"/>
  <c r="AZ345" i="6"/>
  <c r="AZ346" i="6" s="1"/>
  <c r="AZ295" i="6"/>
  <c r="AZ296" i="6" s="1"/>
  <c r="AZ314" i="6"/>
  <c r="AZ269" i="6"/>
  <c r="AZ182" i="6"/>
  <c r="AZ93" i="6"/>
  <c r="AZ126" i="6"/>
  <c r="AZ100" i="6"/>
  <c r="AZ106" i="6"/>
  <c r="AZ253" i="6"/>
  <c r="AZ60" i="6"/>
  <c r="AZ4" i="8"/>
  <c r="AZ66" i="6"/>
  <c r="AZ80" i="6"/>
  <c r="AZ86" i="6"/>
  <c r="AZ4" i="6"/>
  <c r="AZ33" i="6"/>
  <c r="AZ11" i="6"/>
  <c r="AZ12" i="6" s="1"/>
  <c r="AZ40" i="6"/>
  <c r="BA28" i="6"/>
  <c r="AZ330" i="6"/>
  <c r="AZ331" i="6" s="1"/>
  <c r="AZ140" i="6"/>
  <c r="AZ73" i="6"/>
  <c r="AZ46" i="6"/>
  <c r="AZ4" i="4"/>
  <c r="AZ53" i="6"/>
  <c r="AZ23" i="6"/>
  <c r="AZ24" i="6" s="1"/>
  <c r="AZ196" i="6"/>
  <c r="AY94" i="6"/>
  <c r="AY101" i="6"/>
  <c r="AY107" i="6"/>
  <c r="AW197" i="6"/>
  <c r="AW218" i="6"/>
  <c r="AY3" i="40"/>
  <c r="AY3" i="37"/>
  <c r="AY3" i="34"/>
  <c r="AY3" i="31"/>
  <c r="AY3" i="28"/>
  <c r="AY3" i="22"/>
  <c r="AY3" i="21"/>
  <c r="AY3" i="19"/>
  <c r="AY3" i="20"/>
  <c r="AY3" i="18"/>
  <c r="AY3" i="16"/>
  <c r="AY3" i="14"/>
  <c r="AY3" i="17"/>
  <c r="AY3" i="13"/>
  <c r="AY3" i="15"/>
  <c r="AY3" i="11"/>
  <c r="AY3" i="12"/>
  <c r="AY3" i="10"/>
  <c r="AY3" i="9"/>
  <c r="AY3" i="7"/>
  <c r="AY3" i="8"/>
  <c r="AY79" i="6"/>
  <c r="AY99" i="6"/>
  <c r="AY59" i="6"/>
  <c r="AY3" i="4"/>
  <c r="AY39" i="6"/>
  <c r="AY3" i="6"/>
  <c r="AY53" i="20"/>
  <c r="AY54" i="20" s="1"/>
  <c r="AY58" i="20" s="1"/>
  <c r="AY59" i="20"/>
  <c r="AY236" i="6"/>
  <c r="AY284" i="6"/>
  <c r="AY285" i="6" s="1"/>
  <c r="AY277" i="6"/>
  <c r="AY228" i="6"/>
  <c r="AY121" i="6"/>
  <c r="AY244" i="6"/>
  <c r="AY177" i="6"/>
  <c r="AY18" i="6"/>
  <c r="AY19" i="6" s="1"/>
  <c r="AX2" i="40"/>
  <c r="AX2" i="37"/>
  <c r="AX2" i="34"/>
  <c r="AX2" i="31"/>
  <c r="AX2" i="28"/>
  <c r="AR2" i="47" s="1"/>
  <c r="AX2" i="21"/>
  <c r="AX60" i="20"/>
  <c r="AX2" i="22"/>
  <c r="AX2" i="20"/>
  <c r="AX2" i="18"/>
  <c r="AX2" i="17"/>
  <c r="AX2" i="16"/>
  <c r="AX2" i="19"/>
  <c r="AX2" i="15"/>
  <c r="AX2" i="14"/>
  <c r="AX2" i="13"/>
  <c r="AX2" i="12"/>
  <c r="AX2" i="10"/>
  <c r="AX2" i="11"/>
  <c r="AX2" i="9"/>
  <c r="AX2" i="7"/>
  <c r="AX227" i="6"/>
  <c r="AX229" i="6" s="1"/>
  <c r="AX21" i="17" s="1"/>
  <c r="AX2" i="8"/>
  <c r="AX313" i="6"/>
  <c r="AX315" i="6" s="1"/>
  <c r="AX307" i="6"/>
  <c r="AY308" i="6" s="1"/>
  <c r="AX235" i="6"/>
  <c r="AX237" i="6" s="1"/>
  <c r="AX20" i="16" s="1"/>
  <c r="AX243" i="6"/>
  <c r="AX245" i="6" s="1"/>
  <c r="AX21" i="18" s="1"/>
  <c r="AX276" i="6"/>
  <c r="AX278" i="6" s="1"/>
  <c r="AX270" i="6" s="1"/>
  <c r="AX271" i="6" s="1"/>
  <c r="AX264" i="6" s="1"/>
  <c r="AX72" i="6"/>
  <c r="AX176" i="6"/>
  <c r="AX178" i="6" s="1"/>
  <c r="AX183" i="6" s="1"/>
  <c r="AX184" i="6" s="1"/>
  <c r="AX188" i="6" s="1"/>
  <c r="AX170" i="6"/>
  <c r="AX171" i="6" s="1"/>
  <c r="AX120" i="6"/>
  <c r="AX122" i="6" s="1"/>
  <c r="AX127" i="6" s="1"/>
  <c r="AX128" i="6" s="1"/>
  <c r="AX132" i="6" s="1"/>
  <c r="AX114" i="6"/>
  <c r="AX115" i="6" s="1"/>
  <c r="AX92" i="6"/>
  <c r="AX147" i="6"/>
  <c r="AX2" i="6"/>
  <c r="AX203" i="6"/>
  <c r="AX32" i="6"/>
  <c r="AX2" i="4"/>
  <c r="AX52" i="6"/>
  <c r="AX61" i="20"/>
  <c r="AX67" i="20" s="1"/>
  <c r="AW26" i="31"/>
  <c r="AQ41" i="47" s="1"/>
  <c r="AX11" i="21"/>
  <c r="AX13" i="21" s="1"/>
  <c r="AW29" i="9"/>
  <c r="AQ45" i="47"/>
  <c r="AQ21" i="47"/>
  <c r="AW141" i="6"/>
  <c r="AW162" i="6"/>
  <c r="AY34" i="6"/>
  <c r="AY41" i="6"/>
  <c r="AY47" i="6"/>
  <c r="AW67" i="6"/>
  <c r="AW61" i="6"/>
  <c r="AW54" i="6"/>
  <c r="AX197" i="6" l="1"/>
  <c r="AX218" i="6"/>
  <c r="AZ74" i="6"/>
  <c r="AZ87" i="6"/>
  <c r="AZ81" i="6"/>
  <c r="AR21" i="47"/>
  <c r="AR45" i="47"/>
  <c r="BA4" i="40"/>
  <c r="BA4" i="37"/>
  <c r="BA4" i="34"/>
  <c r="BA4" i="31"/>
  <c r="BA4" i="28"/>
  <c r="BA4" i="21"/>
  <c r="BA4" i="22"/>
  <c r="BA10" i="21"/>
  <c r="BA74" i="20"/>
  <c r="BA32" i="20"/>
  <c r="BA4" i="20"/>
  <c r="BA28" i="19"/>
  <c r="BA4" i="19"/>
  <c r="BA4" i="18"/>
  <c r="BA10" i="18"/>
  <c r="BA10" i="17"/>
  <c r="BA4" i="17"/>
  <c r="BA40" i="15"/>
  <c r="BA10" i="16"/>
  <c r="BA27" i="15"/>
  <c r="BA4" i="16"/>
  <c r="BA17" i="13"/>
  <c r="BA4" i="14"/>
  <c r="BA25" i="13"/>
  <c r="BA4" i="13"/>
  <c r="BA4" i="12"/>
  <c r="BA4" i="10"/>
  <c r="BA4" i="15"/>
  <c r="BA23" i="11"/>
  <c r="BA37" i="12"/>
  <c r="BA4" i="11"/>
  <c r="BA16" i="10"/>
  <c r="BA50" i="12"/>
  <c r="BA306" i="6"/>
  <c r="BA10" i="9"/>
  <c r="BA325" i="6"/>
  <c r="BA326" i="6" s="1"/>
  <c r="BA60" i="12"/>
  <c r="BA340" i="6"/>
  <c r="BA341" i="6" s="1"/>
  <c r="BA290" i="6"/>
  <c r="BA291" i="6" s="1"/>
  <c r="BA253" i="6"/>
  <c r="BA35" i="9"/>
  <c r="BA4" i="8"/>
  <c r="BA314" i="6"/>
  <c r="BA4" i="9"/>
  <c r="BA126" i="6"/>
  <c r="BA100" i="6"/>
  <c r="BA106" i="6"/>
  <c r="BA295" i="6"/>
  <c r="BA296" i="6" s="1"/>
  <c r="BA60" i="6"/>
  <c r="BA66" i="6"/>
  <c r="BA330" i="6"/>
  <c r="BA331" i="6" s="1"/>
  <c r="BA196" i="6"/>
  <c r="BA73" i="6"/>
  <c r="BA140" i="6"/>
  <c r="BA86" i="6"/>
  <c r="BA80" i="6"/>
  <c r="BA33" i="6"/>
  <c r="BA11" i="6"/>
  <c r="BA12" i="6" s="1"/>
  <c r="BA40" i="6"/>
  <c r="BB28" i="6"/>
  <c r="BA4" i="7"/>
  <c r="BA46" i="6"/>
  <c r="BA4" i="4"/>
  <c r="BA53" i="6"/>
  <c r="BA23" i="6"/>
  <c r="BA24" i="6" s="1"/>
  <c r="BA93" i="6"/>
  <c r="BA345" i="6"/>
  <c r="BA346" i="6" s="1"/>
  <c r="BA4" i="6"/>
  <c r="BA269" i="6"/>
  <c r="BA182" i="6"/>
  <c r="AZ3" i="40"/>
  <c r="AZ3" i="37"/>
  <c r="AZ3" i="34"/>
  <c r="AZ3" i="28"/>
  <c r="AZ3" i="22"/>
  <c r="AZ3" i="31"/>
  <c r="AZ3" i="21"/>
  <c r="AZ3" i="19"/>
  <c r="AZ3" i="20"/>
  <c r="AZ3" i="17"/>
  <c r="AZ3" i="16"/>
  <c r="AZ3" i="14"/>
  <c r="AZ3" i="18"/>
  <c r="AZ3" i="13"/>
  <c r="AZ3" i="15"/>
  <c r="AZ3" i="11"/>
  <c r="AZ3" i="12"/>
  <c r="AZ3" i="9"/>
  <c r="AZ3" i="7"/>
  <c r="AZ3" i="8"/>
  <c r="AZ99" i="6"/>
  <c r="AZ3" i="10"/>
  <c r="AZ39" i="6"/>
  <c r="AZ3" i="6"/>
  <c r="AZ59" i="6"/>
  <c r="AZ3" i="4"/>
  <c r="AZ79" i="6"/>
  <c r="AX141" i="6"/>
  <c r="AX162" i="6"/>
  <c r="AX61" i="6"/>
  <c r="AX67" i="6"/>
  <c r="AX54" i="6"/>
  <c r="AX26" i="31"/>
  <c r="AR41" i="47" s="1"/>
  <c r="AY11" i="21"/>
  <c r="AY13" i="21" s="1"/>
  <c r="AX29" i="9"/>
  <c r="AZ53" i="20"/>
  <c r="AZ54" i="20" s="1"/>
  <c r="AZ58" i="20" s="1"/>
  <c r="AZ59" i="20"/>
  <c r="AZ236" i="6"/>
  <c r="AZ284" i="6"/>
  <c r="AZ285" i="6" s="1"/>
  <c r="AZ277" i="6"/>
  <c r="AZ244" i="6"/>
  <c r="AZ228" i="6"/>
  <c r="AZ177" i="6"/>
  <c r="AZ18" i="6"/>
  <c r="AZ19" i="6" s="1"/>
  <c r="AZ121" i="6"/>
  <c r="AZ34" i="6"/>
  <c r="AZ41" i="6"/>
  <c r="AZ47" i="6"/>
  <c r="AY2" i="40"/>
  <c r="AY2" i="37"/>
  <c r="AY2" i="34"/>
  <c r="AY2" i="31"/>
  <c r="AY2" i="28"/>
  <c r="AS2" i="47" s="1"/>
  <c r="AY2" i="21"/>
  <c r="AY2" i="22"/>
  <c r="AY60" i="20"/>
  <c r="AY61" i="20" s="1"/>
  <c r="AY67" i="20" s="1"/>
  <c r="AY2" i="20"/>
  <c r="AY2" i="19"/>
  <c r="AY2" i="18"/>
  <c r="AY2" i="17"/>
  <c r="AY2" i="16"/>
  <c r="AY2" i="13"/>
  <c r="AY2" i="15"/>
  <c r="AY2" i="12"/>
  <c r="AY2" i="10"/>
  <c r="AY2" i="8"/>
  <c r="AY2" i="11"/>
  <c r="AY313" i="6"/>
  <c r="AY315" i="6" s="1"/>
  <c r="AY307" i="6"/>
  <c r="AY2" i="14"/>
  <c r="AY235" i="6"/>
  <c r="AY237" i="6" s="1"/>
  <c r="AY20" i="16" s="1"/>
  <c r="AY176" i="6"/>
  <c r="AY178" i="6" s="1"/>
  <c r="AY183" i="6" s="1"/>
  <c r="AY184" i="6" s="1"/>
  <c r="AY188" i="6" s="1"/>
  <c r="AY170" i="6"/>
  <c r="AY171" i="6" s="1"/>
  <c r="AY120" i="6"/>
  <c r="AY122" i="6" s="1"/>
  <c r="AY127" i="6" s="1"/>
  <c r="AY128" i="6" s="1"/>
  <c r="AY132" i="6" s="1"/>
  <c r="AY243" i="6"/>
  <c r="AY245" i="6" s="1"/>
  <c r="AY21" i="18" s="1"/>
  <c r="AY114" i="6"/>
  <c r="AY115" i="6" s="1"/>
  <c r="AY92" i="6"/>
  <c r="AY2" i="7"/>
  <c r="AY203" i="6"/>
  <c r="AY147" i="6"/>
  <c r="AY2" i="9"/>
  <c r="AY72" i="6"/>
  <c r="AY2" i="6"/>
  <c r="AY276" i="6"/>
  <c r="AY278" i="6" s="1"/>
  <c r="AY270" i="6" s="1"/>
  <c r="AY271" i="6" s="1"/>
  <c r="AY264" i="6" s="1"/>
  <c r="AY227" i="6"/>
  <c r="AY229" i="6" s="1"/>
  <c r="AY21" i="17" s="1"/>
  <c r="AY32" i="6"/>
  <c r="AY2" i="4"/>
  <c r="AY52" i="6"/>
  <c r="AZ101" i="6"/>
  <c r="AZ107" i="6"/>
  <c r="AZ94" i="6"/>
  <c r="AZ308" i="6"/>
  <c r="BA41" i="6" l="1"/>
  <c r="BA47" i="6"/>
  <c r="BA34" i="6"/>
  <c r="AY218" i="6"/>
  <c r="AY197" i="6"/>
  <c r="AY26" i="31"/>
  <c r="AS41" i="47" s="1"/>
  <c r="AZ11" i="21"/>
  <c r="AZ13" i="21" s="1"/>
  <c r="AY29" i="9"/>
  <c r="BB4" i="40"/>
  <c r="BB4" i="37"/>
  <c r="BB4" i="34"/>
  <c r="BB4" i="31"/>
  <c r="BB4" i="28"/>
  <c r="BB4" i="22"/>
  <c r="BB10" i="21"/>
  <c r="BB74" i="20"/>
  <c r="BB32" i="20"/>
  <c r="BB4" i="21"/>
  <c r="BB28" i="19"/>
  <c r="BB4" i="19"/>
  <c r="BB10" i="18"/>
  <c r="BB4" i="20"/>
  <c r="BB4" i="18"/>
  <c r="BB10" i="17"/>
  <c r="BB10" i="16"/>
  <c r="BB27" i="15"/>
  <c r="BB4" i="17"/>
  <c r="BB4" i="16"/>
  <c r="BB17" i="13"/>
  <c r="BB4" i="14"/>
  <c r="BB25" i="13"/>
  <c r="BB40" i="15"/>
  <c r="BB4" i="15"/>
  <c r="BB35" i="9"/>
  <c r="BB4" i="13"/>
  <c r="BB23" i="11"/>
  <c r="BB37" i="12"/>
  <c r="BB4" i="11"/>
  <c r="BB16" i="10"/>
  <c r="BB60" i="12"/>
  <c r="BB10" i="9"/>
  <c r="BB325" i="6"/>
  <c r="BB326" i="6" s="1"/>
  <c r="BB340" i="6"/>
  <c r="BB341" i="6" s="1"/>
  <c r="BB290" i="6"/>
  <c r="BB291" i="6" s="1"/>
  <c r="BB50" i="12"/>
  <c r="BB253" i="6"/>
  <c r="BB4" i="12"/>
  <c r="BB330" i="6"/>
  <c r="BB331" i="6" s="1"/>
  <c r="BB269" i="6"/>
  <c r="BB4" i="9"/>
  <c r="BB4" i="10"/>
  <c r="BB106" i="6"/>
  <c r="BB295" i="6"/>
  <c r="BB296" i="6" s="1"/>
  <c r="BB306" i="6"/>
  <c r="BB66" i="6"/>
  <c r="BB4" i="8"/>
  <c r="BB196" i="6"/>
  <c r="BB73" i="6"/>
  <c r="BB4" i="7"/>
  <c r="BB345" i="6"/>
  <c r="BB346" i="6" s="1"/>
  <c r="BB80" i="6"/>
  <c r="BB182" i="6"/>
  <c r="BB93" i="6"/>
  <c r="BB40" i="6"/>
  <c r="BC28" i="6"/>
  <c r="BB126" i="6"/>
  <c r="BB46" i="6"/>
  <c r="BB4" i="4"/>
  <c r="BB140" i="6"/>
  <c r="BB53" i="6"/>
  <c r="BB23" i="6"/>
  <c r="BB24" i="6" s="1"/>
  <c r="BB60" i="6"/>
  <c r="BB314" i="6"/>
  <c r="BB4" i="6"/>
  <c r="BB11" i="6"/>
  <c r="BB12" i="6" s="1"/>
  <c r="BB86" i="6"/>
  <c r="BB33" i="6"/>
  <c r="BB100" i="6"/>
  <c r="AS45" i="47"/>
  <c r="AS21" i="47"/>
  <c r="AZ2" i="40"/>
  <c r="AZ2" i="34"/>
  <c r="AZ2" i="37"/>
  <c r="AZ2" i="31"/>
  <c r="AZ2" i="28"/>
  <c r="AT2" i="47" s="1"/>
  <c r="AZ2" i="21"/>
  <c r="AZ2" i="22"/>
  <c r="AZ60" i="20"/>
  <c r="AZ2" i="20"/>
  <c r="AZ2" i="18"/>
  <c r="AZ2" i="19"/>
  <c r="AZ2" i="17"/>
  <c r="AZ2" i="15"/>
  <c r="AZ2" i="14"/>
  <c r="AZ2" i="12"/>
  <c r="AZ2" i="10"/>
  <c r="AZ2" i="11"/>
  <c r="AZ2" i="16"/>
  <c r="AZ313" i="6"/>
  <c r="AZ315" i="6" s="1"/>
  <c r="AZ307" i="6"/>
  <c r="BA308" i="6" s="1"/>
  <c r="AZ235" i="6"/>
  <c r="AZ237" i="6" s="1"/>
  <c r="AZ20" i="16" s="1"/>
  <c r="AZ276" i="6"/>
  <c r="AZ278" i="6" s="1"/>
  <c r="AZ270" i="6" s="1"/>
  <c r="AZ271" i="6" s="1"/>
  <c r="AZ264" i="6" s="1"/>
  <c r="AZ2" i="13"/>
  <c r="AZ2" i="9"/>
  <c r="AZ2" i="7"/>
  <c r="AZ227" i="6"/>
  <c r="AZ229" i="6" s="1"/>
  <c r="AZ21" i="17" s="1"/>
  <c r="AZ203" i="6"/>
  <c r="AZ170" i="6"/>
  <c r="AZ171" i="6" s="1"/>
  <c r="AZ120" i="6"/>
  <c r="AZ122" i="6" s="1"/>
  <c r="AZ127" i="6" s="1"/>
  <c r="AZ128" i="6" s="1"/>
  <c r="AZ132" i="6" s="1"/>
  <c r="AZ243" i="6"/>
  <c r="AZ245" i="6" s="1"/>
  <c r="AZ21" i="18" s="1"/>
  <c r="AZ114" i="6"/>
  <c r="AZ115" i="6" s="1"/>
  <c r="AZ92" i="6"/>
  <c r="AZ2" i="8"/>
  <c r="AZ72" i="6"/>
  <c r="AZ2" i="6"/>
  <c r="AZ147" i="6"/>
  <c r="AZ32" i="6"/>
  <c r="AZ2" i="4"/>
  <c r="AZ176" i="6"/>
  <c r="AZ178" i="6" s="1"/>
  <c r="AZ183" i="6" s="1"/>
  <c r="AZ184" i="6" s="1"/>
  <c r="AZ188" i="6" s="1"/>
  <c r="AZ52" i="6"/>
  <c r="BA107" i="6"/>
  <c r="BA94" i="6"/>
  <c r="BA101" i="6"/>
  <c r="BA74" i="6"/>
  <c r="BA81" i="6"/>
  <c r="BA87" i="6"/>
  <c r="AZ61" i="20"/>
  <c r="AZ67" i="20" s="1"/>
  <c r="AY162" i="6"/>
  <c r="AY141" i="6"/>
  <c r="AY61" i="6"/>
  <c r="AY67" i="6"/>
  <c r="AY54" i="6"/>
  <c r="BA53" i="20"/>
  <c r="BA54" i="20" s="1"/>
  <c r="BA58" i="20" s="1"/>
  <c r="BA59" i="20"/>
  <c r="BA284" i="6"/>
  <c r="BA285" i="6" s="1"/>
  <c r="BA277" i="6"/>
  <c r="BA244" i="6"/>
  <c r="BA236" i="6"/>
  <c r="BA228" i="6"/>
  <c r="BA121" i="6"/>
  <c r="BA18" i="6"/>
  <c r="BA19" i="6" s="1"/>
  <c r="BA177" i="6"/>
  <c r="BA3" i="40"/>
  <c r="BA3" i="37"/>
  <c r="BA3" i="34"/>
  <c r="BA3" i="28"/>
  <c r="BA3" i="31"/>
  <c r="BA3" i="21"/>
  <c r="BA3" i="22"/>
  <c r="BA3" i="19"/>
  <c r="BA3" i="20"/>
  <c r="BA3" i="18"/>
  <c r="BA3" i="17"/>
  <c r="BA3" i="16"/>
  <c r="BA3" i="13"/>
  <c r="BA3" i="15"/>
  <c r="BA3" i="14"/>
  <c r="BA3" i="12"/>
  <c r="BA3" i="10"/>
  <c r="BA3" i="9"/>
  <c r="BA3" i="7"/>
  <c r="BA3" i="11"/>
  <c r="BA3" i="8"/>
  <c r="BA99" i="6"/>
  <c r="BA59" i="6"/>
  <c r="BA79" i="6"/>
  <c r="BA39" i="6"/>
  <c r="BA3" i="6"/>
  <c r="BA3" i="4"/>
  <c r="BA2" i="40" l="1"/>
  <c r="BA2" i="37"/>
  <c r="BA2" i="34"/>
  <c r="BA2" i="31"/>
  <c r="BA2" i="28"/>
  <c r="AU2" i="47" s="1"/>
  <c r="BA2" i="21"/>
  <c r="BA2" i="22"/>
  <c r="BA60" i="20"/>
  <c r="BA2" i="20"/>
  <c r="BA2" i="18"/>
  <c r="BA2" i="19"/>
  <c r="BA2" i="17"/>
  <c r="BA2" i="16"/>
  <c r="BA2" i="14"/>
  <c r="BA2" i="13"/>
  <c r="BA2" i="15"/>
  <c r="BA2" i="12"/>
  <c r="BA2" i="10"/>
  <c r="BA2" i="11"/>
  <c r="BA235" i="6"/>
  <c r="BA237" i="6" s="1"/>
  <c r="BA20" i="16" s="1"/>
  <c r="BA276" i="6"/>
  <c r="BA278" i="6" s="1"/>
  <c r="BA270" i="6" s="1"/>
  <c r="BA271" i="6" s="1"/>
  <c r="BA264" i="6" s="1"/>
  <c r="BA243" i="6"/>
  <c r="BA245" i="6" s="1"/>
  <c r="BA21" i="18" s="1"/>
  <c r="BA2" i="8"/>
  <c r="BA307" i="6"/>
  <c r="BA114" i="6"/>
  <c r="BA115" i="6" s="1"/>
  <c r="BA92" i="6"/>
  <c r="BA2" i="7"/>
  <c r="BA313" i="6"/>
  <c r="BA315" i="6" s="1"/>
  <c r="BA203" i="6"/>
  <c r="BA147" i="6"/>
  <c r="BA2" i="9"/>
  <c r="BA227" i="6"/>
  <c r="BA229" i="6" s="1"/>
  <c r="BA21" i="17" s="1"/>
  <c r="BA176" i="6"/>
  <c r="BA178" i="6" s="1"/>
  <c r="BA183" i="6" s="1"/>
  <c r="BA184" i="6" s="1"/>
  <c r="BA188" i="6" s="1"/>
  <c r="BA120" i="6"/>
  <c r="BA122" i="6" s="1"/>
  <c r="BA127" i="6" s="1"/>
  <c r="BA128" i="6" s="1"/>
  <c r="BA132" i="6" s="1"/>
  <c r="BA72" i="6"/>
  <c r="BA32" i="6"/>
  <c r="BA2" i="4"/>
  <c r="BA170" i="6"/>
  <c r="BA171" i="6" s="1"/>
  <c r="BA52" i="6"/>
  <c r="BA2" i="6"/>
  <c r="BB3" i="40"/>
  <c r="BB3" i="37"/>
  <c r="BB3" i="34"/>
  <c r="BB3" i="31"/>
  <c r="BB3" i="28"/>
  <c r="BB3" i="21"/>
  <c r="BB3" i="22"/>
  <c r="BB3" i="20"/>
  <c r="BB3" i="18"/>
  <c r="BB3" i="17"/>
  <c r="BB3" i="16"/>
  <c r="BB3" i="19"/>
  <c r="BB3" i="15"/>
  <c r="BB3" i="14"/>
  <c r="BB3" i="13"/>
  <c r="BB3" i="12"/>
  <c r="BB3" i="10"/>
  <c r="BB3" i="11"/>
  <c r="BB3" i="9"/>
  <c r="BB3" i="7"/>
  <c r="BB3" i="8"/>
  <c r="BB99" i="6"/>
  <c r="BB59" i="6"/>
  <c r="BB39" i="6"/>
  <c r="BB3" i="6"/>
  <c r="BB79" i="6"/>
  <c r="BB3" i="4"/>
  <c r="BA61" i="20"/>
  <c r="BA67" i="20" s="1"/>
  <c r="AZ162" i="6"/>
  <c r="AZ141" i="6"/>
  <c r="BB308" i="6"/>
  <c r="AT21" i="47"/>
  <c r="AT45" i="47"/>
  <c r="BB101" i="6"/>
  <c r="BB94" i="6"/>
  <c r="BB107" i="6"/>
  <c r="BB53" i="20"/>
  <c r="BB54" i="20" s="1"/>
  <c r="BB58" i="20" s="1"/>
  <c r="BB59" i="20"/>
  <c r="BB277" i="6"/>
  <c r="BB244" i="6"/>
  <c r="BB228" i="6"/>
  <c r="BB236" i="6"/>
  <c r="BB177" i="6"/>
  <c r="BB121" i="6"/>
  <c r="BB284" i="6"/>
  <c r="BB285" i="6" s="1"/>
  <c r="BB18" i="6"/>
  <c r="BB19" i="6" s="1"/>
  <c r="AZ61" i="6"/>
  <c r="AZ67" i="6"/>
  <c r="AZ54" i="6"/>
  <c r="BC4" i="40"/>
  <c r="BC4" i="37"/>
  <c r="BC4" i="34"/>
  <c r="BC4" i="31"/>
  <c r="BC4" i="28"/>
  <c r="BC4" i="22"/>
  <c r="BC10" i="21"/>
  <c r="BC74" i="20"/>
  <c r="BC32" i="20"/>
  <c r="BC4" i="21"/>
  <c r="BC4" i="19"/>
  <c r="BC4" i="20"/>
  <c r="BC10" i="18"/>
  <c r="BC28" i="19"/>
  <c r="BC4" i="18"/>
  <c r="BC10" i="17"/>
  <c r="BC10" i="16"/>
  <c r="BC27" i="15"/>
  <c r="BC4" i="16"/>
  <c r="BC40" i="15"/>
  <c r="BC17" i="13"/>
  <c r="BC4" i="14"/>
  <c r="BC25" i="13"/>
  <c r="BC4" i="13"/>
  <c r="BC4" i="17"/>
  <c r="BC23" i="11"/>
  <c r="BC4" i="15"/>
  <c r="BC37" i="12"/>
  <c r="BC4" i="11"/>
  <c r="BC16" i="10"/>
  <c r="BC60" i="12"/>
  <c r="BC50" i="12"/>
  <c r="BC4" i="12"/>
  <c r="BC4" i="10"/>
  <c r="BC340" i="6"/>
  <c r="BC341" i="6" s="1"/>
  <c r="BC290" i="6"/>
  <c r="BC291" i="6" s="1"/>
  <c r="BC253" i="6"/>
  <c r="BC330" i="6"/>
  <c r="BC331" i="6" s="1"/>
  <c r="BC269" i="6"/>
  <c r="BC35" i="9"/>
  <c r="BC4" i="9"/>
  <c r="BC4" i="7"/>
  <c r="BC345" i="6"/>
  <c r="BC346" i="6" s="1"/>
  <c r="BC295" i="6"/>
  <c r="BC296" i="6" s="1"/>
  <c r="BC4" i="8"/>
  <c r="BC306" i="6"/>
  <c r="BC60" i="6"/>
  <c r="BC10" i="9"/>
  <c r="BC196" i="6"/>
  <c r="BC73" i="6"/>
  <c r="BC80" i="6"/>
  <c r="BC140" i="6"/>
  <c r="BC86" i="6"/>
  <c r="BC314" i="6"/>
  <c r="BC126" i="6"/>
  <c r="BC100" i="6"/>
  <c r="BC46" i="6"/>
  <c r="BC4" i="4"/>
  <c r="BC53" i="6"/>
  <c r="BC23" i="6"/>
  <c r="BC24" i="6" s="1"/>
  <c r="BC325" i="6"/>
  <c r="BC326" i="6" s="1"/>
  <c r="BC182" i="6"/>
  <c r="BC33" i="6"/>
  <c r="BC11" i="6"/>
  <c r="BC12" i="6" s="1"/>
  <c r="BC40" i="6"/>
  <c r="BD28" i="6"/>
  <c r="BC4" i="6"/>
  <c r="BC106" i="6"/>
  <c r="BC93" i="6"/>
  <c r="BC66" i="6"/>
  <c r="AZ26" i="31"/>
  <c r="AT41" i="47" s="1"/>
  <c r="BA11" i="21"/>
  <c r="BA13" i="21" s="1"/>
  <c r="AZ29" i="9"/>
  <c r="BB47" i="6"/>
  <c r="BB34" i="6"/>
  <c r="BB41" i="6"/>
  <c r="AZ218" i="6"/>
  <c r="AZ197" i="6"/>
  <c r="BB74" i="6"/>
  <c r="BB81" i="6"/>
  <c r="BB87" i="6"/>
  <c r="BC94" i="6" l="1"/>
  <c r="BC107" i="6"/>
  <c r="BC101" i="6"/>
  <c r="BB2" i="40"/>
  <c r="BB2" i="37"/>
  <c r="BB2" i="34"/>
  <c r="BB2" i="31"/>
  <c r="BB2" i="28"/>
  <c r="AV2" i="47" s="1"/>
  <c r="BB2" i="22"/>
  <c r="BB60" i="20"/>
  <c r="BB2" i="21"/>
  <c r="BB2" i="19"/>
  <c r="BB2" i="20"/>
  <c r="BB2" i="18"/>
  <c r="BB2" i="17"/>
  <c r="BB2" i="14"/>
  <c r="BB2" i="16"/>
  <c r="BB2" i="15"/>
  <c r="BB2" i="11"/>
  <c r="BB2" i="13"/>
  <c r="BB2" i="12"/>
  <c r="BB276" i="6"/>
  <c r="BB278" i="6" s="1"/>
  <c r="BB270" i="6" s="1"/>
  <c r="BB271" i="6" s="1"/>
  <c r="BB264" i="6" s="1"/>
  <c r="BB243" i="6"/>
  <c r="BB245" i="6" s="1"/>
  <c r="BB21" i="18" s="1"/>
  <c r="BB2" i="10"/>
  <c r="BB2" i="9"/>
  <c r="BB313" i="6"/>
  <c r="BB315" i="6" s="1"/>
  <c r="BB307" i="6"/>
  <c r="BB2" i="8"/>
  <c r="BB2" i="7"/>
  <c r="BB203" i="6"/>
  <c r="BB235" i="6"/>
  <c r="BB237" i="6" s="1"/>
  <c r="BB20" i="16" s="1"/>
  <c r="BB147" i="6"/>
  <c r="BB72" i="6"/>
  <c r="BB170" i="6"/>
  <c r="BB171" i="6" s="1"/>
  <c r="BB120" i="6"/>
  <c r="BB122" i="6" s="1"/>
  <c r="BB127" i="6" s="1"/>
  <c r="BB128" i="6" s="1"/>
  <c r="BB132" i="6" s="1"/>
  <c r="BB32" i="6"/>
  <c r="BB92" i="6"/>
  <c r="BB2" i="4"/>
  <c r="BB227" i="6"/>
  <c r="BB229" i="6" s="1"/>
  <c r="BB21" i="17" s="1"/>
  <c r="BB52" i="6"/>
  <c r="BB114" i="6"/>
  <c r="BB115" i="6" s="1"/>
  <c r="BB2" i="6"/>
  <c r="BB176" i="6"/>
  <c r="BB178" i="6" s="1"/>
  <c r="BB183" i="6" s="1"/>
  <c r="BB184" i="6" s="1"/>
  <c r="BB188" i="6" s="1"/>
  <c r="BA162" i="6"/>
  <c r="BA141" i="6"/>
  <c r="BA26" i="31"/>
  <c r="AU41" i="47" s="1"/>
  <c r="BB11" i="21"/>
  <c r="BB13" i="21" s="1"/>
  <c r="BA29" i="9"/>
  <c r="BB61" i="20"/>
  <c r="BB67" i="20" s="1"/>
  <c r="BD4" i="37"/>
  <c r="BD4" i="40"/>
  <c r="BD4" i="34"/>
  <c r="BD4" i="28"/>
  <c r="BD4" i="22"/>
  <c r="BD10" i="21"/>
  <c r="BD74" i="20"/>
  <c r="BD4" i="31"/>
  <c r="BD4" i="21"/>
  <c r="BD32" i="20"/>
  <c r="BD4" i="19"/>
  <c r="BD28" i="19"/>
  <c r="BD10" i="18"/>
  <c r="BD4" i="20"/>
  <c r="BD4" i="17"/>
  <c r="BD4" i="18"/>
  <c r="BD27" i="15"/>
  <c r="BD4" i="16"/>
  <c r="BD4" i="14"/>
  <c r="BD25" i="13"/>
  <c r="BD10" i="17"/>
  <c r="BD10" i="16"/>
  <c r="BD40" i="15"/>
  <c r="BD4" i="13"/>
  <c r="BD4" i="15"/>
  <c r="BD37" i="12"/>
  <c r="BD4" i="11"/>
  <c r="BD16" i="10"/>
  <c r="BD17" i="13"/>
  <c r="BD60" i="12"/>
  <c r="BD50" i="12"/>
  <c r="BD35" i="9"/>
  <c r="BD253" i="6"/>
  <c r="BD330" i="6"/>
  <c r="BD331" i="6" s="1"/>
  <c r="BD269" i="6"/>
  <c r="BD4" i="12"/>
  <c r="BD4" i="9"/>
  <c r="BD4" i="7"/>
  <c r="BD345" i="6"/>
  <c r="BD346" i="6" s="1"/>
  <c r="BD295" i="6"/>
  <c r="BD296" i="6" s="1"/>
  <c r="BD4" i="8"/>
  <c r="BD314" i="6"/>
  <c r="BD10" i="9"/>
  <c r="BD325" i="6"/>
  <c r="BD326" i="6" s="1"/>
  <c r="BD23" i="11"/>
  <c r="BD66" i="6"/>
  <c r="BD306" i="6"/>
  <c r="BD196" i="6"/>
  <c r="BD73" i="6"/>
  <c r="BD80" i="6"/>
  <c r="BD290" i="6"/>
  <c r="BD291" i="6" s="1"/>
  <c r="BD140" i="6"/>
  <c r="BD86" i="6"/>
  <c r="BD182" i="6"/>
  <c r="BD93" i="6"/>
  <c r="BD340" i="6"/>
  <c r="BD341" i="6" s="1"/>
  <c r="BD106" i="6"/>
  <c r="BD126" i="6"/>
  <c r="BD53" i="6"/>
  <c r="BD23" i="6"/>
  <c r="BD24" i="6" s="1"/>
  <c r="BD4" i="10"/>
  <c r="BD60" i="6"/>
  <c r="BD100" i="6"/>
  <c r="BD4" i="6"/>
  <c r="BD40" i="6"/>
  <c r="BE28" i="6"/>
  <c r="BD46" i="6"/>
  <c r="BD33" i="6"/>
  <c r="BD4" i="4"/>
  <c r="BD11" i="6"/>
  <c r="BD12" i="6" s="1"/>
  <c r="BC74" i="6"/>
  <c r="BC81" i="6"/>
  <c r="BC87" i="6"/>
  <c r="BC59" i="20"/>
  <c r="BC53" i="20"/>
  <c r="BC54" i="20" s="1"/>
  <c r="BC58" i="20" s="1"/>
  <c r="BC244" i="6"/>
  <c r="BC228" i="6"/>
  <c r="BC284" i="6"/>
  <c r="BC285" i="6" s="1"/>
  <c r="BC236" i="6"/>
  <c r="BC277" i="6"/>
  <c r="BC177" i="6"/>
  <c r="BC121" i="6"/>
  <c r="BC18" i="6"/>
  <c r="BC19" i="6" s="1"/>
  <c r="BC3" i="40"/>
  <c r="BC3" i="37"/>
  <c r="BC3" i="34"/>
  <c r="BC3" i="31"/>
  <c r="BC3" i="28"/>
  <c r="BC3" i="21"/>
  <c r="BC3" i="22"/>
  <c r="BC3" i="20"/>
  <c r="BC3" i="19"/>
  <c r="BC3" i="18"/>
  <c r="BC3" i="17"/>
  <c r="BC3" i="16"/>
  <c r="BC3" i="13"/>
  <c r="BC3" i="15"/>
  <c r="BC3" i="12"/>
  <c r="BC3" i="10"/>
  <c r="BC3" i="8"/>
  <c r="BC3" i="11"/>
  <c r="BC3" i="14"/>
  <c r="BC3" i="7"/>
  <c r="BC79" i="6"/>
  <c r="BC99" i="6"/>
  <c r="BC39" i="6"/>
  <c r="BC3" i="6"/>
  <c r="BC3" i="9"/>
  <c r="BC3" i="4"/>
  <c r="BC59" i="6"/>
  <c r="BA218" i="6"/>
  <c r="BA197" i="6"/>
  <c r="BC308" i="6"/>
  <c r="BC41" i="6"/>
  <c r="BC34" i="6"/>
  <c r="BC47" i="6"/>
  <c r="AU45" i="47"/>
  <c r="AU21" i="47"/>
  <c r="BA67" i="6"/>
  <c r="BA61" i="6"/>
  <c r="BA54" i="6"/>
  <c r="BD59" i="20" l="1"/>
  <c r="BD53" i="20"/>
  <c r="BD54" i="20" s="1"/>
  <c r="BD58" i="20" s="1"/>
  <c r="BD228" i="6"/>
  <c r="BD277" i="6"/>
  <c r="BD177" i="6"/>
  <c r="BD121" i="6"/>
  <c r="BD244" i="6"/>
  <c r="BD284" i="6"/>
  <c r="BD285" i="6" s="1"/>
  <c r="BD236" i="6"/>
  <c r="BD18" i="6"/>
  <c r="BD19" i="6" s="1"/>
  <c r="BC2" i="40"/>
  <c r="BC2" i="37"/>
  <c r="BC2" i="34"/>
  <c r="BC2" i="31"/>
  <c r="BC2" i="22"/>
  <c r="BC60" i="20"/>
  <c r="BC2" i="21"/>
  <c r="BC2" i="28"/>
  <c r="AW2" i="47" s="1"/>
  <c r="BC2" i="19"/>
  <c r="BC2" i="20"/>
  <c r="BC2" i="17"/>
  <c r="BC2" i="18"/>
  <c r="BC2" i="16"/>
  <c r="BC2" i="14"/>
  <c r="BC2" i="13"/>
  <c r="BC2" i="11"/>
  <c r="BC2" i="12"/>
  <c r="BC2" i="10"/>
  <c r="BC276" i="6"/>
  <c r="BC278" i="6" s="1"/>
  <c r="BC270" i="6" s="1"/>
  <c r="BC271" i="6" s="1"/>
  <c r="BC264" i="6" s="1"/>
  <c r="BC243" i="6"/>
  <c r="BC245" i="6" s="1"/>
  <c r="BC21" i="18" s="1"/>
  <c r="BC2" i="9"/>
  <c r="BC2" i="7"/>
  <c r="BC227" i="6"/>
  <c r="BC229" i="6" s="1"/>
  <c r="BC21" i="17" s="1"/>
  <c r="BC203" i="6"/>
  <c r="BC2" i="15"/>
  <c r="BC2" i="8"/>
  <c r="BC235" i="6"/>
  <c r="BC237" i="6" s="1"/>
  <c r="BC20" i="16" s="1"/>
  <c r="BC313" i="6"/>
  <c r="BC315" i="6" s="1"/>
  <c r="BC147" i="6"/>
  <c r="BC72" i="6"/>
  <c r="BC176" i="6"/>
  <c r="BC178" i="6" s="1"/>
  <c r="BC183" i="6" s="1"/>
  <c r="BC184" i="6" s="1"/>
  <c r="BC188" i="6" s="1"/>
  <c r="BC114" i="6"/>
  <c r="BC115" i="6" s="1"/>
  <c r="BC92" i="6"/>
  <c r="BC2" i="4"/>
  <c r="BC52" i="6"/>
  <c r="BC307" i="6"/>
  <c r="BD308" i="6" s="1"/>
  <c r="BC170" i="6"/>
  <c r="BC171" i="6" s="1"/>
  <c r="BC120" i="6"/>
  <c r="BC122" i="6" s="1"/>
  <c r="BC127" i="6" s="1"/>
  <c r="BC128" i="6" s="1"/>
  <c r="BC132" i="6" s="1"/>
  <c r="BC32" i="6"/>
  <c r="BC2" i="6"/>
  <c r="BC61" i="20"/>
  <c r="BC67" i="20" s="1"/>
  <c r="BB26" i="31"/>
  <c r="AV41" i="47" s="1"/>
  <c r="BC11" i="21"/>
  <c r="BC13" i="21" s="1"/>
  <c r="BB29" i="9"/>
  <c r="BD74" i="6"/>
  <c r="BD81" i="6"/>
  <c r="BD87" i="6"/>
  <c r="BE4" i="40"/>
  <c r="BE4" i="37"/>
  <c r="BE4" i="34"/>
  <c r="BE4" i="28"/>
  <c r="BE10" i="21"/>
  <c r="BE74" i="20"/>
  <c r="BE4" i="31"/>
  <c r="BE4" i="21"/>
  <c r="BE4" i="22"/>
  <c r="BE4" i="19"/>
  <c r="BE32" i="20"/>
  <c r="BE4" i="20"/>
  <c r="BE10" i="18"/>
  <c r="BE28" i="19"/>
  <c r="BE4" i="18"/>
  <c r="BE4" i="17"/>
  <c r="BE10" i="17"/>
  <c r="BE27" i="15"/>
  <c r="BE4" i="16"/>
  <c r="BE40" i="15"/>
  <c r="BE10" i="16"/>
  <c r="BE4" i="13"/>
  <c r="BE4" i="15"/>
  <c r="BE17" i="13"/>
  <c r="BE4" i="14"/>
  <c r="BE60" i="12"/>
  <c r="BE50" i="12"/>
  <c r="BE4" i="12"/>
  <c r="BE4" i="10"/>
  <c r="BE23" i="11"/>
  <c r="BE330" i="6"/>
  <c r="BE331" i="6" s="1"/>
  <c r="BE269" i="6"/>
  <c r="BE16" i="10"/>
  <c r="BE4" i="9"/>
  <c r="BE4" i="7"/>
  <c r="BE345" i="6"/>
  <c r="BE346" i="6" s="1"/>
  <c r="BE295" i="6"/>
  <c r="BE296" i="6" s="1"/>
  <c r="BE4" i="11"/>
  <c r="BE35" i="9"/>
  <c r="BE4" i="8"/>
  <c r="BE314" i="6"/>
  <c r="BE25" i="13"/>
  <c r="BE196" i="6"/>
  <c r="BE37" i="12"/>
  <c r="BE340" i="6"/>
  <c r="BE341" i="6" s="1"/>
  <c r="BE290" i="6"/>
  <c r="BE291" i="6" s="1"/>
  <c r="BE306" i="6"/>
  <c r="BE73" i="6"/>
  <c r="BE10" i="9"/>
  <c r="BE80" i="6"/>
  <c r="BE253" i="6"/>
  <c r="BE140" i="6"/>
  <c r="BE86" i="6"/>
  <c r="BE182" i="6"/>
  <c r="BE93" i="6"/>
  <c r="BE126" i="6"/>
  <c r="BE100" i="6"/>
  <c r="BE325" i="6"/>
  <c r="BE326" i="6" s="1"/>
  <c r="BE60" i="6"/>
  <c r="BE4" i="6"/>
  <c r="BE66" i="6"/>
  <c r="BE33" i="6"/>
  <c r="BE11" i="6"/>
  <c r="BE12" i="6" s="1"/>
  <c r="BE106" i="6"/>
  <c r="BE46" i="6"/>
  <c r="BE4" i="4"/>
  <c r="BE23" i="6"/>
  <c r="BE24" i="6" s="1"/>
  <c r="BE53" i="6"/>
  <c r="BE40" i="6"/>
  <c r="BF28" i="6"/>
  <c r="BB218" i="6"/>
  <c r="BB197" i="6"/>
  <c r="BB61" i="6"/>
  <c r="BB54" i="6"/>
  <c r="BB67" i="6"/>
  <c r="BD34" i="6"/>
  <c r="BD47" i="6"/>
  <c r="BD41" i="6"/>
  <c r="BB141" i="6"/>
  <c r="BB162" i="6"/>
  <c r="BD3" i="40"/>
  <c r="BD3" i="37"/>
  <c r="BD3" i="34"/>
  <c r="BD3" i="31"/>
  <c r="BD3" i="28"/>
  <c r="BD3" i="21"/>
  <c r="BD3" i="22"/>
  <c r="BD3" i="20"/>
  <c r="BD3" i="18"/>
  <c r="BD3" i="19"/>
  <c r="BD3" i="17"/>
  <c r="BD3" i="15"/>
  <c r="BD3" i="14"/>
  <c r="BD3" i="12"/>
  <c r="BD3" i="10"/>
  <c r="BD3" i="16"/>
  <c r="BD3" i="11"/>
  <c r="BD3" i="13"/>
  <c r="BD3" i="9"/>
  <c r="BD3" i="7"/>
  <c r="BD59" i="6"/>
  <c r="BD3" i="8"/>
  <c r="BD79" i="6"/>
  <c r="BD99" i="6"/>
  <c r="BD3" i="6"/>
  <c r="BD3" i="4"/>
  <c r="BD39" i="6"/>
  <c r="BD94" i="6"/>
  <c r="BD101" i="6"/>
  <c r="BD107" i="6"/>
  <c r="AV45" i="47"/>
  <c r="AV21" i="47"/>
  <c r="BE59" i="20" l="1"/>
  <c r="BE53" i="20"/>
  <c r="BE54" i="20" s="1"/>
  <c r="BE58" i="20" s="1"/>
  <c r="BE228" i="6"/>
  <c r="BE236" i="6"/>
  <c r="BE244" i="6"/>
  <c r="BE177" i="6"/>
  <c r="BE277" i="6"/>
  <c r="BE121" i="6"/>
  <c r="BE18" i="6"/>
  <c r="BE19" i="6" s="1"/>
  <c r="BE284" i="6"/>
  <c r="BE285" i="6" s="1"/>
  <c r="BE308" i="6"/>
  <c r="BE81" i="6"/>
  <c r="BE87" i="6"/>
  <c r="BE74" i="6"/>
  <c r="BD2" i="40"/>
  <c r="BD2" i="37"/>
  <c r="BD2" i="34"/>
  <c r="BD2" i="31"/>
  <c r="BD2" i="28"/>
  <c r="AX2" i="47" s="1"/>
  <c r="BD2" i="22"/>
  <c r="BD60" i="20"/>
  <c r="BD61" i="20" s="1"/>
  <c r="BD67" i="20" s="1"/>
  <c r="BD2" i="21"/>
  <c r="BD2" i="19"/>
  <c r="BD2" i="20"/>
  <c r="BD2" i="17"/>
  <c r="BD2" i="18"/>
  <c r="BD2" i="16"/>
  <c r="BD2" i="14"/>
  <c r="BD2" i="13"/>
  <c r="BD2" i="15"/>
  <c r="BD2" i="11"/>
  <c r="BD2" i="12"/>
  <c r="BD243" i="6"/>
  <c r="BD245" i="6" s="1"/>
  <c r="BD21" i="18" s="1"/>
  <c r="BD2" i="9"/>
  <c r="BD2" i="7"/>
  <c r="BD227" i="6"/>
  <c r="BD229" i="6" s="1"/>
  <c r="BD21" i="17" s="1"/>
  <c r="BD203" i="6"/>
  <c r="BD2" i="10"/>
  <c r="BD2" i="8"/>
  <c r="BD313" i="6"/>
  <c r="BD315" i="6" s="1"/>
  <c r="BD147" i="6"/>
  <c r="BD235" i="6"/>
  <c r="BD237" i="6" s="1"/>
  <c r="BD20" i="16" s="1"/>
  <c r="BD72" i="6"/>
  <c r="BD176" i="6"/>
  <c r="BD178" i="6" s="1"/>
  <c r="BD183" i="6" s="1"/>
  <c r="BD184" i="6" s="1"/>
  <c r="BD188" i="6" s="1"/>
  <c r="BD170" i="6"/>
  <c r="BD171" i="6" s="1"/>
  <c r="BD120" i="6"/>
  <c r="BD122" i="6" s="1"/>
  <c r="BD127" i="6" s="1"/>
  <c r="BD128" i="6" s="1"/>
  <c r="BD132" i="6" s="1"/>
  <c r="BD307" i="6"/>
  <c r="BD276" i="6"/>
  <c r="BD278" i="6" s="1"/>
  <c r="BD270" i="6" s="1"/>
  <c r="BD271" i="6" s="1"/>
  <c r="BD264" i="6" s="1"/>
  <c r="BD92" i="6"/>
  <c r="BD52" i="6"/>
  <c r="BD2" i="6"/>
  <c r="BD32" i="6"/>
  <c r="BD2" i="4"/>
  <c r="BD114" i="6"/>
  <c r="BD115" i="6" s="1"/>
  <c r="BF4" i="37"/>
  <c r="BF4" i="40"/>
  <c r="BF4" i="34"/>
  <c r="BF4" i="31"/>
  <c r="BF4" i="28"/>
  <c r="BF74" i="20"/>
  <c r="BF4" i="21"/>
  <c r="BF10" i="21"/>
  <c r="BF4" i="22"/>
  <c r="BF32" i="20"/>
  <c r="BF4" i="20"/>
  <c r="BF28" i="19"/>
  <c r="BF4" i="18"/>
  <c r="BF4" i="19"/>
  <c r="BF10" i="18"/>
  <c r="BF4" i="17"/>
  <c r="BF4" i="16"/>
  <c r="BF40" i="15"/>
  <c r="BF10" i="17"/>
  <c r="BF10" i="16"/>
  <c r="BF4" i="15"/>
  <c r="BF4" i="14"/>
  <c r="BF25" i="13"/>
  <c r="BF4" i="13"/>
  <c r="BF60" i="12"/>
  <c r="BF17" i="13"/>
  <c r="BF50" i="12"/>
  <c r="BF4" i="12"/>
  <c r="BF4" i="10"/>
  <c r="BF27" i="15"/>
  <c r="BF35" i="9"/>
  <c r="BF37" i="12"/>
  <c r="BF4" i="11"/>
  <c r="BF16" i="10"/>
  <c r="BF4" i="9"/>
  <c r="BF4" i="7"/>
  <c r="BF345" i="6"/>
  <c r="BF346" i="6" s="1"/>
  <c r="BF295" i="6"/>
  <c r="BF296" i="6" s="1"/>
  <c r="BF4" i="8"/>
  <c r="BF314" i="6"/>
  <c r="BF196" i="6"/>
  <c r="BF306" i="6"/>
  <c r="BF10" i="9"/>
  <c r="BF23" i="11"/>
  <c r="BF253" i="6"/>
  <c r="BF80" i="6"/>
  <c r="BF140" i="6"/>
  <c r="BF86" i="6"/>
  <c r="BF290" i="6"/>
  <c r="BF291" i="6" s="1"/>
  <c r="BF182" i="6"/>
  <c r="BF93" i="6"/>
  <c r="BF330" i="6"/>
  <c r="BF331" i="6" s="1"/>
  <c r="BF126" i="6"/>
  <c r="BF100" i="6"/>
  <c r="BF106" i="6"/>
  <c r="BF269" i="6"/>
  <c r="BF66" i="6"/>
  <c r="BF60" i="6"/>
  <c r="BF73" i="6"/>
  <c r="BF4" i="6"/>
  <c r="BF325" i="6"/>
  <c r="BF326" i="6" s="1"/>
  <c r="BF33" i="6"/>
  <c r="BF11" i="6"/>
  <c r="BF12" i="6" s="1"/>
  <c r="BF40" i="6"/>
  <c r="BG28" i="6"/>
  <c r="BF53" i="6"/>
  <c r="BF23" i="6"/>
  <c r="BF24" i="6" s="1"/>
  <c r="BF46" i="6"/>
  <c r="BF340" i="6"/>
  <c r="BF341" i="6" s="1"/>
  <c r="BF4" i="4"/>
  <c r="BE34" i="6"/>
  <c r="BE41" i="6"/>
  <c r="BE47" i="6"/>
  <c r="BE94" i="6"/>
  <c r="BE101" i="6"/>
  <c r="BE107" i="6"/>
  <c r="BC26" i="31"/>
  <c r="AW41" i="47" s="1"/>
  <c r="BD11" i="21"/>
  <c r="BD13" i="21" s="1"/>
  <c r="BC29" i="9"/>
  <c r="BC141" i="6"/>
  <c r="BC162" i="6"/>
  <c r="AW45" i="47"/>
  <c r="AW21" i="47"/>
  <c r="BC67" i="6"/>
  <c r="BC61" i="6"/>
  <c r="BC54" i="6"/>
  <c r="BE3" i="40"/>
  <c r="BE3" i="37"/>
  <c r="BE3" i="34"/>
  <c r="BE3" i="31"/>
  <c r="BE3" i="28"/>
  <c r="BE3" i="21"/>
  <c r="BE3" i="22"/>
  <c r="BE3" i="20"/>
  <c r="BE3" i="18"/>
  <c r="BE3" i="19"/>
  <c r="BE3" i="17"/>
  <c r="BE3" i="16"/>
  <c r="BE3" i="14"/>
  <c r="BE3" i="13"/>
  <c r="BE3" i="15"/>
  <c r="BE3" i="12"/>
  <c r="BE3" i="10"/>
  <c r="BE3" i="11"/>
  <c r="BE3" i="8"/>
  <c r="BE3" i="7"/>
  <c r="BE79" i="6"/>
  <c r="BE3" i="9"/>
  <c r="BE3" i="4"/>
  <c r="BE39" i="6"/>
  <c r="BE3" i="6"/>
  <c r="BE99" i="6"/>
  <c r="BE59" i="6"/>
  <c r="BC218" i="6"/>
  <c r="BC197" i="6"/>
  <c r="BD141" i="6" l="1"/>
  <c r="BD162" i="6"/>
  <c r="BF34" i="6"/>
  <c r="BF41" i="6"/>
  <c r="BF47" i="6"/>
  <c r="BD197" i="6"/>
  <c r="BD218" i="6"/>
  <c r="BF94" i="6"/>
  <c r="BF101" i="6"/>
  <c r="BF107" i="6"/>
  <c r="BD26" i="31"/>
  <c r="AX41" i="47" s="1"/>
  <c r="BE11" i="21"/>
  <c r="BE13" i="21" s="1"/>
  <c r="BD29" i="9"/>
  <c r="BF87" i="6"/>
  <c r="BF74" i="6"/>
  <c r="BF81" i="6"/>
  <c r="AX45" i="47"/>
  <c r="AX21" i="47"/>
  <c r="BE2" i="40"/>
  <c r="BE2" i="37"/>
  <c r="BE2" i="34"/>
  <c r="BE2" i="31"/>
  <c r="BE2" i="28"/>
  <c r="AY2" i="47" s="1"/>
  <c r="BE60" i="20"/>
  <c r="BE61" i="20" s="1"/>
  <c r="BE67" i="20" s="1"/>
  <c r="BE2" i="21"/>
  <c r="BE2" i="19"/>
  <c r="BE2" i="22"/>
  <c r="BE2" i="20"/>
  <c r="BE2" i="18"/>
  <c r="BE2" i="17"/>
  <c r="BE2" i="16"/>
  <c r="BE2" i="13"/>
  <c r="BE2" i="15"/>
  <c r="BE2" i="12"/>
  <c r="BE2" i="10"/>
  <c r="BE2" i="14"/>
  <c r="BE2" i="11"/>
  <c r="BE2" i="9"/>
  <c r="BE2" i="7"/>
  <c r="BE227" i="6"/>
  <c r="BE229" i="6" s="1"/>
  <c r="BE21" i="17" s="1"/>
  <c r="BE203" i="6"/>
  <c r="BE2" i="8"/>
  <c r="BE313" i="6"/>
  <c r="BE315" i="6" s="1"/>
  <c r="BE307" i="6"/>
  <c r="BE276" i="6"/>
  <c r="BE278" i="6" s="1"/>
  <c r="BE270" i="6" s="1"/>
  <c r="BE271" i="6" s="1"/>
  <c r="BE264" i="6" s="1"/>
  <c r="BE243" i="6"/>
  <c r="BE245" i="6" s="1"/>
  <c r="BE21" i="18" s="1"/>
  <c r="BE147" i="6"/>
  <c r="BE235" i="6"/>
  <c r="BE237" i="6" s="1"/>
  <c r="BE20" i="16" s="1"/>
  <c r="BE72" i="6"/>
  <c r="BE176" i="6"/>
  <c r="BE178" i="6" s="1"/>
  <c r="BE183" i="6" s="1"/>
  <c r="BE184" i="6" s="1"/>
  <c r="BE188" i="6" s="1"/>
  <c r="BE170" i="6"/>
  <c r="BE171" i="6" s="1"/>
  <c r="BE120" i="6"/>
  <c r="BE122" i="6" s="1"/>
  <c r="BE127" i="6" s="1"/>
  <c r="BE128" i="6" s="1"/>
  <c r="BE132" i="6" s="1"/>
  <c r="BE114" i="6"/>
  <c r="BE115" i="6" s="1"/>
  <c r="BE92" i="6"/>
  <c r="BE52" i="6"/>
  <c r="BE2" i="6"/>
  <c r="BE2" i="4"/>
  <c r="BE32" i="6"/>
  <c r="BF3" i="40"/>
  <c r="BF3" i="37"/>
  <c r="BF3" i="34"/>
  <c r="BF3" i="31"/>
  <c r="BF3" i="28"/>
  <c r="BF3" i="22"/>
  <c r="BF3" i="21"/>
  <c r="BF3" i="19"/>
  <c r="BF3" i="20"/>
  <c r="BF3" i="18"/>
  <c r="BF3" i="17"/>
  <c r="BF3" i="14"/>
  <c r="BF3" i="16"/>
  <c r="BF3" i="15"/>
  <c r="BF3" i="11"/>
  <c r="BF3" i="13"/>
  <c r="BF3" i="12"/>
  <c r="BF3" i="10"/>
  <c r="BF3" i="9"/>
  <c r="BF3" i="8"/>
  <c r="BF3" i="7"/>
  <c r="BF79" i="6"/>
  <c r="BF99" i="6"/>
  <c r="BF59" i="6"/>
  <c r="BF3" i="4"/>
  <c r="BF3" i="6"/>
  <c r="BF39" i="6"/>
  <c r="BF308" i="6"/>
  <c r="BG4" i="40"/>
  <c r="BG4" i="37"/>
  <c r="BG4" i="34"/>
  <c r="BG4" i="31"/>
  <c r="BG4" i="28"/>
  <c r="BG4" i="21"/>
  <c r="BG4" i="22"/>
  <c r="BG74" i="20"/>
  <c r="BG10" i="21"/>
  <c r="BG32" i="20"/>
  <c r="BG4" i="20"/>
  <c r="BG28" i="19"/>
  <c r="BG4" i="19"/>
  <c r="BG4" i="18"/>
  <c r="BG10" i="18"/>
  <c r="BG4" i="17"/>
  <c r="BG10" i="17"/>
  <c r="BG4" i="16"/>
  <c r="BG40" i="15"/>
  <c r="BG10" i="16"/>
  <c r="BG27" i="15"/>
  <c r="BG4" i="13"/>
  <c r="BG4" i="15"/>
  <c r="BG17" i="13"/>
  <c r="BG50" i="12"/>
  <c r="BG4" i="12"/>
  <c r="BG4" i="10"/>
  <c r="BG35" i="9"/>
  <c r="BG25" i="13"/>
  <c r="BG23" i="11"/>
  <c r="BG16" i="10"/>
  <c r="BG4" i="8"/>
  <c r="BG314" i="6"/>
  <c r="BG60" i="12"/>
  <c r="BG4" i="11"/>
  <c r="BG196" i="6"/>
  <c r="BG4" i="14"/>
  <c r="BG306" i="6"/>
  <c r="BG10" i="9"/>
  <c r="BG325" i="6"/>
  <c r="BG326" i="6" s="1"/>
  <c r="BG330" i="6"/>
  <c r="BG331" i="6" s="1"/>
  <c r="BG269" i="6"/>
  <c r="BG295" i="6"/>
  <c r="BG296" i="6" s="1"/>
  <c r="BG140" i="6"/>
  <c r="BG86" i="6"/>
  <c r="BG290" i="6"/>
  <c r="BG291" i="6" s="1"/>
  <c r="BG253" i="6"/>
  <c r="BG182" i="6"/>
  <c r="BG93" i="6"/>
  <c r="BG126" i="6"/>
  <c r="BG100" i="6"/>
  <c r="BG4" i="7"/>
  <c r="BG345" i="6"/>
  <c r="BG346" i="6" s="1"/>
  <c r="BG106" i="6"/>
  <c r="BG340" i="6"/>
  <c r="BG341" i="6" s="1"/>
  <c r="BG73" i="6"/>
  <c r="BG4" i="9"/>
  <c r="BG60" i="6"/>
  <c r="BG4" i="6"/>
  <c r="BG33" i="6"/>
  <c r="BG11" i="6"/>
  <c r="BG12" i="6" s="1"/>
  <c r="BG66" i="6"/>
  <c r="BG40" i="6"/>
  <c r="BH28" i="6"/>
  <c r="BG46" i="6"/>
  <c r="BG4" i="4"/>
  <c r="BG37" i="12"/>
  <c r="BG53" i="6"/>
  <c r="BG23" i="6"/>
  <c r="BG24" i="6" s="1"/>
  <c r="BG80" i="6"/>
  <c r="BD61" i="6"/>
  <c r="BD67" i="6"/>
  <c r="BD54" i="6"/>
  <c r="BF59" i="20"/>
  <c r="BF53" i="20"/>
  <c r="BF54" i="20" s="1"/>
  <c r="BF58" i="20" s="1"/>
  <c r="BF236" i="6"/>
  <c r="BF284" i="6"/>
  <c r="BF285" i="6" s="1"/>
  <c r="BF228" i="6"/>
  <c r="BF177" i="6"/>
  <c r="BF277" i="6"/>
  <c r="BF121" i="6"/>
  <c r="BF244" i="6"/>
  <c r="BF18" i="6"/>
  <c r="BF19" i="6" s="1"/>
  <c r="BF2" i="37" l="1"/>
  <c r="BF2" i="40"/>
  <c r="BF2" i="34"/>
  <c r="BF2" i="31"/>
  <c r="BF2" i="28"/>
  <c r="AZ2" i="47" s="1"/>
  <c r="BF2" i="21"/>
  <c r="BF2" i="22"/>
  <c r="BF2" i="20"/>
  <c r="BF60" i="20"/>
  <c r="BF2" i="18"/>
  <c r="BF2" i="19"/>
  <c r="BF2" i="17"/>
  <c r="BF2" i="16"/>
  <c r="BF2" i="15"/>
  <c r="BF2" i="14"/>
  <c r="BF2" i="12"/>
  <c r="BF2" i="10"/>
  <c r="BF2" i="11"/>
  <c r="BF2" i="9"/>
  <c r="BF2" i="7"/>
  <c r="BF227" i="6"/>
  <c r="BF229" i="6" s="1"/>
  <c r="BF21" i="17" s="1"/>
  <c r="BF2" i="8"/>
  <c r="BF313" i="6"/>
  <c r="BF315" i="6" s="1"/>
  <c r="BF307" i="6"/>
  <c r="BF235" i="6"/>
  <c r="BF237" i="6" s="1"/>
  <c r="BF20" i="16" s="1"/>
  <c r="BF243" i="6"/>
  <c r="BF245" i="6" s="1"/>
  <c r="BF21" i="18" s="1"/>
  <c r="BF72" i="6"/>
  <c r="BF203" i="6"/>
  <c r="BF176" i="6"/>
  <c r="BF178" i="6" s="1"/>
  <c r="BF183" i="6" s="1"/>
  <c r="BF184" i="6" s="1"/>
  <c r="BF188" i="6" s="1"/>
  <c r="BF170" i="6"/>
  <c r="BF171" i="6" s="1"/>
  <c r="BF120" i="6"/>
  <c r="BF122" i="6" s="1"/>
  <c r="BF127" i="6" s="1"/>
  <c r="BF128" i="6" s="1"/>
  <c r="BF132" i="6" s="1"/>
  <c r="BF114" i="6"/>
  <c r="BF115" i="6" s="1"/>
  <c r="BF92" i="6"/>
  <c r="BF2" i="13"/>
  <c r="BF147" i="6"/>
  <c r="BF276" i="6"/>
  <c r="BF278" i="6" s="1"/>
  <c r="BF270" i="6" s="1"/>
  <c r="BF271" i="6" s="1"/>
  <c r="BF264" i="6" s="1"/>
  <c r="BF2" i="6"/>
  <c r="BF32" i="6"/>
  <c r="BF2" i="4"/>
  <c r="BF52" i="6"/>
  <c r="BG3" i="40"/>
  <c r="BG3" i="37"/>
  <c r="BG3" i="34"/>
  <c r="BG3" i="31"/>
  <c r="BG3" i="22"/>
  <c r="BG3" i="21"/>
  <c r="BG3" i="19"/>
  <c r="BG3" i="20"/>
  <c r="BG3" i="28"/>
  <c r="BG3" i="17"/>
  <c r="BG3" i="16"/>
  <c r="BG3" i="18"/>
  <c r="BG3" i="14"/>
  <c r="BG3" i="13"/>
  <c r="BG3" i="11"/>
  <c r="BG3" i="12"/>
  <c r="BG3" i="10"/>
  <c r="BG3" i="15"/>
  <c r="BG3" i="9"/>
  <c r="BG3" i="7"/>
  <c r="BG3" i="8"/>
  <c r="BG79" i="6"/>
  <c r="BG99" i="6"/>
  <c r="BG3" i="4"/>
  <c r="BG59" i="6"/>
  <c r="BG39" i="6"/>
  <c r="BG3" i="6"/>
  <c r="BG53" i="20"/>
  <c r="BG54" i="20" s="1"/>
  <c r="BG58" i="20" s="1"/>
  <c r="BG59" i="20"/>
  <c r="BG236" i="6"/>
  <c r="BG284" i="6"/>
  <c r="BG285" i="6" s="1"/>
  <c r="BG277" i="6"/>
  <c r="BG228" i="6"/>
  <c r="BG121" i="6"/>
  <c r="BG244" i="6"/>
  <c r="BG177" i="6"/>
  <c r="BG18" i="6"/>
  <c r="BG19" i="6" s="1"/>
  <c r="BG94" i="6"/>
  <c r="BG101" i="6"/>
  <c r="BG107" i="6"/>
  <c r="BG308" i="6"/>
  <c r="BE197" i="6"/>
  <c r="BE218" i="6"/>
  <c r="BE67" i="6"/>
  <c r="BE54" i="6"/>
  <c r="BE61" i="6"/>
  <c r="BF61" i="20"/>
  <c r="BF67" i="20" s="1"/>
  <c r="BG34" i="6"/>
  <c r="BG41" i="6"/>
  <c r="BG47" i="6"/>
  <c r="BG81" i="6"/>
  <c r="BG87" i="6"/>
  <c r="BG74" i="6"/>
  <c r="AY45" i="47"/>
  <c r="AY21" i="47"/>
  <c r="BE26" i="31"/>
  <c r="AY41" i="47" s="1"/>
  <c r="BF11" i="21"/>
  <c r="BF13" i="21" s="1"/>
  <c r="BE29" i="9"/>
  <c r="BH4" i="40"/>
  <c r="BH4" i="37"/>
  <c r="BH4" i="34"/>
  <c r="BH4" i="31"/>
  <c r="BH4" i="28"/>
  <c r="BH4" i="21"/>
  <c r="BH4" i="22"/>
  <c r="BH10" i="21"/>
  <c r="BH74" i="20"/>
  <c r="BH32" i="20"/>
  <c r="BH4" i="20"/>
  <c r="BH28" i="19"/>
  <c r="BH4" i="18"/>
  <c r="BH4" i="19"/>
  <c r="BH10" i="17"/>
  <c r="BH40" i="15"/>
  <c r="BH10" i="16"/>
  <c r="BH10" i="18"/>
  <c r="BH4" i="17"/>
  <c r="BH4" i="15"/>
  <c r="BH17" i="13"/>
  <c r="BH27" i="15"/>
  <c r="BH4" i="14"/>
  <c r="BH25" i="13"/>
  <c r="BH4" i="12"/>
  <c r="BH4" i="10"/>
  <c r="BH35" i="9"/>
  <c r="BH23" i="11"/>
  <c r="BH37" i="12"/>
  <c r="BH4" i="11"/>
  <c r="BH16" i="10"/>
  <c r="BH4" i="16"/>
  <c r="BH60" i="12"/>
  <c r="BH50" i="12"/>
  <c r="BH306" i="6"/>
  <c r="BH4" i="13"/>
  <c r="BH10" i="9"/>
  <c r="BH325" i="6"/>
  <c r="BH326" i="6" s="1"/>
  <c r="BH340" i="6"/>
  <c r="BH341" i="6" s="1"/>
  <c r="BH290" i="6"/>
  <c r="BH291" i="6" s="1"/>
  <c r="BH4" i="9"/>
  <c r="BH4" i="7"/>
  <c r="BH345" i="6"/>
  <c r="BH346" i="6" s="1"/>
  <c r="BH295" i="6"/>
  <c r="BH296" i="6" s="1"/>
  <c r="BH253" i="6"/>
  <c r="BH196" i="6"/>
  <c r="BH182" i="6"/>
  <c r="BH93" i="6"/>
  <c r="BH126" i="6"/>
  <c r="BH100" i="6"/>
  <c r="BH4" i="8"/>
  <c r="BH330" i="6"/>
  <c r="BH331" i="6" s="1"/>
  <c r="BH106" i="6"/>
  <c r="BH60" i="6"/>
  <c r="BH66" i="6"/>
  <c r="BH80" i="6"/>
  <c r="BH4" i="6"/>
  <c r="BH140" i="6"/>
  <c r="BH73" i="6"/>
  <c r="BH33" i="6"/>
  <c r="BH11" i="6"/>
  <c r="BH12" i="6" s="1"/>
  <c r="BH40" i="6"/>
  <c r="BI28" i="6"/>
  <c r="BH314" i="6"/>
  <c r="BH46" i="6"/>
  <c r="BH4" i="4"/>
  <c r="BH269" i="6"/>
  <c r="BH53" i="6"/>
  <c r="BH23" i="6"/>
  <c r="BH24" i="6" s="1"/>
  <c r="BH86" i="6"/>
  <c r="BE141" i="6"/>
  <c r="BE162" i="6"/>
  <c r="BI4" i="40" l="1"/>
  <c r="BI4" i="37"/>
  <c r="BI4" i="34"/>
  <c r="BI4" i="31"/>
  <c r="BI4" i="28"/>
  <c r="BI4" i="21"/>
  <c r="BI4" i="22"/>
  <c r="BI10" i="21"/>
  <c r="BI74" i="20"/>
  <c r="BI32" i="20"/>
  <c r="BI4" i="20"/>
  <c r="BI28" i="19"/>
  <c r="BI4" i="18"/>
  <c r="BI10" i="18"/>
  <c r="BI4" i="19"/>
  <c r="BI10" i="17"/>
  <c r="BI4" i="17"/>
  <c r="BI40" i="15"/>
  <c r="BI10" i="16"/>
  <c r="BI27" i="15"/>
  <c r="BI4" i="16"/>
  <c r="BI17" i="13"/>
  <c r="BI4" i="14"/>
  <c r="BI25" i="13"/>
  <c r="BI4" i="13"/>
  <c r="BI4" i="15"/>
  <c r="BI4" i="12"/>
  <c r="BI4" i="10"/>
  <c r="BI23" i="11"/>
  <c r="BI37" i="12"/>
  <c r="BI4" i="11"/>
  <c r="BI16" i="10"/>
  <c r="BI50" i="12"/>
  <c r="BI60" i="12"/>
  <c r="BI306" i="6"/>
  <c r="BI35" i="9"/>
  <c r="BI10" i="9"/>
  <c r="BI325" i="6"/>
  <c r="BI326" i="6" s="1"/>
  <c r="BI340" i="6"/>
  <c r="BI341" i="6" s="1"/>
  <c r="BI290" i="6"/>
  <c r="BI291" i="6" s="1"/>
  <c r="BI253" i="6"/>
  <c r="BI4" i="8"/>
  <c r="BI314" i="6"/>
  <c r="BI126" i="6"/>
  <c r="BI100" i="6"/>
  <c r="BI330" i="6"/>
  <c r="BI331" i="6" s="1"/>
  <c r="BI106" i="6"/>
  <c r="BI4" i="7"/>
  <c r="BI345" i="6"/>
  <c r="BI346" i="6" s="1"/>
  <c r="BI60" i="6"/>
  <c r="BI66" i="6"/>
  <c r="BI269" i="6"/>
  <c r="BI73" i="6"/>
  <c r="BI4" i="9"/>
  <c r="BI140" i="6"/>
  <c r="BI86" i="6"/>
  <c r="BI33" i="6"/>
  <c r="BI11" i="6"/>
  <c r="BI12" i="6" s="1"/>
  <c r="BI40" i="6"/>
  <c r="BJ28" i="6"/>
  <c r="BI46" i="6"/>
  <c r="BI4" i="4"/>
  <c r="BI53" i="6"/>
  <c r="BI23" i="6"/>
  <c r="BI24" i="6" s="1"/>
  <c r="BI93" i="6"/>
  <c r="BI295" i="6"/>
  <c r="BI296" i="6" s="1"/>
  <c r="BI80" i="6"/>
  <c r="BI4" i="6"/>
  <c r="BI182" i="6"/>
  <c r="BI196" i="6"/>
  <c r="BH74" i="6"/>
  <c r="BH87" i="6"/>
  <c r="BH81" i="6"/>
  <c r="BH34" i="6"/>
  <c r="BH41" i="6"/>
  <c r="BH47" i="6"/>
  <c r="BH53" i="20"/>
  <c r="BH54" i="20" s="1"/>
  <c r="BH58" i="20" s="1"/>
  <c r="BH59" i="20"/>
  <c r="BH236" i="6"/>
  <c r="BH284" i="6"/>
  <c r="BH285" i="6" s="1"/>
  <c r="BH277" i="6"/>
  <c r="BH244" i="6"/>
  <c r="BH177" i="6"/>
  <c r="BH228" i="6"/>
  <c r="BH18" i="6"/>
  <c r="BH19" i="6" s="1"/>
  <c r="BH121" i="6"/>
  <c r="BF26" i="31"/>
  <c r="AZ41" i="47" s="1"/>
  <c r="BG11" i="21"/>
  <c r="BG13" i="21" s="1"/>
  <c r="BF29" i="9"/>
  <c r="BH101" i="6"/>
  <c r="BH107" i="6"/>
  <c r="BH94" i="6"/>
  <c r="BF141" i="6"/>
  <c r="BF162" i="6"/>
  <c r="BH3" i="40"/>
  <c r="BH3" i="37"/>
  <c r="BH3" i="34"/>
  <c r="BH3" i="31"/>
  <c r="BH3" i="28"/>
  <c r="BH3" i="22"/>
  <c r="BH3" i="21"/>
  <c r="BH3" i="19"/>
  <c r="BH3" i="20"/>
  <c r="BH3" i="17"/>
  <c r="BH3" i="18"/>
  <c r="BH3" i="16"/>
  <c r="BH3" i="14"/>
  <c r="BH3" i="13"/>
  <c r="BH3" i="15"/>
  <c r="BH3" i="11"/>
  <c r="BH3" i="12"/>
  <c r="BH3" i="9"/>
  <c r="BH3" i="7"/>
  <c r="BH3" i="10"/>
  <c r="BH3" i="8"/>
  <c r="BH99" i="6"/>
  <c r="BH79" i="6"/>
  <c r="BH59" i="6"/>
  <c r="BH39" i="6"/>
  <c r="BH3" i="6"/>
  <c r="BH3" i="4"/>
  <c r="BG2" i="40"/>
  <c r="BG2" i="37"/>
  <c r="BG2" i="34"/>
  <c r="BG2" i="31"/>
  <c r="BG2" i="28"/>
  <c r="BA2" i="47" s="1"/>
  <c r="BG2" i="21"/>
  <c r="BG2" i="22"/>
  <c r="BG60" i="20"/>
  <c r="BG2" i="20"/>
  <c r="BG2" i="19"/>
  <c r="BG2" i="18"/>
  <c r="BG2" i="17"/>
  <c r="BG2" i="16"/>
  <c r="BG2" i="13"/>
  <c r="BG2" i="15"/>
  <c r="BG2" i="12"/>
  <c r="BG2" i="10"/>
  <c r="BG2" i="8"/>
  <c r="BG2" i="14"/>
  <c r="BG313" i="6"/>
  <c r="BG315" i="6" s="1"/>
  <c r="BG307" i="6"/>
  <c r="BH308" i="6" s="1"/>
  <c r="BG235" i="6"/>
  <c r="BG237" i="6" s="1"/>
  <c r="BG20" i="16" s="1"/>
  <c r="BG2" i="7"/>
  <c r="BG203" i="6"/>
  <c r="BG176" i="6"/>
  <c r="BG178" i="6" s="1"/>
  <c r="BG183" i="6" s="1"/>
  <c r="BG184" i="6" s="1"/>
  <c r="BG188" i="6" s="1"/>
  <c r="BG170" i="6"/>
  <c r="BG171" i="6" s="1"/>
  <c r="BG120" i="6"/>
  <c r="BG122" i="6" s="1"/>
  <c r="BG127" i="6" s="1"/>
  <c r="BG128" i="6" s="1"/>
  <c r="BG132" i="6" s="1"/>
  <c r="BG114" i="6"/>
  <c r="BG115" i="6" s="1"/>
  <c r="BG92" i="6"/>
  <c r="BG276" i="6"/>
  <c r="BG278" i="6" s="1"/>
  <c r="BG270" i="6" s="1"/>
  <c r="BG271" i="6" s="1"/>
  <c r="BG264" i="6" s="1"/>
  <c r="BG227" i="6"/>
  <c r="BG229" i="6" s="1"/>
  <c r="BG21" i="17" s="1"/>
  <c r="BG147" i="6"/>
  <c r="BG2" i="6"/>
  <c r="BG32" i="6"/>
  <c r="BG243" i="6"/>
  <c r="BG245" i="6" s="1"/>
  <c r="BG21" i="18" s="1"/>
  <c r="BG2" i="4"/>
  <c r="BG52" i="6"/>
  <c r="BG2" i="9"/>
  <c r="BG72" i="6"/>
  <c r="BG2" i="11"/>
  <c r="BF67" i="6"/>
  <c r="BF61" i="6"/>
  <c r="BF54" i="6"/>
  <c r="BG61" i="20"/>
  <c r="BG67" i="20" s="1"/>
  <c r="BF197" i="6"/>
  <c r="BF218" i="6"/>
  <c r="AZ21" i="47"/>
  <c r="AZ45" i="47"/>
  <c r="BA45" i="47" l="1"/>
  <c r="BA21" i="47"/>
  <c r="BI41" i="6"/>
  <c r="BI47" i="6"/>
  <c r="BI34" i="6"/>
  <c r="BI53" i="20"/>
  <c r="BI54" i="20" s="1"/>
  <c r="BI58" i="20" s="1"/>
  <c r="BI59" i="20"/>
  <c r="BI284" i="6"/>
  <c r="BI285" i="6" s="1"/>
  <c r="BI277" i="6"/>
  <c r="BI244" i="6"/>
  <c r="BI236" i="6"/>
  <c r="BI228" i="6"/>
  <c r="BI121" i="6"/>
  <c r="BI18" i="6"/>
  <c r="BI19" i="6" s="1"/>
  <c r="BI177" i="6"/>
  <c r="BG162" i="6"/>
  <c r="BG141" i="6"/>
  <c r="BG61" i="6"/>
  <c r="BG67" i="6"/>
  <c r="BG54" i="6"/>
  <c r="BH2" i="40"/>
  <c r="BH2" i="37"/>
  <c r="BH2" i="34"/>
  <c r="BH2" i="31"/>
  <c r="BH2" i="28"/>
  <c r="BB2" i="47" s="1"/>
  <c r="BH2" i="21"/>
  <c r="BH2" i="22"/>
  <c r="BH60" i="20"/>
  <c r="BH61" i="20" s="1"/>
  <c r="BH67" i="20" s="1"/>
  <c r="BH2" i="20"/>
  <c r="BH2" i="18"/>
  <c r="BH2" i="19"/>
  <c r="BH2" i="17"/>
  <c r="BH2" i="15"/>
  <c r="BH2" i="14"/>
  <c r="BH2" i="12"/>
  <c r="BH2" i="10"/>
  <c r="BH2" i="13"/>
  <c r="BH2" i="11"/>
  <c r="BH313" i="6"/>
  <c r="BH315" i="6" s="1"/>
  <c r="BH307" i="6"/>
  <c r="BI308" i="6" s="1"/>
  <c r="BH235" i="6"/>
  <c r="BH237" i="6" s="1"/>
  <c r="BH20" i="16" s="1"/>
  <c r="BH276" i="6"/>
  <c r="BH278" i="6" s="1"/>
  <c r="BH270" i="6" s="1"/>
  <c r="BH271" i="6" s="1"/>
  <c r="BH264" i="6" s="1"/>
  <c r="BH2" i="16"/>
  <c r="BH2" i="9"/>
  <c r="BH2" i="7"/>
  <c r="BH227" i="6"/>
  <c r="BH229" i="6" s="1"/>
  <c r="BH21" i="17" s="1"/>
  <c r="BH203" i="6"/>
  <c r="BH2" i="8"/>
  <c r="BH170" i="6"/>
  <c r="BH171" i="6" s="1"/>
  <c r="BH120" i="6"/>
  <c r="BH122" i="6" s="1"/>
  <c r="BH127" i="6" s="1"/>
  <c r="BH128" i="6" s="1"/>
  <c r="BH132" i="6" s="1"/>
  <c r="BH114" i="6"/>
  <c r="BH115" i="6" s="1"/>
  <c r="BH92" i="6"/>
  <c r="BH243" i="6"/>
  <c r="BH245" i="6" s="1"/>
  <c r="BH21" i="18" s="1"/>
  <c r="BH72" i="6"/>
  <c r="BH2" i="6"/>
  <c r="BH32" i="6"/>
  <c r="BH2" i="4"/>
  <c r="BH176" i="6"/>
  <c r="BH178" i="6" s="1"/>
  <c r="BH183" i="6" s="1"/>
  <c r="BH184" i="6" s="1"/>
  <c r="BH188" i="6" s="1"/>
  <c r="BH52" i="6"/>
  <c r="BH147" i="6"/>
  <c r="BI107" i="6"/>
  <c r="BI94" i="6"/>
  <c r="BI101" i="6"/>
  <c r="BI3" i="40"/>
  <c r="BI3" i="37"/>
  <c r="BI3" i="34"/>
  <c r="BI3" i="31"/>
  <c r="BI3" i="28"/>
  <c r="BI3" i="21"/>
  <c r="BI3" i="22"/>
  <c r="BI3" i="19"/>
  <c r="BI3" i="20"/>
  <c r="BI3" i="18"/>
  <c r="BI3" i="17"/>
  <c r="BI3" i="16"/>
  <c r="BI3" i="13"/>
  <c r="BI3" i="15"/>
  <c r="BI3" i="12"/>
  <c r="BI3" i="10"/>
  <c r="BI3" i="14"/>
  <c r="BI3" i="11"/>
  <c r="BI3" i="9"/>
  <c r="BI3" i="7"/>
  <c r="BI3" i="8"/>
  <c r="BI99" i="6"/>
  <c r="BI59" i="6"/>
  <c r="BI79" i="6"/>
  <c r="BI39" i="6"/>
  <c r="BI3" i="6"/>
  <c r="BI3" i="4"/>
  <c r="BG218" i="6"/>
  <c r="BG197" i="6"/>
  <c r="BI74" i="6"/>
  <c r="BI81" i="6"/>
  <c r="BI87" i="6"/>
  <c r="BG26" i="31"/>
  <c r="BA41" i="47" s="1"/>
  <c r="BH11" i="21"/>
  <c r="BH13" i="21" s="1"/>
  <c r="BG29" i="9"/>
  <c r="BJ4" i="40"/>
  <c r="BJ4" i="37"/>
  <c r="BJ4" i="34"/>
  <c r="BJ4" i="31"/>
  <c r="BJ4" i="28"/>
  <c r="BJ4" i="22"/>
  <c r="BJ10" i="21"/>
  <c r="BJ74" i="20"/>
  <c r="BJ4" i="21"/>
  <c r="BJ32" i="20"/>
  <c r="BJ28" i="19"/>
  <c r="BJ4" i="19"/>
  <c r="BJ10" i="18"/>
  <c r="BJ4" i="20"/>
  <c r="BJ10" i="17"/>
  <c r="BJ4" i="18"/>
  <c r="BJ10" i="16"/>
  <c r="BJ4" i="17"/>
  <c r="BJ27" i="15"/>
  <c r="BJ40" i="15"/>
  <c r="BJ17" i="13"/>
  <c r="BJ4" i="14"/>
  <c r="BJ25" i="13"/>
  <c r="BJ4" i="16"/>
  <c r="BJ4" i="15"/>
  <c r="BJ35" i="9"/>
  <c r="BJ23" i="11"/>
  <c r="BJ37" i="12"/>
  <c r="BJ4" i="11"/>
  <c r="BJ16" i="10"/>
  <c r="BJ60" i="12"/>
  <c r="BJ4" i="13"/>
  <c r="BJ50" i="12"/>
  <c r="BJ10" i="9"/>
  <c r="BJ325" i="6"/>
  <c r="BJ326" i="6" s="1"/>
  <c r="BJ4" i="12"/>
  <c r="BJ340" i="6"/>
  <c r="BJ341" i="6" s="1"/>
  <c r="BJ290" i="6"/>
  <c r="BJ291" i="6" s="1"/>
  <c r="BJ253" i="6"/>
  <c r="BJ330" i="6"/>
  <c r="BJ331" i="6" s="1"/>
  <c r="BJ269" i="6"/>
  <c r="BJ4" i="10"/>
  <c r="BJ4" i="9"/>
  <c r="BJ106" i="6"/>
  <c r="BJ4" i="8"/>
  <c r="BJ4" i="7"/>
  <c r="BJ345" i="6"/>
  <c r="BJ346" i="6" s="1"/>
  <c r="BJ66" i="6"/>
  <c r="BJ73" i="6"/>
  <c r="BJ314" i="6"/>
  <c r="BJ80" i="6"/>
  <c r="BJ295" i="6"/>
  <c r="BJ296" i="6" s="1"/>
  <c r="BJ196" i="6"/>
  <c r="BJ182" i="6"/>
  <c r="BJ93" i="6"/>
  <c r="BJ140" i="6"/>
  <c r="BJ40" i="6"/>
  <c r="BK28" i="6"/>
  <c r="BJ46" i="6"/>
  <c r="BJ4" i="4"/>
  <c r="BJ53" i="6"/>
  <c r="BJ23" i="6"/>
  <c r="BJ24" i="6" s="1"/>
  <c r="BJ100" i="6"/>
  <c r="BJ306" i="6"/>
  <c r="BJ4" i="6"/>
  <c r="BJ33" i="6"/>
  <c r="BJ86" i="6"/>
  <c r="BJ126" i="6"/>
  <c r="BJ60" i="6"/>
  <c r="BJ11" i="6"/>
  <c r="BJ12" i="6" s="1"/>
  <c r="BJ101" i="6" l="1"/>
  <c r="BJ107" i="6"/>
  <c r="BJ94" i="6"/>
  <c r="BJ53" i="20"/>
  <c r="BJ54" i="20" s="1"/>
  <c r="BJ58" i="20" s="1"/>
  <c r="BJ59" i="20"/>
  <c r="BJ277" i="6"/>
  <c r="BJ244" i="6"/>
  <c r="BJ228" i="6"/>
  <c r="BJ236" i="6"/>
  <c r="BJ284" i="6"/>
  <c r="BJ285" i="6" s="1"/>
  <c r="BJ177" i="6"/>
  <c r="BJ121" i="6"/>
  <c r="BJ18" i="6"/>
  <c r="BJ19" i="6" s="1"/>
  <c r="BJ3" i="37"/>
  <c r="BJ3" i="40"/>
  <c r="BJ3" i="34"/>
  <c r="BJ3" i="31"/>
  <c r="BJ3" i="28"/>
  <c r="BJ3" i="21"/>
  <c r="BJ3" i="22"/>
  <c r="BJ3" i="20"/>
  <c r="BJ3" i="18"/>
  <c r="BJ3" i="19"/>
  <c r="BJ3" i="17"/>
  <c r="BJ3" i="16"/>
  <c r="BJ3" i="15"/>
  <c r="BJ3" i="14"/>
  <c r="BJ3" i="12"/>
  <c r="BJ3" i="10"/>
  <c r="BJ3" i="11"/>
  <c r="BJ3" i="9"/>
  <c r="BJ3" i="7"/>
  <c r="BJ3" i="8"/>
  <c r="BJ99" i="6"/>
  <c r="BJ59" i="6"/>
  <c r="BJ39" i="6"/>
  <c r="BJ79" i="6"/>
  <c r="BJ3" i="6"/>
  <c r="BJ3" i="13"/>
  <c r="BJ3" i="4"/>
  <c r="BH162" i="6"/>
  <c r="BH141" i="6"/>
  <c r="BH26" i="31"/>
  <c r="BB41" i="47" s="1"/>
  <c r="BI11" i="21"/>
  <c r="BI13" i="21" s="1"/>
  <c r="BH29" i="9"/>
  <c r="BK4" i="40"/>
  <c r="BK4" i="37"/>
  <c r="BK4" i="34"/>
  <c r="BK4" i="31"/>
  <c r="BK4" i="22"/>
  <c r="BK10" i="21"/>
  <c r="BK74" i="20"/>
  <c r="BK4" i="21"/>
  <c r="BK32" i="20"/>
  <c r="BK4" i="28"/>
  <c r="BK4" i="19"/>
  <c r="BK4" i="20"/>
  <c r="BK28" i="19"/>
  <c r="BK10" i="18"/>
  <c r="BK10" i="17"/>
  <c r="BK4" i="18"/>
  <c r="BK10" i="16"/>
  <c r="BK4" i="17"/>
  <c r="BK27" i="15"/>
  <c r="BK4" i="16"/>
  <c r="BK40" i="15"/>
  <c r="BK17" i="13"/>
  <c r="BK4" i="14"/>
  <c r="BK25" i="13"/>
  <c r="BK4" i="13"/>
  <c r="BK23" i="11"/>
  <c r="BK37" i="12"/>
  <c r="BK4" i="11"/>
  <c r="BK16" i="10"/>
  <c r="BK60" i="12"/>
  <c r="BK50" i="12"/>
  <c r="BK4" i="12"/>
  <c r="BK4" i="10"/>
  <c r="BK35" i="9"/>
  <c r="BK340" i="6"/>
  <c r="BK341" i="6" s="1"/>
  <c r="BK290" i="6"/>
  <c r="BK291" i="6" s="1"/>
  <c r="BK253" i="6"/>
  <c r="BK330" i="6"/>
  <c r="BK331" i="6" s="1"/>
  <c r="BK269" i="6"/>
  <c r="BK4" i="9"/>
  <c r="BK4" i="7"/>
  <c r="BK345" i="6"/>
  <c r="BK346" i="6" s="1"/>
  <c r="BK295" i="6"/>
  <c r="BK296" i="6" s="1"/>
  <c r="BK4" i="15"/>
  <c r="BK4" i="8"/>
  <c r="BK306" i="6"/>
  <c r="BK10" i="9"/>
  <c r="BK60" i="6"/>
  <c r="BK73" i="6"/>
  <c r="BK314" i="6"/>
  <c r="BK80" i="6"/>
  <c r="BK325" i="6"/>
  <c r="BK326" i="6" s="1"/>
  <c r="BK140" i="6"/>
  <c r="BK86" i="6"/>
  <c r="BK126" i="6"/>
  <c r="BK100" i="6"/>
  <c r="BK46" i="6"/>
  <c r="BK4" i="4"/>
  <c r="BK53" i="6"/>
  <c r="BK23" i="6"/>
  <c r="BK24" i="6" s="1"/>
  <c r="BK66" i="6"/>
  <c r="BK93" i="6"/>
  <c r="BK196" i="6"/>
  <c r="BK182" i="6"/>
  <c r="BK33" i="6"/>
  <c r="BK11" i="6"/>
  <c r="BK12" i="6" s="1"/>
  <c r="BK40" i="6"/>
  <c r="BK106" i="6"/>
  <c r="BL28" i="6"/>
  <c r="BK4" i="6"/>
  <c r="BH61" i="6"/>
  <c r="BH67" i="6"/>
  <c r="BH54" i="6"/>
  <c r="BJ47" i="6"/>
  <c r="BJ34" i="6"/>
  <c r="BJ41" i="6"/>
  <c r="BB21" i="47"/>
  <c r="BB45" i="47"/>
  <c r="BH218" i="6"/>
  <c r="BH197" i="6"/>
  <c r="BI2" i="40"/>
  <c r="BI2" i="37"/>
  <c r="BI2" i="34"/>
  <c r="BI2" i="31"/>
  <c r="BI2" i="28"/>
  <c r="BC2" i="47" s="1"/>
  <c r="BI2" i="21"/>
  <c r="BI2" i="22"/>
  <c r="BI60" i="20"/>
  <c r="BI61" i="20" s="1"/>
  <c r="BI67" i="20" s="1"/>
  <c r="BI2" i="20"/>
  <c r="BI2" i="18"/>
  <c r="BI2" i="19"/>
  <c r="BI2" i="17"/>
  <c r="BI2" i="16"/>
  <c r="BI2" i="14"/>
  <c r="BI2" i="13"/>
  <c r="BI2" i="12"/>
  <c r="BI2" i="10"/>
  <c r="BI2" i="11"/>
  <c r="BI2" i="15"/>
  <c r="BI235" i="6"/>
  <c r="BI237" i="6" s="1"/>
  <c r="BI20" i="16" s="1"/>
  <c r="BI276" i="6"/>
  <c r="BI278" i="6" s="1"/>
  <c r="BI270" i="6" s="1"/>
  <c r="BI271" i="6" s="1"/>
  <c r="BI264" i="6" s="1"/>
  <c r="BI243" i="6"/>
  <c r="BI245" i="6" s="1"/>
  <c r="BI21" i="18" s="1"/>
  <c r="BI2" i="8"/>
  <c r="BI313" i="6"/>
  <c r="BI315" i="6" s="1"/>
  <c r="BI114" i="6"/>
  <c r="BI115" i="6" s="1"/>
  <c r="BI92" i="6"/>
  <c r="BI227" i="6"/>
  <c r="BI229" i="6" s="1"/>
  <c r="BI21" i="17" s="1"/>
  <c r="BI2" i="9"/>
  <c r="BI147" i="6"/>
  <c r="BI176" i="6"/>
  <c r="BI178" i="6" s="1"/>
  <c r="BI183" i="6" s="1"/>
  <c r="BI184" i="6" s="1"/>
  <c r="BI188" i="6" s="1"/>
  <c r="BI32" i="6"/>
  <c r="BI307" i="6"/>
  <c r="BI203" i="6"/>
  <c r="BI170" i="6"/>
  <c r="BI171" i="6" s="1"/>
  <c r="BI2" i="4"/>
  <c r="BI52" i="6"/>
  <c r="BI120" i="6"/>
  <c r="BI122" i="6" s="1"/>
  <c r="BI127" i="6" s="1"/>
  <c r="BI128" i="6" s="1"/>
  <c r="BI132" i="6" s="1"/>
  <c r="BI72" i="6"/>
  <c r="BI2" i="6"/>
  <c r="BI2" i="7"/>
  <c r="BJ308" i="6"/>
  <c r="BJ74" i="6"/>
  <c r="BJ81" i="6"/>
  <c r="BJ87" i="6"/>
  <c r="BK94" i="6" l="1"/>
  <c r="BK107" i="6"/>
  <c r="BK101" i="6"/>
  <c r="BK3" i="40"/>
  <c r="BK3" i="37"/>
  <c r="BK3" i="34"/>
  <c r="BK3" i="31"/>
  <c r="BK3" i="28"/>
  <c r="BK3" i="21"/>
  <c r="BK3" i="22"/>
  <c r="BK3" i="20"/>
  <c r="BK3" i="19"/>
  <c r="BK3" i="18"/>
  <c r="BK3" i="17"/>
  <c r="BK3" i="16"/>
  <c r="BK3" i="13"/>
  <c r="BK3" i="15"/>
  <c r="BK3" i="12"/>
  <c r="BK3" i="10"/>
  <c r="BK3" i="8"/>
  <c r="BK3" i="7"/>
  <c r="BK3" i="14"/>
  <c r="BK3" i="11"/>
  <c r="BK79" i="6"/>
  <c r="BK39" i="6"/>
  <c r="BK3" i="6"/>
  <c r="BK59" i="6"/>
  <c r="BK3" i="9"/>
  <c r="BK3" i="4"/>
  <c r="BK99" i="6"/>
  <c r="BC45" i="47"/>
  <c r="BC21" i="47"/>
  <c r="BK41" i="6"/>
  <c r="BK47" i="6"/>
  <c r="BK34" i="6"/>
  <c r="BI218" i="6"/>
  <c r="BI197" i="6"/>
  <c r="BK59" i="20"/>
  <c r="BK53" i="20"/>
  <c r="BK54" i="20" s="1"/>
  <c r="BK58" i="20" s="1"/>
  <c r="BK244" i="6"/>
  <c r="BK228" i="6"/>
  <c r="BK284" i="6"/>
  <c r="BK285" i="6" s="1"/>
  <c r="BK277" i="6"/>
  <c r="BK177" i="6"/>
  <c r="BK121" i="6"/>
  <c r="BK236" i="6"/>
  <c r="BK18" i="6"/>
  <c r="BK19" i="6" s="1"/>
  <c r="BI162" i="6"/>
  <c r="BI141" i="6"/>
  <c r="BI26" i="31"/>
  <c r="BC41" i="47" s="1"/>
  <c r="BJ11" i="21"/>
  <c r="BJ13" i="21" s="1"/>
  <c r="BI29" i="9"/>
  <c r="BI67" i="6"/>
  <c r="BI54" i="6"/>
  <c r="BI61" i="6"/>
  <c r="BJ2" i="40"/>
  <c r="BJ2" i="37"/>
  <c r="BJ2" i="34"/>
  <c r="BJ2" i="31"/>
  <c r="BJ2" i="22"/>
  <c r="BJ60" i="20"/>
  <c r="BJ2" i="28"/>
  <c r="BD2" i="47" s="1"/>
  <c r="BJ2" i="19"/>
  <c r="BJ2" i="21"/>
  <c r="BJ2" i="20"/>
  <c r="BJ2" i="18"/>
  <c r="BJ2" i="17"/>
  <c r="BJ2" i="14"/>
  <c r="BJ2" i="16"/>
  <c r="BJ2" i="15"/>
  <c r="BJ2" i="11"/>
  <c r="BJ2" i="13"/>
  <c r="BJ276" i="6"/>
  <c r="BJ278" i="6" s="1"/>
  <c r="BJ270" i="6" s="1"/>
  <c r="BJ271" i="6" s="1"/>
  <c r="BJ264" i="6" s="1"/>
  <c r="BJ2" i="10"/>
  <c r="BJ243" i="6"/>
  <c r="BJ245" i="6" s="1"/>
  <c r="BJ21" i="18" s="1"/>
  <c r="BJ2" i="9"/>
  <c r="BJ313" i="6"/>
  <c r="BJ315" i="6" s="1"/>
  <c r="BJ307" i="6"/>
  <c r="BK308" i="6" s="1"/>
  <c r="BJ235" i="6"/>
  <c r="BJ237" i="6" s="1"/>
  <c r="BJ20" i="16" s="1"/>
  <c r="BJ227" i="6"/>
  <c r="BJ229" i="6" s="1"/>
  <c r="BJ21" i="17" s="1"/>
  <c r="BJ2" i="12"/>
  <c r="BJ147" i="6"/>
  <c r="BJ72" i="6"/>
  <c r="BJ2" i="7"/>
  <c r="BJ203" i="6"/>
  <c r="BJ170" i="6"/>
  <c r="BJ171" i="6" s="1"/>
  <c r="BJ120" i="6"/>
  <c r="BJ122" i="6" s="1"/>
  <c r="BJ127" i="6" s="1"/>
  <c r="BJ128" i="6" s="1"/>
  <c r="BJ132" i="6" s="1"/>
  <c r="BJ32" i="6"/>
  <c r="BJ2" i="4"/>
  <c r="BJ176" i="6"/>
  <c r="BJ178" i="6" s="1"/>
  <c r="BJ183" i="6" s="1"/>
  <c r="BJ184" i="6" s="1"/>
  <c r="BJ188" i="6" s="1"/>
  <c r="BJ52" i="6"/>
  <c r="BJ2" i="8"/>
  <c r="BJ114" i="6"/>
  <c r="BJ115" i="6" s="1"/>
  <c r="BJ2" i="6"/>
  <c r="BJ92" i="6"/>
  <c r="BL4" i="40"/>
  <c r="BL4" i="37"/>
  <c r="BL4" i="34"/>
  <c r="BL4" i="31"/>
  <c r="BL4" i="28"/>
  <c r="BL4" i="22"/>
  <c r="BL10" i="21"/>
  <c r="BL74" i="20"/>
  <c r="BL4" i="21"/>
  <c r="BL32" i="20"/>
  <c r="BL4" i="19"/>
  <c r="BL28" i="19"/>
  <c r="BL10" i="18"/>
  <c r="BL4" i="20"/>
  <c r="BL4" i="17"/>
  <c r="BL4" i="18"/>
  <c r="BL27" i="15"/>
  <c r="BL4" i="16"/>
  <c r="BL10" i="17"/>
  <c r="BL10" i="16"/>
  <c r="BL40" i="15"/>
  <c r="BL4" i="14"/>
  <c r="BL25" i="13"/>
  <c r="BL4" i="13"/>
  <c r="BL4" i="15"/>
  <c r="BL17" i="13"/>
  <c r="BL37" i="12"/>
  <c r="BL4" i="11"/>
  <c r="BL16" i="10"/>
  <c r="BL60" i="12"/>
  <c r="BL50" i="12"/>
  <c r="BL35" i="9"/>
  <c r="BL4" i="12"/>
  <c r="BL253" i="6"/>
  <c r="BL330" i="6"/>
  <c r="BL331" i="6" s="1"/>
  <c r="BL269" i="6"/>
  <c r="BL4" i="9"/>
  <c r="BL4" i="7"/>
  <c r="BL345" i="6"/>
  <c r="BL346" i="6" s="1"/>
  <c r="BL295" i="6"/>
  <c r="BL296" i="6" s="1"/>
  <c r="BL4" i="10"/>
  <c r="BL4" i="8"/>
  <c r="BL314" i="6"/>
  <c r="BL10" i="9"/>
  <c r="BL325" i="6"/>
  <c r="BL326" i="6" s="1"/>
  <c r="BL290" i="6"/>
  <c r="BL291" i="6" s="1"/>
  <c r="BL66" i="6"/>
  <c r="BL73" i="6"/>
  <c r="BL80" i="6"/>
  <c r="BL340" i="6"/>
  <c r="BL341" i="6" s="1"/>
  <c r="BL140" i="6"/>
  <c r="BL86" i="6"/>
  <c r="BL196" i="6"/>
  <c r="BL182" i="6"/>
  <c r="BL93" i="6"/>
  <c r="BL306" i="6"/>
  <c r="BL106" i="6"/>
  <c r="BL53" i="6"/>
  <c r="BL23" i="6"/>
  <c r="BL24" i="6" s="1"/>
  <c r="BL100" i="6"/>
  <c r="BL23" i="11"/>
  <c r="BL4" i="6"/>
  <c r="BL126" i="6"/>
  <c r="BL60" i="6"/>
  <c r="BL40" i="6"/>
  <c r="BM28" i="6"/>
  <c r="BL4" i="4"/>
  <c r="BL11" i="6"/>
  <c r="BL12" i="6" s="1"/>
  <c r="BL46" i="6"/>
  <c r="BL33" i="6"/>
  <c r="BK74" i="6"/>
  <c r="BK81" i="6"/>
  <c r="BK87" i="6"/>
  <c r="BJ61" i="20"/>
  <c r="BJ67" i="20" s="1"/>
  <c r="BL74" i="6" l="1"/>
  <c r="BL81" i="6"/>
  <c r="BL87" i="6"/>
  <c r="BL59" i="20"/>
  <c r="BL53" i="20"/>
  <c r="BL54" i="20" s="1"/>
  <c r="BL58" i="20" s="1"/>
  <c r="BL228" i="6"/>
  <c r="BL277" i="6"/>
  <c r="BL244" i="6"/>
  <c r="BL177" i="6"/>
  <c r="BL284" i="6"/>
  <c r="BL285" i="6" s="1"/>
  <c r="BL121" i="6"/>
  <c r="BL236" i="6"/>
  <c r="BL18" i="6"/>
  <c r="BL19" i="6" s="1"/>
  <c r="BL3" i="40"/>
  <c r="BL3" i="37"/>
  <c r="BL3" i="34"/>
  <c r="BL3" i="31"/>
  <c r="BL3" i="28"/>
  <c r="BL3" i="21"/>
  <c r="BL3" i="22"/>
  <c r="BL3" i="20"/>
  <c r="BL3" i="18"/>
  <c r="BL3" i="19"/>
  <c r="BL3" i="17"/>
  <c r="BL3" i="15"/>
  <c r="BL3" i="14"/>
  <c r="BL3" i="16"/>
  <c r="BL3" i="12"/>
  <c r="BL3" i="10"/>
  <c r="BL3" i="13"/>
  <c r="BL3" i="11"/>
  <c r="BL3" i="9"/>
  <c r="BL3" i="7"/>
  <c r="BL3" i="8"/>
  <c r="BL59" i="6"/>
  <c r="BL79" i="6"/>
  <c r="BL99" i="6"/>
  <c r="BL3" i="6"/>
  <c r="BL3" i="4"/>
  <c r="BL39" i="6"/>
  <c r="BM4" i="40"/>
  <c r="BM4" i="37"/>
  <c r="BM4" i="34"/>
  <c r="BM4" i="31"/>
  <c r="BM4" i="28"/>
  <c r="BM10" i="21"/>
  <c r="BM74" i="20"/>
  <c r="BM4" i="21"/>
  <c r="BM32" i="20"/>
  <c r="BM4" i="19"/>
  <c r="BM4" i="22"/>
  <c r="BM4" i="20"/>
  <c r="BM28" i="19"/>
  <c r="BM10" i="18"/>
  <c r="BM4" i="18"/>
  <c r="BM4" i="17"/>
  <c r="BM10" i="17"/>
  <c r="BM27" i="15"/>
  <c r="BM4" i="16"/>
  <c r="BM40" i="15"/>
  <c r="BM10" i="16"/>
  <c r="BM4" i="13"/>
  <c r="BM4" i="15"/>
  <c r="BM17" i="13"/>
  <c r="BM60" i="12"/>
  <c r="BM50" i="12"/>
  <c r="BM25" i="13"/>
  <c r="BM4" i="12"/>
  <c r="BM4" i="10"/>
  <c r="BM4" i="14"/>
  <c r="BM23" i="11"/>
  <c r="BM4" i="11"/>
  <c r="BM330" i="6"/>
  <c r="BM331" i="6" s="1"/>
  <c r="BM269" i="6"/>
  <c r="BM4" i="9"/>
  <c r="BM4" i="7"/>
  <c r="BM345" i="6"/>
  <c r="BM346" i="6" s="1"/>
  <c r="BM295" i="6"/>
  <c r="BM296" i="6" s="1"/>
  <c r="BM4" i="8"/>
  <c r="BM314" i="6"/>
  <c r="BM196" i="6"/>
  <c r="BM37" i="12"/>
  <c r="BM340" i="6"/>
  <c r="BM341" i="6" s="1"/>
  <c r="BM290" i="6"/>
  <c r="BM291" i="6" s="1"/>
  <c r="BM35" i="9"/>
  <c r="BM73" i="6"/>
  <c r="BM80" i="6"/>
  <c r="BM140" i="6"/>
  <c r="BM86" i="6"/>
  <c r="BM325" i="6"/>
  <c r="BM326" i="6" s="1"/>
  <c r="BM182" i="6"/>
  <c r="BM93" i="6"/>
  <c r="BM126" i="6"/>
  <c r="BM100" i="6"/>
  <c r="BM16" i="10"/>
  <c r="BM60" i="6"/>
  <c r="BM66" i="6"/>
  <c r="BM253" i="6"/>
  <c r="BM4" i="6"/>
  <c r="BM106" i="6"/>
  <c r="BM33" i="6"/>
  <c r="BM11" i="6"/>
  <c r="BM12" i="6" s="1"/>
  <c r="BM46" i="6"/>
  <c r="BM4" i="4"/>
  <c r="BM10" i="9"/>
  <c r="BM306" i="6"/>
  <c r="BM53" i="6"/>
  <c r="BM23" i="6"/>
  <c r="BM24" i="6" s="1"/>
  <c r="BM40" i="6"/>
  <c r="BN28" i="6"/>
  <c r="BJ26" i="31"/>
  <c r="BD41" i="47" s="1"/>
  <c r="BK11" i="21"/>
  <c r="BK13" i="21" s="1"/>
  <c r="BJ29" i="9"/>
  <c r="BL94" i="6"/>
  <c r="BL101" i="6"/>
  <c r="BL107" i="6"/>
  <c r="BJ218" i="6"/>
  <c r="BJ197" i="6"/>
  <c r="BD45" i="47"/>
  <c r="BD21" i="47"/>
  <c r="BL34" i="6"/>
  <c r="BL47" i="6"/>
  <c r="BL41" i="6"/>
  <c r="BJ141" i="6"/>
  <c r="BJ162" i="6"/>
  <c r="BJ61" i="6"/>
  <c r="BJ54" i="6"/>
  <c r="BJ67" i="6"/>
  <c r="BK2" i="40"/>
  <c r="BK2" i="37"/>
  <c r="BK2" i="34"/>
  <c r="BK2" i="31"/>
  <c r="BK2" i="22"/>
  <c r="BK60" i="20"/>
  <c r="BK61" i="20" s="1"/>
  <c r="BK67" i="20" s="1"/>
  <c r="BK2" i="28"/>
  <c r="BE2" i="47" s="1"/>
  <c r="BK2" i="21"/>
  <c r="BK2" i="19"/>
  <c r="BK2" i="20"/>
  <c r="BK2" i="18"/>
  <c r="BK2" i="16"/>
  <c r="BK2" i="17"/>
  <c r="BK2" i="14"/>
  <c r="BK2" i="13"/>
  <c r="BK2" i="11"/>
  <c r="BK2" i="12"/>
  <c r="BK2" i="10"/>
  <c r="BK276" i="6"/>
  <c r="BK278" i="6" s="1"/>
  <c r="BK270" i="6" s="1"/>
  <c r="BK271" i="6" s="1"/>
  <c r="BK264" i="6" s="1"/>
  <c r="BK243" i="6"/>
  <c r="BK245" i="6" s="1"/>
  <c r="BK21" i="18" s="1"/>
  <c r="BK2" i="15"/>
  <c r="BK2" i="9"/>
  <c r="BK2" i="7"/>
  <c r="BK227" i="6"/>
  <c r="BK229" i="6" s="1"/>
  <c r="BK21" i="17" s="1"/>
  <c r="BK203" i="6"/>
  <c r="BK2" i="8"/>
  <c r="BK235" i="6"/>
  <c r="BK237" i="6" s="1"/>
  <c r="BK20" i="16" s="1"/>
  <c r="BK147" i="6"/>
  <c r="BK72" i="6"/>
  <c r="BK307" i="6"/>
  <c r="BL308" i="6" s="1"/>
  <c r="BK176" i="6"/>
  <c r="BK178" i="6" s="1"/>
  <c r="BK183" i="6" s="1"/>
  <c r="BK184" i="6" s="1"/>
  <c r="BK188" i="6" s="1"/>
  <c r="BK114" i="6"/>
  <c r="BK115" i="6" s="1"/>
  <c r="BK92" i="6"/>
  <c r="BK2" i="4"/>
  <c r="BK170" i="6"/>
  <c r="BK171" i="6" s="1"/>
  <c r="BK52" i="6"/>
  <c r="BK120" i="6"/>
  <c r="BK122" i="6" s="1"/>
  <c r="BK127" i="6" s="1"/>
  <c r="BK128" i="6" s="1"/>
  <c r="BK132" i="6" s="1"/>
  <c r="BK32" i="6"/>
  <c r="BK313" i="6"/>
  <c r="BK315" i="6" s="1"/>
  <c r="BK2" i="6"/>
  <c r="BM81" i="6" l="1"/>
  <c r="BM87" i="6"/>
  <c r="BM74" i="6"/>
  <c r="BK197" i="6"/>
  <c r="BK218" i="6"/>
  <c r="BN4" i="40"/>
  <c r="BN4" i="37"/>
  <c r="BN4" i="34"/>
  <c r="BN4" i="31"/>
  <c r="BN4" i="28"/>
  <c r="BN74" i="20"/>
  <c r="BN4" i="21"/>
  <c r="BN10" i="21"/>
  <c r="BN4" i="22"/>
  <c r="BN32" i="20"/>
  <c r="BN4" i="20"/>
  <c r="BN28" i="19"/>
  <c r="BN4" i="18"/>
  <c r="BN4" i="19"/>
  <c r="BN4" i="17"/>
  <c r="BN10" i="18"/>
  <c r="BN4" i="16"/>
  <c r="BN40" i="15"/>
  <c r="BN10" i="17"/>
  <c r="BN4" i="15"/>
  <c r="BN27" i="15"/>
  <c r="BN4" i="14"/>
  <c r="BN25" i="13"/>
  <c r="BN60" i="12"/>
  <c r="BN50" i="12"/>
  <c r="BN10" i="16"/>
  <c r="BN4" i="12"/>
  <c r="BN4" i="10"/>
  <c r="BN35" i="9"/>
  <c r="BN37" i="12"/>
  <c r="BN4" i="11"/>
  <c r="BN16" i="10"/>
  <c r="BN4" i="9"/>
  <c r="BN4" i="7"/>
  <c r="BN345" i="6"/>
  <c r="BN346" i="6" s="1"/>
  <c r="BN295" i="6"/>
  <c r="BN296" i="6" s="1"/>
  <c r="BN4" i="13"/>
  <c r="BN4" i="8"/>
  <c r="BN314" i="6"/>
  <c r="BN196" i="6"/>
  <c r="BN306" i="6"/>
  <c r="BN23" i="11"/>
  <c r="BN10" i="9"/>
  <c r="BN17" i="13"/>
  <c r="BN253" i="6"/>
  <c r="BN330" i="6"/>
  <c r="BN331" i="6" s="1"/>
  <c r="BN80" i="6"/>
  <c r="BN140" i="6"/>
  <c r="BN86" i="6"/>
  <c r="BN340" i="6"/>
  <c r="BN341" i="6" s="1"/>
  <c r="BN325" i="6"/>
  <c r="BN326" i="6" s="1"/>
  <c r="BN182" i="6"/>
  <c r="BN93" i="6"/>
  <c r="BN269" i="6"/>
  <c r="BN126" i="6"/>
  <c r="BN100" i="6"/>
  <c r="BN106" i="6"/>
  <c r="BN66" i="6"/>
  <c r="BN73" i="6"/>
  <c r="BN4" i="6"/>
  <c r="BN33" i="6"/>
  <c r="BN11" i="6"/>
  <c r="BN12" i="6" s="1"/>
  <c r="BN40" i="6"/>
  <c r="BO28" i="6"/>
  <c r="BN53" i="6"/>
  <c r="BN23" i="6"/>
  <c r="BN24" i="6" s="1"/>
  <c r="BN4" i="4"/>
  <c r="BN46" i="6"/>
  <c r="BN60" i="6"/>
  <c r="BN290" i="6"/>
  <c r="BN291" i="6" s="1"/>
  <c r="BM59" i="20"/>
  <c r="BM53" i="20"/>
  <c r="BM54" i="20" s="1"/>
  <c r="BM58" i="20" s="1"/>
  <c r="BM228" i="6"/>
  <c r="BM236" i="6"/>
  <c r="BM244" i="6"/>
  <c r="BM177" i="6"/>
  <c r="BM284" i="6"/>
  <c r="BM285" i="6" s="1"/>
  <c r="BM121" i="6"/>
  <c r="BM18" i="6"/>
  <c r="BM19" i="6" s="1"/>
  <c r="BM277" i="6"/>
  <c r="BM34" i="6"/>
  <c r="BM41" i="6"/>
  <c r="BM47" i="6"/>
  <c r="BM94" i="6"/>
  <c r="BM101" i="6"/>
  <c r="BM107" i="6"/>
  <c r="BK141" i="6"/>
  <c r="BK162" i="6"/>
  <c r="BM3" i="40"/>
  <c r="BM3" i="37"/>
  <c r="BM3" i="34"/>
  <c r="BM3" i="31"/>
  <c r="BM3" i="28"/>
  <c r="BM3" i="21"/>
  <c r="BM3" i="22"/>
  <c r="BM3" i="20"/>
  <c r="BM3" i="18"/>
  <c r="BM3" i="19"/>
  <c r="BM3" i="17"/>
  <c r="BM3" i="16"/>
  <c r="BM3" i="14"/>
  <c r="BM3" i="13"/>
  <c r="BM3" i="12"/>
  <c r="BM3" i="10"/>
  <c r="BM3" i="11"/>
  <c r="BM3" i="15"/>
  <c r="BM3" i="8"/>
  <c r="BM79" i="6"/>
  <c r="BM3" i="9"/>
  <c r="BM59" i="6"/>
  <c r="BM3" i="4"/>
  <c r="BM39" i="6"/>
  <c r="BM3" i="7"/>
  <c r="BM99" i="6"/>
  <c r="BM3" i="6"/>
  <c r="BK67" i="6"/>
  <c r="BK54" i="6"/>
  <c r="BK61" i="6"/>
  <c r="BE45" i="47"/>
  <c r="BE21" i="47"/>
  <c r="BL2" i="37"/>
  <c r="BL2" i="40"/>
  <c r="BL2" i="34"/>
  <c r="BL2" i="31"/>
  <c r="BL2" i="28"/>
  <c r="BF2" i="47" s="1"/>
  <c r="BL2" i="22"/>
  <c r="BL60" i="20"/>
  <c r="BL61" i="20" s="1"/>
  <c r="BL67" i="20" s="1"/>
  <c r="BL2" i="21"/>
  <c r="BL2" i="19"/>
  <c r="BL2" i="20"/>
  <c r="BL2" i="18"/>
  <c r="BL2" i="17"/>
  <c r="BL2" i="16"/>
  <c r="BL2" i="14"/>
  <c r="BL2" i="13"/>
  <c r="BL2" i="15"/>
  <c r="BL2" i="11"/>
  <c r="BL243" i="6"/>
  <c r="BL245" i="6" s="1"/>
  <c r="BL21" i="18" s="1"/>
  <c r="BL2" i="10"/>
  <c r="BL2" i="9"/>
  <c r="BL2" i="7"/>
  <c r="BL227" i="6"/>
  <c r="BL229" i="6" s="1"/>
  <c r="BL21" i="17" s="1"/>
  <c r="BL203" i="6"/>
  <c r="BL2" i="8"/>
  <c r="BL2" i="12"/>
  <c r="BL147" i="6"/>
  <c r="BL72" i="6"/>
  <c r="BL307" i="6"/>
  <c r="BL276" i="6"/>
  <c r="BL278" i="6" s="1"/>
  <c r="BL270" i="6" s="1"/>
  <c r="BL271" i="6" s="1"/>
  <c r="BL264" i="6" s="1"/>
  <c r="BL176" i="6"/>
  <c r="BL178" i="6" s="1"/>
  <c r="BL183" i="6" s="1"/>
  <c r="BL184" i="6" s="1"/>
  <c r="BL188" i="6" s="1"/>
  <c r="BL170" i="6"/>
  <c r="BL171" i="6" s="1"/>
  <c r="BL120" i="6"/>
  <c r="BL122" i="6" s="1"/>
  <c r="BL127" i="6" s="1"/>
  <c r="BL128" i="6" s="1"/>
  <c r="BL132" i="6" s="1"/>
  <c r="BL313" i="6"/>
  <c r="BL315" i="6" s="1"/>
  <c r="BL52" i="6"/>
  <c r="BL235" i="6"/>
  <c r="BL237" i="6" s="1"/>
  <c r="BL20" i="16" s="1"/>
  <c r="BL114" i="6"/>
  <c r="BL115" i="6" s="1"/>
  <c r="BL2" i="6"/>
  <c r="BL92" i="6"/>
  <c r="BL32" i="6"/>
  <c r="BL2" i="4"/>
  <c r="BK26" i="31"/>
  <c r="BE41" i="47" s="1"/>
  <c r="BL11" i="21"/>
  <c r="BL13" i="21" s="1"/>
  <c r="BK29" i="9"/>
  <c r="BM308" i="6"/>
  <c r="BM61" i="20" l="1"/>
  <c r="BM67" i="20" s="1"/>
  <c r="BL141" i="6"/>
  <c r="BL162" i="6"/>
  <c r="BM2" i="40"/>
  <c r="BM2" i="37"/>
  <c r="BM2" i="34"/>
  <c r="BM2" i="31"/>
  <c r="BM2" i="28"/>
  <c r="BG2" i="47" s="1"/>
  <c r="BM60" i="20"/>
  <c r="BM2" i="21"/>
  <c r="BM2" i="22"/>
  <c r="BM2" i="19"/>
  <c r="BM2" i="20"/>
  <c r="BM2" i="18"/>
  <c r="BM2" i="17"/>
  <c r="BM2" i="16"/>
  <c r="BM2" i="13"/>
  <c r="BM2" i="15"/>
  <c r="BM2" i="14"/>
  <c r="BM2" i="12"/>
  <c r="BM2" i="10"/>
  <c r="BM2" i="9"/>
  <c r="BM2" i="7"/>
  <c r="BM227" i="6"/>
  <c r="BM229" i="6" s="1"/>
  <c r="BM21" i="17" s="1"/>
  <c r="BM203" i="6"/>
  <c r="BM2" i="8"/>
  <c r="BM313" i="6"/>
  <c r="BM315" i="6" s="1"/>
  <c r="BM307" i="6"/>
  <c r="BN308" i="6" s="1"/>
  <c r="BM2" i="11"/>
  <c r="BM276" i="6"/>
  <c r="BM278" i="6" s="1"/>
  <c r="BM270" i="6" s="1"/>
  <c r="BM271" i="6" s="1"/>
  <c r="BM264" i="6" s="1"/>
  <c r="BM147" i="6"/>
  <c r="BM72" i="6"/>
  <c r="BM176" i="6"/>
  <c r="BM178" i="6" s="1"/>
  <c r="BM183" i="6" s="1"/>
  <c r="BM184" i="6" s="1"/>
  <c r="BM188" i="6" s="1"/>
  <c r="BM170" i="6"/>
  <c r="BM171" i="6" s="1"/>
  <c r="BM120" i="6"/>
  <c r="BM122" i="6" s="1"/>
  <c r="BM127" i="6" s="1"/>
  <c r="BM128" i="6" s="1"/>
  <c r="BM132" i="6" s="1"/>
  <c r="BM114" i="6"/>
  <c r="BM115" i="6" s="1"/>
  <c r="BM92" i="6"/>
  <c r="BM235" i="6"/>
  <c r="BM237" i="6" s="1"/>
  <c r="BM20" i="16" s="1"/>
  <c r="BM52" i="6"/>
  <c r="BM243" i="6"/>
  <c r="BM245" i="6" s="1"/>
  <c r="BM21" i="18" s="1"/>
  <c r="BM2" i="6"/>
  <c r="BM2" i="4"/>
  <c r="BM32" i="6"/>
  <c r="BL61" i="6"/>
  <c r="BL67" i="6"/>
  <c r="BL54" i="6"/>
  <c r="BN53" i="20"/>
  <c r="BN54" i="20" s="1"/>
  <c r="BN58" i="20" s="1"/>
  <c r="BN59" i="20"/>
  <c r="BN236" i="6"/>
  <c r="BN284" i="6"/>
  <c r="BN285" i="6" s="1"/>
  <c r="BN244" i="6"/>
  <c r="BN177" i="6"/>
  <c r="BN121" i="6"/>
  <c r="BN277" i="6"/>
  <c r="BN18" i="6"/>
  <c r="BN19" i="6" s="1"/>
  <c r="BN228" i="6"/>
  <c r="BN87" i="6"/>
  <c r="BN74" i="6"/>
  <c r="BN81" i="6"/>
  <c r="BF45" i="47"/>
  <c r="BF21" i="47"/>
  <c r="BN3" i="40"/>
  <c r="BN3" i="34"/>
  <c r="BN3" i="37"/>
  <c r="BN3" i="31"/>
  <c r="BN3" i="22"/>
  <c r="BN3" i="28"/>
  <c r="BN3" i="21"/>
  <c r="BN3" i="19"/>
  <c r="BN3" i="20"/>
  <c r="BN3" i="18"/>
  <c r="BN3" i="17"/>
  <c r="BN3" i="14"/>
  <c r="BN3" i="16"/>
  <c r="BN3" i="15"/>
  <c r="BN3" i="11"/>
  <c r="BN3" i="13"/>
  <c r="BN3" i="10"/>
  <c r="BN3" i="9"/>
  <c r="BN79" i="6"/>
  <c r="BN99" i="6"/>
  <c r="BN3" i="7"/>
  <c r="BN59" i="6"/>
  <c r="BN3" i="8"/>
  <c r="BN3" i="4"/>
  <c r="BN3" i="6"/>
  <c r="BN39" i="6"/>
  <c r="BN3" i="12"/>
  <c r="BL26" i="31"/>
  <c r="BF41" i="47" s="1"/>
  <c r="BM11" i="21"/>
  <c r="BM13" i="21" s="1"/>
  <c r="BL29" i="9"/>
  <c r="BO4" i="40"/>
  <c r="BO4" i="37"/>
  <c r="BO4" i="34"/>
  <c r="BO4" i="31"/>
  <c r="BO4" i="28"/>
  <c r="BO4" i="21"/>
  <c r="BO4" i="22"/>
  <c r="BO10" i="21"/>
  <c r="BO32" i="20"/>
  <c r="BO4" i="20"/>
  <c r="BO28" i="19"/>
  <c r="BO74" i="20"/>
  <c r="BO4" i="19"/>
  <c r="BO4" i="18"/>
  <c r="BO4" i="17"/>
  <c r="BO10" i="17"/>
  <c r="BO4" i="16"/>
  <c r="BO40" i="15"/>
  <c r="BO10" i="18"/>
  <c r="BO10" i="16"/>
  <c r="BO27" i="15"/>
  <c r="BO4" i="13"/>
  <c r="BO4" i="15"/>
  <c r="BO17" i="13"/>
  <c r="BO50" i="12"/>
  <c r="BO25" i="13"/>
  <c r="BO4" i="12"/>
  <c r="BO4" i="10"/>
  <c r="BO35" i="9"/>
  <c r="BO23" i="11"/>
  <c r="BO4" i="8"/>
  <c r="BO314" i="6"/>
  <c r="BO4" i="14"/>
  <c r="BO196" i="6"/>
  <c r="BO306" i="6"/>
  <c r="BO37" i="12"/>
  <c r="BO10" i="9"/>
  <c r="BO325" i="6"/>
  <c r="BO326" i="6" s="1"/>
  <c r="BO16" i="10"/>
  <c r="BO330" i="6"/>
  <c r="BO331" i="6" s="1"/>
  <c r="BO269" i="6"/>
  <c r="BO4" i="7"/>
  <c r="BO345" i="6"/>
  <c r="BO346" i="6" s="1"/>
  <c r="BO140" i="6"/>
  <c r="BO86" i="6"/>
  <c r="BO340" i="6"/>
  <c r="BO341" i="6" s="1"/>
  <c r="BO182" i="6"/>
  <c r="BO93" i="6"/>
  <c r="BO60" i="12"/>
  <c r="BO126" i="6"/>
  <c r="BO100" i="6"/>
  <c r="BO106" i="6"/>
  <c r="BO290" i="6"/>
  <c r="BO291" i="6" s="1"/>
  <c r="BO253" i="6"/>
  <c r="BO73" i="6"/>
  <c r="BO66" i="6"/>
  <c r="BO4" i="6"/>
  <c r="BO33" i="6"/>
  <c r="BO11" i="6"/>
  <c r="BO12" i="6" s="1"/>
  <c r="BO40" i="6"/>
  <c r="BP28" i="6"/>
  <c r="BO60" i="6"/>
  <c r="BO46" i="6"/>
  <c r="BO4" i="4"/>
  <c r="BO53" i="6"/>
  <c r="BO4" i="11"/>
  <c r="BO23" i="6"/>
  <c r="BO24" i="6" s="1"/>
  <c r="BO80" i="6"/>
  <c r="BO295" i="6"/>
  <c r="BO296" i="6" s="1"/>
  <c r="BO4" i="9"/>
  <c r="BL197" i="6"/>
  <c r="BL218" i="6"/>
  <c r="BN34" i="6"/>
  <c r="BN41" i="6"/>
  <c r="BN47" i="6"/>
  <c r="BN94" i="6"/>
  <c r="BN101" i="6"/>
  <c r="BN107" i="6"/>
  <c r="BM26" i="31" l="1"/>
  <c r="BG41" i="47" s="1"/>
  <c r="BN11" i="21"/>
  <c r="BN13" i="21" s="1"/>
  <c r="BM29" i="9"/>
  <c r="BM67" i="6"/>
  <c r="BM61" i="6"/>
  <c r="BM54" i="6"/>
  <c r="BN2" i="37"/>
  <c r="BN2" i="40"/>
  <c r="BN2" i="34"/>
  <c r="BN2" i="31"/>
  <c r="BN2" i="28"/>
  <c r="BH2" i="47" s="1"/>
  <c r="BN2" i="21"/>
  <c r="BN2" i="22"/>
  <c r="BN60" i="20"/>
  <c r="BN2" i="20"/>
  <c r="BN2" i="19"/>
  <c r="BN2" i="18"/>
  <c r="BN2" i="17"/>
  <c r="BN2" i="16"/>
  <c r="BN2" i="15"/>
  <c r="BN2" i="14"/>
  <c r="BN2" i="13"/>
  <c r="BN2" i="12"/>
  <c r="BN2" i="10"/>
  <c r="BN2" i="11"/>
  <c r="BN2" i="9"/>
  <c r="BN2" i="7"/>
  <c r="BN227" i="6"/>
  <c r="BN229" i="6" s="1"/>
  <c r="BN21" i="17" s="1"/>
  <c r="BN2" i="8"/>
  <c r="BN313" i="6"/>
  <c r="BN315" i="6" s="1"/>
  <c r="BN307" i="6"/>
  <c r="BN235" i="6"/>
  <c r="BN237" i="6" s="1"/>
  <c r="BN20" i="16" s="1"/>
  <c r="BN243" i="6"/>
  <c r="BN245" i="6" s="1"/>
  <c r="BN21" i="18" s="1"/>
  <c r="BN72" i="6"/>
  <c r="BN176" i="6"/>
  <c r="BN178" i="6" s="1"/>
  <c r="BN183" i="6" s="1"/>
  <c r="BN184" i="6" s="1"/>
  <c r="BN188" i="6" s="1"/>
  <c r="BN276" i="6"/>
  <c r="BN278" i="6" s="1"/>
  <c r="BN270" i="6" s="1"/>
  <c r="BN271" i="6" s="1"/>
  <c r="BN264" i="6" s="1"/>
  <c r="BN170" i="6"/>
  <c r="BN171" i="6" s="1"/>
  <c r="BN120" i="6"/>
  <c r="BN122" i="6" s="1"/>
  <c r="BN127" i="6" s="1"/>
  <c r="BN128" i="6" s="1"/>
  <c r="BN132" i="6" s="1"/>
  <c r="BN114" i="6"/>
  <c r="BN115" i="6" s="1"/>
  <c r="BN92" i="6"/>
  <c r="BN203" i="6"/>
  <c r="BN2" i="6"/>
  <c r="BN32" i="6"/>
  <c r="BN147" i="6"/>
  <c r="BN2" i="4"/>
  <c r="BN52" i="6"/>
  <c r="BO81" i="6"/>
  <c r="BO87" i="6"/>
  <c r="BO74" i="6"/>
  <c r="BM197" i="6"/>
  <c r="BM218" i="6"/>
  <c r="BG45" i="47"/>
  <c r="BG21" i="47"/>
  <c r="BO34" i="6"/>
  <c r="BO41" i="6"/>
  <c r="BO47" i="6"/>
  <c r="BP4" i="40"/>
  <c r="BP4" i="37"/>
  <c r="BP4" i="34"/>
  <c r="BP4" i="31"/>
  <c r="BP4" i="28"/>
  <c r="BP4" i="21"/>
  <c r="BP4" i="22"/>
  <c r="BP10" i="21"/>
  <c r="BP74" i="20"/>
  <c r="BP4" i="20"/>
  <c r="BP28" i="19"/>
  <c r="BP4" i="18"/>
  <c r="BP32" i="20"/>
  <c r="BP4" i="19"/>
  <c r="BP10" i="17"/>
  <c r="BP10" i="18"/>
  <c r="BP4" i="17"/>
  <c r="BP40" i="15"/>
  <c r="BP10" i="16"/>
  <c r="BP4" i="15"/>
  <c r="BP27" i="15"/>
  <c r="BP17" i="13"/>
  <c r="BP4" i="14"/>
  <c r="BP25" i="13"/>
  <c r="BP4" i="12"/>
  <c r="BP4" i="10"/>
  <c r="BP35" i="9"/>
  <c r="BP23" i="11"/>
  <c r="BP4" i="13"/>
  <c r="BP37" i="12"/>
  <c r="BP4" i="11"/>
  <c r="BP16" i="10"/>
  <c r="BP60" i="12"/>
  <c r="BP306" i="6"/>
  <c r="BP10" i="9"/>
  <c r="BP325" i="6"/>
  <c r="BP326" i="6" s="1"/>
  <c r="BP340" i="6"/>
  <c r="BP341" i="6" s="1"/>
  <c r="BP290" i="6"/>
  <c r="BP291" i="6" s="1"/>
  <c r="BP4" i="16"/>
  <c r="BP4" i="9"/>
  <c r="BP4" i="7"/>
  <c r="BP345" i="6"/>
  <c r="BP346" i="6" s="1"/>
  <c r="BP295" i="6"/>
  <c r="BP296" i="6" s="1"/>
  <c r="BP4" i="8"/>
  <c r="BP182" i="6"/>
  <c r="BP93" i="6"/>
  <c r="BP50" i="12"/>
  <c r="BP126" i="6"/>
  <c r="BP100" i="6"/>
  <c r="BP314" i="6"/>
  <c r="BP269" i="6"/>
  <c r="BP106" i="6"/>
  <c r="BP196" i="6"/>
  <c r="BP60" i="6"/>
  <c r="BP66" i="6"/>
  <c r="BP80" i="6"/>
  <c r="BP4" i="6"/>
  <c r="BP33" i="6"/>
  <c r="BP11" i="6"/>
  <c r="BP12" i="6" s="1"/>
  <c r="BP330" i="6"/>
  <c r="BP331" i="6" s="1"/>
  <c r="BP253" i="6"/>
  <c r="BP40" i="6"/>
  <c r="BQ28" i="6"/>
  <c r="BP46" i="6"/>
  <c r="BP4" i="4"/>
  <c r="BP86" i="6"/>
  <c r="BP53" i="6"/>
  <c r="BP23" i="6"/>
  <c r="BP24" i="6" s="1"/>
  <c r="BP140" i="6"/>
  <c r="BP73" i="6"/>
  <c r="BN61" i="20"/>
  <c r="BN67" i="20" s="1"/>
  <c r="BM141" i="6"/>
  <c r="BM162" i="6"/>
  <c r="BO3" i="40"/>
  <c r="BO3" i="37"/>
  <c r="BO3" i="34"/>
  <c r="BO3" i="31"/>
  <c r="BO3" i="22"/>
  <c r="BO3" i="28"/>
  <c r="BO3" i="21"/>
  <c r="BO3" i="19"/>
  <c r="BO3" i="20"/>
  <c r="BO3" i="18"/>
  <c r="BO3" i="16"/>
  <c r="BO3" i="14"/>
  <c r="BO3" i="17"/>
  <c r="BO3" i="13"/>
  <c r="BO3" i="11"/>
  <c r="BO3" i="12"/>
  <c r="BO3" i="10"/>
  <c r="BO3" i="9"/>
  <c r="BO3" i="7"/>
  <c r="BO3" i="8"/>
  <c r="BO79" i="6"/>
  <c r="BO99" i="6"/>
  <c r="BO3" i="15"/>
  <c r="BO59" i="6"/>
  <c r="BO3" i="4"/>
  <c r="BO39" i="6"/>
  <c r="BO3" i="6"/>
  <c r="BO53" i="20"/>
  <c r="BO54" i="20" s="1"/>
  <c r="BO58" i="20" s="1"/>
  <c r="BO59" i="20"/>
  <c r="BO236" i="6"/>
  <c r="BO284" i="6"/>
  <c r="BO285" i="6" s="1"/>
  <c r="BO277" i="6"/>
  <c r="BO228" i="6"/>
  <c r="BO121" i="6"/>
  <c r="BO244" i="6"/>
  <c r="BO18" i="6"/>
  <c r="BO19" i="6" s="1"/>
  <c r="BO177" i="6"/>
  <c r="BO94" i="6"/>
  <c r="BO101" i="6"/>
  <c r="BO107" i="6"/>
  <c r="BO308" i="6"/>
  <c r="BN26" i="31" l="1"/>
  <c r="BH41" i="47" s="1"/>
  <c r="BO11" i="21"/>
  <c r="BO13" i="21" s="1"/>
  <c r="BN29" i="9"/>
  <c r="BN141" i="6"/>
  <c r="BN162" i="6"/>
  <c r="BN61" i="6"/>
  <c r="BN54" i="6"/>
  <c r="BN67" i="6"/>
  <c r="BQ4" i="40"/>
  <c r="BQ4" i="37"/>
  <c r="BQ4" i="34"/>
  <c r="BQ4" i="31"/>
  <c r="BQ4" i="28"/>
  <c r="BQ4" i="21"/>
  <c r="BQ4" i="22"/>
  <c r="BQ10" i="21"/>
  <c r="BQ74" i="20"/>
  <c r="BQ32" i="20"/>
  <c r="BQ4" i="20"/>
  <c r="BQ28" i="19"/>
  <c r="BQ4" i="18"/>
  <c r="BQ4" i="19"/>
  <c r="BQ10" i="18"/>
  <c r="BQ10" i="17"/>
  <c r="BQ4" i="17"/>
  <c r="BQ40" i="15"/>
  <c r="BQ10" i="16"/>
  <c r="BQ27" i="15"/>
  <c r="BQ4" i="16"/>
  <c r="BQ17" i="13"/>
  <c r="BQ4" i="14"/>
  <c r="BQ25" i="13"/>
  <c r="BQ4" i="13"/>
  <c r="BQ4" i="12"/>
  <c r="BQ4" i="10"/>
  <c r="BQ23" i="11"/>
  <c r="BQ37" i="12"/>
  <c r="BQ4" i="11"/>
  <c r="BQ16" i="10"/>
  <c r="BQ4" i="15"/>
  <c r="BQ50" i="12"/>
  <c r="BQ306" i="6"/>
  <c r="BQ10" i="9"/>
  <c r="BQ325" i="6"/>
  <c r="BQ326" i="6" s="1"/>
  <c r="BQ340" i="6"/>
  <c r="BQ341" i="6" s="1"/>
  <c r="BQ290" i="6"/>
  <c r="BQ291" i="6" s="1"/>
  <c r="BQ253" i="6"/>
  <c r="BQ60" i="12"/>
  <c r="BQ35" i="9"/>
  <c r="BQ4" i="8"/>
  <c r="BQ314" i="6"/>
  <c r="BQ126" i="6"/>
  <c r="BQ100" i="6"/>
  <c r="BQ269" i="6"/>
  <c r="BQ106" i="6"/>
  <c r="BQ196" i="6"/>
  <c r="BQ60" i="6"/>
  <c r="BQ66" i="6"/>
  <c r="BQ4" i="9"/>
  <c r="BQ295" i="6"/>
  <c r="BQ296" i="6" s="1"/>
  <c r="BQ73" i="6"/>
  <c r="BQ330" i="6"/>
  <c r="BQ331" i="6" s="1"/>
  <c r="BQ140" i="6"/>
  <c r="BQ86" i="6"/>
  <c r="BQ33" i="6"/>
  <c r="BQ11" i="6"/>
  <c r="BQ12" i="6" s="1"/>
  <c r="BQ4" i="7"/>
  <c r="BQ40" i="6"/>
  <c r="BQ93" i="6"/>
  <c r="BQ46" i="6"/>
  <c r="BQ4" i="4"/>
  <c r="BQ182" i="6"/>
  <c r="BQ53" i="6"/>
  <c r="BQ23" i="6"/>
  <c r="BQ24" i="6" s="1"/>
  <c r="BQ80" i="6"/>
  <c r="BQ345" i="6"/>
  <c r="BQ346" i="6" s="1"/>
  <c r="BQ4" i="6"/>
  <c r="BP3" i="40"/>
  <c r="BP3" i="37"/>
  <c r="BP3" i="34"/>
  <c r="BP3" i="31"/>
  <c r="BP3" i="28"/>
  <c r="BP3" i="22"/>
  <c r="BP3" i="21"/>
  <c r="BP3" i="19"/>
  <c r="BP3" i="20"/>
  <c r="BP3" i="18"/>
  <c r="BP3" i="17"/>
  <c r="BP3" i="16"/>
  <c r="BP3" i="14"/>
  <c r="BP3" i="13"/>
  <c r="BP3" i="15"/>
  <c r="BP3" i="11"/>
  <c r="BP3" i="10"/>
  <c r="BP3" i="9"/>
  <c r="BP3" i="7"/>
  <c r="BP3" i="8"/>
  <c r="BP3" i="12"/>
  <c r="BP99" i="6"/>
  <c r="BP79" i="6"/>
  <c r="BP39" i="6"/>
  <c r="BP3" i="6"/>
  <c r="BP59" i="6"/>
  <c r="BP3" i="4"/>
  <c r="BP74" i="6"/>
  <c r="BP87" i="6"/>
  <c r="BP81" i="6"/>
  <c r="BN197" i="6"/>
  <c r="BN218" i="6"/>
  <c r="BO2" i="40"/>
  <c r="BO2" i="37"/>
  <c r="BO2" i="34"/>
  <c r="BO2" i="31"/>
  <c r="BO2" i="28"/>
  <c r="BI2" i="47" s="1"/>
  <c r="BO2" i="21"/>
  <c r="BO2" i="22"/>
  <c r="BO2" i="20"/>
  <c r="BO60" i="20"/>
  <c r="BO2" i="19"/>
  <c r="BO2" i="18"/>
  <c r="BO2" i="17"/>
  <c r="BO2" i="16"/>
  <c r="BO2" i="13"/>
  <c r="BO2" i="15"/>
  <c r="BO2" i="12"/>
  <c r="BO2" i="10"/>
  <c r="BO2" i="14"/>
  <c r="BO2" i="8"/>
  <c r="BO313" i="6"/>
  <c r="BO315" i="6" s="1"/>
  <c r="BO307" i="6"/>
  <c r="BP308" i="6" s="1"/>
  <c r="BO235" i="6"/>
  <c r="BO237" i="6" s="1"/>
  <c r="BO20" i="16" s="1"/>
  <c r="BO176" i="6"/>
  <c r="BO178" i="6" s="1"/>
  <c r="BO183" i="6" s="1"/>
  <c r="BO184" i="6" s="1"/>
  <c r="BO188" i="6" s="1"/>
  <c r="BO276" i="6"/>
  <c r="BO278" i="6" s="1"/>
  <c r="BO270" i="6" s="1"/>
  <c r="BO271" i="6" s="1"/>
  <c r="BO264" i="6" s="1"/>
  <c r="BO227" i="6"/>
  <c r="BO229" i="6" s="1"/>
  <c r="BO21" i="17" s="1"/>
  <c r="BO170" i="6"/>
  <c r="BO171" i="6" s="1"/>
  <c r="BO120" i="6"/>
  <c r="BO122" i="6" s="1"/>
  <c r="BO127" i="6" s="1"/>
  <c r="BO128" i="6" s="1"/>
  <c r="BO132" i="6" s="1"/>
  <c r="BO114" i="6"/>
  <c r="BO115" i="6" s="1"/>
  <c r="BO92" i="6"/>
  <c r="BO2" i="9"/>
  <c r="BO243" i="6"/>
  <c r="BO245" i="6" s="1"/>
  <c r="BO21" i="18" s="1"/>
  <c r="BO203" i="6"/>
  <c r="BO2" i="11"/>
  <c r="BO147" i="6"/>
  <c r="BO2" i="6"/>
  <c r="BO32" i="6"/>
  <c r="BO2" i="7"/>
  <c r="BO2" i="4"/>
  <c r="BO52" i="6"/>
  <c r="BO72" i="6"/>
  <c r="BO61" i="20"/>
  <c r="BO67" i="20" s="1"/>
  <c r="BP53" i="20"/>
  <c r="BP54" i="20" s="1"/>
  <c r="BP58" i="20" s="1"/>
  <c r="BP59" i="20"/>
  <c r="BP236" i="6"/>
  <c r="BP284" i="6"/>
  <c r="BP285" i="6" s="1"/>
  <c r="BP277" i="6"/>
  <c r="BP244" i="6"/>
  <c r="BP228" i="6"/>
  <c r="BP177" i="6"/>
  <c r="BP121" i="6"/>
  <c r="BP18" i="6"/>
  <c r="BP19" i="6" s="1"/>
  <c r="BP34" i="6"/>
  <c r="BP41" i="6"/>
  <c r="BP47" i="6"/>
  <c r="BP101" i="6"/>
  <c r="BP107" i="6"/>
  <c r="BP94" i="6"/>
  <c r="BH21" i="47"/>
  <c r="BH45" i="47"/>
  <c r="BO95" i="6" l="1"/>
  <c r="BP102" i="6"/>
  <c r="BQ107" i="6"/>
  <c r="BQ94" i="6"/>
  <c r="BQ101" i="6"/>
  <c r="J17" i="39"/>
  <c r="J26" i="33"/>
  <c r="J14" i="33"/>
  <c r="L26" i="33"/>
  <c r="K26" i="33"/>
  <c r="M26" i="33"/>
  <c r="N26" i="33"/>
  <c r="O26" i="33"/>
  <c r="P26" i="33"/>
  <c r="R26" i="33"/>
  <c r="Q26" i="33"/>
  <c r="BQ42" i="6"/>
  <c r="BQ41" i="6"/>
  <c r="BQ47" i="6"/>
  <c r="BQ34" i="6"/>
  <c r="J26" i="24"/>
  <c r="D41" i="50" s="1"/>
  <c r="K26" i="24"/>
  <c r="E41" i="50" s="1"/>
  <c r="L26" i="24"/>
  <c r="F41" i="50" s="1"/>
  <c r="M26" i="24"/>
  <c r="G41" i="50" s="1"/>
  <c r="BQ102" i="6"/>
  <c r="J9" i="39"/>
  <c r="K18" i="39"/>
  <c r="J18" i="36"/>
  <c r="J13" i="39"/>
  <c r="K28" i="36"/>
  <c r="J28" i="36"/>
  <c r="M9" i="39"/>
  <c r="K14" i="39"/>
  <c r="J14" i="39"/>
  <c r="K9" i="39"/>
  <c r="L14" i="39"/>
  <c r="L18" i="39"/>
  <c r="J18" i="39"/>
  <c r="L28" i="36"/>
  <c r="L9" i="39"/>
  <c r="M18" i="39"/>
  <c r="M28" i="36"/>
  <c r="M14" i="39"/>
  <c r="N28" i="36"/>
  <c r="P28" i="36"/>
  <c r="Q28" i="36"/>
  <c r="R28" i="36"/>
  <c r="O28" i="36"/>
  <c r="S28" i="36"/>
  <c r="BN35" i="6"/>
  <c r="BO48" i="6"/>
  <c r="BN48" i="6"/>
  <c r="BP42" i="6"/>
  <c r="BP95" i="6"/>
  <c r="BO26" i="31"/>
  <c r="BI41" i="47" s="1"/>
  <c r="BP11" i="21"/>
  <c r="BP13" i="21" s="1"/>
  <c r="BO29" i="9"/>
  <c r="J9" i="26"/>
  <c r="J28" i="25"/>
  <c r="D67" i="50" s="1"/>
  <c r="K14" i="26"/>
  <c r="K18" i="26"/>
  <c r="K28" i="25"/>
  <c r="E67" i="50" s="1"/>
  <c r="M28" i="25"/>
  <c r="G67" i="50" s="1"/>
  <c r="K9" i="26"/>
  <c r="L28" i="25"/>
  <c r="F67" i="50" s="1"/>
  <c r="N28" i="25"/>
  <c r="H67" i="50" s="1"/>
  <c r="BM35" i="6"/>
  <c r="BO35" i="6"/>
  <c r="BQ3" i="40"/>
  <c r="BQ3" i="37"/>
  <c r="BQ3" i="34"/>
  <c r="BQ3" i="31"/>
  <c r="BQ3" i="28"/>
  <c r="BQ3" i="21"/>
  <c r="BQ3" i="22"/>
  <c r="BQ3" i="19"/>
  <c r="BQ3" i="20"/>
  <c r="BQ3" i="18"/>
  <c r="BQ3" i="17"/>
  <c r="BQ3" i="16"/>
  <c r="BQ3" i="13"/>
  <c r="BQ3" i="15"/>
  <c r="BQ3" i="14"/>
  <c r="BQ3" i="12"/>
  <c r="BQ3" i="10"/>
  <c r="BQ3" i="9"/>
  <c r="BQ3" i="7"/>
  <c r="BQ3" i="8"/>
  <c r="BQ3" i="11"/>
  <c r="BQ99" i="6"/>
  <c r="BQ59" i="6"/>
  <c r="BQ79" i="6"/>
  <c r="BQ39" i="6"/>
  <c r="BQ3" i="6"/>
  <c r="BQ3" i="4"/>
  <c r="H24" i="6"/>
  <c r="BQ53" i="20"/>
  <c r="BQ54" i="20" s="1"/>
  <c r="BQ58" i="20" s="1"/>
  <c r="BQ59" i="20"/>
  <c r="BQ284" i="6"/>
  <c r="BQ285" i="6" s="1"/>
  <c r="H285" i="6" s="1"/>
  <c r="BQ277" i="6"/>
  <c r="BQ244" i="6"/>
  <c r="BQ236" i="6"/>
  <c r="BQ228" i="6"/>
  <c r="BQ121" i="6"/>
  <c r="BQ18" i="6"/>
  <c r="BQ19" i="6" s="1"/>
  <c r="BQ177" i="6"/>
  <c r="J9" i="38"/>
  <c r="J28" i="35"/>
  <c r="J18" i="38"/>
  <c r="J18" i="35"/>
  <c r="K13" i="38"/>
  <c r="K9" i="38"/>
  <c r="L28" i="35"/>
  <c r="J14" i="38"/>
  <c r="K28" i="35"/>
  <c r="J13" i="38"/>
  <c r="K14" i="38"/>
  <c r="L14" i="38"/>
  <c r="K18" i="38"/>
  <c r="P14" i="38"/>
  <c r="M18" i="38"/>
  <c r="M14" i="38"/>
  <c r="J20" i="35"/>
  <c r="N28" i="35"/>
  <c r="M9" i="38"/>
  <c r="N9" i="38"/>
  <c r="N18" i="38"/>
  <c r="M28" i="35"/>
  <c r="N14" i="38"/>
  <c r="P28" i="35"/>
  <c r="J16" i="38"/>
  <c r="P9" i="38"/>
  <c r="O28" i="35"/>
  <c r="O9" i="38"/>
  <c r="O18" i="38"/>
  <c r="O14" i="38"/>
  <c r="Q14" i="38"/>
  <c r="J8" i="29"/>
  <c r="Q9" i="38"/>
  <c r="Q18" i="38"/>
  <c r="J19" i="35"/>
  <c r="P18" i="38"/>
  <c r="R28" i="35"/>
  <c r="Q28" i="35"/>
  <c r="S28" i="35"/>
  <c r="J17" i="29"/>
  <c r="J24" i="35"/>
  <c r="T28" i="35"/>
  <c r="V28" i="35"/>
  <c r="U28" i="35"/>
  <c r="W28" i="35"/>
  <c r="X28" i="35"/>
  <c r="Y28" i="35"/>
  <c r="Z28" i="35"/>
  <c r="AB28" i="35"/>
  <c r="AA28" i="35"/>
  <c r="AC28" i="35"/>
  <c r="BI45" i="47"/>
  <c r="BI21" i="47"/>
  <c r="BQ35" i="6"/>
  <c r="BN42" i="6"/>
  <c r="BN95" i="6"/>
  <c r="BQ95" i="6"/>
  <c r="BP2" i="40"/>
  <c r="BP2" i="37"/>
  <c r="BP2" i="34"/>
  <c r="BP2" i="31"/>
  <c r="BP2" i="28"/>
  <c r="BJ2" i="47" s="1"/>
  <c r="BP2" i="21"/>
  <c r="BP2" i="22"/>
  <c r="BP60" i="20"/>
  <c r="BP2" i="20"/>
  <c r="BP2" i="19"/>
  <c r="BP2" i="18"/>
  <c r="BP2" i="17"/>
  <c r="BP2" i="15"/>
  <c r="BP2" i="16"/>
  <c r="BP2" i="14"/>
  <c r="BP2" i="13"/>
  <c r="BP2" i="12"/>
  <c r="BP2" i="10"/>
  <c r="BP2" i="11"/>
  <c r="BP313" i="6"/>
  <c r="BP315" i="6" s="1"/>
  <c r="BP307" i="6"/>
  <c r="BP235" i="6"/>
  <c r="BP237" i="6" s="1"/>
  <c r="BP20" i="16" s="1"/>
  <c r="BP276" i="6"/>
  <c r="BP278" i="6" s="1"/>
  <c r="BP270" i="6" s="1"/>
  <c r="BP271" i="6" s="1"/>
  <c r="BP264" i="6" s="1"/>
  <c r="BP2" i="9"/>
  <c r="BP2" i="7"/>
  <c r="BP227" i="6"/>
  <c r="BP229" i="6" s="1"/>
  <c r="BP21" i="17" s="1"/>
  <c r="BP203" i="6"/>
  <c r="BP170" i="6"/>
  <c r="BP171" i="6" s="1"/>
  <c r="BP120" i="6"/>
  <c r="BP122" i="6" s="1"/>
  <c r="BP127" i="6" s="1"/>
  <c r="BP128" i="6" s="1"/>
  <c r="BP132" i="6" s="1"/>
  <c r="BP114" i="6"/>
  <c r="BP115" i="6" s="1"/>
  <c r="BP92" i="6"/>
  <c r="BP243" i="6"/>
  <c r="BP245" i="6" s="1"/>
  <c r="BP21" i="18" s="1"/>
  <c r="BP2" i="8"/>
  <c r="BP72" i="6"/>
  <c r="BP2" i="6"/>
  <c r="BP176" i="6"/>
  <c r="BP178" i="6" s="1"/>
  <c r="BP183" i="6" s="1"/>
  <c r="BP184" i="6" s="1"/>
  <c r="BP188" i="6" s="1"/>
  <c r="BP32" i="6"/>
  <c r="BP2" i="4"/>
  <c r="BP147" i="6"/>
  <c r="BP52" i="6"/>
  <c r="BO61" i="6"/>
  <c r="BO67" i="6"/>
  <c r="BO54" i="6"/>
  <c r="BP61" i="20"/>
  <c r="BP67" i="20" s="1"/>
  <c r="BP108" i="6"/>
  <c r="BQ108" i="6"/>
  <c r="BQ308" i="6"/>
  <c r="BO162" i="6"/>
  <c r="BO141" i="6"/>
  <c r="BN102" i="6"/>
  <c r="BK95" i="6"/>
  <c r="BO218" i="6"/>
  <c r="BO197" i="6"/>
  <c r="BO82" i="6"/>
  <c r="BL82" i="6"/>
  <c r="BQ48" i="6"/>
  <c r="BQ74" i="6"/>
  <c r="BQ75" i="6" s="1"/>
  <c r="BQ81" i="6"/>
  <c r="BQ87" i="6"/>
  <c r="BP88" i="6" s="1"/>
  <c r="K15" i="38"/>
  <c r="J26" i="32"/>
  <c r="K26" i="32"/>
  <c r="M26" i="32"/>
  <c r="O26" i="32"/>
  <c r="P26" i="32"/>
  <c r="N26" i="32"/>
  <c r="Q26" i="32"/>
  <c r="R26" i="32"/>
  <c r="J15" i="38"/>
  <c r="J17" i="38"/>
  <c r="J10" i="32"/>
  <c r="J14" i="32"/>
  <c r="S26" i="32"/>
  <c r="W26" i="32"/>
  <c r="T26" i="32"/>
  <c r="X26" i="32"/>
  <c r="U26" i="32"/>
  <c r="J17" i="32"/>
  <c r="V26" i="32"/>
  <c r="Y26" i="32"/>
  <c r="Z26" i="32"/>
  <c r="AA26" i="32"/>
  <c r="AB26" i="32"/>
  <c r="K14" i="32"/>
  <c r="K17" i="32"/>
  <c r="BP82" i="6"/>
  <c r="BP26" i="31" l="1"/>
  <c r="BJ41" i="47" s="1"/>
  <c r="BQ11" i="21"/>
  <c r="BQ13" i="21" s="1"/>
  <c r="BP29" i="9"/>
  <c r="J35" i="6"/>
  <c r="K35" i="6"/>
  <c r="L35" i="6"/>
  <c r="M35" i="6"/>
  <c r="O35" i="6"/>
  <c r="N35" i="6"/>
  <c r="P35" i="6"/>
  <c r="Q35" i="6"/>
  <c r="R35" i="6"/>
  <c r="U35" i="6"/>
  <c r="S35" i="6"/>
  <c r="W35" i="6"/>
  <c r="T35" i="6"/>
  <c r="V35" i="6"/>
  <c r="X35" i="6"/>
  <c r="Z35" i="6"/>
  <c r="Y35" i="6"/>
  <c r="AA35" i="6"/>
  <c r="AB35" i="6"/>
  <c r="AD35" i="6"/>
  <c r="AC35" i="6"/>
  <c r="AG35" i="6"/>
  <c r="AE35" i="6"/>
  <c r="AI35" i="6"/>
  <c r="AF35" i="6"/>
  <c r="AH35" i="6"/>
  <c r="AJ35" i="6"/>
  <c r="AK35" i="6"/>
  <c r="AL35" i="6"/>
  <c r="AN35" i="6"/>
  <c r="AM35" i="6"/>
  <c r="AO35" i="6"/>
  <c r="AQ35" i="6"/>
  <c r="AP35" i="6"/>
  <c r="AS35" i="6"/>
  <c r="AR35" i="6"/>
  <c r="AU35" i="6"/>
  <c r="AT35" i="6"/>
  <c r="AV35" i="6"/>
  <c r="AW35" i="6"/>
  <c r="AY35" i="6"/>
  <c r="AX35" i="6"/>
  <c r="BC35" i="6"/>
  <c r="BB35" i="6"/>
  <c r="AZ35" i="6"/>
  <c r="BD35" i="6"/>
  <c r="BA35" i="6"/>
  <c r="BF35" i="6"/>
  <c r="BE35" i="6"/>
  <c r="BG35" i="6"/>
  <c r="BH35" i="6"/>
  <c r="BJ35" i="6"/>
  <c r="BK35" i="6"/>
  <c r="BI35" i="6"/>
  <c r="BL35" i="6"/>
  <c r="J108" i="6"/>
  <c r="K108" i="6"/>
  <c r="L108" i="6"/>
  <c r="M108" i="6"/>
  <c r="P108" i="6"/>
  <c r="N108" i="6"/>
  <c r="O108" i="6"/>
  <c r="Q108" i="6"/>
  <c r="R108" i="6"/>
  <c r="S108" i="6"/>
  <c r="T108" i="6"/>
  <c r="U108" i="6"/>
  <c r="W108" i="6"/>
  <c r="V108" i="6"/>
  <c r="Z108" i="6"/>
  <c r="X108" i="6"/>
  <c r="AA108" i="6"/>
  <c r="Y108" i="6"/>
  <c r="AB108" i="6"/>
  <c r="AC108" i="6"/>
  <c r="AF108" i="6"/>
  <c r="AD108" i="6"/>
  <c r="AG108" i="6"/>
  <c r="AE108" i="6"/>
  <c r="AJ108" i="6"/>
  <c r="AH108" i="6"/>
  <c r="AK108" i="6"/>
  <c r="AI108" i="6"/>
  <c r="AL108" i="6"/>
  <c r="AM108" i="6"/>
  <c r="AO108" i="6"/>
  <c r="AN108" i="6"/>
  <c r="AP108" i="6"/>
  <c r="AQ108" i="6"/>
  <c r="AS108" i="6"/>
  <c r="AR108" i="6"/>
  <c r="AU108" i="6"/>
  <c r="AT108" i="6"/>
  <c r="AV108" i="6"/>
  <c r="AX108" i="6"/>
  <c r="AW108" i="6"/>
  <c r="AY108" i="6"/>
  <c r="AZ108" i="6"/>
  <c r="BA108" i="6"/>
  <c r="BB108" i="6"/>
  <c r="BC108" i="6"/>
  <c r="BD108" i="6"/>
  <c r="BE108" i="6"/>
  <c r="BF108" i="6"/>
  <c r="BG108" i="6"/>
  <c r="BI108" i="6"/>
  <c r="BH108" i="6"/>
  <c r="BK108" i="6"/>
  <c r="BJ108" i="6"/>
  <c r="BM108" i="6"/>
  <c r="BN108" i="6"/>
  <c r="BL108" i="6"/>
  <c r="J48" i="6"/>
  <c r="K48" i="6"/>
  <c r="L48" i="6"/>
  <c r="N48" i="6"/>
  <c r="M48" i="6"/>
  <c r="P48" i="6"/>
  <c r="Q48" i="6"/>
  <c r="O48" i="6"/>
  <c r="R48" i="6"/>
  <c r="S48" i="6"/>
  <c r="T48" i="6"/>
  <c r="U48" i="6"/>
  <c r="V48" i="6"/>
  <c r="X48" i="6"/>
  <c r="W48" i="6"/>
  <c r="Y48" i="6"/>
  <c r="Z48" i="6"/>
  <c r="AA48" i="6"/>
  <c r="AB48" i="6"/>
  <c r="AC48" i="6"/>
  <c r="AD48" i="6"/>
  <c r="AH48" i="6"/>
  <c r="AF48" i="6"/>
  <c r="AE48" i="6"/>
  <c r="AI48" i="6"/>
  <c r="AG48" i="6"/>
  <c r="AJ48" i="6"/>
  <c r="AK48" i="6"/>
  <c r="AN48" i="6"/>
  <c r="AL48" i="6"/>
  <c r="AM48" i="6"/>
  <c r="AO48" i="6"/>
  <c r="AP48" i="6"/>
  <c r="AQ48" i="6"/>
  <c r="AS48" i="6"/>
  <c r="AR48" i="6"/>
  <c r="AT48" i="6"/>
  <c r="AU48" i="6"/>
  <c r="AV48" i="6"/>
  <c r="AX48" i="6"/>
  <c r="AW48" i="6"/>
  <c r="AZ48" i="6"/>
  <c r="BB48" i="6"/>
  <c r="AY48" i="6"/>
  <c r="BD48" i="6"/>
  <c r="BA48" i="6"/>
  <c r="BC48" i="6"/>
  <c r="BE48" i="6"/>
  <c r="BF48" i="6"/>
  <c r="BG48" i="6"/>
  <c r="BJ48" i="6"/>
  <c r="BH48" i="6"/>
  <c r="BL48" i="6"/>
  <c r="BI48" i="6"/>
  <c r="BM48" i="6"/>
  <c r="BK48" i="6"/>
  <c r="BP48" i="6"/>
  <c r="BO75" i="6"/>
  <c r="BN88" i="6"/>
  <c r="BQ2" i="40"/>
  <c r="BQ2" i="37"/>
  <c r="BQ2" i="34"/>
  <c r="BQ2" i="31"/>
  <c r="BQ2" i="28"/>
  <c r="BK2" i="47" s="1"/>
  <c r="BQ2" i="21"/>
  <c r="BQ2" i="22"/>
  <c r="BQ60" i="20"/>
  <c r="BQ61" i="20" s="1"/>
  <c r="BQ2" i="20"/>
  <c r="BQ2" i="18"/>
  <c r="BQ2" i="19"/>
  <c r="BQ2" i="17"/>
  <c r="BQ2" i="16"/>
  <c r="BQ2" i="14"/>
  <c r="BQ2" i="13"/>
  <c r="BQ2" i="12"/>
  <c r="BQ2" i="10"/>
  <c r="BQ2" i="11"/>
  <c r="BQ2" i="15"/>
  <c r="BQ235" i="6"/>
  <c r="BQ237" i="6" s="1"/>
  <c r="BQ276" i="6"/>
  <c r="BQ278" i="6" s="1"/>
  <c r="BQ243" i="6"/>
  <c r="BQ245" i="6" s="1"/>
  <c r="BQ2" i="8"/>
  <c r="BQ227" i="6"/>
  <c r="BQ229" i="6" s="1"/>
  <c r="BQ114" i="6"/>
  <c r="BQ115" i="6" s="1"/>
  <c r="BQ92" i="6"/>
  <c r="BQ2" i="9"/>
  <c r="BQ307" i="6"/>
  <c r="BQ203" i="6"/>
  <c r="BQ2" i="7"/>
  <c r="BQ147" i="6"/>
  <c r="BQ176" i="6"/>
  <c r="BQ178" i="6" s="1"/>
  <c r="BQ170" i="6"/>
  <c r="BQ171" i="6" s="1"/>
  <c r="BQ32" i="6"/>
  <c r="BQ2" i="4"/>
  <c r="BQ120" i="6"/>
  <c r="BQ122" i="6" s="1"/>
  <c r="BQ72" i="6"/>
  <c r="BQ52" i="6"/>
  <c r="BQ313" i="6"/>
  <c r="BQ315" i="6" s="1"/>
  <c r="BQ2" i="6"/>
  <c r="J42" i="6"/>
  <c r="L42" i="6"/>
  <c r="K42" i="6"/>
  <c r="M42" i="6"/>
  <c r="N42" i="6"/>
  <c r="O42" i="6"/>
  <c r="P42" i="6"/>
  <c r="Q42" i="6"/>
  <c r="R42" i="6"/>
  <c r="S42" i="6"/>
  <c r="T42" i="6"/>
  <c r="U42" i="6"/>
  <c r="V42" i="6"/>
  <c r="X42" i="6"/>
  <c r="W42" i="6"/>
  <c r="Z42" i="6"/>
  <c r="Y42" i="6"/>
  <c r="AA42" i="6"/>
  <c r="AD42" i="6"/>
  <c r="AB42" i="6"/>
  <c r="AC42" i="6"/>
  <c r="AG42" i="6"/>
  <c r="AE42" i="6"/>
  <c r="AH42" i="6"/>
  <c r="AF42" i="6"/>
  <c r="AI42" i="6"/>
  <c r="AK42" i="6"/>
  <c r="AJ42" i="6"/>
  <c r="AL42" i="6"/>
  <c r="AP42" i="6"/>
  <c r="AN42" i="6"/>
  <c r="AM42" i="6"/>
  <c r="AO42" i="6"/>
  <c r="AQ42" i="6"/>
  <c r="AR42" i="6"/>
  <c r="AS42" i="6"/>
  <c r="AW42" i="6"/>
  <c r="AT42" i="6"/>
  <c r="AU42" i="6"/>
  <c r="AV42" i="6"/>
  <c r="AY42" i="6"/>
  <c r="AX42" i="6"/>
  <c r="AZ42" i="6"/>
  <c r="BA42" i="6"/>
  <c r="BC42" i="6"/>
  <c r="BB42" i="6"/>
  <c r="BD42" i="6"/>
  <c r="BE42" i="6"/>
  <c r="BF42" i="6"/>
  <c r="BH42" i="6"/>
  <c r="BG42" i="6"/>
  <c r="BJ42" i="6"/>
  <c r="BI42" i="6"/>
  <c r="BL42" i="6"/>
  <c r="BM42" i="6"/>
  <c r="BK42" i="6"/>
  <c r="BL88" i="6"/>
  <c r="BP75" i="6"/>
  <c r="H79" i="6"/>
  <c r="H99" i="6"/>
  <c r="H59" i="6"/>
  <c r="H39" i="6"/>
  <c r="BP35" i="6"/>
  <c r="BP162" i="6"/>
  <c r="BP141" i="6"/>
  <c r="BO42" i="6"/>
  <c r="K88" i="6"/>
  <c r="L88" i="6"/>
  <c r="N88" i="6"/>
  <c r="M88" i="6"/>
  <c r="O88" i="6"/>
  <c r="P88" i="6"/>
  <c r="Q88" i="6"/>
  <c r="R88" i="6"/>
  <c r="T88" i="6"/>
  <c r="S88" i="6"/>
  <c r="U88" i="6"/>
  <c r="W88" i="6"/>
  <c r="V88" i="6"/>
  <c r="Y88" i="6"/>
  <c r="X88" i="6"/>
  <c r="Z88" i="6"/>
  <c r="AA88" i="6"/>
  <c r="AB88" i="6"/>
  <c r="AC88" i="6"/>
  <c r="AE88" i="6"/>
  <c r="AD88" i="6"/>
  <c r="AF88" i="6"/>
  <c r="AI88" i="6"/>
  <c r="AG88" i="6"/>
  <c r="AH88" i="6"/>
  <c r="AJ88" i="6"/>
  <c r="AK88" i="6"/>
  <c r="AL88" i="6"/>
  <c r="AM88" i="6"/>
  <c r="AN88" i="6"/>
  <c r="AP88" i="6"/>
  <c r="AO88" i="6"/>
  <c r="AS88" i="6"/>
  <c r="AQ88" i="6"/>
  <c r="AT88" i="6"/>
  <c r="AR88" i="6"/>
  <c r="AU88" i="6"/>
  <c r="AV88" i="6"/>
  <c r="AW88" i="6"/>
  <c r="AY88" i="6"/>
  <c r="AX88" i="6"/>
  <c r="AZ88" i="6"/>
  <c r="BA88" i="6"/>
  <c r="BB88" i="6"/>
  <c r="BD88" i="6"/>
  <c r="BC88" i="6"/>
  <c r="BE88" i="6"/>
  <c r="BG88" i="6"/>
  <c r="BF88" i="6"/>
  <c r="BH88" i="6"/>
  <c r="BI88" i="6"/>
  <c r="BJ88" i="6"/>
  <c r="BK88" i="6"/>
  <c r="BM88" i="6"/>
  <c r="BQ88" i="6"/>
  <c r="BJ21" i="47"/>
  <c r="BJ45" i="47"/>
  <c r="K82" i="6"/>
  <c r="L82" i="6"/>
  <c r="M82" i="6"/>
  <c r="O82" i="6"/>
  <c r="N82" i="6"/>
  <c r="P82" i="6"/>
  <c r="Q82" i="6"/>
  <c r="R82" i="6"/>
  <c r="S82" i="6"/>
  <c r="U82" i="6"/>
  <c r="T82" i="6"/>
  <c r="V82" i="6"/>
  <c r="W82" i="6"/>
  <c r="Z82" i="6"/>
  <c r="X82" i="6"/>
  <c r="AA82" i="6"/>
  <c r="Y82" i="6"/>
  <c r="AB82" i="6"/>
  <c r="AC82" i="6"/>
  <c r="AD82" i="6"/>
  <c r="AE82" i="6"/>
  <c r="AF82" i="6"/>
  <c r="AG82" i="6"/>
  <c r="AH82" i="6"/>
  <c r="AI82" i="6"/>
  <c r="AK82" i="6"/>
  <c r="AJ82" i="6"/>
  <c r="AL82" i="6"/>
  <c r="AM82" i="6"/>
  <c r="AN82" i="6"/>
  <c r="AP82" i="6"/>
  <c r="AO82" i="6"/>
  <c r="AQ82" i="6"/>
  <c r="AT82" i="6"/>
  <c r="AU82" i="6"/>
  <c r="AR82" i="6"/>
  <c r="AS82" i="6"/>
  <c r="AV82" i="6"/>
  <c r="AW82" i="6"/>
  <c r="AX82" i="6"/>
  <c r="AY82" i="6"/>
  <c r="AZ82" i="6"/>
  <c r="BB82" i="6"/>
  <c r="BA82" i="6"/>
  <c r="BC82" i="6"/>
  <c r="BE82" i="6"/>
  <c r="BD82" i="6"/>
  <c r="BF82" i="6"/>
  <c r="BI82" i="6"/>
  <c r="BG82" i="6"/>
  <c r="BH82" i="6"/>
  <c r="BJ82" i="6"/>
  <c r="BK82" i="6"/>
  <c r="BM82" i="6"/>
  <c r="BN82" i="6"/>
  <c r="BP218" i="6"/>
  <c r="BP197" i="6"/>
  <c r="BP61" i="6"/>
  <c r="BP67" i="6"/>
  <c r="BP54" i="6"/>
  <c r="BO88" i="6"/>
  <c r="J102" i="6"/>
  <c r="K102" i="6"/>
  <c r="M102" i="6"/>
  <c r="L102" i="6"/>
  <c r="N102" i="6"/>
  <c r="O102" i="6"/>
  <c r="P102" i="6"/>
  <c r="Q102" i="6"/>
  <c r="S102" i="6"/>
  <c r="V102" i="6"/>
  <c r="R102" i="6"/>
  <c r="U102" i="6"/>
  <c r="T102" i="6"/>
  <c r="X102" i="6"/>
  <c r="W102" i="6"/>
  <c r="Y102" i="6"/>
  <c r="Z102" i="6"/>
  <c r="AA102" i="6"/>
  <c r="AD102" i="6"/>
  <c r="AB102" i="6"/>
  <c r="AC102" i="6"/>
  <c r="AE102" i="6"/>
  <c r="AG102" i="6"/>
  <c r="AF102" i="6"/>
  <c r="AH102" i="6"/>
  <c r="AI102" i="6"/>
  <c r="AL102" i="6"/>
  <c r="AK102" i="6"/>
  <c r="AJ102" i="6"/>
  <c r="AM102" i="6"/>
  <c r="AN102" i="6"/>
  <c r="AO102" i="6"/>
  <c r="AP102" i="6"/>
  <c r="AR102" i="6"/>
  <c r="AQ102" i="6"/>
  <c r="AV102" i="6"/>
  <c r="AT102" i="6"/>
  <c r="AS102" i="6"/>
  <c r="AU102" i="6"/>
  <c r="AX102" i="6"/>
  <c r="AW102" i="6"/>
  <c r="AY102" i="6"/>
  <c r="BA102" i="6"/>
  <c r="AZ102" i="6"/>
  <c r="BB102" i="6"/>
  <c r="BD102" i="6"/>
  <c r="BF102" i="6"/>
  <c r="BC102" i="6"/>
  <c r="BE102" i="6"/>
  <c r="BG102" i="6"/>
  <c r="BH102" i="6"/>
  <c r="BK102" i="6"/>
  <c r="BJ102" i="6"/>
  <c r="BI102" i="6"/>
  <c r="BM102" i="6"/>
  <c r="BL102" i="6"/>
  <c r="BO102" i="6"/>
  <c r="K75" i="6"/>
  <c r="L75" i="6"/>
  <c r="N75" i="6"/>
  <c r="M75" i="6"/>
  <c r="O75" i="6"/>
  <c r="Q75" i="6"/>
  <c r="P75" i="6"/>
  <c r="R75" i="6"/>
  <c r="T75" i="6"/>
  <c r="W75" i="6"/>
  <c r="S75" i="6"/>
  <c r="V75" i="6"/>
  <c r="U75" i="6"/>
  <c r="Y75" i="6"/>
  <c r="X75" i="6"/>
  <c r="Z75" i="6"/>
  <c r="AB75" i="6"/>
  <c r="AA75" i="6"/>
  <c r="AC75" i="6"/>
  <c r="AE75" i="6"/>
  <c r="AF75" i="6"/>
  <c r="AD75" i="6"/>
  <c r="AG75" i="6"/>
  <c r="AJ75" i="6"/>
  <c r="AH75" i="6"/>
  <c r="AI75" i="6"/>
  <c r="AL75" i="6"/>
  <c r="AK75" i="6"/>
  <c r="AN75" i="6"/>
  <c r="AM75" i="6"/>
  <c r="AP75" i="6"/>
  <c r="AO75" i="6"/>
  <c r="AQ75" i="6"/>
  <c r="AS75" i="6"/>
  <c r="AT75" i="6"/>
  <c r="AR75" i="6"/>
  <c r="AV75" i="6"/>
  <c r="AU75" i="6"/>
  <c r="AZ75" i="6"/>
  <c r="AX75" i="6"/>
  <c r="BA75" i="6"/>
  <c r="AY75" i="6"/>
  <c r="AW75" i="6"/>
  <c r="BB75" i="6"/>
  <c r="BD75" i="6"/>
  <c r="BF75" i="6"/>
  <c r="BC75" i="6"/>
  <c r="BE75" i="6"/>
  <c r="BH75" i="6"/>
  <c r="BG75" i="6"/>
  <c r="BJ75" i="6"/>
  <c r="BI75" i="6"/>
  <c r="BK75" i="6"/>
  <c r="BM75" i="6"/>
  <c r="BL75" i="6"/>
  <c r="BN75" i="6"/>
  <c r="BQ82" i="6"/>
  <c r="J95" i="6"/>
  <c r="K95" i="6"/>
  <c r="M95" i="6"/>
  <c r="O95" i="6"/>
  <c r="L95" i="6"/>
  <c r="N95" i="6"/>
  <c r="R95" i="6"/>
  <c r="Q95" i="6"/>
  <c r="P95" i="6"/>
  <c r="T95" i="6"/>
  <c r="S95" i="6"/>
  <c r="V95" i="6"/>
  <c r="U95" i="6"/>
  <c r="W95" i="6"/>
  <c r="Y95" i="6"/>
  <c r="X95" i="6"/>
  <c r="AB95" i="6"/>
  <c r="Z95" i="6"/>
  <c r="AC95" i="6"/>
  <c r="AA95" i="6"/>
  <c r="AD95" i="6"/>
  <c r="AE95" i="6"/>
  <c r="AF95" i="6"/>
  <c r="AG95" i="6"/>
  <c r="AH95" i="6"/>
  <c r="AI95" i="6"/>
  <c r="AK95" i="6"/>
  <c r="AJ95" i="6"/>
  <c r="AL95" i="6"/>
  <c r="AM95" i="6"/>
  <c r="AN95" i="6"/>
  <c r="AO95" i="6"/>
  <c r="AP95" i="6"/>
  <c r="AQ95" i="6"/>
  <c r="AR95" i="6"/>
  <c r="AS95" i="6"/>
  <c r="AU95" i="6"/>
  <c r="AT95" i="6"/>
  <c r="AX95" i="6"/>
  <c r="AW95" i="6"/>
  <c r="AV95" i="6"/>
  <c r="AY95" i="6"/>
  <c r="AZ95" i="6"/>
  <c r="BA95" i="6"/>
  <c r="BB95" i="6"/>
  <c r="BC95" i="6"/>
  <c r="BD95" i="6"/>
  <c r="BE95" i="6"/>
  <c r="BG95" i="6"/>
  <c r="BF95" i="6"/>
  <c r="BH95" i="6"/>
  <c r="BI95" i="6"/>
  <c r="BJ95" i="6"/>
  <c r="BL95" i="6"/>
  <c r="BM95" i="6"/>
  <c r="BO108" i="6"/>
  <c r="BQ67" i="20" l="1"/>
  <c r="H61" i="20"/>
  <c r="H67" i="20" s="1"/>
  <c r="L2" i="41"/>
  <c r="L2" i="38"/>
  <c r="L2" i="35"/>
  <c r="L2" i="29"/>
  <c r="L2" i="32"/>
  <c r="S3" i="41"/>
  <c r="S3" i="38"/>
  <c r="S3" i="35"/>
  <c r="S3" i="32"/>
  <c r="S3" i="29"/>
  <c r="AB4" i="41"/>
  <c r="AB4" i="38"/>
  <c r="AB4" i="35"/>
  <c r="AB4" i="32"/>
  <c r="AB4" i="29"/>
  <c r="BQ21" i="17"/>
  <c r="H229" i="6"/>
  <c r="H21" i="17" s="1"/>
  <c r="L2" i="42"/>
  <c r="L2" i="39"/>
  <c r="L2" i="36"/>
  <c r="L2" i="33"/>
  <c r="L2" i="30"/>
  <c r="AB2" i="41"/>
  <c r="AB2" i="38"/>
  <c r="AB2" i="35"/>
  <c r="AB2" i="32"/>
  <c r="AB2" i="29"/>
  <c r="T2" i="41"/>
  <c r="T2" i="38"/>
  <c r="T2" i="35"/>
  <c r="T2" i="29"/>
  <c r="T2" i="32"/>
  <c r="K2" i="41"/>
  <c r="K2" i="38"/>
  <c r="K2" i="35"/>
  <c r="K2" i="32"/>
  <c r="K2" i="29"/>
  <c r="K3" i="42"/>
  <c r="K3" i="39"/>
  <c r="K3" i="36"/>
  <c r="K3" i="33"/>
  <c r="K3" i="30"/>
  <c r="AA3" i="41"/>
  <c r="AA3" i="38"/>
  <c r="AA3" i="35"/>
  <c r="AA3" i="32"/>
  <c r="AA3" i="29"/>
  <c r="R3" i="41"/>
  <c r="R3" i="38"/>
  <c r="R3" i="35"/>
  <c r="R3" i="32"/>
  <c r="R3" i="29"/>
  <c r="AA4" i="41"/>
  <c r="AA4" i="38"/>
  <c r="AA4" i="35"/>
  <c r="AA4" i="32"/>
  <c r="AA4" i="29"/>
  <c r="T4" i="41"/>
  <c r="T4" i="38"/>
  <c r="T4" i="35"/>
  <c r="T4" i="32"/>
  <c r="T4" i="29"/>
  <c r="K4" i="41"/>
  <c r="K4" i="38"/>
  <c r="K4" i="35"/>
  <c r="K4" i="32"/>
  <c r="K4" i="29"/>
  <c r="BQ67" i="6"/>
  <c r="BO68" i="6" s="1"/>
  <c r="BQ61" i="6"/>
  <c r="BP62" i="6" s="1"/>
  <c r="BQ54" i="6"/>
  <c r="L4" i="26"/>
  <c r="L4" i="25"/>
  <c r="L4" i="24"/>
  <c r="L4" i="23"/>
  <c r="N4" i="42"/>
  <c r="N4" i="39"/>
  <c r="N4" i="36"/>
  <c r="N4" i="33"/>
  <c r="N4" i="30"/>
  <c r="N2" i="42"/>
  <c r="N2" i="39"/>
  <c r="N2" i="36"/>
  <c r="N2" i="33"/>
  <c r="N2" i="30"/>
  <c r="AA2" i="41"/>
  <c r="AA2" i="38"/>
  <c r="AA2" i="35"/>
  <c r="AA2" i="32"/>
  <c r="AA2" i="29"/>
  <c r="L4" i="41"/>
  <c r="L4" i="38"/>
  <c r="L4" i="35"/>
  <c r="L4" i="29"/>
  <c r="L4" i="32"/>
  <c r="Z2" i="41"/>
  <c r="Z2" i="38"/>
  <c r="Z2" i="35"/>
  <c r="Z2" i="32"/>
  <c r="Z2" i="29"/>
  <c r="R2" i="41"/>
  <c r="R2" i="38"/>
  <c r="R2" i="35"/>
  <c r="R2" i="32"/>
  <c r="R2" i="29"/>
  <c r="S3" i="39"/>
  <c r="S3" i="42"/>
  <c r="S3" i="36"/>
  <c r="S3" i="33"/>
  <c r="S3" i="30"/>
  <c r="J3" i="42"/>
  <c r="J3" i="39"/>
  <c r="J3" i="36"/>
  <c r="J3" i="33"/>
  <c r="J3" i="30"/>
  <c r="H102" i="6"/>
  <c r="X3" i="41"/>
  <c r="X3" i="38"/>
  <c r="X3" i="35"/>
  <c r="X3" i="29"/>
  <c r="X3" i="32"/>
  <c r="Q3" i="41"/>
  <c r="Q3" i="38"/>
  <c r="Q3" i="35"/>
  <c r="Q3" i="32"/>
  <c r="Q3" i="29"/>
  <c r="Z4" i="41"/>
  <c r="Z4" i="38"/>
  <c r="Z4" i="35"/>
  <c r="Z4" i="32"/>
  <c r="Z4" i="29"/>
  <c r="R4" i="41"/>
  <c r="R4" i="38"/>
  <c r="R4" i="35"/>
  <c r="R4" i="32"/>
  <c r="R4" i="29"/>
  <c r="N3" i="26"/>
  <c r="N3" i="25"/>
  <c r="N3" i="24"/>
  <c r="N3" i="23"/>
  <c r="BQ21" i="18"/>
  <c r="H245" i="6"/>
  <c r="H21" i="18" s="1"/>
  <c r="K4" i="23"/>
  <c r="K4" i="24"/>
  <c r="K4" i="26"/>
  <c r="K4" i="25"/>
  <c r="P4" i="39"/>
  <c r="P4" i="42"/>
  <c r="P4" i="36"/>
  <c r="P4" i="33"/>
  <c r="P4" i="30"/>
  <c r="M2" i="23"/>
  <c r="G2" i="50" s="1"/>
  <c r="M2" i="24"/>
  <c r="G21" i="50" s="1"/>
  <c r="M2" i="25"/>
  <c r="G45" i="50" s="1"/>
  <c r="M2" i="26"/>
  <c r="BQ68" i="6"/>
  <c r="N4" i="26"/>
  <c r="N4" i="25"/>
  <c r="N4" i="24"/>
  <c r="N4" i="23"/>
  <c r="O4" i="42"/>
  <c r="O4" i="39"/>
  <c r="O4" i="36"/>
  <c r="O4" i="33"/>
  <c r="O4" i="30"/>
  <c r="S2" i="42"/>
  <c r="S2" i="39"/>
  <c r="S2" i="36"/>
  <c r="S2" i="33"/>
  <c r="S2" i="30"/>
  <c r="M2" i="39"/>
  <c r="M2" i="42"/>
  <c r="M2" i="36"/>
  <c r="M2" i="33"/>
  <c r="M2" i="30"/>
  <c r="X2" i="41"/>
  <c r="X2" i="38"/>
  <c r="X2" i="35"/>
  <c r="X2" i="32"/>
  <c r="X2" i="29"/>
  <c r="P2" i="38"/>
  <c r="P2" i="41"/>
  <c r="P2" i="35"/>
  <c r="P2" i="32"/>
  <c r="P2" i="29"/>
  <c r="Q3" i="39"/>
  <c r="Q3" i="42"/>
  <c r="Q3" i="36"/>
  <c r="Q3" i="33"/>
  <c r="Q3" i="30"/>
  <c r="Z3" i="41"/>
  <c r="Z3" i="38"/>
  <c r="Z3" i="35"/>
  <c r="Z3" i="32"/>
  <c r="Z3" i="29"/>
  <c r="P3" i="41"/>
  <c r="P3" i="38"/>
  <c r="P3" i="35"/>
  <c r="P3" i="32"/>
  <c r="P3" i="29"/>
  <c r="X4" i="38"/>
  <c r="X4" i="41"/>
  <c r="X4" i="35"/>
  <c r="X4" i="32"/>
  <c r="X4" i="29"/>
  <c r="Q4" i="41"/>
  <c r="Q4" i="38"/>
  <c r="Q4" i="35"/>
  <c r="Q4" i="32"/>
  <c r="Q4" i="29"/>
  <c r="M3" i="26"/>
  <c r="M3" i="25"/>
  <c r="M3" i="24"/>
  <c r="M3" i="23"/>
  <c r="BQ270" i="6"/>
  <c r="BQ271" i="6" s="1"/>
  <c r="H278" i="6"/>
  <c r="H270" i="6" s="1"/>
  <c r="BK45" i="47"/>
  <c r="BK21" i="47"/>
  <c r="J4" i="23"/>
  <c r="J4" i="24"/>
  <c r="J4" i="26"/>
  <c r="J4" i="25"/>
  <c r="M4" i="42"/>
  <c r="M4" i="39"/>
  <c r="M4" i="36"/>
  <c r="M4" i="33"/>
  <c r="M4" i="30"/>
  <c r="L2" i="23"/>
  <c r="F2" i="50" s="1"/>
  <c r="L2" i="25"/>
  <c r="F45" i="50" s="1"/>
  <c r="L2" i="24"/>
  <c r="F21" i="50" s="1"/>
  <c r="L2" i="26"/>
  <c r="BP68" i="6"/>
  <c r="K3" i="41"/>
  <c r="K3" i="38"/>
  <c r="K3" i="35"/>
  <c r="K3" i="32"/>
  <c r="K3" i="29"/>
  <c r="H82" i="6"/>
  <c r="K2" i="39"/>
  <c r="K2" i="42"/>
  <c r="K2" i="36"/>
  <c r="K2" i="33"/>
  <c r="K2" i="30"/>
  <c r="Y2" i="38"/>
  <c r="Y2" i="41"/>
  <c r="Y2" i="35"/>
  <c r="Y2" i="32"/>
  <c r="Y2" i="29"/>
  <c r="Q2" i="41"/>
  <c r="Q2" i="38"/>
  <c r="Q2" i="35"/>
  <c r="Q2" i="32"/>
  <c r="Q2" i="29"/>
  <c r="P3" i="42"/>
  <c r="P3" i="39"/>
  <c r="P3" i="36"/>
  <c r="P3" i="33"/>
  <c r="P3" i="30"/>
  <c r="W3" i="41"/>
  <c r="W3" i="38"/>
  <c r="W3" i="35"/>
  <c r="W3" i="32"/>
  <c r="W3" i="29"/>
  <c r="N3" i="41"/>
  <c r="N3" i="38"/>
  <c r="N3" i="35"/>
  <c r="N3" i="32"/>
  <c r="N3" i="29"/>
  <c r="Y4" i="41"/>
  <c r="Y4" i="38"/>
  <c r="Y4" i="35"/>
  <c r="Y4" i="32"/>
  <c r="Y4" i="29"/>
  <c r="P4" i="41"/>
  <c r="P4" i="38"/>
  <c r="P4" i="35"/>
  <c r="P4" i="32"/>
  <c r="P4" i="29"/>
  <c r="K3" i="26"/>
  <c r="K3" i="25"/>
  <c r="K3" i="24"/>
  <c r="K3" i="23"/>
  <c r="BQ127" i="6"/>
  <c r="BQ128" i="6" s="1"/>
  <c r="H122" i="6"/>
  <c r="H127" i="6" s="1"/>
  <c r="BQ20" i="16"/>
  <c r="H237" i="6"/>
  <c r="H20" i="16" s="1"/>
  <c r="L4" i="42"/>
  <c r="L4" i="39"/>
  <c r="L4" i="36"/>
  <c r="L4" i="33"/>
  <c r="L4" i="30"/>
  <c r="K2" i="26"/>
  <c r="K2" i="25"/>
  <c r="E45" i="50" s="1"/>
  <c r="K2" i="24"/>
  <c r="E21" i="50" s="1"/>
  <c r="K2" i="23"/>
  <c r="E2" i="50" s="1"/>
  <c r="S4" i="41"/>
  <c r="S4" i="38"/>
  <c r="S4" i="35"/>
  <c r="S4" i="32"/>
  <c r="S4" i="29"/>
  <c r="N2" i="26"/>
  <c r="N2" i="25"/>
  <c r="H45" i="50" s="1"/>
  <c r="N2" i="24"/>
  <c r="H21" i="50" s="1"/>
  <c r="N2" i="23"/>
  <c r="H2" i="50" s="1"/>
  <c r="P2" i="42"/>
  <c r="P2" i="39"/>
  <c r="P2" i="36"/>
  <c r="P2" i="33"/>
  <c r="P2" i="30"/>
  <c r="J2" i="42"/>
  <c r="J2" i="39"/>
  <c r="J2" i="36"/>
  <c r="J2" i="33"/>
  <c r="J2" i="30"/>
  <c r="U2" i="41"/>
  <c r="U2" i="38"/>
  <c r="U2" i="35"/>
  <c r="U2" i="32"/>
  <c r="U2" i="29"/>
  <c r="O2" i="41"/>
  <c r="O2" i="38"/>
  <c r="O2" i="35"/>
  <c r="O2" i="32"/>
  <c r="O2" i="29"/>
  <c r="O3" i="42"/>
  <c r="O3" i="39"/>
  <c r="O3" i="36"/>
  <c r="O3" i="33"/>
  <c r="O3" i="30"/>
  <c r="BQ55" i="6"/>
  <c r="V3" i="41"/>
  <c r="V3" i="38"/>
  <c r="V3" i="35"/>
  <c r="V3" i="29"/>
  <c r="V3" i="32"/>
  <c r="O3" i="41"/>
  <c r="O3" i="38"/>
  <c r="O3" i="35"/>
  <c r="O3" i="32"/>
  <c r="O3" i="29"/>
  <c r="V4" i="41"/>
  <c r="V4" i="38"/>
  <c r="V4" i="35"/>
  <c r="V4" i="32"/>
  <c r="V4" i="29"/>
  <c r="O4" i="38"/>
  <c r="O4" i="41"/>
  <c r="O4" i="35"/>
  <c r="O4" i="32"/>
  <c r="O4" i="29"/>
  <c r="L3" i="26"/>
  <c r="L3" i="25"/>
  <c r="L3" i="24"/>
  <c r="L3" i="23"/>
  <c r="S4" i="42"/>
  <c r="S4" i="39"/>
  <c r="S4" i="36"/>
  <c r="S4" i="33"/>
  <c r="S4" i="30"/>
  <c r="K4" i="42"/>
  <c r="K4" i="39"/>
  <c r="K4" i="36"/>
  <c r="K4" i="33"/>
  <c r="K4" i="30"/>
  <c r="J2" i="26"/>
  <c r="J2" i="25"/>
  <c r="D45" i="50" s="1"/>
  <c r="J2" i="24"/>
  <c r="D21" i="50" s="1"/>
  <c r="J2" i="23"/>
  <c r="D2" i="50" s="1"/>
  <c r="W2" i="41"/>
  <c r="W2" i="38"/>
  <c r="W2" i="35"/>
  <c r="W2" i="32"/>
  <c r="W2" i="29"/>
  <c r="R3" i="42"/>
  <c r="R3" i="39"/>
  <c r="R3" i="36"/>
  <c r="R3" i="33"/>
  <c r="R3" i="30"/>
  <c r="Y3" i="41"/>
  <c r="Y3" i="38"/>
  <c r="Y3" i="35"/>
  <c r="Y3" i="32"/>
  <c r="Y3" i="29"/>
  <c r="O2" i="42"/>
  <c r="O2" i="39"/>
  <c r="O2" i="36"/>
  <c r="O2" i="33"/>
  <c r="O2" i="30"/>
  <c r="Q2" i="42"/>
  <c r="Q2" i="39"/>
  <c r="Q2" i="36"/>
  <c r="Q2" i="33"/>
  <c r="Q2" i="30"/>
  <c r="V2" i="41"/>
  <c r="V2" i="38"/>
  <c r="V2" i="35"/>
  <c r="V2" i="32"/>
  <c r="V2" i="29"/>
  <c r="M2" i="41"/>
  <c r="M2" i="38"/>
  <c r="M2" i="35"/>
  <c r="M2" i="32"/>
  <c r="M2" i="29"/>
  <c r="N3" i="42"/>
  <c r="N3" i="39"/>
  <c r="N3" i="36"/>
  <c r="N3" i="33"/>
  <c r="N3" i="30"/>
  <c r="AC3" i="41"/>
  <c r="AC3" i="38"/>
  <c r="AC3" i="35"/>
  <c r="AC3" i="32"/>
  <c r="AC3" i="29"/>
  <c r="T3" i="41"/>
  <c r="T3" i="38"/>
  <c r="T3" i="35"/>
  <c r="T3" i="32"/>
  <c r="T3" i="29"/>
  <c r="M3" i="41"/>
  <c r="M3" i="38"/>
  <c r="M3" i="35"/>
  <c r="M3" i="32"/>
  <c r="M3" i="29"/>
  <c r="W4" i="41"/>
  <c r="W4" i="38"/>
  <c r="W4" i="35"/>
  <c r="W4" i="32"/>
  <c r="W4" i="29"/>
  <c r="M4" i="41"/>
  <c r="M4" i="38"/>
  <c r="M4" i="35"/>
  <c r="M4" i="32"/>
  <c r="M4" i="29"/>
  <c r="J3" i="26"/>
  <c r="J3" i="25"/>
  <c r="J3" i="24"/>
  <c r="J3" i="23"/>
  <c r="H42" i="6"/>
  <c r="R4" i="42"/>
  <c r="R4" i="39"/>
  <c r="R4" i="36"/>
  <c r="R4" i="33"/>
  <c r="R4" i="30"/>
  <c r="J4" i="42"/>
  <c r="J4" i="39"/>
  <c r="J4" i="36"/>
  <c r="J4" i="33"/>
  <c r="J4" i="30"/>
  <c r="M3" i="42"/>
  <c r="M3" i="39"/>
  <c r="M3" i="36"/>
  <c r="M3" i="33"/>
  <c r="M3" i="30"/>
  <c r="BQ183" i="6"/>
  <c r="BQ184" i="6" s="1"/>
  <c r="H178" i="6"/>
  <c r="H183" i="6" s="1"/>
  <c r="R2" i="42"/>
  <c r="R2" i="39"/>
  <c r="R2" i="36"/>
  <c r="R2" i="33"/>
  <c r="R2" i="30"/>
  <c r="AC2" i="41"/>
  <c r="AC2" i="38"/>
  <c r="AC2" i="35"/>
  <c r="AC2" i="32"/>
  <c r="AC2" i="29"/>
  <c r="S2" i="41"/>
  <c r="S2" i="38"/>
  <c r="S2" i="35"/>
  <c r="S2" i="32"/>
  <c r="S2" i="29"/>
  <c r="N2" i="38"/>
  <c r="N2" i="41"/>
  <c r="N2" i="35"/>
  <c r="N2" i="32"/>
  <c r="N2" i="29"/>
  <c r="L3" i="36"/>
  <c r="L3" i="39"/>
  <c r="L3" i="42"/>
  <c r="L3" i="33"/>
  <c r="L3" i="30"/>
  <c r="BO62" i="6"/>
  <c r="AB3" i="41"/>
  <c r="AB3" i="38"/>
  <c r="AB3" i="35"/>
  <c r="AB3" i="32"/>
  <c r="AB3" i="29"/>
  <c r="U3" i="38"/>
  <c r="U3" i="41"/>
  <c r="U3" i="35"/>
  <c r="U3" i="32"/>
  <c r="U3" i="29"/>
  <c r="L3" i="41"/>
  <c r="L3" i="38"/>
  <c r="L3" i="35"/>
  <c r="L3" i="32"/>
  <c r="L3" i="29"/>
  <c r="AC4" i="38"/>
  <c r="AC4" i="41"/>
  <c r="AC4" i="35"/>
  <c r="AC4" i="32"/>
  <c r="AC4" i="29"/>
  <c r="U4" i="41"/>
  <c r="U4" i="38"/>
  <c r="U4" i="35"/>
  <c r="U4" i="32"/>
  <c r="U4" i="29"/>
  <c r="N4" i="41"/>
  <c r="N4" i="38"/>
  <c r="N4" i="35"/>
  <c r="N4" i="32"/>
  <c r="N4" i="29"/>
  <c r="BQ218" i="6"/>
  <c r="BQ197" i="6"/>
  <c r="H171" i="6"/>
  <c r="BQ162" i="6"/>
  <c r="BQ141" i="6"/>
  <c r="H115" i="6"/>
  <c r="M4" i="26"/>
  <c r="M4" i="25"/>
  <c r="M4" i="24"/>
  <c r="M4" i="23"/>
  <c r="Q4" i="39"/>
  <c r="Q4" i="42"/>
  <c r="Q4" i="36"/>
  <c r="Q4" i="33"/>
  <c r="Q4" i="30"/>
  <c r="BQ26" i="31"/>
  <c r="BK41" i="47" s="1"/>
  <c r="BQ29" i="9"/>
  <c r="L26" i="32"/>
  <c r="N26" i="24"/>
  <c r="H41" i="50" s="1"/>
  <c r="S26" i="33"/>
  <c r="AC26" i="32"/>
  <c r="BQ188" i="6" l="1"/>
  <c r="F189" i="6" s="1"/>
  <c r="F193" i="6" s="1"/>
  <c r="H184" i="6"/>
  <c r="H188" i="6" s="1"/>
  <c r="BQ264" i="6"/>
  <c r="F265" i="6" s="1"/>
  <c r="H271" i="6"/>
  <c r="H264" i="6" s="1"/>
  <c r="H141" i="6"/>
  <c r="H162" i="6"/>
  <c r="K55" i="6"/>
  <c r="K2" i="27" s="1"/>
  <c r="M55" i="6"/>
  <c r="M2" i="27" s="1"/>
  <c r="L55" i="6"/>
  <c r="L2" i="27" s="1"/>
  <c r="J55" i="6"/>
  <c r="J2" i="27" s="1"/>
  <c r="N55" i="6"/>
  <c r="N2" i="27" s="1"/>
  <c r="O55" i="6"/>
  <c r="Q55" i="6"/>
  <c r="P55" i="6"/>
  <c r="R55" i="6"/>
  <c r="S55" i="6"/>
  <c r="T55" i="6"/>
  <c r="U55" i="6"/>
  <c r="V55" i="6"/>
  <c r="W55" i="6"/>
  <c r="X55" i="6"/>
  <c r="Y55" i="6"/>
  <c r="Z55" i="6"/>
  <c r="AC55" i="6"/>
  <c r="AA55" i="6"/>
  <c r="AB55" i="6"/>
  <c r="AE55" i="6"/>
  <c r="AD55" i="6"/>
  <c r="AF55" i="6"/>
  <c r="AG55" i="6"/>
  <c r="AH55" i="6"/>
  <c r="AI55" i="6"/>
  <c r="AJ55" i="6"/>
  <c r="AK55" i="6"/>
  <c r="AM55" i="6"/>
  <c r="AL55" i="6"/>
  <c r="AO55" i="6"/>
  <c r="AN55" i="6"/>
  <c r="AP55" i="6"/>
  <c r="AQ55" i="6"/>
  <c r="AR55" i="6"/>
  <c r="AT55" i="6"/>
  <c r="AS55" i="6"/>
  <c r="AU55" i="6"/>
  <c r="AV55" i="6"/>
  <c r="AW55" i="6"/>
  <c r="AX55" i="6"/>
  <c r="AY55" i="6"/>
  <c r="AZ55" i="6"/>
  <c r="BC55" i="6"/>
  <c r="BA55" i="6"/>
  <c r="BB55" i="6"/>
  <c r="BD55" i="6"/>
  <c r="BE55" i="6"/>
  <c r="BF55" i="6"/>
  <c r="BI55" i="6"/>
  <c r="BJ55" i="6"/>
  <c r="BG55" i="6"/>
  <c r="BH55" i="6"/>
  <c r="BK55" i="6"/>
  <c r="BL55" i="6"/>
  <c r="BM55" i="6"/>
  <c r="BO55" i="6"/>
  <c r="BN55" i="6"/>
  <c r="BP55" i="6"/>
  <c r="H197" i="6"/>
  <c r="H218" i="6"/>
  <c r="J62" i="6"/>
  <c r="L62" i="6"/>
  <c r="L3" i="27" s="1"/>
  <c r="M62" i="6"/>
  <c r="M3" i="27" s="1"/>
  <c r="K62" i="6"/>
  <c r="K3" i="27" s="1"/>
  <c r="O62" i="6"/>
  <c r="N62" i="6"/>
  <c r="N3" i="27" s="1"/>
  <c r="Q62" i="6"/>
  <c r="R62" i="6"/>
  <c r="S62" i="6"/>
  <c r="P62" i="6"/>
  <c r="V62" i="6"/>
  <c r="T62" i="6"/>
  <c r="U62" i="6"/>
  <c r="X62" i="6"/>
  <c r="W62" i="6"/>
  <c r="Y62" i="6"/>
  <c r="Z62" i="6"/>
  <c r="AA62" i="6"/>
  <c r="AB62" i="6"/>
  <c r="AC62" i="6"/>
  <c r="AD62" i="6"/>
  <c r="AG62" i="6"/>
  <c r="AF62" i="6"/>
  <c r="AH62" i="6"/>
  <c r="AE62" i="6"/>
  <c r="AJ62" i="6"/>
  <c r="AI62" i="6"/>
  <c r="AK62" i="6"/>
  <c r="AL62" i="6"/>
  <c r="AM62" i="6"/>
  <c r="AN62" i="6"/>
  <c r="AO62" i="6"/>
  <c r="AP62" i="6"/>
  <c r="AQ62" i="6"/>
  <c r="AR62" i="6"/>
  <c r="AS62" i="6"/>
  <c r="AU62" i="6"/>
  <c r="AT62" i="6"/>
  <c r="AX62" i="6"/>
  <c r="AV62" i="6"/>
  <c r="AY62" i="6"/>
  <c r="AW62" i="6"/>
  <c r="BA62" i="6"/>
  <c r="AZ62" i="6"/>
  <c r="BC62" i="6"/>
  <c r="BB62" i="6"/>
  <c r="BD62" i="6"/>
  <c r="BE62" i="6"/>
  <c r="BG62" i="6"/>
  <c r="BF62" i="6"/>
  <c r="BH62" i="6"/>
  <c r="BI62" i="6"/>
  <c r="BJ62" i="6"/>
  <c r="BK62" i="6"/>
  <c r="BM62" i="6"/>
  <c r="BN62" i="6"/>
  <c r="BL62" i="6"/>
  <c r="BQ62" i="6"/>
  <c r="BQ132" i="6"/>
  <c r="F133" i="6" s="1"/>
  <c r="F137" i="6" s="1"/>
  <c r="H128" i="6"/>
  <c r="H132" i="6" s="1"/>
  <c r="L68" i="6"/>
  <c r="L4" i="27" s="1"/>
  <c r="J68" i="6"/>
  <c r="J4" i="27" s="1"/>
  <c r="M68" i="6"/>
  <c r="M4" i="27" s="1"/>
  <c r="K68" i="6"/>
  <c r="K4" i="27" s="1"/>
  <c r="N68" i="6"/>
  <c r="N4" i="27" s="1"/>
  <c r="O68" i="6"/>
  <c r="P68" i="6"/>
  <c r="Q68" i="6"/>
  <c r="S68" i="6"/>
  <c r="R68" i="6"/>
  <c r="U68" i="6"/>
  <c r="T68" i="6"/>
  <c r="W68" i="6"/>
  <c r="V68" i="6"/>
  <c r="Y68" i="6"/>
  <c r="X68" i="6"/>
  <c r="Z68" i="6"/>
  <c r="AA68" i="6"/>
  <c r="AD68" i="6"/>
  <c r="AC68" i="6"/>
  <c r="AB68" i="6"/>
  <c r="AE68" i="6"/>
  <c r="AG68" i="6"/>
  <c r="AF68" i="6"/>
  <c r="AI68" i="6"/>
  <c r="AH68" i="6"/>
  <c r="AJ68" i="6"/>
  <c r="AK68" i="6"/>
  <c r="AL68" i="6"/>
  <c r="AN68" i="6"/>
  <c r="AM68" i="6"/>
  <c r="AP68" i="6"/>
  <c r="AO68" i="6"/>
  <c r="AS68" i="6"/>
  <c r="AQ68" i="6"/>
  <c r="AR68" i="6"/>
  <c r="AT68" i="6"/>
  <c r="AV68" i="6"/>
  <c r="AU68" i="6"/>
  <c r="AW68" i="6"/>
  <c r="AX68" i="6"/>
  <c r="AZ68" i="6"/>
  <c r="BA68" i="6"/>
  <c r="AY68" i="6"/>
  <c r="BB68" i="6"/>
  <c r="BC68" i="6"/>
  <c r="BE68" i="6"/>
  <c r="BD68" i="6"/>
  <c r="BF68" i="6"/>
  <c r="BH68" i="6"/>
  <c r="BG68" i="6"/>
  <c r="BI68" i="6"/>
  <c r="BJ68" i="6"/>
  <c r="BL68" i="6"/>
  <c r="BK68" i="6"/>
  <c r="BN68" i="6"/>
  <c r="BM68" i="6"/>
  <c r="F250" i="6" l="1"/>
  <c r="F258" i="6"/>
  <c r="F260" i="6" s="1"/>
  <c r="F252" i="6" s="1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BB142" i="6"/>
  <c r="BC142" i="6"/>
  <c r="BD142" i="6"/>
  <c r="BE142" i="6"/>
  <c r="BF142" i="6"/>
  <c r="BG142" i="6"/>
  <c r="BH142" i="6"/>
  <c r="BI142" i="6"/>
  <c r="BJ142" i="6"/>
  <c r="BK142" i="6"/>
  <c r="BL142" i="6"/>
  <c r="BM142" i="6"/>
  <c r="BN142" i="6"/>
  <c r="BO142" i="6"/>
  <c r="BP142" i="6"/>
  <c r="BQ142" i="6"/>
  <c r="J3" i="27"/>
  <c r="H62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AY198" i="6"/>
  <c r="AZ198" i="6"/>
  <c r="BA198" i="6"/>
  <c r="BB198" i="6"/>
  <c r="BC198" i="6"/>
  <c r="BD198" i="6"/>
  <c r="BE198" i="6"/>
  <c r="BF198" i="6"/>
  <c r="BG198" i="6"/>
  <c r="BH198" i="6"/>
  <c r="BI198" i="6"/>
  <c r="BJ198" i="6"/>
  <c r="BK198" i="6"/>
  <c r="BL198" i="6"/>
  <c r="BM198" i="6"/>
  <c r="BN198" i="6"/>
  <c r="BO198" i="6"/>
  <c r="BP198" i="6"/>
  <c r="BQ198" i="6"/>
  <c r="AG211" i="6" l="1"/>
  <c r="AG204" i="6"/>
  <c r="AG205" i="6" s="1"/>
  <c r="AG210" i="6" s="1"/>
  <c r="AG219" i="6"/>
  <c r="AU155" i="6"/>
  <c r="AU148" i="6"/>
  <c r="AU149" i="6" s="1"/>
  <c r="AU154" i="6" s="1"/>
  <c r="AU163" i="6"/>
  <c r="BL211" i="6"/>
  <c r="BL204" i="6"/>
  <c r="BL205" i="6" s="1"/>
  <c r="BL210" i="6" s="1"/>
  <c r="BL219" i="6"/>
  <c r="P211" i="6"/>
  <c r="P204" i="6"/>
  <c r="P205" i="6" s="1"/>
  <c r="P210" i="6" s="1"/>
  <c r="P219" i="6"/>
  <c r="AD155" i="6"/>
  <c r="AD156" i="6" s="1"/>
  <c r="AD161" i="6" s="1"/>
  <c r="AD148" i="6"/>
  <c r="AD149" i="6" s="1"/>
  <c r="AD154" i="6" s="1"/>
  <c r="AD163" i="6"/>
  <c r="AD164" i="6" s="1"/>
  <c r="AD10" i="10" s="1"/>
  <c r="AD11" i="10" s="1"/>
  <c r="V155" i="6"/>
  <c r="V156" i="6" s="1"/>
  <c r="V161" i="6" s="1"/>
  <c r="V148" i="6"/>
  <c r="V149" i="6" s="1"/>
  <c r="V154" i="6" s="1"/>
  <c r="V163" i="6"/>
  <c r="N155" i="6"/>
  <c r="N148" i="6"/>
  <c r="N149" i="6" s="1"/>
  <c r="N154" i="6" s="1"/>
  <c r="N163" i="6"/>
  <c r="AO219" i="6"/>
  <c r="AO211" i="6"/>
  <c r="AO204" i="6"/>
  <c r="AO205" i="6" s="1"/>
  <c r="AO210" i="6" s="1"/>
  <c r="AM155" i="6"/>
  <c r="AM148" i="6"/>
  <c r="AM149" i="6" s="1"/>
  <c r="AM154" i="6" s="1"/>
  <c r="AM163" i="6"/>
  <c r="BD211" i="6"/>
  <c r="BD204" i="6"/>
  <c r="BD205" i="6" s="1"/>
  <c r="BD210" i="6" s="1"/>
  <c r="BD219" i="6"/>
  <c r="BJ155" i="6"/>
  <c r="BJ148" i="6"/>
  <c r="BJ149" i="6" s="1"/>
  <c r="BJ154" i="6" s="1"/>
  <c r="BJ163" i="6"/>
  <c r="BK211" i="6"/>
  <c r="BK204" i="6"/>
  <c r="BK205" i="6" s="1"/>
  <c r="BK210" i="6" s="1"/>
  <c r="BK219" i="6"/>
  <c r="AE211" i="6"/>
  <c r="AE212" i="6" s="1"/>
  <c r="AE217" i="6" s="1"/>
  <c r="AE204" i="6"/>
  <c r="AE205" i="6" s="1"/>
  <c r="AE210" i="6" s="1"/>
  <c r="AE219" i="6"/>
  <c r="AE220" i="6" s="1"/>
  <c r="AE18" i="14" s="1"/>
  <c r="AE19" i="14" s="1"/>
  <c r="W211" i="6"/>
  <c r="W212" i="6" s="1"/>
  <c r="W217" i="6" s="1"/>
  <c r="W204" i="6"/>
  <c r="W205" i="6" s="1"/>
  <c r="W210" i="6" s="1"/>
  <c r="W219" i="6"/>
  <c r="O211" i="6"/>
  <c r="O204" i="6"/>
  <c r="O205" i="6" s="1"/>
  <c r="O210" i="6" s="1"/>
  <c r="O219" i="6"/>
  <c r="BQ155" i="6"/>
  <c r="BQ148" i="6"/>
  <c r="BQ149" i="6" s="1"/>
  <c r="BQ154" i="6" s="1"/>
  <c r="BQ163" i="6"/>
  <c r="BI155" i="6"/>
  <c r="BI148" i="6"/>
  <c r="BI149" i="6" s="1"/>
  <c r="BI154" i="6" s="1"/>
  <c r="BI163" i="6"/>
  <c r="BA155" i="6"/>
  <c r="BA148" i="6"/>
  <c r="BA149" i="6" s="1"/>
  <c r="BA154" i="6" s="1"/>
  <c r="BA163" i="6"/>
  <c r="AS155" i="6"/>
  <c r="AS148" i="6"/>
  <c r="AS149" i="6" s="1"/>
  <c r="AS154" i="6" s="1"/>
  <c r="AS163" i="6"/>
  <c r="AK155" i="6"/>
  <c r="AK148" i="6"/>
  <c r="AK149" i="6" s="1"/>
  <c r="AK154" i="6" s="1"/>
  <c r="AK163" i="6"/>
  <c r="AC155" i="6"/>
  <c r="AC156" i="6" s="1"/>
  <c r="AC161" i="6" s="1"/>
  <c r="AC148" i="6"/>
  <c r="AC149" i="6" s="1"/>
  <c r="AC154" i="6" s="1"/>
  <c r="AC163" i="6"/>
  <c r="AC164" i="6" s="1"/>
  <c r="AC10" i="10" s="1"/>
  <c r="AC11" i="10" s="1"/>
  <c r="U155" i="6"/>
  <c r="U156" i="6" s="1"/>
  <c r="U161" i="6" s="1"/>
  <c r="U148" i="6"/>
  <c r="U149" i="6" s="1"/>
  <c r="U154" i="6" s="1"/>
  <c r="U163" i="6"/>
  <c r="M155" i="6"/>
  <c r="M148" i="6"/>
  <c r="M149" i="6" s="1"/>
  <c r="M154" i="6" s="1"/>
  <c r="M163" i="6"/>
  <c r="AW211" i="6"/>
  <c r="AW204" i="6"/>
  <c r="AW205" i="6" s="1"/>
  <c r="AW210" i="6" s="1"/>
  <c r="AW219" i="6"/>
  <c r="AE155" i="6"/>
  <c r="AE148" i="6"/>
  <c r="AE149" i="6" s="1"/>
  <c r="AE154" i="6" s="1"/>
  <c r="AE163" i="6"/>
  <c r="AN211" i="6"/>
  <c r="AN204" i="6"/>
  <c r="AN205" i="6" s="1"/>
  <c r="AN210" i="6" s="1"/>
  <c r="AN219" i="6"/>
  <c r="BB155" i="6"/>
  <c r="BB148" i="6"/>
  <c r="BB149" i="6" s="1"/>
  <c r="BB154" i="6" s="1"/>
  <c r="BB163" i="6"/>
  <c r="AM211" i="6"/>
  <c r="AM204" i="6"/>
  <c r="AM205" i="6" s="1"/>
  <c r="AM210" i="6" s="1"/>
  <c r="AM219" i="6"/>
  <c r="AT211" i="6"/>
  <c r="AT212" i="6" s="1"/>
  <c r="AT217" i="6" s="1"/>
  <c r="AT204" i="6"/>
  <c r="AT205" i="6" s="1"/>
  <c r="AT210" i="6" s="1"/>
  <c r="AT219" i="6"/>
  <c r="AT220" i="6" s="1"/>
  <c r="AT18" i="14" s="1"/>
  <c r="AT19" i="14" s="1"/>
  <c r="AL211" i="6"/>
  <c r="AL212" i="6" s="1"/>
  <c r="AL217" i="6" s="1"/>
  <c r="AL204" i="6"/>
  <c r="AL205" i="6" s="1"/>
  <c r="AL210" i="6" s="1"/>
  <c r="AL219" i="6"/>
  <c r="AD211" i="6"/>
  <c r="AD204" i="6"/>
  <c r="AD205" i="6" s="1"/>
  <c r="AD210" i="6" s="1"/>
  <c r="AD219" i="6"/>
  <c r="V211" i="6"/>
  <c r="V204" i="6"/>
  <c r="V205" i="6" s="1"/>
  <c r="V210" i="6" s="1"/>
  <c r="V219" i="6"/>
  <c r="N211" i="6"/>
  <c r="N204" i="6"/>
  <c r="N205" i="6" s="1"/>
  <c r="N210" i="6" s="1"/>
  <c r="N219" i="6"/>
  <c r="BP163" i="6"/>
  <c r="BP155" i="6"/>
  <c r="BP156" i="6" s="1"/>
  <c r="BP161" i="6" s="1"/>
  <c r="BP148" i="6"/>
  <c r="BP149" i="6" s="1"/>
  <c r="BP154" i="6" s="1"/>
  <c r="BH163" i="6"/>
  <c r="BH155" i="6"/>
  <c r="BH156" i="6" s="1"/>
  <c r="BH161" i="6" s="1"/>
  <c r="BH148" i="6"/>
  <c r="BH149" i="6" s="1"/>
  <c r="BH154" i="6" s="1"/>
  <c r="AZ163" i="6"/>
  <c r="AZ155" i="6"/>
  <c r="AZ148" i="6"/>
  <c r="AZ149" i="6" s="1"/>
  <c r="AZ154" i="6" s="1"/>
  <c r="AR163" i="6"/>
  <c r="AR155" i="6"/>
  <c r="AR148" i="6"/>
  <c r="AR149" i="6" s="1"/>
  <c r="AR154" i="6" s="1"/>
  <c r="AJ163" i="6"/>
  <c r="AJ155" i="6"/>
  <c r="AJ148" i="6"/>
  <c r="AJ149" i="6" s="1"/>
  <c r="AJ154" i="6" s="1"/>
  <c r="AB163" i="6"/>
  <c r="AB155" i="6"/>
  <c r="AB148" i="6"/>
  <c r="AB149" i="6" s="1"/>
  <c r="AB154" i="6" s="1"/>
  <c r="T163" i="6"/>
  <c r="T155" i="6"/>
  <c r="T148" i="6"/>
  <c r="T149" i="6" s="1"/>
  <c r="T154" i="6" s="1"/>
  <c r="L163" i="6"/>
  <c r="L155" i="6"/>
  <c r="L156" i="6" s="1"/>
  <c r="L161" i="6" s="1"/>
  <c r="L148" i="6"/>
  <c r="L149" i="6" s="1"/>
  <c r="L154" i="6" s="1"/>
  <c r="Y219" i="6"/>
  <c r="Y211" i="6"/>
  <c r="Y212" i="6" s="1"/>
  <c r="Y217" i="6" s="1"/>
  <c r="Y204" i="6"/>
  <c r="Y205" i="6" s="1"/>
  <c r="Y210" i="6" s="1"/>
  <c r="BC155" i="6"/>
  <c r="BC148" i="6"/>
  <c r="BC149" i="6" s="1"/>
  <c r="BC154" i="6" s="1"/>
  <c r="BC163" i="6"/>
  <c r="AV211" i="6"/>
  <c r="AV212" i="6" s="1"/>
  <c r="AV217" i="6" s="1"/>
  <c r="AV204" i="6"/>
  <c r="AV205" i="6" s="1"/>
  <c r="AV210" i="6" s="1"/>
  <c r="AV219" i="6"/>
  <c r="AT155" i="6"/>
  <c r="AT156" i="6" s="1"/>
  <c r="AT161" i="6" s="1"/>
  <c r="AT148" i="6"/>
  <c r="AT149" i="6" s="1"/>
  <c r="AT154" i="6" s="1"/>
  <c r="AT163" i="6"/>
  <c r="AT164" i="6" s="1"/>
  <c r="AT10" i="10" s="1"/>
  <c r="AT11" i="10" s="1"/>
  <c r="BC211" i="6"/>
  <c r="BC212" i="6" s="1"/>
  <c r="BC217" i="6" s="1"/>
  <c r="BC204" i="6"/>
  <c r="BC205" i="6" s="1"/>
  <c r="BC210" i="6" s="1"/>
  <c r="BC219" i="6"/>
  <c r="BJ211" i="6"/>
  <c r="BJ212" i="6" s="1"/>
  <c r="BJ217" i="6" s="1"/>
  <c r="BJ204" i="6"/>
  <c r="BJ205" i="6" s="1"/>
  <c r="BJ210" i="6" s="1"/>
  <c r="BJ219" i="6"/>
  <c r="BQ219" i="6"/>
  <c r="BQ211" i="6"/>
  <c r="BQ204" i="6"/>
  <c r="BQ205" i="6" s="1"/>
  <c r="BQ210" i="6" s="1"/>
  <c r="BA219" i="6"/>
  <c r="BA211" i="6"/>
  <c r="BA204" i="6"/>
  <c r="BA205" i="6" s="1"/>
  <c r="BA210" i="6" s="1"/>
  <c r="AS219" i="6"/>
  <c r="AS211" i="6"/>
  <c r="AS212" i="6" s="1"/>
  <c r="AS217" i="6" s="1"/>
  <c r="AS204" i="6"/>
  <c r="AS205" i="6" s="1"/>
  <c r="AS210" i="6" s="1"/>
  <c r="AK219" i="6"/>
  <c r="AK211" i="6"/>
  <c r="AK212" i="6" s="1"/>
  <c r="AK217" i="6" s="1"/>
  <c r="AK204" i="6"/>
  <c r="AK205" i="6" s="1"/>
  <c r="AK210" i="6" s="1"/>
  <c r="AC219" i="6"/>
  <c r="AC211" i="6"/>
  <c r="AC212" i="6" s="1"/>
  <c r="AC217" i="6" s="1"/>
  <c r="AC204" i="6"/>
  <c r="AC205" i="6" s="1"/>
  <c r="AC210" i="6" s="1"/>
  <c r="U219" i="6"/>
  <c r="U211" i="6"/>
  <c r="U204" i="6"/>
  <c r="U205" i="6" s="1"/>
  <c r="U210" i="6" s="1"/>
  <c r="M219" i="6"/>
  <c r="M211" i="6"/>
  <c r="M204" i="6"/>
  <c r="M205" i="6" s="1"/>
  <c r="M210" i="6" s="1"/>
  <c r="BO163" i="6"/>
  <c r="BO155" i="6"/>
  <c r="BO148" i="6"/>
  <c r="BO149" i="6" s="1"/>
  <c r="BO154" i="6" s="1"/>
  <c r="BG163" i="6"/>
  <c r="BG155" i="6"/>
  <c r="BG148" i="6"/>
  <c r="BG149" i="6" s="1"/>
  <c r="BG154" i="6" s="1"/>
  <c r="AY163" i="6"/>
  <c r="AY155" i="6"/>
  <c r="AY148" i="6"/>
  <c r="AY149" i="6" s="1"/>
  <c r="AY154" i="6" s="1"/>
  <c r="AQ163" i="6"/>
  <c r="AQ155" i="6"/>
  <c r="AQ156" i="6" s="1"/>
  <c r="AQ161" i="6" s="1"/>
  <c r="AQ148" i="6"/>
  <c r="AQ149" i="6" s="1"/>
  <c r="AQ154" i="6" s="1"/>
  <c r="AI163" i="6"/>
  <c r="AI155" i="6"/>
  <c r="AI156" i="6" s="1"/>
  <c r="AI161" i="6" s="1"/>
  <c r="AI148" i="6"/>
  <c r="AI149" i="6" s="1"/>
  <c r="AI154" i="6" s="1"/>
  <c r="AA163" i="6"/>
  <c r="AA155" i="6"/>
  <c r="AA156" i="6" s="1"/>
  <c r="AA161" i="6" s="1"/>
  <c r="AA148" i="6"/>
  <c r="AA149" i="6" s="1"/>
  <c r="AA154" i="6" s="1"/>
  <c r="S163" i="6"/>
  <c r="S155" i="6"/>
  <c r="S148" i="6"/>
  <c r="S149" i="6" s="1"/>
  <c r="S154" i="6" s="1"/>
  <c r="K163" i="6"/>
  <c r="K155" i="6"/>
  <c r="K148" i="6"/>
  <c r="K149" i="6" s="1"/>
  <c r="K154" i="6" s="1"/>
  <c r="BE219" i="6"/>
  <c r="BE211" i="6"/>
  <c r="BE204" i="6"/>
  <c r="BE205" i="6" s="1"/>
  <c r="BE210" i="6" s="1"/>
  <c r="BK155" i="6"/>
  <c r="BK148" i="6"/>
  <c r="BK149" i="6" s="1"/>
  <c r="BK154" i="6" s="1"/>
  <c r="BK163" i="6"/>
  <c r="W155" i="6"/>
  <c r="W148" i="6"/>
  <c r="W149" i="6" s="1"/>
  <c r="W154" i="6" s="1"/>
  <c r="W163" i="6"/>
  <c r="AF211" i="6"/>
  <c r="AF204" i="6"/>
  <c r="AF205" i="6" s="1"/>
  <c r="AF210" i="6" s="1"/>
  <c r="AF219" i="6"/>
  <c r="AF220" i="6" s="1"/>
  <c r="AF18" i="14" s="1"/>
  <c r="AF19" i="14" s="1"/>
  <c r="AL155" i="6"/>
  <c r="AL148" i="6"/>
  <c r="AL149" i="6" s="1"/>
  <c r="AL154" i="6" s="1"/>
  <c r="AL163" i="6"/>
  <c r="AU211" i="6"/>
  <c r="AU204" i="6"/>
  <c r="AU205" i="6" s="1"/>
  <c r="AU210" i="6" s="1"/>
  <c r="AU219" i="6"/>
  <c r="BB211" i="6"/>
  <c r="BB212" i="6" s="1"/>
  <c r="BB217" i="6" s="1"/>
  <c r="BB204" i="6"/>
  <c r="BB205" i="6" s="1"/>
  <c r="BB210" i="6" s="1"/>
  <c r="BB219" i="6"/>
  <c r="BI219" i="6"/>
  <c r="BI211" i="6"/>
  <c r="BI204" i="6"/>
  <c r="BI205" i="6" s="1"/>
  <c r="BI210" i="6" s="1"/>
  <c r="BP219" i="6"/>
  <c r="BP204" i="6"/>
  <c r="BP205" i="6" s="1"/>
  <c r="BP210" i="6" s="1"/>
  <c r="BP211" i="6"/>
  <c r="BP212" i="6" s="1"/>
  <c r="BP217" i="6" s="1"/>
  <c r="BH219" i="6"/>
  <c r="BH211" i="6"/>
  <c r="BH204" i="6"/>
  <c r="BH205" i="6" s="1"/>
  <c r="BH210" i="6" s="1"/>
  <c r="AZ219" i="6"/>
  <c r="AZ211" i="6"/>
  <c r="AZ204" i="6"/>
  <c r="AZ205" i="6" s="1"/>
  <c r="AZ210" i="6" s="1"/>
  <c r="AR219" i="6"/>
  <c r="AR211" i="6"/>
  <c r="AR212" i="6" s="1"/>
  <c r="AR217" i="6" s="1"/>
  <c r="AR204" i="6"/>
  <c r="AR205" i="6" s="1"/>
  <c r="AR210" i="6" s="1"/>
  <c r="AJ219" i="6"/>
  <c r="AJ204" i="6"/>
  <c r="AJ205" i="6" s="1"/>
  <c r="AJ210" i="6" s="1"/>
  <c r="AJ211" i="6"/>
  <c r="AB219" i="6"/>
  <c r="AB211" i="6"/>
  <c r="AB212" i="6" s="1"/>
  <c r="AB217" i="6" s="1"/>
  <c r="AB204" i="6"/>
  <c r="AB205" i="6" s="1"/>
  <c r="AB210" i="6" s="1"/>
  <c r="T219" i="6"/>
  <c r="T204" i="6"/>
  <c r="T205" i="6" s="1"/>
  <c r="T210" i="6" s="1"/>
  <c r="T211" i="6"/>
  <c r="T212" i="6" s="1"/>
  <c r="T217" i="6" s="1"/>
  <c r="L219" i="6"/>
  <c r="L211" i="6"/>
  <c r="L204" i="6"/>
  <c r="L205" i="6" s="1"/>
  <c r="L210" i="6" s="1"/>
  <c r="BN163" i="6"/>
  <c r="BN148" i="6"/>
  <c r="BN149" i="6" s="1"/>
  <c r="BN154" i="6" s="1"/>
  <c r="BN155" i="6"/>
  <c r="BN156" i="6" s="1"/>
  <c r="BN161" i="6" s="1"/>
  <c r="BF163" i="6"/>
  <c r="BF148" i="6"/>
  <c r="BF149" i="6" s="1"/>
  <c r="BF154" i="6" s="1"/>
  <c r="BF155" i="6"/>
  <c r="BF156" i="6" s="1"/>
  <c r="BF161" i="6" s="1"/>
  <c r="AX163" i="6"/>
  <c r="AX148" i="6"/>
  <c r="AX149" i="6" s="1"/>
  <c r="AX154" i="6" s="1"/>
  <c r="AX155" i="6"/>
  <c r="AX156" i="6" s="1"/>
  <c r="AX161" i="6" s="1"/>
  <c r="AP163" i="6"/>
  <c r="AP148" i="6"/>
  <c r="AP149" i="6" s="1"/>
  <c r="AP154" i="6" s="1"/>
  <c r="AP155" i="6"/>
  <c r="AH163" i="6"/>
  <c r="AH148" i="6"/>
  <c r="AH149" i="6" s="1"/>
  <c r="AH154" i="6" s="1"/>
  <c r="AH155" i="6"/>
  <c r="Z163" i="6"/>
  <c r="Z148" i="6"/>
  <c r="Z149" i="6" s="1"/>
  <c r="Z154" i="6" s="1"/>
  <c r="Z155" i="6"/>
  <c r="R163" i="6"/>
  <c r="R148" i="6"/>
  <c r="R149" i="6" s="1"/>
  <c r="R154" i="6" s="1"/>
  <c r="R155" i="6"/>
  <c r="R156" i="6" s="1"/>
  <c r="R161" i="6" s="1"/>
  <c r="J163" i="6"/>
  <c r="H142" i="6"/>
  <c r="J148" i="6"/>
  <c r="J149" i="6" s="1"/>
  <c r="J154" i="6" s="1"/>
  <c r="J155" i="6"/>
  <c r="J156" i="6" s="1"/>
  <c r="BM219" i="6"/>
  <c r="BM204" i="6"/>
  <c r="BM205" i="6" s="1"/>
  <c r="BM210" i="6" s="1"/>
  <c r="BM211" i="6"/>
  <c r="Q219" i="6"/>
  <c r="Q204" i="6"/>
  <c r="Q205" i="6" s="1"/>
  <c r="Q210" i="6" s="1"/>
  <c r="Q211" i="6"/>
  <c r="O155" i="6"/>
  <c r="O148" i="6"/>
  <c r="O149" i="6" s="1"/>
  <c r="O154" i="6" s="1"/>
  <c r="O163" i="6"/>
  <c r="X211" i="6"/>
  <c r="X212" i="6" s="1"/>
  <c r="X217" i="6" s="1"/>
  <c r="X204" i="6"/>
  <c r="X205" i="6" s="1"/>
  <c r="X210" i="6" s="1"/>
  <c r="X219" i="6"/>
  <c r="BG219" i="6"/>
  <c r="BG204" i="6"/>
  <c r="BG205" i="6" s="1"/>
  <c r="BG210" i="6" s="1"/>
  <c r="BG211" i="6"/>
  <c r="BG212" i="6" s="1"/>
  <c r="BG217" i="6" s="1"/>
  <c r="S219" i="6"/>
  <c r="S204" i="6"/>
  <c r="S205" i="6" s="1"/>
  <c r="S210" i="6" s="1"/>
  <c r="S211" i="6"/>
  <c r="S212" i="6" s="1"/>
  <c r="S217" i="6" s="1"/>
  <c r="K219" i="6"/>
  <c r="K204" i="6"/>
  <c r="K205" i="6" s="1"/>
  <c r="K210" i="6" s="1"/>
  <c r="K211" i="6"/>
  <c r="K212" i="6" s="1"/>
  <c r="K217" i="6" s="1"/>
  <c r="BM163" i="6"/>
  <c r="BM155" i="6"/>
  <c r="BM148" i="6"/>
  <c r="BM149" i="6" s="1"/>
  <c r="BM154" i="6" s="1"/>
  <c r="BE163" i="6"/>
  <c r="BE155" i="6"/>
  <c r="BE156" i="6" s="1"/>
  <c r="BE161" i="6" s="1"/>
  <c r="BE148" i="6"/>
  <c r="BE149" i="6" s="1"/>
  <c r="BE154" i="6" s="1"/>
  <c r="AW163" i="6"/>
  <c r="AW155" i="6"/>
  <c r="AW156" i="6" s="1"/>
  <c r="AW161" i="6" s="1"/>
  <c r="AW148" i="6"/>
  <c r="AW149" i="6" s="1"/>
  <c r="AW154" i="6" s="1"/>
  <c r="AO163" i="6"/>
  <c r="AO155" i="6"/>
  <c r="AO156" i="6" s="1"/>
  <c r="AO161" i="6" s="1"/>
  <c r="AO148" i="6"/>
  <c r="AO149" i="6" s="1"/>
  <c r="AO154" i="6" s="1"/>
  <c r="AG163" i="6"/>
  <c r="AG155" i="6"/>
  <c r="AG148" i="6"/>
  <c r="AG149" i="6" s="1"/>
  <c r="AG154" i="6" s="1"/>
  <c r="Y163" i="6"/>
  <c r="Y155" i="6"/>
  <c r="Y148" i="6"/>
  <c r="Y149" i="6" s="1"/>
  <c r="Y154" i="6" s="1"/>
  <c r="Q163" i="6"/>
  <c r="Q155" i="6"/>
  <c r="Q148" i="6"/>
  <c r="Q149" i="6" s="1"/>
  <c r="Q154" i="6" s="1"/>
  <c r="BO219" i="6"/>
  <c r="BO204" i="6"/>
  <c r="BO205" i="6" s="1"/>
  <c r="BO210" i="6" s="1"/>
  <c r="BO211" i="6"/>
  <c r="BO212" i="6" s="1"/>
  <c r="BO217" i="6" s="1"/>
  <c r="AY219" i="6"/>
  <c r="AY204" i="6"/>
  <c r="AY205" i="6" s="1"/>
  <c r="AY210" i="6" s="1"/>
  <c r="AY211" i="6"/>
  <c r="AY212" i="6" s="1"/>
  <c r="AY217" i="6" s="1"/>
  <c r="AQ219" i="6"/>
  <c r="AQ204" i="6"/>
  <c r="AQ205" i="6" s="1"/>
  <c r="AQ210" i="6" s="1"/>
  <c r="AQ211" i="6"/>
  <c r="AI219" i="6"/>
  <c r="AI204" i="6"/>
  <c r="AI205" i="6" s="1"/>
  <c r="AI210" i="6" s="1"/>
  <c r="AI211" i="6"/>
  <c r="AA219" i="6"/>
  <c r="AA204" i="6"/>
  <c r="AA205" i="6" s="1"/>
  <c r="AA210" i="6" s="1"/>
  <c r="AA211" i="6"/>
  <c r="BN219" i="6"/>
  <c r="BN211" i="6"/>
  <c r="BN204" i="6"/>
  <c r="BN205" i="6" s="1"/>
  <c r="BN210" i="6" s="1"/>
  <c r="BF219" i="6"/>
  <c r="BF211" i="6"/>
  <c r="BF204" i="6"/>
  <c r="BF205" i="6" s="1"/>
  <c r="BF210" i="6" s="1"/>
  <c r="AX219" i="6"/>
  <c r="AX211" i="6"/>
  <c r="AX204" i="6"/>
  <c r="AX205" i="6" s="1"/>
  <c r="AX210" i="6" s="1"/>
  <c r="AP219" i="6"/>
  <c r="AP211" i="6"/>
  <c r="AP204" i="6"/>
  <c r="AP205" i="6" s="1"/>
  <c r="AP210" i="6" s="1"/>
  <c r="AH219" i="6"/>
  <c r="AH211" i="6"/>
  <c r="AH204" i="6"/>
  <c r="AH205" i="6" s="1"/>
  <c r="AH210" i="6" s="1"/>
  <c r="Z219" i="6"/>
  <c r="Z211" i="6"/>
  <c r="Z212" i="6" s="1"/>
  <c r="Z217" i="6" s="1"/>
  <c r="Z204" i="6"/>
  <c r="Z205" i="6" s="1"/>
  <c r="Z210" i="6" s="1"/>
  <c r="R219" i="6"/>
  <c r="R211" i="6"/>
  <c r="R212" i="6" s="1"/>
  <c r="R217" i="6" s="1"/>
  <c r="R204" i="6"/>
  <c r="R205" i="6" s="1"/>
  <c r="R210" i="6" s="1"/>
  <c r="J219" i="6"/>
  <c r="J211" i="6"/>
  <c r="J212" i="6" s="1"/>
  <c r="J204" i="6"/>
  <c r="J205" i="6" s="1"/>
  <c r="J210" i="6" s="1"/>
  <c r="H198" i="6"/>
  <c r="BL148" i="6"/>
  <c r="BL149" i="6" s="1"/>
  <c r="BL154" i="6" s="1"/>
  <c r="BL163" i="6"/>
  <c r="BL155" i="6"/>
  <c r="BL156" i="6" s="1"/>
  <c r="BL161" i="6" s="1"/>
  <c r="BD148" i="6"/>
  <c r="BD149" i="6" s="1"/>
  <c r="BD154" i="6" s="1"/>
  <c r="BD163" i="6"/>
  <c r="BD155" i="6"/>
  <c r="BD156" i="6" s="1"/>
  <c r="BD161" i="6" s="1"/>
  <c r="AV148" i="6"/>
  <c r="AV149" i="6" s="1"/>
  <c r="AV154" i="6" s="1"/>
  <c r="AV163" i="6"/>
  <c r="AV164" i="6" s="1"/>
  <c r="AV10" i="10" s="1"/>
  <c r="AV11" i="10" s="1"/>
  <c r="AV155" i="6"/>
  <c r="AV156" i="6" s="1"/>
  <c r="AV161" i="6" s="1"/>
  <c r="AN148" i="6"/>
  <c r="AN149" i="6" s="1"/>
  <c r="AN154" i="6" s="1"/>
  <c r="AN163" i="6"/>
  <c r="AN155" i="6"/>
  <c r="AF148" i="6"/>
  <c r="AF149" i="6" s="1"/>
  <c r="AF154" i="6" s="1"/>
  <c r="AF163" i="6"/>
  <c r="AF155" i="6"/>
  <c r="X148" i="6"/>
  <c r="X149" i="6" s="1"/>
  <c r="X154" i="6" s="1"/>
  <c r="X163" i="6"/>
  <c r="X155" i="6"/>
  <c r="P148" i="6"/>
  <c r="P149" i="6" s="1"/>
  <c r="P154" i="6" s="1"/>
  <c r="P163" i="6"/>
  <c r="P155" i="6"/>
  <c r="J254" i="6"/>
  <c r="K254" i="6"/>
  <c r="K50" i="19" s="1"/>
  <c r="L254" i="6"/>
  <c r="L50" i="19" s="1"/>
  <c r="M254" i="6"/>
  <c r="M50" i="19" s="1"/>
  <c r="N254" i="6"/>
  <c r="N50" i="19" s="1"/>
  <c r="O254" i="6"/>
  <c r="O50" i="19" s="1"/>
  <c r="P254" i="6"/>
  <c r="P50" i="19" s="1"/>
  <c r="Q254" i="6"/>
  <c r="Q50" i="19" s="1"/>
  <c r="R254" i="6"/>
  <c r="R50" i="19" s="1"/>
  <c r="S254" i="6"/>
  <c r="S50" i="19" s="1"/>
  <c r="T254" i="6"/>
  <c r="T50" i="19" s="1"/>
  <c r="U254" i="6"/>
  <c r="U50" i="19" s="1"/>
  <c r="V254" i="6"/>
  <c r="V50" i="19" s="1"/>
  <c r="W254" i="6"/>
  <c r="W50" i="19" s="1"/>
  <c r="X254" i="6"/>
  <c r="X50" i="19" s="1"/>
  <c r="Y254" i="6"/>
  <c r="Y50" i="19" s="1"/>
  <c r="Z254" i="6"/>
  <c r="Z50" i="19" s="1"/>
  <c r="AA254" i="6"/>
  <c r="AA50" i="19" s="1"/>
  <c r="AB254" i="6"/>
  <c r="AB50" i="19" s="1"/>
  <c r="AC254" i="6"/>
  <c r="AC50" i="19" s="1"/>
  <c r="AD254" i="6"/>
  <c r="AD50" i="19" s="1"/>
  <c r="AE254" i="6"/>
  <c r="AE50" i="19" s="1"/>
  <c r="AF254" i="6"/>
  <c r="AF50" i="19" s="1"/>
  <c r="AG254" i="6"/>
  <c r="AG50" i="19" s="1"/>
  <c r="AH254" i="6"/>
  <c r="AH50" i="19" s="1"/>
  <c r="AI254" i="6"/>
  <c r="AI50" i="19" s="1"/>
  <c r="AJ254" i="6"/>
  <c r="AJ50" i="19" s="1"/>
  <c r="AK254" i="6"/>
  <c r="AK50" i="19" s="1"/>
  <c r="AL254" i="6"/>
  <c r="AL50" i="19" s="1"/>
  <c r="AM254" i="6"/>
  <c r="AM50" i="19" s="1"/>
  <c r="AN254" i="6"/>
  <c r="AN50" i="19" s="1"/>
  <c r="AO254" i="6"/>
  <c r="AO50" i="19" s="1"/>
  <c r="AP254" i="6"/>
  <c r="AP50" i="19" s="1"/>
  <c r="AQ254" i="6"/>
  <c r="AQ50" i="19" s="1"/>
  <c r="AR254" i="6"/>
  <c r="AR50" i="19" s="1"/>
  <c r="AS254" i="6"/>
  <c r="AS50" i="19" s="1"/>
  <c r="AT254" i="6"/>
  <c r="AT50" i="19" s="1"/>
  <c r="AU254" i="6"/>
  <c r="AU50" i="19" s="1"/>
  <c r="AV254" i="6"/>
  <c r="AV50" i="19" s="1"/>
  <c r="AW254" i="6"/>
  <c r="AW50" i="19" s="1"/>
  <c r="AX254" i="6"/>
  <c r="AX50" i="19" s="1"/>
  <c r="AY254" i="6"/>
  <c r="AY50" i="19" s="1"/>
  <c r="AZ254" i="6"/>
  <c r="AZ50" i="19" s="1"/>
  <c r="BA254" i="6"/>
  <c r="BA50" i="19" s="1"/>
  <c r="BB254" i="6"/>
  <c r="BB50" i="19" s="1"/>
  <c r="BC254" i="6"/>
  <c r="BC50" i="19" s="1"/>
  <c r="BD254" i="6"/>
  <c r="BD50" i="19" s="1"/>
  <c r="BE254" i="6"/>
  <c r="BE50" i="19" s="1"/>
  <c r="BF254" i="6"/>
  <c r="BF50" i="19" s="1"/>
  <c r="BG254" i="6"/>
  <c r="BG50" i="19" s="1"/>
  <c r="BH254" i="6"/>
  <c r="BH50" i="19" s="1"/>
  <c r="BI254" i="6"/>
  <c r="BI50" i="19" s="1"/>
  <c r="BJ254" i="6"/>
  <c r="BJ50" i="19" s="1"/>
  <c r="BK254" i="6"/>
  <c r="BK50" i="19" s="1"/>
  <c r="BL254" i="6"/>
  <c r="BL50" i="19" s="1"/>
  <c r="BM254" i="6"/>
  <c r="BM50" i="19" s="1"/>
  <c r="BN254" i="6"/>
  <c r="BN50" i="19" s="1"/>
  <c r="BO254" i="6"/>
  <c r="BO50" i="19" s="1"/>
  <c r="BP254" i="6"/>
  <c r="BP50" i="19" s="1"/>
  <c r="BQ254" i="6"/>
  <c r="BQ50" i="19" s="1"/>
  <c r="X156" i="6" l="1"/>
  <c r="X161" i="6" s="1"/>
  <c r="BL164" i="6"/>
  <c r="BL10" i="10" s="1"/>
  <c r="BL11" i="10" s="1"/>
  <c r="AP212" i="6"/>
  <c r="AP217" i="6" s="1"/>
  <c r="AW164" i="6"/>
  <c r="AW10" i="10" s="1"/>
  <c r="AW11" i="10" s="1"/>
  <c r="BH212" i="6"/>
  <c r="BH217" i="6" s="1"/>
  <c r="AL156" i="6"/>
  <c r="AL161" i="6" s="1"/>
  <c r="AI164" i="6"/>
  <c r="AI10" i="10" s="1"/>
  <c r="AI11" i="10" s="1"/>
  <c r="BG156" i="6"/>
  <c r="BG161" i="6" s="1"/>
  <c r="AK220" i="6"/>
  <c r="AK18" i="14" s="1"/>
  <c r="AK19" i="14" s="1"/>
  <c r="BQ212" i="6"/>
  <c r="BQ217" i="6" s="1"/>
  <c r="AT8" i="37"/>
  <c r="AT16" i="12"/>
  <c r="AT31" i="10"/>
  <c r="AT18" i="10"/>
  <c r="AT38" i="10"/>
  <c r="BC156" i="6"/>
  <c r="BC161" i="6" s="1"/>
  <c r="T156" i="6"/>
  <c r="T161" i="6" s="1"/>
  <c r="BH164" i="6"/>
  <c r="BH10" i="10" s="1"/>
  <c r="BH11" i="10" s="1"/>
  <c r="AT48" i="15"/>
  <c r="AT33" i="15"/>
  <c r="AT11" i="14"/>
  <c r="AT20" i="14"/>
  <c r="BB156" i="6"/>
  <c r="BB161" i="6" s="1"/>
  <c r="AC8" i="37"/>
  <c r="AC38" i="10"/>
  <c r="AC40" i="10" s="1"/>
  <c r="AC25" i="14" s="1"/>
  <c r="AC26" i="14" s="1"/>
  <c r="AC16" i="12"/>
  <c r="BA18" i="12" s="1"/>
  <c r="AC31" i="10"/>
  <c r="BA32" i="10" s="1"/>
  <c r="AC18" i="10"/>
  <c r="AS156" i="6"/>
  <c r="AS161" i="6" s="1"/>
  <c r="AE48" i="15"/>
  <c r="AE33" i="15"/>
  <c r="AE11" i="14"/>
  <c r="AE20" i="14"/>
  <c r="BJ156" i="6"/>
  <c r="BJ161" i="6" s="1"/>
  <c r="AO212" i="6"/>
  <c r="AO217" i="6" s="1"/>
  <c r="AD8" i="37"/>
  <c r="AD16" i="12"/>
  <c r="BB18" i="12" s="1"/>
  <c r="AD31" i="10"/>
  <c r="BB32" i="10" s="1"/>
  <c r="AD38" i="10"/>
  <c r="AD40" i="10" s="1"/>
  <c r="AD25" i="14" s="1"/>
  <c r="AD26" i="14" s="1"/>
  <c r="AD18" i="10"/>
  <c r="BL212" i="6"/>
  <c r="BL217" i="6" s="1"/>
  <c r="X164" i="6"/>
  <c r="X10" i="10" s="1"/>
  <c r="X11" i="10" s="1"/>
  <c r="BN212" i="6"/>
  <c r="BN217" i="6" s="1"/>
  <c r="AQ212" i="6"/>
  <c r="AQ217" i="6" s="1"/>
  <c r="BO220" i="6"/>
  <c r="BO18" i="14" s="1"/>
  <c r="BO19" i="14" s="1"/>
  <c r="AG156" i="6"/>
  <c r="AG161" i="6" s="1"/>
  <c r="BM212" i="6"/>
  <c r="BM217" i="6" s="1"/>
  <c r="AP156" i="6"/>
  <c r="AP161" i="6" s="1"/>
  <c r="AP164" i="6" s="1"/>
  <c r="AP10" i="10" s="1"/>
  <c r="AP11" i="10" s="1"/>
  <c r="BF164" i="6"/>
  <c r="BF10" i="10" s="1"/>
  <c r="BF11" i="10" s="1"/>
  <c r="AF48" i="15"/>
  <c r="AF33" i="15"/>
  <c r="AF11" i="14"/>
  <c r="AF20" i="14"/>
  <c r="AF10" i="28" s="1"/>
  <c r="Z6" i="47" s="1"/>
  <c r="BK156" i="6"/>
  <c r="BK161" i="6" s="1"/>
  <c r="BK164" i="6" s="1"/>
  <c r="BK10" i="10" s="1"/>
  <c r="BK11" i="10" s="1"/>
  <c r="S156" i="6"/>
  <c r="S161" i="6" s="1"/>
  <c r="S164" i="6" s="1"/>
  <c r="S10" i="10" s="1"/>
  <c r="S11" i="10" s="1"/>
  <c r="BG164" i="6"/>
  <c r="BG10" i="10" s="1"/>
  <c r="BG11" i="10" s="1"/>
  <c r="U212" i="6"/>
  <c r="U217" i="6" s="1"/>
  <c r="T164" i="6"/>
  <c r="T10" i="10" s="1"/>
  <c r="T11" i="10" s="1"/>
  <c r="AR156" i="6"/>
  <c r="AR161" i="6" s="1"/>
  <c r="V212" i="6"/>
  <c r="V217" i="6" s="1"/>
  <c r="AW212" i="6"/>
  <c r="AW217" i="6" s="1"/>
  <c r="AW220" i="6" s="1"/>
  <c r="BQ156" i="6"/>
  <c r="BQ161" i="6" s="1"/>
  <c r="AG164" i="6"/>
  <c r="AG10" i="10" s="1"/>
  <c r="AG11" i="10" s="1"/>
  <c r="R164" i="6"/>
  <c r="R10" i="10" s="1"/>
  <c r="R11" i="10" s="1"/>
  <c r="AR164" i="6"/>
  <c r="AR10" i="10" s="1"/>
  <c r="AR11" i="10" s="1"/>
  <c r="AD220" i="6"/>
  <c r="AD18" i="14" s="1"/>
  <c r="AD19" i="14" s="1"/>
  <c r="Y164" i="6"/>
  <c r="Y10" i="10" s="1"/>
  <c r="Y11" i="10" s="1"/>
  <c r="AV8" i="37"/>
  <c r="AV16" i="12"/>
  <c r="AV31" i="10"/>
  <c r="AV18" i="10"/>
  <c r="AV38" i="10"/>
  <c r="H211" i="6"/>
  <c r="H204" i="6"/>
  <c r="H219" i="6"/>
  <c r="AF156" i="6"/>
  <c r="AF161" i="6" s="1"/>
  <c r="Z220" i="6"/>
  <c r="Z18" i="14" s="1"/>
  <c r="Z19" i="14" s="1"/>
  <c r="AX212" i="6"/>
  <c r="AX217" i="6" s="1"/>
  <c r="AA212" i="6"/>
  <c r="AA217" i="6" s="1"/>
  <c r="AQ220" i="6"/>
  <c r="AQ18" i="14" s="1"/>
  <c r="AQ19" i="14" s="1"/>
  <c r="Q156" i="6"/>
  <c r="Q161" i="6" s="1"/>
  <c r="BE164" i="6"/>
  <c r="BE10" i="10" s="1"/>
  <c r="BE11" i="10" s="1"/>
  <c r="O164" i="6"/>
  <c r="O10" i="10" s="1"/>
  <c r="O11" i="10" s="1"/>
  <c r="Z156" i="6"/>
  <c r="Z161" i="6" s="1"/>
  <c r="AR220" i="6"/>
  <c r="AR18" i="14" s="1"/>
  <c r="AR19" i="14" s="1"/>
  <c r="AU220" i="6"/>
  <c r="AU18" i="14" s="1"/>
  <c r="AU19" i="14" s="1"/>
  <c r="AF212" i="6"/>
  <c r="AF217" i="6" s="1"/>
  <c r="BE212" i="6"/>
  <c r="BE217" i="6" s="1"/>
  <c r="AQ164" i="6"/>
  <c r="AQ10" i="10" s="1"/>
  <c r="AQ11" i="10" s="1"/>
  <c r="BO156" i="6"/>
  <c r="BO161" i="6" s="1"/>
  <c r="AS220" i="6"/>
  <c r="AS18" i="14" s="1"/>
  <c r="AS19" i="14" s="1"/>
  <c r="AV220" i="6"/>
  <c r="AV18" i="14" s="1"/>
  <c r="AV19" i="14" s="1"/>
  <c r="Y220" i="6"/>
  <c r="Y18" i="14" s="1"/>
  <c r="Y19" i="14" s="1"/>
  <c r="AB156" i="6"/>
  <c r="AB161" i="6" s="1"/>
  <c r="BP164" i="6"/>
  <c r="BP10" i="10" s="1"/>
  <c r="BP11" i="10" s="1"/>
  <c r="AN212" i="6"/>
  <c r="AN217" i="6" s="1"/>
  <c r="AN220" i="6" s="1"/>
  <c r="BA156" i="6"/>
  <c r="BA161" i="6" s="1"/>
  <c r="BA164" i="6" s="1"/>
  <c r="BA10" i="10" s="1"/>
  <c r="BA11" i="10" s="1"/>
  <c r="BD212" i="6"/>
  <c r="BD217" i="6" s="1"/>
  <c r="AU156" i="6"/>
  <c r="AU161" i="6" s="1"/>
  <c r="AU164" i="6" s="1"/>
  <c r="AU10" i="10" s="1"/>
  <c r="AU11" i="10" s="1"/>
  <c r="J50" i="19"/>
  <c r="H254" i="6"/>
  <c r="H50" i="19" s="1"/>
  <c r="AF164" i="6"/>
  <c r="AF10" i="10" s="1"/>
  <c r="AF11" i="10" s="1"/>
  <c r="J217" i="6"/>
  <c r="J220" i="6" s="1"/>
  <c r="Q164" i="6"/>
  <c r="Q10" i="10" s="1"/>
  <c r="Q11" i="10" s="1"/>
  <c r="S220" i="6"/>
  <c r="S18" i="14" s="1"/>
  <c r="S19" i="14" s="1"/>
  <c r="J161" i="6"/>
  <c r="BN164" i="6"/>
  <c r="BN10" i="10" s="1"/>
  <c r="BN11" i="10" s="1"/>
  <c r="BO164" i="6"/>
  <c r="BO10" i="10" s="1"/>
  <c r="BO11" i="10" s="1"/>
  <c r="AB164" i="6"/>
  <c r="AB10" i="10" s="1"/>
  <c r="AB11" i="10" s="1"/>
  <c r="AZ156" i="6"/>
  <c r="AZ161" i="6" s="1"/>
  <c r="AD212" i="6"/>
  <c r="AD217" i="6" s="1"/>
  <c r="M156" i="6"/>
  <c r="M161" i="6" s="1"/>
  <c r="M164" i="6" s="1"/>
  <c r="M10" i="10" s="1"/>
  <c r="M11" i="10" s="1"/>
  <c r="O212" i="6"/>
  <c r="O217" i="6" s="1"/>
  <c r="N156" i="6"/>
  <c r="N161" i="6" s="1"/>
  <c r="N164" i="6" s="1"/>
  <c r="N10" i="10" s="1"/>
  <c r="N11" i="10" s="1"/>
  <c r="AG220" i="6"/>
  <c r="AG18" i="14" s="1"/>
  <c r="AG19" i="14" s="1"/>
  <c r="AJ164" i="6"/>
  <c r="AJ10" i="10" s="1"/>
  <c r="AJ11" i="10" s="1"/>
  <c r="V220" i="6"/>
  <c r="V18" i="14" s="1"/>
  <c r="V19" i="14" s="1"/>
  <c r="BQ164" i="6"/>
  <c r="BQ10" i="10" s="1"/>
  <c r="BQ11" i="10" s="1"/>
  <c r="P156" i="6"/>
  <c r="P161" i="6" s="1"/>
  <c r="P164" i="6" s="1"/>
  <c r="P10" i="10" s="1"/>
  <c r="P11" i="10" s="1"/>
  <c r="BD164" i="6"/>
  <c r="BD10" i="10" s="1"/>
  <c r="BD11" i="10" s="1"/>
  <c r="AH212" i="6"/>
  <c r="AH217" i="6" s="1"/>
  <c r="AO164" i="6"/>
  <c r="AO10" i="10" s="1"/>
  <c r="AO11" i="10" s="1"/>
  <c r="BM156" i="6"/>
  <c r="BM161" i="6" s="1"/>
  <c r="O156" i="6"/>
  <c r="O161" i="6" s="1"/>
  <c r="Z164" i="6"/>
  <c r="Z10" i="10" s="1"/>
  <c r="Z11" i="10" s="1"/>
  <c r="AB220" i="6"/>
  <c r="AB18" i="14" s="1"/>
  <c r="AB19" i="14" s="1"/>
  <c r="AZ212" i="6"/>
  <c r="AZ217" i="6" s="1"/>
  <c r="AU212" i="6"/>
  <c r="AU217" i="6" s="1"/>
  <c r="AA164" i="6"/>
  <c r="AA10" i="10" s="1"/>
  <c r="AA11" i="10" s="1"/>
  <c r="AY156" i="6"/>
  <c r="AY161" i="6" s="1"/>
  <c r="AC220" i="6"/>
  <c r="AC18" i="14" s="1"/>
  <c r="AC19" i="14" s="1"/>
  <c r="BA212" i="6"/>
  <c r="BA217" i="6" s="1"/>
  <c r="BC220" i="6"/>
  <c r="BC18" i="14" s="1"/>
  <c r="BC19" i="14" s="1"/>
  <c r="AZ164" i="6"/>
  <c r="AZ10" i="10" s="1"/>
  <c r="AZ11" i="10" s="1"/>
  <c r="AM212" i="6"/>
  <c r="AM217" i="6" s="1"/>
  <c r="U164" i="6"/>
  <c r="U10" i="10" s="1"/>
  <c r="U11" i="10" s="1"/>
  <c r="AK156" i="6"/>
  <c r="AK161" i="6" s="1"/>
  <c r="AK164" i="6" s="1"/>
  <c r="AK10" i="10" s="1"/>
  <c r="AK11" i="10" s="1"/>
  <c r="W220" i="6"/>
  <c r="W18" i="14" s="1"/>
  <c r="W19" i="14" s="1"/>
  <c r="BK212" i="6"/>
  <c r="BK217" i="6" s="1"/>
  <c r="V164" i="6"/>
  <c r="V10" i="10" s="1"/>
  <c r="V11" i="10" s="1"/>
  <c r="P212" i="6"/>
  <c r="P217" i="6" s="1"/>
  <c r="P220" i="6" s="1"/>
  <c r="J164" i="6"/>
  <c r="J10" i="10" s="1"/>
  <c r="J11" i="10" s="1"/>
  <c r="K164" i="6"/>
  <c r="K10" i="10" s="1"/>
  <c r="K11" i="10" s="1"/>
  <c r="AN156" i="6"/>
  <c r="AN161" i="6" s="1"/>
  <c r="AN164" i="6" s="1"/>
  <c r="AN10" i="10" s="1"/>
  <c r="AN11" i="10" s="1"/>
  <c r="AH220" i="6"/>
  <c r="AH18" i="14" s="1"/>
  <c r="AH19" i="14" s="1"/>
  <c r="BF212" i="6"/>
  <c r="BF217" i="6" s="1"/>
  <c r="BF220" i="6" s="1"/>
  <c r="AI212" i="6"/>
  <c r="AI217" i="6" s="1"/>
  <c r="Y156" i="6"/>
  <c r="Y161" i="6" s="1"/>
  <c r="BM164" i="6"/>
  <c r="BM10" i="10" s="1"/>
  <c r="BM11" i="10" s="1"/>
  <c r="Q212" i="6"/>
  <c r="Q217" i="6" s="1"/>
  <c r="H148" i="6"/>
  <c r="H163" i="6"/>
  <c r="H155" i="6"/>
  <c r="AH156" i="6"/>
  <c r="AH161" i="6" s="1"/>
  <c r="AH164" i="6" s="1"/>
  <c r="AH10" i="10" s="1"/>
  <c r="AH11" i="10" s="1"/>
  <c r="AX164" i="6"/>
  <c r="AX10" i="10" s="1"/>
  <c r="AX11" i="10" s="1"/>
  <c r="L212" i="6"/>
  <c r="L217" i="6" s="1"/>
  <c r="AJ212" i="6"/>
  <c r="AJ217" i="6" s="1"/>
  <c r="AZ220" i="6"/>
  <c r="AZ18" i="14" s="1"/>
  <c r="AZ19" i="14" s="1"/>
  <c r="BI212" i="6"/>
  <c r="BI217" i="6" s="1"/>
  <c r="BI220" i="6" s="1"/>
  <c r="AL164" i="6"/>
  <c r="AL10" i="10" s="1"/>
  <c r="AL11" i="10" s="1"/>
  <c r="W156" i="6"/>
  <c r="W161" i="6" s="1"/>
  <c r="W164" i="6" s="1"/>
  <c r="W10" i="10" s="1"/>
  <c r="W11" i="10" s="1"/>
  <c r="K156" i="6"/>
  <c r="K161" i="6" s="1"/>
  <c r="AY164" i="6"/>
  <c r="AY10" i="10" s="1"/>
  <c r="AY11" i="10" s="1"/>
  <c r="M212" i="6"/>
  <c r="M217" i="6" s="1"/>
  <c r="M220" i="6" s="1"/>
  <c r="BA220" i="6"/>
  <c r="BA18" i="14" s="1"/>
  <c r="BA19" i="14" s="1"/>
  <c r="BC164" i="6"/>
  <c r="BC10" i="10" s="1"/>
  <c r="BC11" i="10" s="1"/>
  <c r="L164" i="6"/>
  <c r="L10" i="10" s="1"/>
  <c r="L11" i="10" s="1"/>
  <c r="AJ156" i="6"/>
  <c r="AJ161" i="6" s="1"/>
  <c r="N212" i="6"/>
  <c r="N217" i="6" s="1"/>
  <c r="BB164" i="6"/>
  <c r="BB10" i="10" s="1"/>
  <c r="BB11" i="10" s="1"/>
  <c r="AE156" i="6"/>
  <c r="AE161" i="6" s="1"/>
  <c r="AE164" i="6" s="1"/>
  <c r="AE10" i="10" s="1"/>
  <c r="AE11" i="10" s="1"/>
  <c r="AS164" i="6"/>
  <c r="AS10" i="10" s="1"/>
  <c r="AS11" i="10" s="1"/>
  <c r="BI156" i="6"/>
  <c r="BI161" i="6" s="1"/>
  <c r="BI164" i="6" s="1"/>
  <c r="BI10" i="10" s="1"/>
  <c r="BI11" i="10" s="1"/>
  <c r="BJ164" i="6"/>
  <c r="BJ10" i="10" s="1"/>
  <c r="BJ11" i="10" s="1"/>
  <c r="AM156" i="6"/>
  <c r="AM161" i="6" s="1"/>
  <c r="AM164" i="6" s="1"/>
  <c r="AM10" i="10" s="1"/>
  <c r="AM11" i="10" s="1"/>
  <c r="BL220" i="6"/>
  <c r="BL18" i="14" s="1"/>
  <c r="BL19" i="14" s="1"/>
  <c r="AG212" i="6"/>
  <c r="AG217" i="6" s="1"/>
  <c r="M8" i="37" l="1"/>
  <c r="M38" i="10"/>
  <c r="M40" i="10" s="1"/>
  <c r="M25" i="14" s="1"/>
  <c r="M26" i="14" s="1"/>
  <c r="M16" i="12"/>
  <c r="AK18" i="12" s="1"/>
  <c r="M31" i="10"/>
  <c r="AK32" i="10" s="1"/>
  <c r="M18" i="10"/>
  <c r="K8" i="38"/>
  <c r="S8" i="37"/>
  <c r="S18" i="10"/>
  <c r="S38" i="10"/>
  <c r="S40" i="10" s="1"/>
  <c r="S25" i="14" s="1"/>
  <c r="S26" i="14" s="1"/>
  <c r="S31" i="10"/>
  <c r="AQ32" i="10" s="1"/>
  <c r="S16" i="12"/>
  <c r="AQ18" i="12" s="1"/>
  <c r="BK8" i="37"/>
  <c r="BK16" i="12"/>
  <c r="BK31" i="10"/>
  <c r="BK18" i="10"/>
  <c r="BK38" i="10"/>
  <c r="AM8" i="37"/>
  <c r="AM16" i="12"/>
  <c r="AM31" i="10"/>
  <c r="BK32" i="10" s="1"/>
  <c r="AM18" i="10"/>
  <c r="AM38" i="10"/>
  <c r="AN18" i="14"/>
  <c r="AN19" i="14" s="1"/>
  <c r="AO220" i="6"/>
  <c r="BI18" i="14"/>
  <c r="BI19" i="14" s="1"/>
  <c r="BJ220" i="6"/>
  <c r="P18" i="14"/>
  <c r="P19" i="14" s="1"/>
  <c r="Q220" i="6"/>
  <c r="AW18" i="14"/>
  <c r="AW19" i="14" s="1"/>
  <c r="AX220" i="6"/>
  <c r="M18" i="14"/>
  <c r="M19" i="14" s="1"/>
  <c r="N220" i="6"/>
  <c r="J18" i="14"/>
  <c r="J19" i="14" s="1"/>
  <c r="K220" i="6"/>
  <c r="AE8" i="37"/>
  <c r="AE16" i="12"/>
  <c r="BC18" i="12" s="1"/>
  <c r="AE31" i="10"/>
  <c r="BC32" i="10" s="1"/>
  <c r="AE18" i="10"/>
  <c r="AE38" i="10"/>
  <c r="AE40" i="10" s="1"/>
  <c r="AE25" i="14" s="1"/>
  <c r="AE26" i="14" s="1"/>
  <c r="Q8" i="38"/>
  <c r="AU8" i="37"/>
  <c r="AU16" i="12"/>
  <c r="AU31" i="10"/>
  <c r="AU18" i="10"/>
  <c r="AU38" i="10"/>
  <c r="M8" i="26"/>
  <c r="V8" i="38"/>
  <c r="P8" i="39"/>
  <c r="AP8" i="37"/>
  <c r="AP18" i="10"/>
  <c r="AP38" i="10"/>
  <c r="AP16" i="12"/>
  <c r="AP31" i="10"/>
  <c r="BN32" i="10" s="1"/>
  <c r="BI8" i="37"/>
  <c r="BI38" i="10"/>
  <c r="BI16" i="12"/>
  <c r="BI31" i="10"/>
  <c r="BI18" i="10"/>
  <c r="AA8" i="38"/>
  <c r="BF18" i="14"/>
  <c r="BF19" i="14" s="1"/>
  <c r="BG220" i="6"/>
  <c r="N8" i="37"/>
  <c r="N16" i="12"/>
  <c r="AL18" i="12" s="1"/>
  <c r="N31" i="10"/>
  <c r="AL32" i="10" s="1"/>
  <c r="N18" i="10"/>
  <c r="N38" i="10"/>
  <c r="N40" i="10" s="1"/>
  <c r="N25" i="14" s="1"/>
  <c r="N26" i="14" s="1"/>
  <c r="AN8" i="37"/>
  <c r="AN16" i="12"/>
  <c r="AN31" i="10"/>
  <c r="BL32" i="10" s="1"/>
  <c r="AN18" i="10"/>
  <c r="AN38" i="10"/>
  <c r="T8" i="38"/>
  <c r="O8" i="39"/>
  <c r="P8" i="37"/>
  <c r="P16" i="12"/>
  <c r="AN18" i="12" s="1"/>
  <c r="P31" i="10"/>
  <c r="AN32" i="10" s="1"/>
  <c r="P18" i="10"/>
  <c r="P38" i="10"/>
  <c r="P40" i="10" s="1"/>
  <c r="P25" i="14" s="1"/>
  <c r="P26" i="14" s="1"/>
  <c r="AH8" i="37"/>
  <c r="AH18" i="10"/>
  <c r="AH38" i="10"/>
  <c r="AH16" i="12"/>
  <c r="AH31" i="10"/>
  <c r="BF32" i="10" s="1"/>
  <c r="R8" i="38"/>
  <c r="N8" i="39"/>
  <c r="L8" i="26"/>
  <c r="W8" i="37"/>
  <c r="W16" i="12"/>
  <c r="AU18" i="12" s="1"/>
  <c r="W31" i="10"/>
  <c r="AU32" i="10" s="1"/>
  <c r="W18" i="10"/>
  <c r="W38" i="10"/>
  <c r="W40" i="10" s="1"/>
  <c r="W25" i="14" s="1"/>
  <c r="W26" i="14" s="1"/>
  <c r="AK8" i="37"/>
  <c r="AK38" i="10"/>
  <c r="AK16" i="12"/>
  <c r="AK31" i="10"/>
  <c r="BI32" i="10" s="1"/>
  <c r="AK18" i="10"/>
  <c r="S8" i="38"/>
  <c r="BA8" i="37"/>
  <c r="BA38" i="10"/>
  <c r="BA16" i="12"/>
  <c r="BA31" i="10"/>
  <c r="BA18" i="10"/>
  <c r="BC48" i="15"/>
  <c r="BC33" i="15"/>
  <c r="BC11" i="14"/>
  <c r="BC20" i="14"/>
  <c r="Q8" i="37"/>
  <c r="Q31" i="10"/>
  <c r="AO32" i="10" s="1"/>
  <c r="Q18" i="10"/>
  <c r="Q38" i="10"/>
  <c r="Q40" i="10" s="1"/>
  <c r="Q25" i="14" s="1"/>
  <c r="Q26" i="14" s="1"/>
  <c r="Q16" i="12"/>
  <c r="AO18" i="12" s="1"/>
  <c r="BB9" i="37"/>
  <c r="BB17" i="12"/>
  <c r="BB19" i="10"/>
  <c r="BB39" i="10"/>
  <c r="AT10" i="28"/>
  <c r="AN6" i="47" s="1"/>
  <c r="AK48" i="15"/>
  <c r="AK33" i="15"/>
  <c r="AK11" i="14"/>
  <c r="AK20" i="14"/>
  <c r="AS8" i="37"/>
  <c r="AS38" i="10"/>
  <c r="AS16" i="12"/>
  <c r="AS31" i="10"/>
  <c r="BQ32" i="10" s="1"/>
  <c r="AS18" i="10"/>
  <c r="V48" i="15"/>
  <c r="V33" i="15"/>
  <c r="V11" i="14"/>
  <c r="V20" i="14"/>
  <c r="BM220" i="6"/>
  <c r="AR8" i="37"/>
  <c r="AR38" i="10"/>
  <c r="AR16" i="12"/>
  <c r="AR18" i="10"/>
  <c r="AR31" i="10"/>
  <c r="BP32" i="10" s="1"/>
  <c r="BB14" i="37"/>
  <c r="BB67" i="12"/>
  <c r="BB68" i="12" s="1"/>
  <c r="BB63" i="12"/>
  <c r="BB54" i="12"/>
  <c r="X220" i="6"/>
  <c r="X18" i="14" s="1"/>
  <c r="X19" i="14" s="1"/>
  <c r="V8" i="37"/>
  <c r="V16" i="12"/>
  <c r="AT18" i="12" s="1"/>
  <c r="V31" i="10"/>
  <c r="AT32" i="10" s="1"/>
  <c r="V38" i="10"/>
  <c r="V40" i="10" s="1"/>
  <c r="V25" i="14" s="1"/>
  <c r="V26" i="14" s="1"/>
  <c r="V18" i="10"/>
  <c r="L8" i="39"/>
  <c r="N8" i="38"/>
  <c r="K8" i="26"/>
  <c r="AS48" i="15"/>
  <c r="AS33" i="15"/>
  <c r="AS11" i="14"/>
  <c r="AS20" i="14"/>
  <c r="AS10" i="28" s="1"/>
  <c r="AM6" i="47" s="1"/>
  <c r="AY8" i="37"/>
  <c r="AY18" i="10"/>
  <c r="AY38" i="10"/>
  <c r="AY31" i="10"/>
  <c r="AY16" i="12"/>
  <c r="W48" i="15"/>
  <c r="W33" i="15"/>
  <c r="W11" i="14"/>
  <c r="W20" i="14"/>
  <c r="W10" i="28" s="1"/>
  <c r="Q6" i="47" s="1"/>
  <c r="AJ8" i="37"/>
  <c r="AJ38" i="10"/>
  <c r="AJ16" i="12"/>
  <c r="AJ31" i="10"/>
  <c r="BH32" i="10" s="1"/>
  <c r="AJ18" i="10"/>
  <c r="AQ8" i="37"/>
  <c r="AQ18" i="10"/>
  <c r="AQ38" i="10"/>
  <c r="AQ31" i="10"/>
  <c r="BO32" i="10" s="1"/>
  <c r="AQ16" i="12"/>
  <c r="U8" i="38"/>
  <c r="O8" i="37"/>
  <c r="O16" i="12"/>
  <c r="AM18" i="12" s="1"/>
  <c r="O31" i="10"/>
  <c r="AM32" i="10" s="1"/>
  <c r="O18" i="10"/>
  <c r="O38" i="10"/>
  <c r="O40" i="10" s="1"/>
  <c r="O25" i="14" s="1"/>
  <c r="O26" i="14" s="1"/>
  <c r="AI8" i="37"/>
  <c r="AI18" i="10"/>
  <c r="AI38" i="10"/>
  <c r="AI31" i="10"/>
  <c r="BG32" i="10" s="1"/>
  <c r="AI16" i="12"/>
  <c r="AW8" i="37"/>
  <c r="AW31" i="10"/>
  <c r="AW18" i="10"/>
  <c r="AW38" i="10"/>
  <c r="AW16" i="12"/>
  <c r="W8" i="38"/>
  <c r="Z48" i="15"/>
  <c r="Z33" i="15"/>
  <c r="Z20" i="14"/>
  <c r="Z10" i="28" s="1"/>
  <c r="T6" i="47" s="1"/>
  <c r="Z11" i="14"/>
  <c r="AC48" i="15"/>
  <c r="AC33" i="15"/>
  <c r="AC11" i="14"/>
  <c r="AC20" i="14"/>
  <c r="AC10" i="28" s="1"/>
  <c r="W6" i="47" s="1"/>
  <c r="BB8" i="37"/>
  <c r="BB16" i="12"/>
  <c r="BB31" i="10"/>
  <c r="BB38" i="10"/>
  <c r="BB18" i="10"/>
  <c r="AO8" i="37"/>
  <c r="AO31" i="10"/>
  <c r="BM32" i="10" s="1"/>
  <c r="AO18" i="10"/>
  <c r="AO38" i="10"/>
  <c r="AO16" i="12"/>
  <c r="BP220" i="6"/>
  <c r="H212" i="6"/>
  <c r="H217" i="6" s="1"/>
  <c r="BE8" i="37"/>
  <c r="BE31" i="10"/>
  <c r="BE18" i="10"/>
  <c r="BE38" i="10"/>
  <c r="BE16" i="12"/>
  <c r="BA9" i="37"/>
  <c r="BA17" i="12"/>
  <c r="BA39" i="10"/>
  <c r="BA19" i="10"/>
  <c r="AI220" i="6"/>
  <c r="BO8" i="37"/>
  <c r="BO18" i="10"/>
  <c r="BO38" i="10"/>
  <c r="BO31" i="10"/>
  <c r="BO16" i="12"/>
  <c r="AC8" i="38"/>
  <c r="BN8" i="37"/>
  <c r="BN18" i="10"/>
  <c r="BN38" i="10"/>
  <c r="BN16" i="12"/>
  <c r="BN31" i="10"/>
  <c r="AF8" i="37"/>
  <c r="AF16" i="12"/>
  <c r="BD18" i="12" s="1"/>
  <c r="AF31" i="10"/>
  <c r="BD32" i="10" s="1"/>
  <c r="AF18" i="10"/>
  <c r="AF38" i="10"/>
  <c r="AF40" i="10" s="1"/>
  <c r="AF25" i="14" s="1"/>
  <c r="AF26" i="14" s="1"/>
  <c r="T8" i="37"/>
  <c r="T38" i="10"/>
  <c r="T40" i="10" s="1"/>
  <c r="T25" i="14" s="1"/>
  <c r="T26" i="14" s="1"/>
  <c r="T16" i="12"/>
  <c r="AR18" i="12" s="1"/>
  <c r="T18" i="10"/>
  <c r="T31" i="10"/>
  <c r="AR32" i="10" s="1"/>
  <c r="BO20" i="14"/>
  <c r="BO33" i="15"/>
  <c r="BO48" i="15"/>
  <c r="BO11" i="14"/>
  <c r="BA14" i="37"/>
  <c r="BA67" i="12"/>
  <c r="BA68" i="12" s="1"/>
  <c r="BA54" i="12"/>
  <c r="BA63" i="12"/>
  <c r="BH8" i="37"/>
  <c r="BH38" i="10"/>
  <c r="BH16" i="12"/>
  <c r="BH31" i="10"/>
  <c r="BH18" i="10"/>
  <c r="BB220" i="6"/>
  <c r="BB18" i="14" s="1"/>
  <c r="BB19" i="14" s="1"/>
  <c r="BA48" i="15"/>
  <c r="BA33" i="15"/>
  <c r="BA11" i="14"/>
  <c r="BA20" i="14"/>
  <c r="BA10" i="28" s="1"/>
  <c r="AU6" i="47" s="1"/>
  <c r="Z8" i="37"/>
  <c r="Z18" i="10"/>
  <c r="Z38" i="10"/>
  <c r="Z40" i="10" s="1"/>
  <c r="Z25" i="14" s="1"/>
  <c r="Z26" i="14" s="1"/>
  <c r="Z16" i="12"/>
  <c r="AX18" i="12" s="1"/>
  <c r="Z31" i="10"/>
  <c r="AX32" i="10" s="1"/>
  <c r="U8" i="37"/>
  <c r="U38" i="10"/>
  <c r="U40" i="10" s="1"/>
  <c r="U25" i="14" s="1"/>
  <c r="U26" i="14" s="1"/>
  <c r="U16" i="12"/>
  <c r="AS18" i="12" s="1"/>
  <c r="U31" i="10"/>
  <c r="AS32" i="10" s="1"/>
  <c r="U18" i="10"/>
  <c r="Y8" i="37"/>
  <c r="Y31" i="10"/>
  <c r="AW32" i="10" s="1"/>
  <c r="Y18" i="10"/>
  <c r="Y38" i="10"/>
  <c r="Y40" i="10" s="1"/>
  <c r="Y25" i="14" s="1"/>
  <c r="Y26" i="14" s="1"/>
  <c r="Y16" i="12"/>
  <c r="AW18" i="12" s="1"/>
  <c r="O8" i="38"/>
  <c r="AL8" i="37"/>
  <c r="AL16" i="12"/>
  <c r="AL31" i="10"/>
  <c r="BJ32" i="10" s="1"/>
  <c r="AL38" i="10"/>
  <c r="AL18" i="10"/>
  <c r="AH48" i="15"/>
  <c r="AH33" i="15"/>
  <c r="AH20" i="14"/>
  <c r="AH11" i="14"/>
  <c r="J8" i="37"/>
  <c r="J18" i="10"/>
  <c r="J21" i="10" s="1"/>
  <c r="J38" i="10"/>
  <c r="J40" i="10" s="1"/>
  <c r="H11" i="10"/>
  <c r="J16" i="12"/>
  <c r="AH18" i="12" s="1"/>
  <c r="J31" i="10"/>
  <c r="AH32" i="10" s="1"/>
  <c r="J8" i="26"/>
  <c r="J8" i="38"/>
  <c r="J8" i="39"/>
  <c r="AG11" i="14"/>
  <c r="AG20" i="14"/>
  <c r="AG10" i="28" s="1"/>
  <c r="AA6" i="47" s="1"/>
  <c r="AG33" i="15"/>
  <c r="AG48" i="15"/>
  <c r="AU48" i="15"/>
  <c r="AU33" i="15"/>
  <c r="AU11" i="14"/>
  <c r="AU20" i="14"/>
  <c r="AU10" i="28" s="1"/>
  <c r="AO6" i="47" s="1"/>
  <c r="AQ20" i="14"/>
  <c r="AQ33" i="15"/>
  <c r="AQ48" i="15"/>
  <c r="AQ11" i="14"/>
  <c r="T220" i="6"/>
  <c r="BD220" i="6"/>
  <c r="AE10" i="28"/>
  <c r="Y6" i="47" s="1"/>
  <c r="Q10" i="29"/>
  <c r="AC49" i="15"/>
  <c r="AC34" i="15"/>
  <c r="AC12" i="14"/>
  <c r="AC27" i="14"/>
  <c r="AC9" i="28" s="1"/>
  <c r="AX8" i="37"/>
  <c r="AX18" i="10"/>
  <c r="AX38" i="10"/>
  <c r="AX16" i="12"/>
  <c r="AX31" i="10"/>
  <c r="BP8" i="37"/>
  <c r="BP38" i="10"/>
  <c r="BP16" i="12"/>
  <c r="BP31" i="10"/>
  <c r="BP18" i="10"/>
  <c r="BL48" i="15"/>
  <c r="BL33" i="15"/>
  <c r="BL11" i="14"/>
  <c r="BL20" i="14"/>
  <c r="L8" i="37"/>
  <c r="L38" i="10"/>
  <c r="L40" i="10" s="1"/>
  <c r="L25" i="14" s="1"/>
  <c r="L26" i="14" s="1"/>
  <c r="L16" i="12"/>
  <c r="AJ18" i="12" s="1"/>
  <c r="L18" i="10"/>
  <c r="L31" i="10"/>
  <c r="AJ32" i="10" s="1"/>
  <c r="AL220" i="6"/>
  <c r="H156" i="6"/>
  <c r="H161" i="6" s="1"/>
  <c r="Y11" i="14"/>
  <c r="Y20" i="14"/>
  <c r="Y33" i="15"/>
  <c r="Y48" i="15"/>
  <c r="AR48" i="15"/>
  <c r="AR33" i="15"/>
  <c r="AR20" i="14"/>
  <c r="AR10" i="28" s="1"/>
  <c r="AL6" i="47" s="1"/>
  <c r="AR11" i="14"/>
  <c r="R8" i="37"/>
  <c r="R18" i="10"/>
  <c r="R38" i="10"/>
  <c r="R40" i="10" s="1"/>
  <c r="R25" i="14" s="1"/>
  <c r="R26" i="14" s="1"/>
  <c r="R16" i="12"/>
  <c r="AP18" i="12" s="1"/>
  <c r="R31" i="10"/>
  <c r="AP32" i="10" s="1"/>
  <c r="BL8" i="37"/>
  <c r="BL16" i="12"/>
  <c r="BL31" i="10"/>
  <c r="BL18" i="10"/>
  <c r="BL38" i="10"/>
  <c r="AB8" i="38"/>
  <c r="S8" i="39"/>
  <c r="BM8" i="37"/>
  <c r="BM31" i="10"/>
  <c r="BM18" i="10"/>
  <c r="BM38" i="10"/>
  <c r="BM16" i="12"/>
  <c r="BQ8" i="37"/>
  <c r="BQ38" i="10"/>
  <c r="BQ16" i="12"/>
  <c r="BQ31" i="10"/>
  <c r="BQ18" i="10"/>
  <c r="K8" i="39"/>
  <c r="L8" i="38"/>
  <c r="M8" i="38"/>
  <c r="AD48" i="15"/>
  <c r="AD33" i="15"/>
  <c r="AD11" i="14"/>
  <c r="AD20" i="14"/>
  <c r="AD10" i="28" s="1"/>
  <c r="X6" i="47" s="1"/>
  <c r="X8" i="37"/>
  <c r="X16" i="12"/>
  <c r="AV18" i="12" s="1"/>
  <c r="X31" i="10"/>
  <c r="AV32" i="10" s="1"/>
  <c r="X18" i="10"/>
  <c r="X38" i="10"/>
  <c r="X40" i="10" s="1"/>
  <c r="X25" i="14" s="1"/>
  <c r="X26" i="14" s="1"/>
  <c r="K8" i="37"/>
  <c r="K18" i="10"/>
  <c r="K38" i="10"/>
  <c r="K40" i="10" s="1"/>
  <c r="K25" i="14" s="1"/>
  <c r="K26" i="14" s="1"/>
  <c r="K31" i="10"/>
  <c r="AI32" i="10" s="1"/>
  <c r="K16" i="12"/>
  <c r="AI18" i="12" s="1"/>
  <c r="AA8" i="37"/>
  <c r="AA18" i="10"/>
  <c r="AA38" i="10"/>
  <c r="AA40" i="10" s="1"/>
  <c r="AA25" i="14" s="1"/>
  <c r="AA26" i="14" s="1"/>
  <c r="AA31" i="10"/>
  <c r="AY32" i="10" s="1"/>
  <c r="AA16" i="12"/>
  <c r="AY18" i="12" s="1"/>
  <c r="AA220" i="6"/>
  <c r="AA18" i="14" s="1"/>
  <c r="AA19" i="14" s="1"/>
  <c r="BJ8" i="37"/>
  <c r="BJ16" i="12"/>
  <c r="BJ31" i="10"/>
  <c r="BJ38" i="10"/>
  <c r="BJ18" i="10"/>
  <c r="BC8" i="37"/>
  <c r="BC16" i="12"/>
  <c r="BC31" i="10"/>
  <c r="BC18" i="10"/>
  <c r="BC38" i="10"/>
  <c r="Y8" i="38"/>
  <c r="AZ48" i="15"/>
  <c r="AZ33" i="15"/>
  <c r="AZ20" i="14"/>
  <c r="AZ11" i="14"/>
  <c r="AZ8" i="37"/>
  <c r="AZ38" i="10"/>
  <c r="AZ16" i="12"/>
  <c r="AZ18" i="10"/>
  <c r="AZ31" i="10"/>
  <c r="X8" i="38"/>
  <c r="Q8" i="39"/>
  <c r="AB48" i="15"/>
  <c r="AB33" i="15"/>
  <c r="AB20" i="14"/>
  <c r="AB11" i="14"/>
  <c r="BD8" i="37"/>
  <c r="BD16" i="12"/>
  <c r="BD31" i="10"/>
  <c r="BD18" i="10"/>
  <c r="BD38" i="10"/>
  <c r="AB8" i="37"/>
  <c r="AB38" i="10"/>
  <c r="AB40" i="10" s="1"/>
  <c r="AB25" i="14" s="1"/>
  <c r="AB26" i="14" s="1"/>
  <c r="AB16" i="12"/>
  <c r="AZ18" i="12" s="1"/>
  <c r="AB31" i="10"/>
  <c r="AZ32" i="10" s="1"/>
  <c r="AB18" i="10"/>
  <c r="M8" i="39"/>
  <c r="P8" i="38"/>
  <c r="S48" i="15"/>
  <c r="S20" i="14"/>
  <c r="S11" i="14"/>
  <c r="S33" i="15"/>
  <c r="AV48" i="15"/>
  <c r="AV33" i="15"/>
  <c r="AV11" i="14"/>
  <c r="AV20" i="14"/>
  <c r="AV10" i="28" s="1"/>
  <c r="AP6" i="47" s="1"/>
  <c r="AG8" i="37"/>
  <c r="AG31" i="10"/>
  <c r="BE32" i="10" s="1"/>
  <c r="AG18" i="10"/>
  <c r="AG38" i="10"/>
  <c r="AG40" i="10" s="1"/>
  <c r="AG25" i="14" s="1"/>
  <c r="AG26" i="14" s="1"/>
  <c r="AG16" i="12"/>
  <c r="BE18" i="12" s="1"/>
  <c r="BG8" i="37"/>
  <c r="BG18" i="10"/>
  <c r="BG38" i="10"/>
  <c r="BG31" i="10"/>
  <c r="BG16" i="12"/>
  <c r="BF8" i="37"/>
  <c r="BF18" i="10"/>
  <c r="BF38" i="10"/>
  <c r="BF16" i="12"/>
  <c r="BF31" i="10"/>
  <c r="R8" i="39"/>
  <c r="N8" i="26"/>
  <c r="Z8" i="38"/>
  <c r="AD49" i="15"/>
  <c r="AD34" i="15"/>
  <c r="AD12" i="14"/>
  <c r="AD27" i="14"/>
  <c r="AD9" i="28" s="1"/>
  <c r="AC13" i="14" l="1"/>
  <c r="AD13" i="14"/>
  <c r="BB40" i="10"/>
  <c r="BB25" i="14" s="1"/>
  <c r="BB26" i="14" s="1"/>
  <c r="W5" i="47"/>
  <c r="X18" i="51"/>
  <c r="X5" i="47"/>
  <c r="Y18" i="51"/>
  <c r="AF34" i="15"/>
  <c r="AF12" i="14"/>
  <c r="AF13" i="14" s="1"/>
  <c r="AF49" i="15"/>
  <c r="AF27" i="14"/>
  <c r="AF9" i="28" s="1"/>
  <c r="BM9" i="37"/>
  <c r="BM19" i="10"/>
  <c r="BM39" i="10"/>
  <c r="BM17" i="12"/>
  <c r="BI48" i="15"/>
  <c r="BI33" i="15"/>
  <c r="BI11" i="14"/>
  <c r="BI20" i="14"/>
  <c r="AZ9" i="37"/>
  <c r="AZ39" i="10"/>
  <c r="AZ17" i="12"/>
  <c r="AZ19" i="10"/>
  <c r="Q9" i="39"/>
  <c r="X9" i="38"/>
  <c r="AV9" i="37"/>
  <c r="AV19" i="10"/>
  <c r="AV39" i="10"/>
  <c r="AV40" i="10" s="1"/>
  <c r="AV25" i="14" s="1"/>
  <c r="AV26" i="14" s="1"/>
  <c r="AV17" i="12"/>
  <c r="BM40" i="10"/>
  <c r="BM25" i="14" s="1"/>
  <c r="BM26" i="14" s="1"/>
  <c r="AH9" i="37"/>
  <c r="AH19" i="10"/>
  <c r="AH39" i="10"/>
  <c r="AH40" i="10" s="1"/>
  <c r="AH25" i="14" s="1"/>
  <c r="AH26" i="14" s="1"/>
  <c r="AH17" i="12"/>
  <c r="N9" i="39"/>
  <c r="L9" i="26"/>
  <c r="R9" i="38"/>
  <c r="AW14" i="37"/>
  <c r="AW67" i="12"/>
  <c r="AW68" i="12" s="1"/>
  <c r="AW63" i="12"/>
  <c r="AW54" i="12"/>
  <c r="W14" i="38"/>
  <c r="U49" i="15"/>
  <c r="U34" i="15"/>
  <c r="U12" i="14"/>
  <c r="U27" i="14"/>
  <c r="U9" i="28" s="1"/>
  <c r="BO10" i="28"/>
  <c r="BI6" i="47" s="1"/>
  <c r="BD9" i="37"/>
  <c r="BD19" i="10"/>
  <c r="BD39" i="10"/>
  <c r="BD17" i="12"/>
  <c r="BQ9" i="37"/>
  <c r="BQ17" i="12"/>
  <c r="BQ19" i="10"/>
  <c r="BQ39" i="10"/>
  <c r="L9" i="38"/>
  <c r="H32" i="10"/>
  <c r="AU14" i="37"/>
  <c r="AU67" i="12"/>
  <c r="AU68" i="12" s="1"/>
  <c r="AU63" i="12"/>
  <c r="AU54" i="12"/>
  <c r="AL9" i="37"/>
  <c r="AL17" i="12"/>
  <c r="AL19" i="10"/>
  <c r="AL39" i="10"/>
  <c r="AL40" i="10" s="1"/>
  <c r="AL25" i="14" s="1"/>
  <c r="AL26" i="14" s="1"/>
  <c r="N18" i="14"/>
  <c r="N19" i="14" s="1"/>
  <c r="O220" i="6"/>
  <c r="O18" i="14" s="1"/>
  <c r="O19" i="14" s="1"/>
  <c r="AO18" i="14"/>
  <c r="AO19" i="14" s="1"/>
  <c r="AP220" i="6"/>
  <c r="AP18" i="14" s="1"/>
  <c r="AP19" i="14" s="1"/>
  <c r="X12" i="14"/>
  <c r="X34" i="15"/>
  <c r="X49" i="15"/>
  <c r="X27" i="14"/>
  <c r="X9" i="28" s="1"/>
  <c r="AJ14" i="37"/>
  <c r="AJ63" i="12"/>
  <c r="AJ54" i="12"/>
  <c r="AJ67" i="12"/>
  <c r="AJ68" i="12" s="1"/>
  <c r="AS9" i="37"/>
  <c r="AS17" i="12"/>
  <c r="BQ18" i="12" s="1"/>
  <c r="AS39" i="10"/>
  <c r="AS40" i="10" s="1"/>
  <c r="AS25" i="14" s="1"/>
  <c r="AS26" i="14" s="1"/>
  <c r="AS19" i="10"/>
  <c r="J48" i="15"/>
  <c r="J33" i="15"/>
  <c r="J20" i="14"/>
  <c r="J11" i="14"/>
  <c r="AZ14" i="37"/>
  <c r="AZ67" i="12"/>
  <c r="AZ68" i="12" s="1"/>
  <c r="AZ63" i="12"/>
  <c r="AZ54" i="12"/>
  <c r="Q14" i="39"/>
  <c r="X14" i="38"/>
  <c r="BL10" i="28"/>
  <c r="BF6" i="47" s="1"/>
  <c r="AH14" i="37"/>
  <c r="AH63" i="12"/>
  <c r="AH54" i="12"/>
  <c r="AH67" i="12"/>
  <c r="AH68" i="12" s="1"/>
  <c r="L14" i="26"/>
  <c r="R14" i="38"/>
  <c r="N14" i="39"/>
  <c r="Y49" i="15"/>
  <c r="Y34" i="15"/>
  <c r="Y27" i="14"/>
  <c r="Y12" i="14"/>
  <c r="Y13" i="14" s="1"/>
  <c r="AR9" i="37"/>
  <c r="AR39" i="10"/>
  <c r="AR40" i="10" s="1"/>
  <c r="AR25" i="14" s="1"/>
  <c r="AR26" i="14" s="1"/>
  <c r="AR17" i="12"/>
  <c r="AR19" i="10"/>
  <c r="BD14" i="37"/>
  <c r="BD63" i="12"/>
  <c r="BD54" i="12"/>
  <c r="BD67" i="12"/>
  <c r="BD68" i="12" s="1"/>
  <c r="BO9" i="37"/>
  <c r="BO39" i="10"/>
  <c r="BO40" i="10" s="1"/>
  <c r="BO25" i="14" s="1"/>
  <c r="BO26" i="14" s="1"/>
  <c r="BO17" i="12"/>
  <c r="BO19" i="10"/>
  <c r="AC9" i="38"/>
  <c r="AO14" i="37"/>
  <c r="AO67" i="12"/>
  <c r="AO68" i="12" s="1"/>
  <c r="AO63" i="12"/>
  <c r="AO54" i="12"/>
  <c r="BI9" i="37"/>
  <c r="BI17" i="12"/>
  <c r="BI39" i="10"/>
  <c r="BI40" i="10" s="1"/>
  <c r="BI25" i="14" s="1"/>
  <c r="BI26" i="14" s="1"/>
  <c r="BI19" i="10"/>
  <c r="AA9" i="38"/>
  <c r="AL14" i="37"/>
  <c r="AL67" i="12"/>
  <c r="AL68" i="12" s="1"/>
  <c r="AL63" i="12"/>
  <c r="AL54" i="12"/>
  <c r="AE49" i="15"/>
  <c r="AE34" i="15"/>
  <c r="AE12" i="14"/>
  <c r="AE13" i="14" s="1"/>
  <c r="AE27" i="14"/>
  <c r="M48" i="15"/>
  <c r="M33" i="15"/>
  <c r="M11" i="14"/>
  <c r="M20" i="14"/>
  <c r="AN48" i="15"/>
  <c r="AN33" i="15"/>
  <c r="AN11" i="14"/>
  <c r="AN20" i="14"/>
  <c r="R27" i="14"/>
  <c r="R9" i="28" s="1"/>
  <c r="R34" i="15"/>
  <c r="R49" i="15"/>
  <c r="R12" i="14"/>
  <c r="T18" i="14"/>
  <c r="T19" i="14" s="1"/>
  <c r="U220" i="6"/>
  <c r="U18" i="14" s="1"/>
  <c r="U19" i="14" s="1"/>
  <c r="AH10" i="28"/>
  <c r="AB6" i="47" s="1"/>
  <c r="AS14" i="37"/>
  <c r="AS67" i="12"/>
  <c r="AS68" i="12" s="1"/>
  <c r="AS63" i="12"/>
  <c r="AS54" i="12"/>
  <c r="AC10" i="19"/>
  <c r="AC50" i="15"/>
  <c r="AC51" i="15" s="1"/>
  <c r="AC35" i="15"/>
  <c r="X48" i="15"/>
  <c r="X33" i="15"/>
  <c r="X11" i="14"/>
  <c r="X13" i="14" s="1"/>
  <c r="X20" i="14"/>
  <c r="X10" i="28" s="1"/>
  <c r="R6" i="47" s="1"/>
  <c r="AU9" i="37"/>
  <c r="AU17" i="12"/>
  <c r="AU19" i="10"/>
  <c r="AU39" i="10"/>
  <c r="BE14" i="37"/>
  <c r="BE67" i="12"/>
  <c r="BE68" i="12" s="1"/>
  <c r="BE63" i="12"/>
  <c r="BE54" i="12"/>
  <c r="AG49" i="15"/>
  <c r="AG34" i="15"/>
  <c r="AG27" i="14"/>
  <c r="AG9" i="28" s="1"/>
  <c r="AG12" i="14"/>
  <c r="AI14" i="37"/>
  <c r="AI63" i="12"/>
  <c r="AI54" i="12"/>
  <c r="AI67" i="12"/>
  <c r="AI68" i="12" s="1"/>
  <c r="AV14" i="37"/>
  <c r="AV67" i="12"/>
  <c r="AV68" i="12" s="1"/>
  <c r="AV63" i="12"/>
  <c r="AV54" i="12"/>
  <c r="AB49" i="15"/>
  <c r="AB34" i="15"/>
  <c r="AB12" i="14"/>
  <c r="AB13" i="14" s="1"/>
  <c r="AB27" i="14"/>
  <c r="AB10" i="28"/>
  <c r="V6" i="47" s="1"/>
  <c r="M10" i="30"/>
  <c r="P10" i="29"/>
  <c r="AZ40" i="10"/>
  <c r="AZ25" i="14" s="1"/>
  <c r="AZ26" i="14" s="1"/>
  <c r="AI9" i="37"/>
  <c r="AI39" i="10"/>
  <c r="AI17" i="12"/>
  <c r="BG18" i="12" s="1"/>
  <c r="AI19" i="10"/>
  <c r="H8" i="39"/>
  <c r="H8" i="38"/>
  <c r="H8" i="37"/>
  <c r="H8" i="26"/>
  <c r="H16" i="12"/>
  <c r="H31" i="10"/>
  <c r="H18" i="10"/>
  <c r="H38" i="10"/>
  <c r="AX9" i="37"/>
  <c r="AX19" i="10"/>
  <c r="AX39" i="10"/>
  <c r="AX17" i="12"/>
  <c r="BB49" i="15"/>
  <c r="BB34" i="15"/>
  <c r="BB12" i="14"/>
  <c r="BB27" i="14"/>
  <c r="BB9" i="28" s="1"/>
  <c r="AV5" i="47" s="1"/>
  <c r="O49" i="15"/>
  <c r="O34" i="15"/>
  <c r="O12" i="14"/>
  <c r="O27" i="14"/>
  <c r="O9" i="28" s="1"/>
  <c r="J18" i="51" s="1"/>
  <c r="BM18" i="14"/>
  <c r="BM19" i="14" s="1"/>
  <c r="BN220" i="6"/>
  <c r="BN18" i="14" s="1"/>
  <c r="BN19" i="14" s="1"/>
  <c r="V10" i="29"/>
  <c r="Q49" i="15"/>
  <c r="Q34" i="15"/>
  <c r="Q27" i="14"/>
  <c r="Q9" i="28" s="1"/>
  <c r="Q12" i="14"/>
  <c r="P12" i="14"/>
  <c r="P27" i="14"/>
  <c r="P9" i="28" s="1"/>
  <c r="K18" i="51" s="1"/>
  <c r="P34" i="15"/>
  <c r="P49" i="15"/>
  <c r="AX18" i="14"/>
  <c r="AX19" i="14" s="1"/>
  <c r="AY220" i="6"/>
  <c r="AY18" i="14" s="1"/>
  <c r="AY19" i="14" s="1"/>
  <c r="Y10" i="28"/>
  <c r="S6" i="47" s="1"/>
  <c r="BP18" i="12"/>
  <c r="BE9" i="37"/>
  <c r="BE19" i="10"/>
  <c r="BE39" i="10"/>
  <c r="BE40" i="10" s="1"/>
  <c r="BE25" i="14" s="1"/>
  <c r="BE26" i="14" s="1"/>
  <c r="BE17" i="12"/>
  <c r="S10" i="28"/>
  <c r="M6" i="47" s="1"/>
  <c r="AA20" i="14"/>
  <c r="AA10" i="28" s="1"/>
  <c r="U6" i="47" s="1"/>
  <c r="AA48" i="15"/>
  <c r="AA11" i="14"/>
  <c r="AA33" i="15"/>
  <c r="K49" i="15"/>
  <c r="K34" i="15"/>
  <c r="K27" i="14"/>
  <c r="K9" i="28" s="1"/>
  <c r="F18" i="51" s="1"/>
  <c r="K12" i="14"/>
  <c r="AL18" i="14"/>
  <c r="AL19" i="14" s="1"/>
  <c r="AM220" i="6"/>
  <c r="AM18" i="14" s="1"/>
  <c r="AM19" i="14" s="1"/>
  <c r="J25" i="14"/>
  <c r="J26" i="14" s="1"/>
  <c r="AW9" i="37"/>
  <c r="AW19" i="10"/>
  <c r="AW39" i="10"/>
  <c r="AW40" i="10" s="1"/>
  <c r="AW25" i="14" s="1"/>
  <c r="AW26" i="14" s="1"/>
  <c r="AW17" i="12"/>
  <c r="W9" i="38"/>
  <c r="AX14" i="37"/>
  <c r="AX67" i="12"/>
  <c r="AX68" i="12" s="1"/>
  <c r="AX63" i="12"/>
  <c r="AX54" i="12"/>
  <c r="BB48" i="15"/>
  <c r="BB33" i="15"/>
  <c r="BB11" i="14"/>
  <c r="BB20" i="14"/>
  <c r="BB10" i="28" s="1"/>
  <c r="AV6" i="47" s="1"/>
  <c r="BA18" i="37"/>
  <c r="BA20" i="13"/>
  <c r="BA28" i="13"/>
  <c r="BA55" i="12"/>
  <c r="AR14" i="37"/>
  <c r="AR67" i="12"/>
  <c r="AR68" i="12" s="1"/>
  <c r="AR63" i="12"/>
  <c r="AR54" i="12"/>
  <c r="BP18" i="14"/>
  <c r="BP19" i="14" s="1"/>
  <c r="BQ220" i="6"/>
  <c r="BQ18" i="14" s="1"/>
  <c r="BQ19" i="14" s="1"/>
  <c r="V49" i="15"/>
  <c r="V34" i="15"/>
  <c r="V12" i="14"/>
  <c r="V13" i="14" s="1"/>
  <c r="V27" i="14"/>
  <c r="BB18" i="37"/>
  <c r="BB20" i="13"/>
  <c r="BB28" i="13"/>
  <c r="BB55" i="12"/>
  <c r="V10" i="28"/>
  <c r="P6" i="47" s="1"/>
  <c r="K10" i="23"/>
  <c r="E6" i="50" s="1"/>
  <c r="N10" i="29"/>
  <c r="L10" i="30"/>
  <c r="BL9" i="37"/>
  <c r="BL19" i="10"/>
  <c r="BL39" i="10"/>
  <c r="BL40" i="10" s="1"/>
  <c r="BL25" i="14" s="1"/>
  <c r="BL26" i="14" s="1"/>
  <c r="BL17" i="12"/>
  <c r="AB9" i="38"/>
  <c r="S9" i="39"/>
  <c r="BG18" i="14"/>
  <c r="BG19" i="14" s="1"/>
  <c r="BH220" i="6"/>
  <c r="BH18" i="14" s="1"/>
  <c r="BH19" i="14" s="1"/>
  <c r="BN9" i="37"/>
  <c r="BN19" i="10"/>
  <c r="BN39" i="10"/>
  <c r="BN40" i="10" s="1"/>
  <c r="BN25" i="14" s="1"/>
  <c r="BN26" i="14" s="1"/>
  <c r="BN17" i="12"/>
  <c r="AU40" i="10"/>
  <c r="AU25" i="14" s="1"/>
  <c r="AU26" i="14" s="1"/>
  <c r="BC9" i="37"/>
  <c r="BC17" i="12"/>
  <c r="BC19" i="10"/>
  <c r="BC39" i="10"/>
  <c r="BC40" i="10" s="1"/>
  <c r="BC25" i="14" s="1"/>
  <c r="BC26" i="14" s="1"/>
  <c r="Y9" i="38"/>
  <c r="AW33" i="15"/>
  <c r="AW11" i="14"/>
  <c r="AW48" i="15"/>
  <c r="AW20" i="14"/>
  <c r="AK9" i="37"/>
  <c r="AK17" i="12"/>
  <c r="BI18" i="12" s="1"/>
  <c r="AK19" i="10"/>
  <c r="AK39" i="10"/>
  <c r="AK40" i="10" s="1"/>
  <c r="AK25" i="14" s="1"/>
  <c r="AK26" i="14" s="1"/>
  <c r="S9" i="38"/>
  <c r="BD18" i="14"/>
  <c r="BD19" i="14" s="1"/>
  <c r="BE220" i="6"/>
  <c r="BE18" i="14" s="1"/>
  <c r="BE19" i="14" s="1"/>
  <c r="BD40" i="10"/>
  <c r="BD25" i="14" s="1"/>
  <c r="BD26" i="14" s="1"/>
  <c r="AY14" i="37"/>
  <c r="AY67" i="12"/>
  <c r="AY68" i="12" s="1"/>
  <c r="AY63" i="12"/>
  <c r="AY54" i="12"/>
  <c r="AD10" i="19"/>
  <c r="AD50" i="15"/>
  <c r="AD51" i="15" s="1"/>
  <c r="AD35" i="15"/>
  <c r="AP9" i="37"/>
  <c r="AP19" i="10"/>
  <c r="AP39" i="10"/>
  <c r="AP40" i="10" s="1"/>
  <c r="AP25" i="14" s="1"/>
  <c r="AP26" i="14" s="1"/>
  <c r="AP17" i="12"/>
  <c r="BN18" i="12" s="1"/>
  <c r="AJ9" i="37"/>
  <c r="AJ39" i="10"/>
  <c r="AJ40" i="10" s="1"/>
  <c r="AJ17" i="12"/>
  <c r="BH18" i="12" s="1"/>
  <c r="AJ19" i="10"/>
  <c r="Z34" i="15"/>
  <c r="Z27" i="14"/>
  <c r="Z9" i="28" s="1"/>
  <c r="Z49" i="15"/>
  <c r="Z12" i="14"/>
  <c r="Z13" i="14" s="1"/>
  <c r="T49" i="15"/>
  <c r="T34" i="15"/>
  <c r="T12" i="14"/>
  <c r="T27" i="14"/>
  <c r="T9" i="28" s="1"/>
  <c r="AM9" i="37"/>
  <c r="AM17" i="12"/>
  <c r="AM19" i="10"/>
  <c r="AM39" i="10"/>
  <c r="AM40" i="10" s="1"/>
  <c r="AM25" i="14" s="1"/>
  <c r="AM26" i="14" s="1"/>
  <c r="AT9" i="37"/>
  <c r="AT17" i="12"/>
  <c r="AT19" i="10"/>
  <c r="AT39" i="10"/>
  <c r="AT40" i="10" s="1"/>
  <c r="AT25" i="14" s="1"/>
  <c r="AT26" i="14" s="1"/>
  <c r="V9" i="38"/>
  <c r="P9" i="39"/>
  <c r="M9" i="26"/>
  <c r="AK10" i="28"/>
  <c r="AE6" i="47" s="1"/>
  <c r="AO9" i="37"/>
  <c r="AO19" i="10"/>
  <c r="AO39" i="10"/>
  <c r="AO17" i="12"/>
  <c r="BM18" i="12" s="1"/>
  <c r="AN9" i="37"/>
  <c r="AN19" i="10"/>
  <c r="AN39" i="10"/>
  <c r="AN40" i="10" s="1"/>
  <c r="AN25" i="14" s="1"/>
  <c r="AN26" i="14" s="1"/>
  <c r="AN17" i="12"/>
  <c r="BL18" i="12" s="1"/>
  <c r="O9" i="39"/>
  <c r="T9" i="38"/>
  <c r="BF48" i="15"/>
  <c r="BF33" i="15"/>
  <c r="BF20" i="14"/>
  <c r="BF11" i="14"/>
  <c r="BC14" i="37"/>
  <c r="BC67" i="12"/>
  <c r="BC68" i="12" s="1"/>
  <c r="BC54" i="12"/>
  <c r="BC63" i="12"/>
  <c r="Y14" i="38"/>
  <c r="Q18" i="14"/>
  <c r="Q19" i="14" s="1"/>
  <c r="R220" i="6"/>
  <c r="R18" i="14" s="1"/>
  <c r="R19" i="14" s="1"/>
  <c r="BK9" i="37"/>
  <c r="BK17" i="12"/>
  <c r="BK19" i="10"/>
  <c r="BK39" i="10"/>
  <c r="BK40" i="10" s="1"/>
  <c r="BK25" i="14" s="1"/>
  <c r="BK26" i="14" s="1"/>
  <c r="AQ14" i="37"/>
  <c r="AQ63" i="12"/>
  <c r="AQ54" i="12"/>
  <c r="AQ67" i="12"/>
  <c r="AQ68" i="12" s="1"/>
  <c r="U14" i="38"/>
  <c r="AK14" i="37"/>
  <c r="AK67" i="12"/>
  <c r="AK68" i="12" s="1"/>
  <c r="AK54" i="12"/>
  <c r="AK63" i="12"/>
  <c r="S14" i="38"/>
  <c r="AA49" i="15"/>
  <c r="AA34" i="15"/>
  <c r="AA27" i="14"/>
  <c r="AA9" i="28" s="1"/>
  <c r="AA12" i="14"/>
  <c r="AI18" i="14"/>
  <c r="AI19" i="14" s="1"/>
  <c r="AJ220" i="6"/>
  <c r="AJ18" i="14" s="1"/>
  <c r="AJ19" i="14" s="1"/>
  <c r="L49" i="15"/>
  <c r="L34" i="15"/>
  <c r="L12" i="14"/>
  <c r="L27" i="14"/>
  <c r="L9" i="28" s="1"/>
  <c r="G18" i="51" s="1"/>
  <c r="AX40" i="10"/>
  <c r="AX25" i="14" s="1"/>
  <c r="AX26" i="14" s="1"/>
  <c r="AQ10" i="28"/>
  <c r="AK6" i="47" s="1"/>
  <c r="U10" i="29"/>
  <c r="AG13" i="14"/>
  <c r="J10" i="37"/>
  <c r="E26" i="51" s="1"/>
  <c r="J24" i="12"/>
  <c r="J26" i="12" s="1"/>
  <c r="K17" i="10"/>
  <c r="BJ9" i="37"/>
  <c r="BJ17" i="12"/>
  <c r="BJ19" i="10"/>
  <c r="BJ39" i="10"/>
  <c r="BJ40" i="10" s="1"/>
  <c r="BJ25" i="14" s="1"/>
  <c r="BJ26" i="14" s="1"/>
  <c r="AZ10" i="28"/>
  <c r="AT6" i="47" s="1"/>
  <c r="AY9" i="37"/>
  <c r="AY39" i="10"/>
  <c r="AY40" i="10" s="1"/>
  <c r="AY25" i="14" s="1"/>
  <c r="AY26" i="14" s="1"/>
  <c r="AY17" i="12"/>
  <c r="AY19" i="10"/>
  <c r="BQ40" i="10"/>
  <c r="BQ25" i="14" s="1"/>
  <c r="BQ26" i="14" s="1"/>
  <c r="AP14" i="37"/>
  <c r="AP63" i="12"/>
  <c r="AP54" i="12"/>
  <c r="AP67" i="12"/>
  <c r="AP68" i="12" s="1"/>
  <c r="BJ18" i="12"/>
  <c r="AO40" i="10"/>
  <c r="AO25" i="14" s="1"/>
  <c r="AO26" i="14" s="1"/>
  <c r="BG9" i="37"/>
  <c r="BG39" i="10"/>
  <c r="BG40" i="10" s="1"/>
  <c r="BG25" i="14" s="1"/>
  <c r="BG26" i="14" s="1"/>
  <c r="BG17" i="12"/>
  <c r="BG19" i="10"/>
  <c r="AM14" i="37"/>
  <c r="AM67" i="12"/>
  <c r="AM68" i="12" s="1"/>
  <c r="AM63" i="12"/>
  <c r="AM54" i="12"/>
  <c r="AT14" i="37"/>
  <c r="AT67" i="12"/>
  <c r="AT68" i="12" s="1"/>
  <c r="AT63" i="12"/>
  <c r="AT54" i="12"/>
  <c r="V14" i="38"/>
  <c r="M14" i="26"/>
  <c r="P14" i="39"/>
  <c r="BP9" i="37"/>
  <c r="BP39" i="10"/>
  <c r="BP40" i="10" s="1"/>
  <c r="BP25" i="14" s="1"/>
  <c r="BP26" i="14" s="1"/>
  <c r="BP17" i="12"/>
  <c r="BP19" i="10"/>
  <c r="BA40" i="10"/>
  <c r="BA25" i="14" s="1"/>
  <c r="BA26" i="14" s="1"/>
  <c r="W49" i="15"/>
  <c r="W34" i="15"/>
  <c r="W12" i="14"/>
  <c r="W13" i="14" s="1"/>
  <c r="W27" i="14"/>
  <c r="W9" i="28" s="1"/>
  <c r="BF9" i="37"/>
  <c r="BF19" i="10"/>
  <c r="BF39" i="10"/>
  <c r="BF40" i="10" s="1"/>
  <c r="BF25" i="14" s="1"/>
  <c r="BF26" i="14" s="1"/>
  <c r="BF17" i="12"/>
  <c r="Z9" i="38"/>
  <c r="R9" i="39"/>
  <c r="N9" i="26"/>
  <c r="AN14" i="37"/>
  <c r="AN63" i="12"/>
  <c r="AN54" i="12"/>
  <c r="AN67" i="12"/>
  <c r="AN68" i="12" s="1"/>
  <c r="T14" i="38"/>
  <c r="O14" i="39"/>
  <c r="P48" i="15"/>
  <c r="P33" i="15"/>
  <c r="P11" i="14"/>
  <c r="P13" i="14" s="1"/>
  <c r="P20" i="14"/>
  <c r="BK18" i="12"/>
  <c r="AQ9" i="37"/>
  <c r="AQ39" i="10"/>
  <c r="AQ40" i="10" s="1"/>
  <c r="AQ25" i="14" s="1"/>
  <c r="AQ26" i="14" s="1"/>
  <c r="AQ17" i="12"/>
  <c r="BO18" i="12" s="1"/>
  <c r="AQ19" i="10"/>
  <c r="U9" i="38"/>
  <c r="M49" i="15"/>
  <c r="M34" i="15"/>
  <c r="M12" i="14"/>
  <c r="M27" i="14"/>
  <c r="AI40" i="10"/>
  <c r="AI25" i="14" s="1"/>
  <c r="AI26" i="14" s="1"/>
  <c r="BH9" i="37"/>
  <c r="BH39" i="10"/>
  <c r="BH40" i="10" s="1"/>
  <c r="BH25" i="14" s="1"/>
  <c r="BH26" i="14" s="1"/>
  <c r="BH17" i="12"/>
  <c r="BH19" i="10"/>
  <c r="BC10" i="28"/>
  <c r="AW6" i="47" s="1"/>
  <c r="BF18" i="12"/>
  <c r="N49" i="15"/>
  <c r="N34" i="15"/>
  <c r="N12" i="14"/>
  <c r="N27" i="14"/>
  <c r="N9" i="28" s="1"/>
  <c r="I18" i="51" s="1"/>
  <c r="K18" i="14"/>
  <c r="K19" i="14" s="1"/>
  <c r="H19" i="14" s="1"/>
  <c r="L220" i="6"/>
  <c r="L18" i="14" s="1"/>
  <c r="L19" i="14" s="1"/>
  <c r="BJ18" i="14"/>
  <c r="BJ19" i="14" s="1"/>
  <c r="BK220" i="6"/>
  <c r="BK18" i="14" s="1"/>
  <c r="BK19" i="14" s="1"/>
  <c r="S49" i="15"/>
  <c r="S34" i="15"/>
  <c r="S27" i="14"/>
  <c r="S12" i="14"/>
  <c r="S13" i="14" s="1"/>
  <c r="N5" i="47" l="1"/>
  <c r="O18" i="51"/>
  <c r="L5" i="47"/>
  <c r="M18" i="51"/>
  <c r="Q5" i="47"/>
  <c r="R18" i="51"/>
  <c r="U5" i="47"/>
  <c r="V18" i="51"/>
  <c r="O5" i="47"/>
  <c r="P18" i="51"/>
  <c r="R5" i="47"/>
  <c r="S18" i="51"/>
  <c r="K5" i="47"/>
  <c r="L18" i="51"/>
  <c r="AA5" i="47"/>
  <c r="AB18" i="51"/>
  <c r="BB13" i="14"/>
  <c r="T5" i="47"/>
  <c r="U18" i="51"/>
  <c r="Z5" i="47"/>
  <c r="AA18" i="51"/>
  <c r="BH49" i="15"/>
  <c r="BH34" i="15"/>
  <c r="BH12" i="14"/>
  <c r="BH27" i="14"/>
  <c r="BH9" i="28" s="1"/>
  <c r="BB5" i="47" s="1"/>
  <c r="AN12" i="14"/>
  <c r="AN27" i="14"/>
  <c r="AN34" i="15"/>
  <c r="AN49" i="15"/>
  <c r="AJ25" i="14"/>
  <c r="AJ26" i="14" s="1"/>
  <c r="H40" i="10"/>
  <c r="H25" i="14" s="1"/>
  <c r="Y10" i="19"/>
  <c r="Y50" i="15"/>
  <c r="Y51" i="15" s="1"/>
  <c r="Y35" i="15"/>
  <c r="S10" i="19"/>
  <c r="S50" i="15"/>
  <c r="S35" i="15"/>
  <c r="W10" i="19"/>
  <c r="W35" i="15"/>
  <c r="W50" i="15"/>
  <c r="W51" i="15" s="1"/>
  <c r="AK49" i="15"/>
  <c r="AK34" i="15"/>
  <c r="AK12" i="14"/>
  <c r="AK13" i="14" s="1"/>
  <c r="AK27" i="14"/>
  <c r="AY49" i="15"/>
  <c r="AY34" i="15"/>
  <c r="AY27" i="14"/>
  <c r="AY9" i="28" s="1"/>
  <c r="AS5" i="47" s="1"/>
  <c r="AY12" i="14"/>
  <c r="Z10" i="19"/>
  <c r="Z50" i="15"/>
  <c r="Z51" i="15" s="1"/>
  <c r="Z35" i="15"/>
  <c r="BC49" i="15"/>
  <c r="BC34" i="15"/>
  <c r="BC12" i="14"/>
  <c r="BC13" i="14" s="1"/>
  <c r="BC27" i="14"/>
  <c r="AQ49" i="15"/>
  <c r="AQ34" i="15"/>
  <c r="AQ27" i="14"/>
  <c r="AQ12" i="14"/>
  <c r="AQ13" i="14" s="1"/>
  <c r="BI14" i="37"/>
  <c r="BI67" i="12"/>
  <c r="BI68" i="12" s="1"/>
  <c r="BI54" i="12"/>
  <c r="BI63" i="12"/>
  <c r="AA14" i="38"/>
  <c r="AC31" i="15"/>
  <c r="AC52" i="15"/>
  <c r="AC9" i="34" s="1"/>
  <c r="W48" i="47" s="1"/>
  <c r="BO14" i="37"/>
  <c r="BO67" i="12"/>
  <c r="BO68" i="12" s="1"/>
  <c r="BO63" i="12"/>
  <c r="BO54" i="12"/>
  <c r="AC14" i="38"/>
  <c r="AW49" i="15"/>
  <c r="AW34" i="15"/>
  <c r="AW27" i="14"/>
  <c r="AW12" i="14"/>
  <c r="BK49" i="15"/>
  <c r="BK34" i="15"/>
  <c r="BK12" i="14"/>
  <c r="BK27" i="14"/>
  <c r="BK9" i="28" s="1"/>
  <c r="BE5" i="47" s="1"/>
  <c r="BE49" i="15"/>
  <c r="BE34" i="15"/>
  <c r="BE27" i="14"/>
  <c r="BE9" i="28" s="1"/>
  <c r="AY5" i="47" s="1"/>
  <c r="BE12" i="14"/>
  <c r="BF34" i="15"/>
  <c r="BF27" i="14"/>
  <c r="BF49" i="15"/>
  <c r="BF12" i="14"/>
  <c r="BF13" i="14" s="1"/>
  <c r="BJ49" i="15"/>
  <c r="BJ34" i="15"/>
  <c r="BJ12" i="14"/>
  <c r="BJ27" i="14"/>
  <c r="BJ9" i="28" s="1"/>
  <c r="BD5" i="47" s="1"/>
  <c r="AB10" i="19"/>
  <c r="AB50" i="15"/>
  <c r="AB51" i="15" s="1"/>
  <c r="AB35" i="15"/>
  <c r="AR49" i="15"/>
  <c r="AR34" i="15"/>
  <c r="AR12" i="14"/>
  <c r="AR13" i="14" s="1"/>
  <c r="AR27" i="14"/>
  <c r="AR9" i="28" s="1"/>
  <c r="AL5" i="47" s="1"/>
  <c r="S51" i="15"/>
  <c r="H48" i="15"/>
  <c r="H33" i="15"/>
  <c r="H11" i="14"/>
  <c r="BP49" i="15"/>
  <c r="BP34" i="15"/>
  <c r="BP12" i="14"/>
  <c r="BP27" i="14"/>
  <c r="BP9" i="28" s="1"/>
  <c r="BJ5" i="47" s="1"/>
  <c r="BL14" i="37"/>
  <c r="BL67" i="12"/>
  <c r="BL68" i="12" s="1"/>
  <c r="BL63" i="12"/>
  <c r="BL54" i="12"/>
  <c r="AB14" i="38"/>
  <c r="S14" i="39"/>
  <c r="BH14" i="37"/>
  <c r="BH67" i="12"/>
  <c r="BH68" i="12" s="1"/>
  <c r="BH63" i="12"/>
  <c r="BH54" i="12"/>
  <c r="AD52" i="15"/>
  <c r="AD9" i="34" s="1"/>
  <c r="X48" i="47" s="1"/>
  <c r="AD31" i="15"/>
  <c r="L48" i="15"/>
  <c r="L33" i="15"/>
  <c r="L20" i="14"/>
  <c r="L10" i="28" s="1"/>
  <c r="F6" i="47" s="1"/>
  <c r="L11" i="14"/>
  <c r="L13" i="14" s="1"/>
  <c r="BN49" i="15"/>
  <c r="BN27" i="14"/>
  <c r="BN9" i="28" s="1"/>
  <c r="BH5" i="47" s="1"/>
  <c r="BN12" i="14"/>
  <c r="BN34" i="15"/>
  <c r="BG49" i="15"/>
  <c r="BG34" i="15"/>
  <c r="BG27" i="14"/>
  <c r="BG9" i="28" s="1"/>
  <c r="BA5" i="47" s="1"/>
  <c r="BG12" i="14"/>
  <c r="AG10" i="19"/>
  <c r="AG50" i="15"/>
  <c r="AG51" i="15" s="1"/>
  <c r="AG35" i="15"/>
  <c r="BP14" i="37"/>
  <c r="BP67" i="12"/>
  <c r="BP68" i="12" s="1"/>
  <c r="BP63" i="12"/>
  <c r="BP54" i="12"/>
  <c r="AX48" i="15"/>
  <c r="AX33" i="15"/>
  <c r="AX20" i="14"/>
  <c r="AX11" i="14"/>
  <c r="AI18" i="37"/>
  <c r="AI20" i="13"/>
  <c r="AI55" i="12"/>
  <c r="AI28" i="13"/>
  <c r="M10" i="28"/>
  <c r="G6" i="47" s="1"/>
  <c r="BI49" i="15"/>
  <c r="BI34" i="15"/>
  <c r="BI12" i="14"/>
  <c r="BI13" i="14" s="1"/>
  <c r="BI27" i="14"/>
  <c r="BD18" i="37"/>
  <c r="BD20" i="13"/>
  <c r="BD28" i="13"/>
  <c r="BD55" i="12"/>
  <c r="AH18" i="37"/>
  <c r="AH28" i="13"/>
  <c r="AH20" i="13"/>
  <c r="AH55" i="12"/>
  <c r="R18" i="38"/>
  <c r="N18" i="39"/>
  <c r="L18" i="26"/>
  <c r="AV12" i="14"/>
  <c r="AV13" i="14" s="1"/>
  <c r="AV27" i="14"/>
  <c r="AV9" i="28" s="1"/>
  <c r="AP5" i="47" s="1"/>
  <c r="AV34" i="15"/>
  <c r="AV49" i="15"/>
  <c r="BN14" i="37"/>
  <c r="BN67" i="12"/>
  <c r="BN68" i="12" s="1"/>
  <c r="BN63" i="12"/>
  <c r="BN54" i="12"/>
  <c r="BM14" i="37"/>
  <c r="BM67" i="12"/>
  <c r="BM68" i="12" s="1"/>
  <c r="BM63" i="12"/>
  <c r="BM54" i="12"/>
  <c r="BP48" i="15"/>
  <c r="BP33" i="15"/>
  <c r="BP20" i="14"/>
  <c r="BP11" i="14"/>
  <c r="AQ18" i="37"/>
  <c r="AQ20" i="13"/>
  <c r="AQ55" i="12"/>
  <c r="AQ28" i="13"/>
  <c r="U18" i="38"/>
  <c r="AM18" i="37"/>
  <c r="AM20" i="13"/>
  <c r="AM28" i="13"/>
  <c r="AM55" i="12"/>
  <c r="BQ49" i="15"/>
  <c r="BQ34" i="15"/>
  <c r="BQ12" i="14"/>
  <c r="BQ27" i="14"/>
  <c r="Q33" i="15"/>
  <c r="Q11" i="14"/>
  <c r="Q13" i="14" s="1"/>
  <c r="Q48" i="15"/>
  <c r="Q20" i="14"/>
  <c r="Q10" i="28" s="1"/>
  <c r="K6" i="47" s="1"/>
  <c r="BF10" i="28"/>
  <c r="AZ6" i="47" s="1"/>
  <c r="V10" i="19"/>
  <c r="V50" i="15"/>
  <c r="V51" i="15" s="1"/>
  <c r="V35" i="15"/>
  <c r="BD12" i="14"/>
  <c r="BD34" i="15"/>
  <c r="BD49" i="15"/>
  <c r="BD27" i="14"/>
  <c r="BD9" i="28" s="1"/>
  <c r="AX5" i="47" s="1"/>
  <c r="BG20" i="14"/>
  <c r="BG10" i="28" s="1"/>
  <c r="BA6" i="47" s="1"/>
  <c r="BG48" i="15"/>
  <c r="BG11" i="14"/>
  <c r="BG33" i="15"/>
  <c r="V9" i="28"/>
  <c r="L9" i="30"/>
  <c r="K9" i="23"/>
  <c r="E5" i="50" s="1"/>
  <c r="N9" i="29"/>
  <c r="AM48" i="15"/>
  <c r="AM33" i="15"/>
  <c r="AM11" i="14"/>
  <c r="AM20" i="14"/>
  <c r="AM10" i="28" s="1"/>
  <c r="AG6" i="47" s="1"/>
  <c r="S9" i="28"/>
  <c r="M9" i="29"/>
  <c r="BK14" i="37"/>
  <c r="BK67" i="12"/>
  <c r="BK68" i="12" s="1"/>
  <c r="BK54" i="12"/>
  <c r="BK63" i="12"/>
  <c r="AN18" i="37"/>
  <c r="AN20" i="13"/>
  <c r="AN28" i="13"/>
  <c r="AN55" i="12"/>
  <c r="T18" i="38"/>
  <c r="O18" i="39"/>
  <c r="AW10" i="28"/>
  <c r="AQ6" i="47" s="1"/>
  <c r="BB10" i="19"/>
  <c r="BB50" i="15"/>
  <c r="BB35" i="15"/>
  <c r="AL48" i="15"/>
  <c r="AL33" i="15"/>
  <c r="AL11" i="14"/>
  <c r="AL20" i="14"/>
  <c r="O10" i="29"/>
  <c r="M13" i="14"/>
  <c r="BQ14" i="37"/>
  <c r="BQ67" i="12"/>
  <c r="BQ68" i="12" s="1"/>
  <c r="BQ54" i="12"/>
  <c r="BQ63" i="12"/>
  <c r="H18" i="12"/>
  <c r="J14" i="26"/>
  <c r="Y9" i="28"/>
  <c r="O9" i="29"/>
  <c r="H9" i="39"/>
  <c r="H9" i="37"/>
  <c r="H9" i="38"/>
  <c r="H9" i="26"/>
  <c r="H19" i="10"/>
  <c r="H39" i="10"/>
  <c r="H17" i="12"/>
  <c r="BE11" i="14"/>
  <c r="BE13" i="14" s="1"/>
  <c r="BE20" i="14"/>
  <c r="BE10" i="28" s="1"/>
  <c r="AY6" i="47" s="1"/>
  <c r="BE33" i="15"/>
  <c r="BE48" i="15"/>
  <c r="AU49" i="15"/>
  <c r="AU34" i="15"/>
  <c r="AU12" i="14"/>
  <c r="AU13" i="14" s="1"/>
  <c r="AU27" i="14"/>
  <c r="AU9" i="28" s="1"/>
  <c r="AO5" i="47" s="1"/>
  <c r="AR18" i="37"/>
  <c r="AR28" i="13"/>
  <c r="AR20" i="13"/>
  <c r="AR55" i="12"/>
  <c r="AW18" i="37"/>
  <c r="AW20" i="13"/>
  <c r="AW28" i="13"/>
  <c r="AW55" i="12"/>
  <c r="W18" i="38"/>
  <c r="BI10" i="28"/>
  <c r="BC6" i="47" s="1"/>
  <c r="AP27" i="14"/>
  <c r="AP9" i="28" s="1"/>
  <c r="AJ5" i="47" s="1"/>
  <c r="AP49" i="15"/>
  <c r="AP12" i="14"/>
  <c r="AP34" i="15"/>
  <c r="AO49" i="15"/>
  <c r="AO34" i="15"/>
  <c r="AO27" i="14"/>
  <c r="AO9" i="28" s="1"/>
  <c r="AI5" i="47" s="1"/>
  <c r="AO12" i="14"/>
  <c r="H5" i="47"/>
  <c r="M9" i="28"/>
  <c r="H18" i="51" s="1"/>
  <c r="K9" i="29"/>
  <c r="BA49" i="15"/>
  <c r="BA34" i="15"/>
  <c r="BA12" i="14"/>
  <c r="BA13" i="14" s="1"/>
  <c r="BA27" i="14"/>
  <c r="BA9" i="28" s="1"/>
  <c r="AU5" i="47" s="1"/>
  <c r="P10" i="28"/>
  <c r="J6" i="47" s="1"/>
  <c r="BJ14" i="37"/>
  <c r="BJ67" i="12"/>
  <c r="BJ68" i="12" s="1"/>
  <c r="BJ63" i="12"/>
  <c r="BJ54" i="12"/>
  <c r="AJ48" i="15"/>
  <c r="AJ33" i="15"/>
  <c r="AJ20" i="14"/>
  <c r="AJ10" i="28" s="1"/>
  <c r="AD6" i="47" s="1"/>
  <c r="AJ11" i="14"/>
  <c r="P10" i="19"/>
  <c r="P50" i="15"/>
  <c r="P51" i="15" s="1"/>
  <c r="P35" i="15"/>
  <c r="AT18" i="37"/>
  <c r="AT20" i="13"/>
  <c r="AT28" i="13"/>
  <c r="AT55" i="12"/>
  <c r="P18" i="39"/>
  <c r="M18" i="26"/>
  <c r="V18" i="38"/>
  <c r="AX27" i="14"/>
  <c r="AX9" i="28" s="1"/>
  <c r="AR5" i="47" s="1"/>
  <c r="AX34" i="15"/>
  <c r="AX49" i="15"/>
  <c r="AX12" i="14"/>
  <c r="AI20" i="14"/>
  <c r="AI33" i="15"/>
  <c r="AI48" i="15"/>
  <c r="AI11" i="14"/>
  <c r="BD48" i="15"/>
  <c r="BD33" i="15"/>
  <c r="BD11" i="14"/>
  <c r="BD20" i="14"/>
  <c r="AW13" i="14"/>
  <c r="BB51" i="15"/>
  <c r="E5" i="47"/>
  <c r="K11" i="28"/>
  <c r="F13" i="51" s="1"/>
  <c r="J5" i="47"/>
  <c r="AS49" i="15"/>
  <c r="AS34" i="15"/>
  <c r="AS12" i="14"/>
  <c r="AS13" i="14" s="1"/>
  <c r="AS27" i="14"/>
  <c r="AS9" i="28" s="1"/>
  <c r="AM5" i="47" s="1"/>
  <c r="AZ49" i="15"/>
  <c r="AZ34" i="15"/>
  <c r="AZ12" i="14"/>
  <c r="AZ13" i="14" s="1"/>
  <c r="AZ27" i="14"/>
  <c r="BE18" i="37"/>
  <c r="BE20" i="13"/>
  <c r="BE28" i="13"/>
  <c r="BE55" i="12"/>
  <c r="AL18" i="37"/>
  <c r="AL20" i="13"/>
  <c r="AL28" i="13"/>
  <c r="AL55" i="12"/>
  <c r="F5" i="47"/>
  <c r="L11" i="28"/>
  <c r="G13" i="51" s="1"/>
  <c r="R48" i="15"/>
  <c r="R33" i="15"/>
  <c r="R20" i="14"/>
  <c r="R10" i="28" s="1"/>
  <c r="L6" i="47" s="1"/>
  <c r="R11" i="14"/>
  <c r="R13" i="14" s="1"/>
  <c r="BK48" i="15"/>
  <c r="BK33" i="15"/>
  <c r="BK11" i="14"/>
  <c r="BK13" i="14" s="1"/>
  <c r="BK20" i="14"/>
  <c r="BK10" i="28" s="1"/>
  <c r="BE6" i="47" s="1"/>
  <c r="BF14" i="37"/>
  <c r="BF63" i="12"/>
  <c r="BF54" i="12"/>
  <c r="BF67" i="12"/>
  <c r="BF68" i="12" s="1"/>
  <c r="R14" i="39"/>
  <c r="N14" i="26"/>
  <c r="Z14" i="38"/>
  <c r="AP18" i="37"/>
  <c r="AP28" i="13"/>
  <c r="AP55" i="12"/>
  <c r="AP20" i="13"/>
  <c r="AK18" i="37"/>
  <c r="AK20" i="13"/>
  <c r="AK28" i="13"/>
  <c r="AK55" i="12"/>
  <c r="S18" i="38"/>
  <c r="BC18" i="37"/>
  <c r="BC20" i="13"/>
  <c r="BC28" i="13"/>
  <c r="BC55" i="12"/>
  <c r="Y18" i="38"/>
  <c r="AT49" i="15"/>
  <c r="AT34" i="15"/>
  <c r="AT12" i="14"/>
  <c r="AT13" i="14" s="1"/>
  <c r="AT27" i="14"/>
  <c r="BN48" i="15"/>
  <c r="BN33" i="15"/>
  <c r="BN20" i="14"/>
  <c r="BN10" i="28" s="1"/>
  <c r="BH6" i="47" s="1"/>
  <c r="BN11" i="14"/>
  <c r="BN13" i="14" s="1"/>
  <c r="AN10" i="28"/>
  <c r="AH6" i="47" s="1"/>
  <c r="AE9" i="28"/>
  <c r="Q9" i="29"/>
  <c r="J10" i="28"/>
  <c r="D6" i="47" s="1"/>
  <c r="AJ18" i="37"/>
  <c r="AJ28" i="13"/>
  <c r="AJ20" i="13"/>
  <c r="AJ55" i="12"/>
  <c r="AP48" i="15"/>
  <c r="AP33" i="15"/>
  <c r="AP20" i="14"/>
  <c r="AP10" i="28" s="1"/>
  <c r="AJ6" i="47" s="1"/>
  <c r="AP11" i="14"/>
  <c r="AX18" i="37"/>
  <c r="AX28" i="13"/>
  <c r="AX55" i="12"/>
  <c r="AX20" i="13"/>
  <c r="BJ48" i="15"/>
  <c r="BJ33" i="15"/>
  <c r="BJ11" i="14"/>
  <c r="BJ13" i="14" s="1"/>
  <c r="BJ20" i="14"/>
  <c r="BJ10" i="28" s="1"/>
  <c r="BD6" i="47" s="1"/>
  <c r="AI49" i="15"/>
  <c r="AI34" i="15"/>
  <c r="AI27" i="14"/>
  <c r="AI9" i="28" s="1"/>
  <c r="AC5" i="47" s="1"/>
  <c r="AI12" i="14"/>
  <c r="X10" i="29"/>
  <c r="K25" i="10"/>
  <c r="K21" i="10"/>
  <c r="BG14" i="37"/>
  <c r="BG63" i="12"/>
  <c r="BG54" i="12"/>
  <c r="BG67" i="12"/>
  <c r="BG68" i="12" s="1"/>
  <c r="AY18" i="37"/>
  <c r="AY20" i="13"/>
  <c r="AY55" i="12"/>
  <c r="AY28" i="13"/>
  <c r="BQ48" i="15"/>
  <c r="BQ33" i="15"/>
  <c r="BQ11" i="14"/>
  <c r="BQ13" i="14" s="1"/>
  <c r="BQ20" i="14"/>
  <c r="AL49" i="15"/>
  <c r="AL34" i="15"/>
  <c r="AL12" i="14"/>
  <c r="AL27" i="14"/>
  <c r="AL9" i="28" s="1"/>
  <c r="AF5" i="47" s="1"/>
  <c r="BM11" i="14"/>
  <c r="BM20" i="14"/>
  <c r="BM33" i="15"/>
  <c r="BM48" i="15"/>
  <c r="U48" i="15"/>
  <c r="U33" i="15"/>
  <c r="U11" i="14"/>
  <c r="U13" i="14" s="1"/>
  <c r="U20" i="14"/>
  <c r="U10" i="28" s="1"/>
  <c r="O6" i="47" s="1"/>
  <c r="AN13" i="14"/>
  <c r="AE10" i="19"/>
  <c r="AE35" i="15"/>
  <c r="AE50" i="15"/>
  <c r="AE51" i="15" s="1"/>
  <c r="AO11" i="14"/>
  <c r="AO33" i="15"/>
  <c r="AO20" i="14"/>
  <c r="AO10" i="28" s="1"/>
  <c r="AI6" i="47" s="1"/>
  <c r="AO48" i="15"/>
  <c r="AF10" i="19"/>
  <c r="AF50" i="15"/>
  <c r="AF51" i="15" s="1"/>
  <c r="AF35" i="15"/>
  <c r="AM49" i="15"/>
  <c r="AM34" i="15"/>
  <c r="AM12" i="14"/>
  <c r="AM27" i="14"/>
  <c r="AM9" i="28" s="1"/>
  <c r="AG5" i="47" s="1"/>
  <c r="AV18" i="37"/>
  <c r="AV20" i="13"/>
  <c r="AV28" i="13"/>
  <c r="AV55" i="12"/>
  <c r="AH49" i="15"/>
  <c r="AH27" i="14"/>
  <c r="AH12" i="14"/>
  <c r="AH13" i="14" s="1"/>
  <c r="AH34" i="15"/>
  <c r="X10" i="19"/>
  <c r="X50" i="15"/>
  <c r="X51" i="15" s="1"/>
  <c r="X35" i="15"/>
  <c r="T48" i="15"/>
  <c r="T33" i="15"/>
  <c r="T20" i="14"/>
  <c r="T11" i="14"/>
  <c r="T13" i="14" s="1"/>
  <c r="AO18" i="37"/>
  <c r="AO20" i="13"/>
  <c r="AO28" i="13"/>
  <c r="AO55" i="12"/>
  <c r="O48" i="15"/>
  <c r="O33" i="15"/>
  <c r="O11" i="14"/>
  <c r="O13" i="14" s="1"/>
  <c r="O20" i="14"/>
  <c r="O10" i="28" s="1"/>
  <c r="I6" i="47" s="1"/>
  <c r="AU18" i="37"/>
  <c r="AU20" i="13"/>
  <c r="AU28" i="13"/>
  <c r="AU55" i="12"/>
  <c r="BM49" i="15"/>
  <c r="BM34" i="15"/>
  <c r="BM27" i="14"/>
  <c r="BM9" i="28" s="1"/>
  <c r="BG5" i="47" s="1"/>
  <c r="BM12" i="14"/>
  <c r="J11" i="37"/>
  <c r="J20" i="18"/>
  <c r="J22" i="18" s="1"/>
  <c r="J20" i="17"/>
  <c r="J22" i="17" s="1"/>
  <c r="J19" i="13"/>
  <c r="J21" i="13" s="1"/>
  <c r="J39" i="12"/>
  <c r="J41" i="12" s="1"/>
  <c r="J13" i="15"/>
  <c r="J14" i="15" s="1"/>
  <c r="J31" i="12"/>
  <c r="P32" i="12" s="1"/>
  <c r="J17" i="9"/>
  <c r="J18" i="9" s="1"/>
  <c r="K20" i="14"/>
  <c r="K10" i="28" s="1"/>
  <c r="E6" i="47" s="1"/>
  <c r="K33" i="15"/>
  <c r="K48" i="15"/>
  <c r="K11" i="14"/>
  <c r="K13" i="14" s="1"/>
  <c r="BL34" i="15"/>
  <c r="BL12" i="14"/>
  <c r="BL13" i="14" s="1"/>
  <c r="BL49" i="15"/>
  <c r="BL27" i="14"/>
  <c r="BH48" i="15"/>
  <c r="BH33" i="15"/>
  <c r="BH20" i="14"/>
  <c r="BH10" i="28" s="1"/>
  <c r="BB6" i="47" s="1"/>
  <c r="BH11" i="14"/>
  <c r="BO49" i="15"/>
  <c r="BO34" i="15"/>
  <c r="BO27" i="14"/>
  <c r="BO12" i="14"/>
  <c r="BO13" i="14" s="1"/>
  <c r="J27" i="14"/>
  <c r="H26" i="14"/>
  <c r="J49" i="15"/>
  <c r="J12" i="14"/>
  <c r="J13" i="14" s="1"/>
  <c r="J34" i="15"/>
  <c r="AA13" i="14"/>
  <c r="AY48" i="15"/>
  <c r="AY20" i="14"/>
  <c r="AY10" i="28" s="1"/>
  <c r="AS6" i="47" s="1"/>
  <c r="AY11" i="14"/>
  <c r="AY33" i="15"/>
  <c r="I5" i="47"/>
  <c r="O11" i="28"/>
  <c r="J13" i="51" s="1"/>
  <c r="AB9" i="28"/>
  <c r="M9" i="30"/>
  <c r="P9" i="29"/>
  <c r="AS18" i="37"/>
  <c r="AS20" i="13"/>
  <c r="AS28" i="13"/>
  <c r="AS55" i="12"/>
  <c r="AZ18" i="37"/>
  <c r="AZ28" i="13"/>
  <c r="AZ20" i="13"/>
  <c r="AZ55" i="12"/>
  <c r="Q18" i="39"/>
  <c r="X18" i="38"/>
  <c r="N48" i="15"/>
  <c r="N33" i="15"/>
  <c r="N11" i="14"/>
  <c r="N13" i="14" s="1"/>
  <c r="N20" i="14"/>
  <c r="N10" i="28" s="1"/>
  <c r="H6" i="47" s="1"/>
  <c r="AM13" i="14" l="1"/>
  <c r="BG13" i="14"/>
  <c r="BH13" i="14"/>
  <c r="BM13" i="14"/>
  <c r="AP13" i="14"/>
  <c r="S5" i="47"/>
  <c r="T18" i="51"/>
  <c r="AY13" i="14"/>
  <c r="AY10" i="19" s="1"/>
  <c r="Y5" i="47"/>
  <c r="Z18" i="51"/>
  <c r="V5" i="47"/>
  <c r="W18" i="51"/>
  <c r="BP13" i="14"/>
  <c r="AO13" i="14"/>
  <c r="M5" i="47"/>
  <c r="N18" i="51"/>
  <c r="P5" i="47"/>
  <c r="Q18" i="51"/>
  <c r="AG52" i="15"/>
  <c r="AG9" i="34" s="1"/>
  <c r="AA48" i="47" s="1"/>
  <c r="AG31" i="15"/>
  <c r="P52" i="15"/>
  <c r="P31" i="15"/>
  <c r="AE52" i="15"/>
  <c r="AE31" i="15"/>
  <c r="J10" i="19"/>
  <c r="J50" i="15"/>
  <c r="J51" i="15" s="1"/>
  <c r="J35" i="15"/>
  <c r="AF52" i="15"/>
  <c r="AF9" i="34" s="1"/>
  <c r="Z48" i="47" s="1"/>
  <c r="AF31" i="15"/>
  <c r="BO10" i="19"/>
  <c r="BO50" i="15"/>
  <c r="BO51" i="15" s="1"/>
  <c r="BO35" i="15"/>
  <c r="BO9" i="28"/>
  <c r="BI5" i="47" s="1"/>
  <c r="AC9" i="29"/>
  <c r="N11" i="28"/>
  <c r="I13" i="51" s="1"/>
  <c r="AL10" i="28"/>
  <c r="AF6" i="47" s="1"/>
  <c r="S10" i="29"/>
  <c r="Z10" i="29"/>
  <c r="BQ9" i="28"/>
  <c r="BK5" i="47" s="1"/>
  <c r="K9" i="30"/>
  <c r="L9" i="29"/>
  <c r="BI9" i="28"/>
  <c r="BC5" i="47" s="1"/>
  <c r="AA9" i="29"/>
  <c r="L10" i="19"/>
  <c r="L50" i="15"/>
  <c r="L35" i="15"/>
  <c r="BH18" i="37"/>
  <c r="BH28" i="13"/>
  <c r="BH20" i="13"/>
  <c r="BH55" i="12"/>
  <c r="BO18" i="37"/>
  <c r="BO20" i="13"/>
  <c r="BO55" i="12"/>
  <c r="BO28" i="13"/>
  <c r="AC18" i="38"/>
  <c r="BE10" i="19"/>
  <c r="BE50" i="15"/>
  <c r="BE35" i="15"/>
  <c r="BP10" i="28"/>
  <c r="BJ6" i="47" s="1"/>
  <c r="AC10" i="29"/>
  <c r="J15" i="15"/>
  <c r="J32" i="15"/>
  <c r="BJ10" i="19"/>
  <c r="BJ50" i="15"/>
  <c r="BJ51" i="15" s="1"/>
  <c r="BJ35" i="15"/>
  <c r="AP10" i="19"/>
  <c r="AP50" i="15"/>
  <c r="AP35" i="15"/>
  <c r="O10" i="30"/>
  <c r="BK10" i="19"/>
  <c r="BK35" i="15"/>
  <c r="BK50" i="15"/>
  <c r="BK51" i="15" s="1"/>
  <c r="K10" i="30"/>
  <c r="H49" i="15"/>
  <c r="H12" i="14"/>
  <c r="H34" i="15"/>
  <c r="T10" i="28"/>
  <c r="N6" i="47" s="1"/>
  <c r="M10" i="29"/>
  <c r="AH9" i="28"/>
  <c r="AB5" i="47" s="1"/>
  <c r="J10" i="29"/>
  <c r="BI10" i="19"/>
  <c r="BI50" i="15"/>
  <c r="BI51" i="15" s="1"/>
  <c r="BI35" i="15"/>
  <c r="BD10" i="28"/>
  <c r="AX6" i="47" s="1"/>
  <c r="Y10" i="29"/>
  <c r="Q10" i="30"/>
  <c r="H14" i="39"/>
  <c r="H14" i="38"/>
  <c r="H14" i="37"/>
  <c r="H14" i="26"/>
  <c r="H63" i="12"/>
  <c r="H54" i="12"/>
  <c r="H67" i="12"/>
  <c r="AL13" i="14"/>
  <c r="BK18" i="37"/>
  <c r="BK20" i="13"/>
  <c r="BK28" i="13"/>
  <c r="BK55" i="12"/>
  <c r="N10" i="23"/>
  <c r="H6" i="50" s="1"/>
  <c r="BP18" i="37"/>
  <c r="BP28" i="13"/>
  <c r="BP20" i="13"/>
  <c r="BP55" i="12"/>
  <c r="AR10" i="19"/>
  <c r="AR50" i="15"/>
  <c r="AR35" i="15"/>
  <c r="W52" i="15"/>
  <c r="W9" i="34" s="1"/>
  <c r="Q48" i="47" s="1"/>
  <c r="W31" i="15"/>
  <c r="AK9" i="28"/>
  <c r="AE5" i="47" s="1"/>
  <c r="S9" i="29"/>
  <c r="AT9" i="28"/>
  <c r="AN5" i="47" s="1"/>
  <c r="M9" i="23"/>
  <c r="G5" i="50" s="1"/>
  <c r="P9" i="30"/>
  <c r="V9" i="29"/>
  <c r="BJ18" i="37"/>
  <c r="BJ20" i="13"/>
  <c r="BJ28" i="13"/>
  <c r="BJ55" i="12"/>
  <c r="M10" i="19"/>
  <c r="M50" i="15"/>
  <c r="M51" i="15" s="1"/>
  <c r="M35" i="15"/>
  <c r="AM10" i="19"/>
  <c r="AM35" i="15"/>
  <c r="AM50" i="15"/>
  <c r="AM51" i="15" s="1"/>
  <c r="O10" i="19"/>
  <c r="O35" i="15"/>
  <c r="O50" i="15"/>
  <c r="O51" i="15" s="1"/>
  <c r="T10" i="19"/>
  <c r="T50" i="15"/>
  <c r="T35" i="15"/>
  <c r="AH10" i="19"/>
  <c r="AH50" i="15"/>
  <c r="AH51" i="15" s="1"/>
  <c r="AH35" i="15"/>
  <c r="U10" i="19"/>
  <c r="U50" i="15"/>
  <c r="U51" i="15" s="1"/>
  <c r="U35" i="15"/>
  <c r="J10" i="23"/>
  <c r="D6" i="50" s="1"/>
  <c r="AS10" i="19"/>
  <c r="AS50" i="15"/>
  <c r="AS51" i="15" s="1"/>
  <c r="AS35" i="15"/>
  <c r="AW10" i="19"/>
  <c r="AW35" i="15"/>
  <c r="AW50" i="15"/>
  <c r="AW51" i="15" s="1"/>
  <c r="AI10" i="28"/>
  <c r="AC6" i="47" s="1"/>
  <c r="N10" i="30"/>
  <c r="R10" i="29"/>
  <c r="L10" i="23"/>
  <c r="F6" i="50" s="1"/>
  <c r="J9" i="28"/>
  <c r="E18" i="51" s="1"/>
  <c r="J9" i="30"/>
  <c r="J9" i="23"/>
  <c r="D5" i="50" s="1"/>
  <c r="J9" i="29"/>
  <c r="J12" i="37"/>
  <c r="E27" i="51" s="1"/>
  <c r="K38" i="12"/>
  <c r="AO10" i="19"/>
  <c r="AO35" i="15"/>
  <c r="AO50" i="15"/>
  <c r="J10" i="30"/>
  <c r="BN10" i="19"/>
  <c r="BN50" i="15"/>
  <c r="BN51" i="15" s="1"/>
  <c r="BN35" i="15"/>
  <c r="BD13" i="14"/>
  <c r="AA10" i="29"/>
  <c r="R10" i="30"/>
  <c r="AW9" i="28"/>
  <c r="AQ5" i="47" s="1"/>
  <c r="W9" i="29"/>
  <c r="AQ10" i="19"/>
  <c r="AQ50" i="15"/>
  <c r="AQ51" i="15" s="1"/>
  <c r="AQ35" i="15"/>
  <c r="AK10" i="19"/>
  <c r="AK50" i="15"/>
  <c r="AK51" i="15" s="1"/>
  <c r="AK35" i="15"/>
  <c r="AN9" i="28"/>
  <c r="AH5" i="47" s="1"/>
  <c r="O9" i="30"/>
  <c r="T9" i="29"/>
  <c r="BQ10" i="28"/>
  <c r="BK6" i="47" s="1"/>
  <c r="L10" i="29"/>
  <c r="AP51" i="15"/>
  <c r="H20" i="14"/>
  <c r="BF18" i="37"/>
  <c r="BF28" i="13"/>
  <c r="BF55" i="12"/>
  <c r="BF20" i="13"/>
  <c r="R18" i="39"/>
  <c r="Z18" i="38"/>
  <c r="N18" i="26"/>
  <c r="R10" i="19"/>
  <c r="R50" i="15"/>
  <c r="R51" i="15" s="1"/>
  <c r="R35" i="15"/>
  <c r="AZ9" i="28"/>
  <c r="AT5" i="47" s="1"/>
  <c r="Q9" i="30"/>
  <c r="X9" i="29"/>
  <c r="P11" i="28"/>
  <c r="K13" i="51" s="1"/>
  <c r="BA10" i="19"/>
  <c r="BA50" i="15"/>
  <c r="BA51" i="15" s="1"/>
  <c r="BA35" i="15"/>
  <c r="BE51" i="15"/>
  <c r="BM18" i="37"/>
  <c r="BM20" i="13"/>
  <c r="BM28" i="13"/>
  <c r="BM55" i="12"/>
  <c r="AX13" i="14"/>
  <c r="L51" i="15"/>
  <c r="AR51" i="15"/>
  <c r="M10" i="23"/>
  <c r="G6" i="50" s="1"/>
  <c r="AQ9" i="28"/>
  <c r="AK5" i="47" s="1"/>
  <c r="U9" i="29"/>
  <c r="Z52" i="15"/>
  <c r="Z9" i="34" s="1"/>
  <c r="T48" i="47" s="1"/>
  <c r="Z31" i="15"/>
  <c r="BL9" i="28"/>
  <c r="BF5" i="47" s="1"/>
  <c r="S9" i="30"/>
  <c r="AB9" i="29"/>
  <c r="T51" i="15"/>
  <c r="BG18" i="37"/>
  <c r="BG20" i="13"/>
  <c r="BG55" i="12"/>
  <c r="BG28" i="13"/>
  <c r="J17" i="34"/>
  <c r="D56" i="47" s="1"/>
  <c r="J27" i="17"/>
  <c r="P28" i="17" s="1"/>
  <c r="J12" i="17"/>
  <c r="J15" i="17" s="1"/>
  <c r="BQ10" i="19"/>
  <c r="BQ50" i="15"/>
  <c r="BQ51" i="15" s="1"/>
  <c r="BQ35" i="15"/>
  <c r="AZ10" i="19"/>
  <c r="AZ50" i="15"/>
  <c r="AZ51" i="15" s="1"/>
  <c r="AZ35" i="15"/>
  <c r="BQ18" i="37"/>
  <c r="BQ20" i="13"/>
  <c r="BQ28" i="13"/>
  <c r="BQ55" i="12"/>
  <c r="J18" i="26"/>
  <c r="L18" i="38"/>
  <c r="H68" i="12"/>
  <c r="AV10" i="19"/>
  <c r="AV50" i="15"/>
  <c r="AV51" i="15" s="1"/>
  <c r="AV35" i="15"/>
  <c r="K10" i="29"/>
  <c r="AX10" i="28"/>
  <c r="AR6" i="47" s="1"/>
  <c r="P10" i="30"/>
  <c r="Y52" i="15"/>
  <c r="Y31" i="15"/>
  <c r="N10" i="19"/>
  <c r="N50" i="15"/>
  <c r="N35" i="15"/>
  <c r="AA10" i="19"/>
  <c r="AA50" i="15"/>
  <c r="AA51" i="15" s="1"/>
  <c r="AA35" i="15"/>
  <c r="BL10" i="19"/>
  <c r="BL50" i="15"/>
  <c r="BL51" i="15" s="1"/>
  <c r="BL35" i="15"/>
  <c r="J21" i="34"/>
  <c r="D60" i="47" s="1"/>
  <c r="J12" i="18"/>
  <c r="J15" i="18" s="1"/>
  <c r="BM10" i="28"/>
  <c r="BG6" i="47" s="1"/>
  <c r="AB10" i="29"/>
  <c r="S10" i="30"/>
  <c r="K9" i="20"/>
  <c r="K10" i="20" s="1"/>
  <c r="E7" i="47"/>
  <c r="AI13" i="14"/>
  <c r="BP10" i="19"/>
  <c r="BP50" i="15"/>
  <c r="BP51" i="15" s="1"/>
  <c r="BP35" i="15"/>
  <c r="AB52" i="15"/>
  <c r="AB31" i="15"/>
  <c r="BF9" i="28"/>
  <c r="AZ5" i="47" s="1"/>
  <c r="R9" i="30"/>
  <c r="N9" i="23"/>
  <c r="H5" i="50" s="1"/>
  <c r="Z9" i="29"/>
  <c r="BL18" i="37"/>
  <c r="BL20" i="13"/>
  <c r="BL28" i="13"/>
  <c r="BL55" i="12"/>
  <c r="S18" i="39"/>
  <c r="AB18" i="38"/>
  <c r="BC9" i="28"/>
  <c r="AW5" i="47" s="1"/>
  <c r="Y9" i="29"/>
  <c r="J8" i="31"/>
  <c r="K18" i="13"/>
  <c r="J29" i="15"/>
  <c r="J10" i="12"/>
  <c r="J11" i="12" s="1"/>
  <c r="AN10" i="19"/>
  <c r="AN50" i="15"/>
  <c r="AN51" i="15" s="1"/>
  <c r="AN35" i="15"/>
  <c r="BM10" i="19"/>
  <c r="BM50" i="15"/>
  <c r="BM51" i="15" s="1"/>
  <c r="BM35" i="15"/>
  <c r="BG10" i="19"/>
  <c r="BG50" i="15"/>
  <c r="BG51" i="15" s="1"/>
  <c r="BG35" i="15"/>
  <c r="V52" i="15"/>
  <c r="V31" i="15"/>
  <c r="Q10" i="19"/>
  <c r="Q35" i="15"/>
  <c r="Q50" i="15"/>
  <c r="Q51" i="15" s="1"/>
  <c r="X52" i="15"/>
  <c r="X9" i="34" s="1"/>
  <c r="R48" i="47" s="1"/>
  <c r="X31" i="15"/>
  <c r="N51" i="15"/>
  <c r="O9" i="20"/>
  <c r="O10" i="20" s="1"/>
  <c r="I7" i="47"/>
  <c r="BH10" i="19"/>
  <c r="BH50" i="15"/>
  <c r="BH51" i="15" s="1"/>
  <c r="BH35" i="15"/>
  <c r="K10" i="19"/>
  <c r="K50" i="15"/>
  <c r="K51" i="15" s="1"/>
  <c r="K35" i="15"/>
  <c r="P13" i="37"/>
  <c r="P40" i="12"/>
  <c r="P52" i="12"/>
  <c r="P56" i="12" s="1"/>
  <c r="AO51" i="15"/>
  <c r="K10" i="37"/>
  <c r="F26" i="51" s="1"/>
  <c r="K24" i="12"/>
  <c r="L17" i="10"/>
  <c r="T10" i="29"/>
  <c r="AT10" i="19"/>
  <c r="AT50" i="15"/>
  <c r="AT51" i="15" s="1"/>
  <c r="AT35" i="15"/>
  <c r="L9" i="20"/>
  <c r="L10" i="20" s="1"/>
  <c r="F7" i="47"/>
  <c r="BB52" i="15"/>
  <c r="BB9" i="34" s="1"/>
  <c r="AV48" i="47" s="1"/>
  <c r="BB31" i="15"/>
  <c r="G5" i="47"/>
  <c r="M11" i="28"/>
  <c r="H13" i="51" s="1"/>
  <c r="AU10" i="19"/>
  <c r="AU35" i="15"/>
  <c r="AU50" i="15"/>
  <c r="AU51" i="15" s="1"/>
  <c r="W10" i="29"/>
  <c r="BN18" i="37"/>
  <c r="BN28" i="13"/>
  <c r="BN20" i="13"/>
  <c r="BN55" i="12"/>
  <c r="BF10" i="19"/>
  <c r="BF50" i="15"/>
  <c r="BF51" i="15" s="1"/>
  <c r="BF35" i="15"/>
  <c r="S52" i="15"/>
  <c r="S9" i="34" s="1"/>
  <c r="M48" i="47" s="1"/>
  <c r="S31" i="15"/>
  <c r="BI18" i="37"/>
  <c r="BI20" i="13"/>
  <c r="BI28" i="13"/>
  <c r="BI55" i="12"/>
  <c r="AA18" i="38"/>
  <c r="BC10" i="19"/>
  <c r="BC35" i="15"/>
  <c r="BC50" i="15"/>
  <c r="BC51" i="15" s="1"/>
  <c r="AJ49" i="15"/>
  <c r="AJ34" i="15"/>
  <c r="AJ12" i="14"/>
  <c r="AJ13" i="14" s="1"/>
  <c r="AJ27" i="14"/>
  <c r="AJ9" i="28" s="1"/>
  <c r="AD5" i="47" s="1"/>
  <c r="AY35" i="15" l="1"/>
  <c r="AY50" i="15"/>
  <c r="AY51" i="15" s="1"/>
  <c r="AZ52" i="15"/>
  <c r="AZ31" i="15"/>
  <c r="BA52" i="15"/>
  <c r="BA9" i="34" s="1"/>
  <c r="AU48" i="47" s="1"/>
  <c r="BA31" i="15"/>
  <c r="BL52" i="15"/>
  <c r="BL31" i="15"/>
  <c r="AK31" i="15"/>
  <c r="AK52" i="15"/>
  <c r="BM52" i="15"/>
  <c r="BM9" i="34" s="1"/>
  <c r="BG48" i="47" s="1"/>
  <c r="BM31" i="15"/>
  <c r="BQ31" i="15"/>
  <c r="BQ52" i="15"/>
  <c r="AJ10" i="19"/>
  <c r="AJ50" i="15"/>
  <c r="AJ51" i="15" s="1"/>
  <c r="AJ35" i="15"/>
  <c r="AT52" i="15"/>
  <c r="AT31" i="15"/>
  <c r="BC52" i="15"/>
  <c r="BC31" i="15"/>
  <c r="AU52" i="15"/>
  <c r="AU9" i="34" s="1"/>
  <c r="AO48" i="47" s="1"/>
  <c r="AU31" i="15"/>
  <c r="BP52" i="15"/>
  <c r="BP9" i="34" s="1"/>
  <c r="BJ48" i="47" s="1"/>
  <c r="BP31" i="15"/>
  <c r="AM52" i="15"/>
  <c r="AM9" i="34" s="1"/>
  <c r="AG48" i="47" s="1"/>
  <c r="AM31" i="15"/>
  <c r="K31" i="15"/>
  <c r="K52" i="15"/>
  <c r="K9" i="34" s="1"/>
  <c r="BH52" i="15"/>
  <c r="BH9" i="34" s="1"/>
  <c r="BB48" i="47" s="1"/>
  <c r="BH31" i="15"/>
  <c r="AV52" i="15"/>
  <c r="AV9" i="34" s="1"/>
  <c r="AP48" i="47" s="1"/>
  <c r="AV31" i="15"/>
  <c r="R52" i="15"/>
  <c r="R9" i="34" s="1"/>
  <c r="R31" i="15"/>
  <c r="AS31" i="15"/>
  <c r="AS52" i="15"/>
  <c r="AS9" i="34" s="1"/>
  <c r="AM48" i="47" s="1"/>
  <c r="K26" i="12"/>
  <c r="O52" i="15"/>
  <c r="O9" i="34" s="1"/>
  <c r="O31" i="15"/>
  <c r="D5" i="47"/>
  <c r="J11" i="28"/>
  <c r="E13" i="51" s="1"/>
  <c r="M31" i="15"/>
  <c r="M52" i="15"/>
  <c r="R9" i="29"/>
  <c r="J52" i="15"/>
  <c r="J31" i="15"/>
  <c r="AX10" i="19"/>
  <c r="AX50" i="15"/>
  <c r="AX51" i="15" s="1"/>
  <c r="AX35" i="15"/>
  <c r="L14" i="20"/>
  <c r="L15" i="20" s="1"/>
  <c r="L20" i="20"/>
  <c r="L21" i="20" s="1"/>
  <c r="L34" i="20" s="1"/>
  <c r="Q52" i="15"/>
  <c r="Q9" i="34" s="1"/>
  <c r="Q31" i="15"/>
  <c r="H10" i="30"/>
  <c r="H10" i="29"/>
  <c r="H10" i="28"/>
  <c r="H10" i="23"/>
  <c r="K25" i="12"/>
  <c r="AW52" i="15"/>
  <c r="AW31" i="15"/>
  <c r="N9" i="30"/>
  <c r="BJ52" i="15"/>
  <c r="BJ9" i="34" s="1"/>
  <c r="BD48" i="47" s="1"/>
  <c r="BJ31" i="15"/>
  <c r="L9" i="23"/>
  <c r="F5" i="50" s="1"/>
  <c r="AY52" i="15"/>
  <c r="AY9" i="34" s="1"/>
  <c r="AS48" i="47" s="1"/>
  <c r="AY31" i="15"/>
  <c r="J9" i="19"/>
  <c r="J11" i="19" s="1"/>
  <c r="J30" i="15"/>
  <c r="J36" i="15" s="1"/>
  <c r="AI10" i="19"/>
  <c r="AI50" i="15"/>
  <c r="AI51" i="15" s="1"/>
  <c r="AI35" i="15"/>
  <c r="Y9" i="34"/>
  <c r="S48" i="47" s="1"/>
  <c r="H18" i="39"/>
  <c r="H18" i="38"/>
  <c r="H18" i="37"/>
  <c r="H18" i="26"/>
  <c r="H20" i="13"/>
  <c r="H28" i="13"/>
  <c r="H55" i="12"/>
  <c r="P9" i="20"/>
  <c r="P10" i="20" s="1"/>
  <c r="J7" i="47"/>
  <c r="BD10" i="19"/>
  <c r="BD50" i="15"/>
  <c r="BD51" i="15" s="1"/>
  <c r="BD35" i="15"/>
  <c r="U52" i="15"/>
  <c r="U9" i="34" s="1"/>
  <c r="O48" i="47" s="1"/>
  <c r="U31" i="15"/>
  <c r="AE9" i="34"/>
  <c r="Y48" i="47" s="1"/>
  <c r="Q9" i="35"/>
  <c r="AN52" i="15"/>
  <c r="AN31" i="15"/>
  <c r="BF52" i="15"/>
  <c r="BF31" i="15"/>
  <c r="M9" i="20"/>
  <c r="M10" i="20" s="1"/>
  <c r="G7" i="47"/>
  <c r="K11" i="29"/>
  <c r="P15" i="37"/>
  <c r="K28" i="51" s="1"/>
  <c r="Q51" i="12"/>
  <c r="BI31" i="15"/>
  <c r="BI52" i="15"/>
  <c r="BG31" i="15"/>
  <c r="BG52" i="15"/>
  <c r="BG9" i="34" s="1"/>
  <c r="BA48" i="47" s="1"/>
  <c r="N52" i="15"/>
  <c r="N9" i="34" s="1"/>
  <c r="N31" i="15"/>
  <c r="AO52" i="15"/>
  <c r="AO9" i="34" s="1"/>
  <c r="AI48" i="47" s="1"/>
  <c r="AO31" i="15"/>
  <c r="AP52" i="15"/>
  <c r="AP9" i="34" s="1"/>
  <c r="AJ48" i="47" s="1"/>
  <c r="AP31" i="15"/>
  <c r="K14" i="20"/>
  <c r="K15" i="20" s="1"/>
  <c r="K20" i="20"/>
  <c r="K21" i="20" s="1"/>
  <c r="K34" i="20" s="1"/>
  <c r="AA31" i="15"/>
  <c r="AA52" i="15"/>
  <c r="AA9" i="34" s="1"/>
  <c r="U48" i="47" s="1"/>
  <c r="J16" i="31"/>
  <c r="K11" i="17"/>
  <c r="T52" i="15"/>
  <c r="T9" i="34" s="1"/>
  <c r="N48" i="47" s="1"/>
  <c r="T31" i="15"/>
  <c r="BK52" i="15"/>
  <c r="BK9" i="34" s="1"/>
  <c r="BE48" i="47" s="1"/>
  <c r="BK31" i="15"/>
  <c r="N9" i="20"/>
  <c r="N10" i="20" s="1"/>
  <c r="H7" i="47"/>
  <c r="P9" i="34"/>
  <c r="V9" i="34"/>
  <c r="P48" i="47" s="1"/>
  <c r="N9" i="35"/>
  <c r="K10" i="13"/>
  <c r="K11" i="13" s="1"/>
  <c r="AB9" i="34"/>
  <c r="V48" i="47" s="1"/>
  <c r="P9" i="35"/>
  <c r="M9" i="36"/>
  <c r="O20" i="20"/>
  <c r="O21" i="20" s="1"/>
  <c r="O34" i="20" s="1"/>
  <c r="O14" i="20"/>
  <c r="O15" i="20" s="1"/>
  <c r="D23" i="47"/>
  <c r="P14" i="17"/>
  <c r="P29" i="17"/>
  <c r="AR52" i="15"/>
  <c r="AR9" i="34" s="1"/>
  <c r="AL48" i="47" s="1"/>
  <c r="AR31" i="15"/>
  <c r="BE52" i="15"/>
  <c r="BE9" i="34" s="1"/>
  <c r="AY48" i="47" s="1"/>
  <c r="BE31" i="15"/>
  <c r="J14" i="34"/>
  <c r="D53" i="47" s="1"/>
  <c r="BO31" i="15"/>
  <c r="BO52" i="15"/>
  <c r="H13" i="14"/>
  <c r="L25" i="10"/>
  <c r="L21" i="10"/>
  <c r="AQ31" i="15"/>
  <c r="AQ52" i="15"/>
  <c r="BN52" i="15"/>
  <c r="BN9" i="34" s="1"/>
  <c r="BH48" i="47" s="1"/>
  <c r="BN31" i="15"/>
  <c r="J18" i="31"/>
  <c r="K11" i="18"/>
  <c r="L52" i="15"/>
  <c r="L9" i="34" s="1"/>
  <c r="L31" i="15"/>
  <c r="AH52" i="15"/>
  <c r="AH31" i="15"/>
  <c r="H27" i="14"/>
  <c r="AL10" i="19"/>
  <c r="AL50" i="15"/>
  <c r="AL51" i="15" s="1"/>
  <c r="AL35" i="15"/>
  <c r="D31" i="47" l="1"/>
  <c r="E9" i="51"/>
  <c r="D33" i="47"/>
  <c r="E10" i="51"/>
  <c r="L9" i="35"/>
  <c r="L10" i="37"/>
  <c r="G26" i="51" s="1"/>
  <c r="L24" i="12"/>
  <c r="M17" i="10"/>
  <c r="J10" i="38"/>
  <c r="AH9" i="34"/>
  <c r="AB48" i="47" s="1"/>
  <c r="Q24" i="10"/>
  <c r="AI31" i="15"/>
  <c r="AI52" i="15"/>
  <c r="AI9" i="34" s="1"/>
  <c r="AC48" i="47" s="1"/>
  <c r="AX52" i="15"/>
  <c r="AX9" i="34" s="1"/>
  <c r="AR48" i="47" s="1"/>
  <c r="AX31" i="15"/>
  <c r="J14" i="28"/>
  <c r="E14" i="51" s="1"/>
  <c r="J9" i="20"/>
  <c r="J10" i="20" s="1"/>
  <c r="D7" i="47"/>
  <c r="J11" i="30"/>
  <c r="J11" i="29"/>
  <c r="L48" i="47"/>
  <c r="AT9" i="34"/>
  <c r="AN48" i="47" s="1"/>
  <c r="V9" i="35"/>
  <c r="AK9" i="34"/>
  <c r="AE48" i="47" s="1"/>
  <c r="N14" i="20"/>
  <c r="N15" i="20" s="1"/>
  <c r="N20" i="20"/>
  <c r="N21" i="20" s="1"/>
  <c r="N34" i="20" s="1"/>
  <c r="AN9" i="34"/>
  <c r="AH48" i="47" s="1"/>
  <c r="O9" i="36"/>
  <c r="T9" i="35"/>
  <c r="H48" i="47"/>
  <c r="AJ52" i="15"/>
  <c r="AJ9" i="34" s="1"/>
  <c r="AD48" i="47" s="1"/>
  <c r="AJ31" i="15"/>
  <c r="F48" i="47"/>
  <c r="K27" i="18"/>
  <c r="K28" i="18" s="1"/>
  <c r="K40" i="18"/>
  <c r="K41" i="18" s="1"/>
  <c r="H10" i="19"/>
  <c r="H50" i="15"/>
  <c r="H35" i="15"/>
  <c r="O39" i="20"/>
  <c r="O25" i="20"/>
  <c r="L9" i="36"/>
  <c r="H51" i="15"/>
  <c r="H31" i="15" s="1"/>
  <c r="I48" i="47"/>
  <c r="BL9" i="34"/>
  <c r="BF48" i="47" s="1"/>
  <c r="AB9" i="35"/>
  <c r="S9" i="36"/>
  <c r="AL52" i="15"/>
  <c r="AL9" i="34" s="1"/>
  <c r="AF48" i="47" s="1"/>
  <c r="AL31" i="15"/>
  <c r="BO9" i="34"/>
  <c r="BI48" i="47" s="1"/>
  <c r="AC9" i="35"/>
  <c r="K9" i="25"/>
  <c r="E48" i="50" s="1"/>
  <c r="K39" i="20"/>
  <c r="K25" i="20"/>
  <c r="K27" i="20" s="1"/>
  <c r="M14" i="20"/>
  <c r="M15" i="20" s="1"/>
  <c r="M20" i="20"/>
  <c r="M21" i="20" s="1"/>
  <c r="M34" i="20" s="1"/>
  <c r="P20" i="20"/>
  <c r="P21" i="20" s="1"/>
  <c r="P34" i="20" s="1"/>
  <c r="P14" i="20"/>
  <c r="P15" i="20" s="1"/>
  <c r="J22" i="19"/>
  <c r="J23" i="19" s="1"/>
  <c r="AW9" i="34"/>
  <c r="AQ48" i="47" s="1"/>
  <c r="W9" i="35"/>
  <c r="K48" i="47"/>
  <c r="J9" i="34"/>
  <c r="J9" i="25"/>
  <c r="D48" i="50" s="1"/>
  <c r="J9" i="35"/>
  <c r="J9" i="36"/>
  <c r="K11" i="37"/>
  <c r="K20" i="18"/>
  <c r="K22" i="18" s="1"/>
  <c r="K20" i="17"/>
  <c r="K22" i="17" s="1"/>
  <c r="K13" i="15"/>
  <c r="K14" i="15" s="1"/>
  <c r="K39" i="12"/>
  <c r="K41" i="12" s="1"/>
  <c r="K19" i="13"/>
  <c r="K21" i="13" s="1"/>
  <c r="K31" i="12"/>
  <c r="Q32" i="12" s="1"/>
  <c r="K17" i="9"/>
  <c r="K18" i="9" s="1"/>
  <c r="BQ9" i="34"/>
  <c r="BK48" i="47" s="1"/>
  <c r="K9" i="36"/>
  <c r="M9" i="35"/>
  <c r="K27" i="13"/>
  <c r="K29" i="13" s="1"/>
  <c r="K12" i="13"/>
  <c r="O9" i="35"/>
  <c r="E48" i="47"/>
  <c r="L39" i="20"/>
  <c r="L25" i="20"/>
  <c r="M9" i="34"/>
  <c r="K9" i="35"/>
  <c r="BC9" i="34"/>
  <c r="AW48" i="47" s="1"/>
  <c r="BI9" i="34"/>
  <c r="BC48" i="47" s="1"/>
  <c r="AA9" i="35"/>
  <c r="H9" i="30"/>
  <c r="H9" i="29"/>
  <c r="H9" i="28"/>
  <c r="H9" i="23"/>
  <c r="AQ9" i="34"/>
  <c r="AK48" i="47" s="1"/>
  <c r="U9" i="35"/>
  <c r="P18" i="34"/>
  <c r="J57" i="47" s="1"/>
  <c r="J48" i="47"/>
  <c r="K40" i="17"/>
  <c r="K41" i="17" s="1"/>
  <c r="J15" i="31"/>
  <c r="K28" i="15"/>
  <c r="BF9" i="34"/>
  <c r="AZ48" i="47" s="1"/>
  <c r="Z9" i="35"/>
  <c r="R9" i="36"/>
  <c r="N9" i="25"/>
  <c r="H48" i="50" s="1"/>
  <c r="BD52" i="15"/>
  <c r="BD9" i="34" s="1"/>
  <c r="AX48" i="47" s="1"/>
  <c r="BD31" i="15"/>
  <c r="AZ9" i="34"/>
  <c r="AT48" i="47" s="1"/>
  <c r="X9" i="35"/>
  <c r="S9" i="35" l="1"/>
  <c r="D30" i="47"/>
  <c r="K21" i="34"/>
  <c r="E60" i="47" s="1"/>
  <c r="K12" i="18"/>
  <c r="J19" i="28"/>
  <c r="E15" i="51" s="1"/>
  <c r="D10" i="47"/>
  <c r="R9" i="35"/>
  <c r="M25" i="20"/>
  <c r="M39" i="20"/>
  <c r="K13" i="28"/>
  <c r="F20" i="51" s="1"/>
  <c r="K40" i="20"/>
  <c r="K41" i="20" s="1"/>
  <c r="K46" i="20" s="1"/>
  <c r="K47" i="20" s="1"/>
  <c r="K35" i="20"/>
  <c r="K36" i="20" s="1"/>
  <c r="L33" i="20" s="1"/>
  <c r="N9" i="36"/>
  <c r="N39" i="20"/>
  <c r="N25" i="20"/>
  <c r="L9" i="25"/>
  <c r="F48" i="50" s="1"/>
  <c r="L26" i="13"/>
  <c r="K30" i="13"/>
  <c r="K9" i="31" s="1"/>
  <c r="E24" i="47" s="1"/>
  <c r="Q13" i="37"/>
  <c r="Q40" i="12"/>
  <c r="Q52" i="12"/>
  <c r="J49" i="19"/>
  <c r="J51" i="19" s="1"/>
  <c r="J30" i="19"/>
  <c r="J32" i="19" s="1"/>
  <c r="K8" i="31"/>
  <c r="L18" i="13"/>
  <c r="K42" i="17"/>
  <c r="K46" i="17"/>
  <c r="K47" i="17" s="1"/>
  <c r="K33" i="17"/>
  <c r="G48" i="47"/>
  <c r="K12" i="37"/>
  <c r="F27" i="51" s="1"/>
  <c r="L38" i="12"/>
  <c r="H52" i="15"/>
  <c r="P25" i="20"/>
  <c r="P39" i="20"/>
  <c r="M25" i="10"/>
  <c r="M21" i="10"/>
  <c r="K32" i="15"/>
  <c r="K15" i="15"/>
  <c r="D48" i="47"/>
  <c r="J12" i="34"/>
  <c r="K46" i="18"/>
  <c r="K47" i="18" s="1"/>
  <c r="K42" i="18"/>
  <c r="K33" i="18"/>
  <c r="P9" i="36"/>
  <c r="K29" i="15"/>
  <c r="K10" i="12"/>
  <c r="K11" i="12" s="1"/>
  <c r="Q9" i="36"/>
  <c r="Y9" i="35"/>
  <c r="K17" i="34"/>
  <c r="E56" i="47" s="1"/>
  <c r="K12" i="17"/>
  <c r="K27" i="17"/>
  <c r="Q28" i="17" s="1"/>
  <c r="K29" i="18"/>
  <c r="K14" i="18"/>
  <c r="M9" i="25"/>
  <c r="G48" i="50" s="1"/>
  <c r="J14" i="20"/>
  <c r="J15" i="20" s="1"/>
  <c r="J20" i="20"/>
  <c r="J21" i="20" s="1"/>
  <c r="K76" i="20" l="1"/>
  <c r="K81" i="20"/>
  <c r="K48" i="20"/>
  <c r="K21" i="28" s="1"/>
  <c r="J34" i="20"/>
  <c r="K9" i="19"/>
  <c r="K11" i="19" s="1"/>
  <c r="K30" i="15"/>
  <c r="K36" i="15" s="1"/>
  <c r="H9" i="36"/>
  <c r="H9" i="35"/>
  <c r="H9" i="34"/>
  <c r="H9" i="25"/>
  <c r="K16" i="28"/>
  <c r="Q29" i="17"/>
  <c r="Q14" i="17"/>
  <c r="J36" i="19"/>
  <c r="K37" i="19" s="1"/>
  <c r="K14" i="34"/>
  <c r="E53" i="47" s="1"/>
  <c r="L25" i="12"/>
  <c r="L26" i="12" s="1"/>
  <c r="L10" i="13"/>
  <c r="L11" i="13" s="1"/>
  <c r="E23" i="47"/>
  <c r="J15" i="34"/>
  <c r="D51" i="47"/>
  <c r="K48" i="17"/>
  <c r="K34" i="17"/>
  <c r="K35" i="17" s="1"/>
  <c r="M10" i="37"/>
  <c r="H26" i="51" s="1"/>
  <c r="M24" i="12"/>
  <c r="N17" i="10"/>
  <c r="E9" i="47"/>
  <c r="K14" i="28"/>
  <c r="F14" i="51" s="1"/>
  <c r="J39" i="20"/>
  <c r="J25" i="20"/>
  <c r="J27" i="20" s="1"/>
  <c r="K22" i="34"/>
  <c r="E61" i="47" s="1"/>
  <c r="K18" i="28"/>
  <c r="J82" i="20"/>
  <c r="D15" i="47"/>
  <c r="K34" i="18"/>
  <c r="K35" i="18" s="1"/>
  <c r="K48" i="18"/>
  <c r="J19" i="31"/>
  <c r="K29" i="19"/>
  <c r="L26" i="20"/>
  <c r="L27" i="20" s="1"/>
  <c r="E14" i="47" l="1"/>
  <c r="F23" i="51"/>
  <c r="E12" i="47"/>
  <c r="F21" i="51"/>
  <c r="E17" i="47"/>
  <c r="F24" i="51"/>
  <c r="K13" i="18"/>
  <c r="K15" i="18" s="1"/>
  <c r="K13" i="17"/>
  <c r="K15" i="17" s="1"/>
  <c r="K19" i="28"/>
  <c r="F15" i="51" s="1"/>
  <c r="E10" i="47"/>
  <c r="K23" i="34"/>
  <c r="E62" i="47" s="1"/>
  <c r="L11" i="37"/>
  <c r="L20" i="18"/>
  <c r="L22" i="18" s="1"/>
  <c r="L20" i="17"/>
  <c r="L22" i="17" s="1"/>
  <c r="L13" i="15"/>
  <c r="L14" i="15" s="1"/>
  <c r="L19" i="13"/>
  <c r="L21" i="13" s="1"/>
  <c r="L17" i="9"/>
  <c r="L18" i="9" s="1"/>
  <c r="L31" i="12"/>
  <c r="R32" i="12" s="1"/>
  <c r="L39" i="12"/>
  <c r="L41" i="12" s="1"/>
  <c r="J11" i="38"/>
  <c r="K25" i="34"/>
  <c r="E64" i="47" s="1"/>
  <c r="Q18" i="34"/>
  <c r="K57" i="47" s="1"/>
  <c r="K22" i="19"/>
  <c r="K23" i="19" s="1"/>
  <c r="N25" i="10"/>
  <c r="N21" i="10"/>
  <c r="L35" i="20"/>
  <c r="L36" i="20" s="1"/>
  <c r="M33" i="20" s="1"/>
  <c r="L40" i="20"/>
  <c r="L41" i="20" s="1"/>
  <c r="L46" i="20" s="1"/>
  <c r="L47" i="20" s="1"/>
  <c r="K48" i="19"/>
  <c r="D34" i="47"/>
  <c r="J35" i="20"/>
  <c r="J40" i="20"/>
  <c r="J41" i="20" s="1"/>
  <c r="J26" i="34"/>
  <c r="D54" i="47"/>
  <c r="L12" i="13"/>
  <c r="L27" i="13"/>
  <c r="L29" i="13" s="1"/>
  <c r="K38" i="19"/>
  <c r="K31" i="19"/>
  <c r="K15" i="31"/>
  <c r="L28" i="15"/>
  <c r="J46" i="20" l="1"/>
  <c r="J47" i="20" s="1"/>
  <c r="L13" i="28"/>
  <c r="G20" i="51" s="1"/>
  <c r="J13" i="29"/>
  <c r="L12" i="37"/>
  <c r="G27" i="51" s="1"/>
  <c r="M38" i="12"/>
  <c r="J12" i="38"/>
  <c r="N10" i="37"/>
  <c r="I26" i="51" s="1"/>
  <c r="O17" i="10"/>
  <c r="N24" i="12"/>
  <c r="R13" i="37"/>
  <c r="R40" i="12"/>
  <c r="R52" i="12"/>
  <c r="L29" i="15"/>
  <c r="L10" i="12"/>
  <c r="L11" i="12" s="1"/>
  <c r="K22" i="28"/>
  <c r="F16" i="51" s="1"/>
  <c r="K82" i="20"/>
  <c r="E15" i="47"/>
  <c r="L8" i="31"/>
  <c r="M18" i="13"/>
  <c r="J8" i="32"/>
  <c r="K30" i="19"/>
  <c r="K32" i="19" s="1"/>
  <c r="K49" i="19"/>
  <c r="K51" i="19" s="1"/>
  <c r="L32" i="15"/>
  <c r="L15" i="15"/>
  <c r="K16" i="31"/>
  <c r="L11" i="17"/>
  <c r="E30" i="47"/>
  <c r="K10" i="34"/>
  <c r="J29" i="34"/>
  <c r="D65" i="47"/>
  <c r="L76" i="20"/>
  <c r="L81" i="20"/>
  <c r="L48" i="20"/>
  <c r="L21" i="28" s="1"/>
  <c r="L17" i="34"/>
  <c r="F56" i="47" s="1"/>
  <c r="L27" i="17"/>
  <c r="R28" i="17" s="1"/>
  <c r="L12" i="17"/>
  <c r="J17" i="35"/>
  <c r="L30" i="13"/>
  <c r="M26" i="13"/>
  <c r="M26" i="20"/>
  <c r="M27" i="20" s="1"/>
  <c r="L21" i="34"/>
  <c r="F60" i="47" s="1"/>
  <c r="L12" i="18"/>
  <c r="J21" i="35"/>
  <c r="K18" i="31"/>
  <c r="L11" i="18"/>
  <c r="E33" i="47" l="1"/>
  <c r="F10" i="51"/>
  <c r="F17" i="47"/>
  <c r="G24" i="51"/>
  <c r="E31" i="47"/>
  <c r="F9" i="51"/>
  <c r="K36" i="19"/>
  <c r="L37" i="19" s="1"/>
  <c r="L9" i="31"/>
  <c r="F24" i="47" s="1"/>
  <c r="J9" i="32"/>
  <c r="J12" i="9"/>
  <c r="J13" i="9" s="1"/>
  <c r="D68" i="47"/>
  <c r="K19" i="31"/>
  <c r="E34" i="47" s="1"/>
  <c r="L29" i="19"/>
  <c r="M10" i="13"/>
  <c r="M11" i="13" s="1"/>
  <c r="F23" i="47"/>
  <c r="O25" i="10"/>
  <c r="O21" i="10"/>
  <c r="L14" i="34"/>
  <c r="F53" i="47" s="1"/>
  <c r="J14" i="35"/>
  <c r="L9" i="19"/>
  <c r="L11" i="19" s="1"/>
  <c r="L30" i="15"/>
  <c r="L36" i="15" s="1"/>
  <c r="F9" i="47"/>
  <c r="L14" i="28"/>
  <c r="G14" i="51" s="1"/>
  <c r="L40" i="17"/>
  <c r="L41" i="17" s="1"/>
  <c r="L27" i="18"/>
  <c r="L28" i="18" s="1"/>
  <c r="L40" i="18"/>
  <c r="L41" i="18" s="1"/>
  <c r="M25" i="12"/>
  <c r="M26" i="12" s="1"/>
  <c r="K37" i="9"/>
  <c r="E18" i="47"/>
  <c r="M35" i="20"/>
  <c r="M36" i="20" s="1"/>
  <c r="N33" i="20" s="1"/>
  <c r="M40" i="20"/>
  <c r="M41" i="20" s="1"/>
  <c r="R29" i="17"/>
  <c r="R14" i="17"/>
  <c r="E49" i="47"/>
  <c r="J48" i="20"/>
  <c r="J76" i="20"/>
  <c r="J78" i="20" s="1"/>
  <c r="J81" i="20"/>
  <c r="F10" i="47" l="1"/>
  <c r="J14" i="29"/>
  <c r="J21" i="28"/>
  <c r="E24" i="51" s="1"/>
  <c r="J21" i="29"/>
  <c r="L46" i="17"/>
  <c r="L47" i="17" s="1"/>
  <c r="L42" i="17"/>
  <c r="L33" i="17"/>
  <c r="J11" i="31"/>
  <c r="E7" i="51" s="1"/>
  <c r="J9" i="8"/>
  <c r="K11" i="9"/>
  <c r="M27" i="13"/>
  <c r="M29" i="13" s="1"/>
  <c r="M12" i="13"/>
  <c r="O10" i="37"/>
  <c r="J26" i="51" s="1"/>
  <c r="O24" i="12"/>
  <c r="P17" i="10"/>
  <c r="K10" i="38"/>
  <c r="J10" i="39"/>
  <c r="M11" i="37"/>
  <c r="M20" i="18"/>
  <c r="M22" i="18" s="1"/>
  <c r="M20" i="17"/>
  <c r="M22" i="17" s="1"/>
  <c r="M13" i="15"/>
  <c r="M14" i="15" s="1"/>
  <c r="M19" i="13"/>
  <c r="M21" i="13" s="1"/>
  <c r="M31" i="12"/>
  <c r="S32" i="12" s="1"/>
  <c r="M39" i="12"/>
  <c r="M41" i="12" s="1"/>
  <c r="M17" i="9"/>
  <c r="M18" i="9" s="1"/>
  <c r="L15" i="31"/>
  <c r="M28" i="15"/>
  <c r="J15" i="32"/>
  <c r="L42" i="18"/>
  <c r="L46" i="18"/>
  <c r="L47" i="18" s="1"/>
  <c r="L33" i="18"/>
  <c r="L22" i="19"/>
  <c r="L23" i="19" s="1"/>
  <c r="L31" i="19"/>
  <c r="L38" i="19"/>
  <c r="L48" i="19"/>
  <c r="R18" i="34"/>
  <c r="L57" i="47" s="1"/>
  <c r="K75" i="20"/>
  <c r="J20" i="31"/>
  <c r="M46" i="20"/>
  <c r="M47" i="20" s="1"/>
  <c r="L29" i="18"/>
  <c r="L14" i="18"/>
  <c r="N26" i="20"/>
  <c r="N27" i="20" s="1"/>
  <c r="M76" i="20" l="1"/>
  <c r="M81" i="20"/>
  <c r="M48" i="20"/>
  <c r="L18" i="28"/>
  <c r="J18" i="29"/>
  <c r="S13" i="37"/>
  <c r="S52" i="12"/>
  <c r="S40" i="12"/>
  <c r="P25" i="10"/>
  <c r="P21" i="10"/>
  <c r="D26" i="47"/>
  <c r="J12" i="31"/>
  <c r="L10" i="34"/>
  <c r="M8" i="31"/>
  <c r="N18" i="13"/>
  <c r="D17" i="47"/>
  <c r="J22" i="28"/>
  <c r="E16" i="51" s="1"/>
  <c r="F30" i="47"/>
  <c r="M17" i="34"/>
  <c r="G56" i="47" s="1"/>
  <c r="M27" i="17"/>
  <c r="S28" i="17" s="1"/>
  <c r="M12" i="17"/>
  <c r="L16" i="28"/>
  <c r="G21" i="51" s="1"/>
  <c r="J16" i="29"/>
  <c r="N40" i="20"/>
  <c r="N41" i="20" s="1"/>
  <c r="N35" i="20"/>
  <c r="N36" i="20" s="1"/>
  <c r="O33" i="20" s="1"/>
  <c r="M32" i="15"/>
  <c r="M15" i="15"/>
  <c r="L49" i="19"/>
  <c r="L30" i="19"/>
  <c r="L32" i="19" s="1"/>
  <c r="M21" i="34"/>
  <c r="G60" i="47" s="1"/>
  <c r="M12" i="18"/>
  <c r="M13" i="28"/>
  <c r="H20" i="51" s="1"/>
  <c r="L48" i="17"/>
  <c r="L34" i="17"/>
  <c r="L35" i="17" s="1"/>
  <c r="K66" i="20"/>
  <c r="K68" i="20" s="1"/>
  <c r="M30" i="13"/>
  <c r="M9" i="31" s="1"/>
  <c r="G24" i="47" s="1"/>
  <c r="N26" i="13"/>
  <c r="D35" i="47"/>
  <c r="J21" i="31"/>
  <c r="L22" i="34"/>
  <c r="F61" i="47" s="1"/>
  <c r="J22" i="35"/>
  <c r="M29" i="15"/>
  <c r="M10" i="12"/>
  <c r="M11" i="12" s="1"/>
  <c r="L51" i="19"/>
  <c r="L48" i="18"/>
  <c r="L34" i="18"/>
  <c r="L35" i="18" s="1"/>
  <c r="M12" i="37"/>
  <c r="H27" i="51" s="1"/>
  <c r="N38" i="12"/>
  <c r="F14" i="47" l="1"/>
  <c r="G23" i="51"/>
  <c r="L13" i="18"/>
  <c r="L15" i="18" s="1"/>
  <c r="J22" i="9"/>
  <c r="D27" i="47"/>
  <c r="L23" i="34"/>
  <c r="F62" i="47" s="1"/>
  <c r="J23" i="35"/>
  <c r="N46" i="20"/>
  <c r="N47" i="20" s="1"/>
  <c r="L19" i="31"/>
  <c r="F34" i="47" s="1"/>
  <c r="M29" i="19"/>
  <c r="J19" i="32"/>
  <c r="P10" i="37"/>
  <c r="K26" i="51" s="1"/>
  <c r="P24" i="12"/>
  <c r="Q17" i="10"/>
  <c r="S29" i="17"/>
  <c r="S14" i="17"/>
  <c r="G23" i="47"/>
  <c r="L13" i="17"/>
  <c r="L15" i="17" s="1"/>
  <c r="M9" i="19"/>
  <c r="M11" i="19" s="1"/>
  <c r="M30" i="15"/>
  <c r="M36" i="15" s="1"/>
  <c r="K77" i="20"/>
  <c r="K78" i="20" s="1"/>
  <c r="K69" i="20"/>
  <c r="M14" i="34"/>
  <c r="G53" i="47" s="1"/>
  <c r="M21" i="28"/>
  <c r="N25" i="12"/>
  <c r="N26" i="12" s="1"/>
  <c r="J23" i="9"/>
  <c r="D36" i="47"/>
  <c r="F12" i="47"/>
  <c r="L19" i="28"/>
  <c r="G15" i="51" s="1"/>
  <c r="O26" i="20"/>
  <c r="O27" i="20" s="1"/>
  <c r="L25" i="34"/>
  <c r="F64" i="47" s="1"/>
  <c r="J25" i="35"/>
  <c r="N10" i="13"/>
  <c r="N11" i="13" s="1"/>
  <c r="L36" i="19"/>
  <c r="M37" i="19" s="1"/>
  <c r="G9" i="47"/>
  <c r="M14" i="28"/>
  <c r="H14" i="51" s="1"/>
  <c r="J37" i="9"/>
  <c r="J38" i="9" s="1"/>
  <c r="D18" i="47"/>
  <c r="F49" i="47"/>
  <c r="G17" i="47" l="1"/>
  <c r="H24" i="51"/>
  <c r="O35" i="20"/>
  <c r="O36" i="20" s="1"/>
  <c r="P33" i="20" s="1"/>
  <c r="O40" i="20"/>
  <c r="O41" i="20" s="1"/>
  <c r="L16" i="31"/>
  <c r="G9" i="51" s="1"/>
  <c r="M11" i="17"/>
  <c r="J16" i="32"/>
  <c r="N12" i="13"/>
  <c r="N27" i="13"/>
  <c r="N29" i="13" s="1"/>
  <c r="K11" i="34"/>
  <c r="M48" i="19"/>
  <c r="K20" i="31"/>
  <c r="L75" i="20"/>
  <c r="M31" i="19"/>
  <c r="M38" i="19"/>
  <c r="N11" i="37"/>
  <c r="N20" i="18"/>
  <c r="N22" i="18" s="1"/>
  <c r="N20" i="17"/>
  <c r="N22" i="17" s="1"/>
  <c r="N13" i="15"/>
  <c r="N14" i="15" s="1"/>
  <c r="N19" i="13"/>
  <c r="N21" i="13" s="1"/>
  <c r="N31" i="12"/>
  <c r="T32" i="12" s="1"/>
  <c r="N17" i="9"/>
  <c r="N18" i="9" s="1"/>
  <c r="N39" i="12"/>
  <c r="N41" i="12" s="1"/>
  <c r="J25" i="31"/>
  <c r="D40" i="47" s="1"/>
  <c r="J28" i="9"/>
  <c r="J30" i="9" s="1"/>
  <c r="K36" i="9"/>
  <c r="K38" i="9" s="1"/>
  <c r="J24" i="9"/>
  <c r="G10" i="47"/>
  <c r="M15" i="31"/>
  <c r="N28" i="15"/>
  <c r="S18" i="34"/>
  <c r="M57" i="47" s="1"/>
  <c r="N81" i="20"/>
  <c r="N48" i="20"/>
  <c r="N76" i="20"/>
  <c r="L22" i="28"/>
  <c r="G16" i="51" s="1"/>
  <c r="L82" i="20"/>
  <c r="F15" i="47"/>
  <c r="J19" i="29"/>
  <c r="M22" i="19"/>
  <c r="M23" i="19" s="1"/>
  <c r="Q25" i="10"/>
  <c r="Q26" i="10" s="1"/>
  <c r="L18" i="31"/>
  <c r="M11" i="18"/>
  <c r="J18" i="32"/>
  <c r="F33" i="47" l="1"/>
  <c r="G10" i="51"/>
  <c r="N21" i="34"/>
  <c r="H60" i="47" s="1"/>
  <c r="N12" i="18"/>
  <c r="N13" i="28"/>
  <c r="I20" i="51" s="1"/>
  <c r="N21" i="28"/>
  <c r="N12" i="37"/>
  <c r="I27" i="51" s="1"/>
  <c r="O38" i="12"/>
  <c r="M40" i="17"/>
  <c r="M41" i="17" s="1"/>
  <c r="F31" i="47"/>
  <c r="J23" i="31"/>
  <c r="D38" i="47" s="1"/>
  <c r="J15" i="22"/>
  <c r="T13" i="37"/>
  <c r="T52" i="12"/>
  <c r="T40" i="12"/>
  <c r="N29" i="15"/>
  <c r="N10" i="12"/>
  <c r="N11" i="12" s="1"/>
  <c r="K25" i="31"/>
  <c r="E40" i="47" s="1"/>
  <c r="L36" i="9"/>
  <c r="K28" i="9"/>
  <c r="K30" i="9" s="1"/>
  <c r="N8" i="31"/>
  <c r="O18" i="13"/>
  <c r="L66" i="20"/>
  <c r="L68" i="20" s="1"/>
  <c r="E50" i="47"/>
  <c r="K12" i="34"/>
  <c r="O46" i="20"/>
  <c r="O47" i="20" s="1"/>
  <c r="M40" i="18"/>
  <c r="M41" i="18" s="1"/>
  <c r="M27" i="18"/>
  <c r="M28" i="18" s="1"/>
  <c r="M10" i="34"/>
  <c r="Q11" i="11"/>
  <c r="Q12" i="11" s="1"/>
  <c r="Q20" i="10"/>
  <c r="Q21" i="10" s="1"/>
  <c r="Q44" i="12"/>
  <c r="Q45" i="12" s="1"/>
  <c r="L37" i="9"/>
  <c r="F18" i="47"/>
  <c r="J22" i="29"/>
  <c r="G30" i="47"/>
  <c r="J27" i="31"/>
  <c r="D42" i="47" s="1"/>
  <c r="J16" i="22"/>
  <c r="N32" i="15"/>
  <c r="N15" i="15"/>
  <c r="E35" i="47"/>
  <c r="K21" i="31"/>
  <c r="P26" i="20"/>
  <c r="P27" i="20" s="1"/>
  <c r="M30" i="19"/>
  <c r="M32" i="19" s="1"/>
  <c r="M49" i="19"/>
  <c r="M51" i="19" s="1"/>
  <c r="N17" i="34"/>
  <c r="H56" i="47" s="1"/>
  <c r="N27" i="17"/>
  <c r="T28" i="17" s="1"/>
  <c r="N12" i="17"/>
  <c r="N30" i="13"/>
  <c r="N9" i="31" s="1"/>
  <c r="H24" i="47" s="1"/>
  <c r="O26" i="13"/>
  <c r="L38" i="9" l="1"/>
  <c r="H17" i="47"/>
  <c r="I24" i="51"/>
  <c r="M36" i="19"/>
  <c r="N37" i="19" s="1"/>
  <c r="K23" i="9"/>
  <c r="E36" i="47"/>
  <c r="Q10" i="37"/>
  <c r="L26" i="51" s="1"/>
  <c r="Q24" i="12"/>
  <c r="R17" i="10"/>
  <c r="M46" i="18"/>
  <c r="M47" i="18" s="1"/>
  <c r="M33" i="18"/>
  <c r="M42" i="18"/>
  <c r="H23" i="47"/>
  <c r="Q16" i="19"/>
  <c r="Q17" i="19" s="1"/>
  <c r="Q42" i="15"/>
  <c r="Q20" i="15"/>
  <c r="Q25" i="11"/>
  <c r="K27" i="31"/>
  <c r="E42" i="47" s="1"/>
  <c r="K16" i="22"/>
  <c r="M33" i="17"/>
  <c r="M46" i="17"/>
  <c r="M47" i="17" s="1"/>
  <c r="M42" i="17"/>
  <c r="O25" i="12"/>
  <c r="O26" i="12" s="1"/>
  <c r="N14" i="34"/>
  <c r="H53" i="47" s="1"/>
  <c r="K15" i="34"/>
  <c r="E51" i="47"/>
  <c r="J17" i="22"/>
  <c r="J21" i="22" s="1"/>
  <c r="H9" i="47"/>
  <c r="N14" i="28"/>
  <c r="I14" i="51" s="1"/>
  <c r="T14" i="17"/>
  <c r="T29" i="17"/>
  <c r="T18" i="34" s="1"/>
  <c r="N57" i="47" s="1"/>
  <c r="L25" i="31"/>
  <c r="F40" i="47" s="1"/>
  <c r="L28" i="9"/>
  <c r="L30" i="9" s="1"/>
  <c r="M36" i="9"/>
  <c r="J25" i="32"/>
  <c r="M19" i="31"/>
  <c r="G34" i="47" s="1"/>
  <c r="N29" i="19"/>
  <c r="G49" i="47"/>
  <c r="O48" i="20"/>
  <c r="O76" i="20"/>
  <c r="O81" i="20"/>
  <c r="L77" i="20"/>
  <c r="L78" i="20" s="1"/>
  <c r="L69" i="20"/>
  <c r="N9" i="19"/>
  <c r="N11" i="19" s="1"/>
  <c r="N30" i="15"/>
  <c r="N36" i="15" s="1"/>
  <c r="P35" i="20"/>
  <c r="P36" i="20" s="1"/>
  <c r="Q33" i="20" s="1"/>
  <c r="P40" i="20"/>
  <c r="P41" i="20" s="1"/>
  <c r="Q16" i="37"/>
  <c r="Q62" i="12"/>
  <c r="Q64" i="12" s="1"/>
  <c r="Q53" i="12"/>
  <c r="Q56" i="12" s="1"/>
  <c r="M29" i="18"/>
  <c r="M14" i="18"/>
  <c r="O10" i="13"/>
  <c r="O11" i="13" s="1"/>
  <c r="L27" i="31" l="1"/>
  <c r="F42" i="47" s="1"/>
  <c r="L16" i="22"/>
  <c r="J27" i="32"/>
  <c r="N22" i="19"/>
  <c r="N23" i="19" s="1"/>
  <c r="O21" i="28"/>
  <c r="R25" i="10"/>
  <c r="Q15" i="37"/>
  <c r="L28" i="51" s="1"/>
  <c r="R51" i="12"/>
  <c r="Q17" i="37"/>
  <c r="L29" i="51" s="1"/>
  <c r="R61" i="12"/>
  <c r="Q17" i="11"/>
  <c r="Q18" i="11" s="1"/>
  <c r="M16" i="28"/>
  <c r="H21" i="51" s="1"/>
  <c r="Q21" i="19"/>
  <c r="Q43" i="15"/>
  <c r="Q45" i="15" s="1"/>
  <c r="Q21" i="15"/>
  <c r="S22" i="15" s="1"/>
  <c r="O11" i="37"/>
  <c r="O20" i="18"/>
  <c r="O22" i="18" s="1"/>
  <c r="O20" i="17"/>
  <c r="O22" i="17" s="1"/>
  <c r="O13" i="15"/>
  <c r="O14" i="15" s="1"/>
  <c r="O19" i="13"/>
  <c r="O21" i="13" s="1"/>
  <c r="O31" i="12"/>
  <c r="U32" i="12" s="1"/>
  <c r="O39" i="12"/>
  <c r="O41" i="12" s="1"/>
  <c r="O17" i="9"/>
  <c r="O18" i="9" s="1"/>
  <c r="M34" i="18"/>
  <c r="M35" i="18" s="1"/>
  <c r="M48" i="18"/>
  <c r="L11" i="34"/>
  <c r="J11" i="35"/>
  <c r="M48" i="17"/>
  <c r="M34" i="17"/>
  <c r="M35" i="17" s="1"/>
  <c r="H10" i="47"/>
  <c r="K26" i="34"/>
  <c r="E54" i="47"/>
  <c r="N15" i="31"/>
  <c r="O28" i="15"/>
  <c r="N48" i="19"/>
  <c r="Q26" i="20"/>
  <c r="M18" i="28"/>
  <c r="O27" i="13"/>
  <c r="O29" i="13" s="1"/>
  <c r="O12" i="13"/>
  <c r="O13" i="28" s="1"/>
  <c r="J20" i="51" s="1"/>
  <c r="P46" i="20"/>
  <c r="P47" i="20" s="1"/>
  <c r="L20" i="31"/>
  <c r="M75" i="20"/>
  <c r="J20" i="32"/>
  <c r="M22" i="34"/>
  <c r="G61" i="47" s="1"/>
  <c r="N31" i="19"/>
  <c r="N38" i="19"/>
  <c r="G14" i="47" l="1"/>
  <c r="H23" i="51"/>
  <c r="I17" i="47"/>
  <c r="J24" i="51"/>
  <c r="S8" i="34"/>
  <c r="S44" i="15"/>
  <c r="Q10" i="31"/>
  <c r="K25" i="47" s="1"/>
  <c r="R41" i="15"/>
  <c r="I9" i="47"/>
  <c r="O14" i="28"/>
  <c r="J14" i="51" s="1"/>
  <c r="M23" i="34"/>
  <c r="G62" i="47" s="1"/>
  <c r="Q8" i="28"/>
  <c r="L12" i="51" s="1"/>
  <c r="Q19" i="16"/>
  <c r="Q21" i="16" s="1"/>
  <c r="Q26" i="11"/>
  <c r="Q27" i="11" s="1"/>
  <c r="O30" i="13"/>
  <c r="P26" i="13"/>
  <c r="O29" i="15"/>
  <c r="O10" i="12"/>
  <c r="O11" i="12" s="1"/>
  <c r="K29" i="34"/>
  <c r="E65" i="47"/>
  <c r="O12" i="37"/>
  <c r="J27" i="51" s="1"/>
  <c r="P38" i="12"/>
  <c r="H30" i="47"/>
  <c r="U13" i="37"/>
  <c r="U52" i="12"/>
  <c r="U40" i="12"/>
  <c r="R24" i="10"/>
  <c r="R26" i="10" s="1"/>
  <c r="N30" i="19"/>
  <c r="N32" i="19" s="1"/>
  <c r="N49" i="19"/>
  <c r="N51" i="19" s="1"/>
  <c r="N10" i="34"/>
  <c r="M66" i="20"/>
  <c r="M68" i="20" s="1"/>
  <c r="M13" i="17"/>
  <c r="M15" i="17" s="1"/>
  <c r="O8" i="31"/>
  <c r="P18" i="13"/>
  <c r="J8" i="33"/>
  <c r="F50" i="47"/>
  <c r="L12" i="34"/>
  <c r="O32" i="15"/>
  <c r="O15" i="15"/>
  <c r="O14" i="34" s="1"/>
  <c r="I53" i="47" s="1"/>
  <c r="O17" i="34"/>
  <c r="I56" i="47" s="1"/>
  <c r="O27" i="17"/>
  <c r="U28" i="17" s="1"/>
  <c r="O12" i="17"/>
  <c r="F35" i="47"/>
  <c r="L21" i="31"/>
  <c r="M13" i="18"/>
  <c r="M15" i="18" s="1"/>
  <c r="P48" i="20"/>
  <c r="P76" i="20"/>
  <c r="P81" i="20"/>
  <c r="M25" i="34"/>
  <c r="G64" i="47" s="1"/>
  <c r="O21" i="34"/>
  <c r="I60" i="47" s="1"/>
  <c r="O12" i="18"/>
  <c r="G12" i="47"/>
  <c r="M19" i="28"/>
  <c r="H15" i="51" s="1"/>
  <c r="N36" i="19" l="1"/>
  <c r="O37" i="19" s="1"/>
  <c r="H49" i="47"/>
  <c r="I23" i="47"/>
  <c r="O9" i="31"/>
  <c r="I24" i="47" s="1"/>
  <c r="J9" i="33"/>
  <c r="K9" i="32"/>
  <c r="I10" i="47"/>
  <c r="K12" i="9"/>
  <c r="K13" i="9" s="1"/>
  <c r="E68" i="47"/>
  <c r="Q14" i="31"/>
  <c r="R24" i="11"/>
  <c r="M22" i="28"/>
  <c r="H16" i="51" s="1"/>
  <c r="M82" i="20"/>
  <c r="G15" i="47"/>
  <c r="P10" i="13"/>
  <c r="P11" i="13" s="1"/>
  <c r="M16" i="31"/>
  <c r="H9" i="51" s="1"/>
  <c r="N11" i="17"/>
  <c r="N19" i="31"/>
  <c r="H34" i="47" s="1"/>
  <c r="O29" i="19"/>
  <c r="P25" i="12"/>
  <c r="P26" i="12" s="1"/>
  <c r="Q19" i="34"/>
  <c r="K58" i="47" s="1"/>
  <c r="Q26" i="16"/>
  <c r="S27" i="16" s="1"/>
  <c r="Q12" i="16"/>
  <c r="Q15" i="16" s="1"/>
  <c r="P21" i="28"/>
  <c r="M18" i="31"/>
  <c r="N11" i="18"/>
  <c r="Q11" i="28"/>
  <c r="L13" i="51" s="1"/>
  <c r="K4" i="47"/>
  <c r="U14" i="17"/>
  <c r="U29" i="17"/>
  <c r="U18" i="34" s="1"/>
  <c r="O57" i="47" s="1"/>
  <c r="L15" i="34"/>
  <c r="F51" i="47"/>
  <c r="J12" i="35"/>
  <c r="L23" i="9"/>
  <c r="F36" i="47"/>
  <c r="J21" i="32"/>
  <c r="M69" i="20"/>
  <c r="M77" i="20"/>
  <c r="M78" i="20" s="1"/>
  <c r="R44" i="12"/>
  <c r="R45" i="12" s="1"/>
  <c r="R20" i="10"/>
  <c r="R21" i="10" s="1"/>
  <c r="R11" i="11"/>
  <c r="R12" i="11" s="1"/>
  <c r="O9" i="19"/>
  <c r="O11" i="19" s="1"/>
  <c r="O22" i="19" s="1"/>
  <c r="O23" i="19" s="1"/>
  <c r="O30" i="15"/>
  <c r="O36" i="15" s="1"/>
  <c r="M47" i="47"/>
  <c r="J17" i="47" l="1"/>
  <c r="K24" i="51"/>
  <c r="G33" i="47"/>
  <c r="H10" i="51"/>
  <c r="P11" i="37"/>
  <c r="P20" i="17"/>
  <c r="P22" i="17" s="1"/>
  <c r="P20" i="18"/>
  <c r="P22" i="18" s="1"/>
  <c r="P19" i="13"/>
  <c r="P21" i="13" s="1"/>
  <c r="P31" i="12"/>
  <c r="V32" i="12" s="1"/>
  <c r="P39" i="12"/>
  <c r="P41" i="12" s="1"/>
  <c r="P17" i="9"/>
  <c r="P18" i="9" s="1"/>
  <c r="P13" i="15"/>
  <c r="P14" i="15" s="1"/>
  <c r="M11" i="34"/>
  <c r="L26" i="34"/>
  <c r="F54" i="47"/>
  <c r="J15" i="35"/>
  <c r="O48" i="19"/>
  <c r="O30" i="19"/>
  <c r="O49" i="19"/>
  <c r="N40" i="17"/>
  <c r="N41" i="17" s="1"/>
  <c r="M37" i="9"/>
  <c r="M38" i="9" s="1"/>
  <c r="G18" i="47"/>
  <c r="K11" i="31"/>
  <c r="F7" i="51" s="1"/>
  <c r="L11" i="9"/>
  <c r="K9" i="8"/>
  <c r="G31" i="47"/>
  <c r="O15" i="31"/>
  <c r="P28" i="15"/>
  <c r="J15" i="33"/>
  <c r="R10" i="37"/>
  <c r="M26" i="51" s="1"/>
  <c r="R24" i="12"/>
  <c r="S17" i="10"/>
  <c r="L10" i="38"/>
  <c r="S14" i="16"/>
  <c r="S28" i="16"/>
  <c r="K29" i="47"/>
  <c r="R16" i="19"/>
  <c r="R17" i="19" s="1"/>
  <c r="R42" i="15"/>
  <c r="R25" i="11"/>
  <c r="R20" i="15"/>
  <c r="Q17" i="31"/>
  <c r="R11" i="16"/>
  <c r="Q9" i="20"/>
  <c r="Q10" i="20" s="1"/>
  <c r="K7" i="47"/>
  <c r="R16" i="37"/>
  <c r="R62" i="12"/>
  <c r="R64" i="12" s="1"/>
  <c r="R53" i="12"/>
  <c r="R56" i="12" s="1"/>
  <c r="N40" i="18"/>
  <c r="N41" i="18" s="1"/>
  <c r="N27" i="18"/>
  <c r="N28" i="18" s="1"/>
  <c r="P27" i="13"/>
  <c r="P29" i="13" s="1"/>
  <c r="P12" i="13"/>
  <c r="P13" i="28" s="1"/>
  <c r="K20" i="51" s="1"/>
  <c r="M20" i="31"/>
  <c r="G35" i="47" s="1"/>
  <c r="N75" i="20"/>
  <c r="O31" i="19"/>
  <c r="O32" i="19" s="1"/>
  <c r="O38" i="19"/>
  <c r="O10" i="34" s="1"/>
  <c r="K32" i="47" l="1"/>
  <c r="L8" i="51"/>
  <c r="O19" i="31"/>
  <c r="I34" i="47" s="1"/>
  <c r="P29" i="19"/>
  <c r="J19" i="33"/>
  <c r="N66" i="20"/>
  <c r="N68" i="20" s="1"/>
  <c r="R17" i="37"/>
  <c r="M29" i="51" s="1"/>
  <c r="S61" i="12"/>
  <c r="R17" i="11"/>
  <c r="R18" i="11" s="1"/>
  <c r="L17" i="38"/>
  <c r="P29" i="15"/>
  <c r="P10" i="12"/>
  <c r="P11" i="12" s="1"/>
  <c r="N46" i="17"/>
  <c r="N47" i="17" s="1"/>
  <c r="N42" i="17"/>
  <c r="N33" i="17"/>
  <c r="R39" i="16"/>
  <c r="R40" i="16" s="1"/>
  <c r="S20" i="34"/>
  <c r="M59" i="47" s="1"/>
  <c r="I30" i="47"/>
  <c r="P12" i="37"/>
  <c r="K27" i="51" s="1"/>
  <c r="Q38" i="12"/>
  <c r="Q20" i="20"/>
  <c r="Q21" i="20" s="1"/>
  <c r="Q14" i="20"/>
  <c r="Q15" i="20" s="1"/>
  <c r="P32" i="15"/>
  <c r="P15" i="15"/>
  <c r="L29" i="34"/>
  <c r="F65" i="47"/>
  <c r="J26" i="35"/>
  <c r="V13" i="37"/>
  <c r="V52" i="12"/>
  <c r="V40" i="12"/>
  <c r="R15" i="37"/>
  <c r="M28" i="51" s="1"/>
  <c r="S51" i="12"/>
  <c r="L15" i="38"/>
  <c r="J9" i="47"/>
  <c r="P14" i="28"/>
  <c r="K14" i="51" s="1"/>
  <c r="M21" i="31"/>
  <c r="P8" i="31"/>
  <c r="Q18" i="13"/>
  <c r="Q26" i="13"/>
  <c r="P30" i="13"/>
  <c r="P9" i="31" s="1"/>
  <c r="J24" i="47" s="1"/>
  <c r="S25" i="10"/>
  <c r="O51" i="19"/>
  <c r="O36" i="19" s="1"/>
  <c r="P37" i="19" s="1"/>
  <c r="P21" i="34"/>
  <c r="J60" i="47" s="1"/>
  <c r="P12" i="18"/>
  <c r="M25" i="31"/>
  <c r="G40" i="47" s="1"/>
  <c r="M28" i="9"/>
  <c r="M30" i="9" s="1"/>
  <c r="N36" i="9"/>
  <c r="P17" i="34"/>
  <c r="J56" i="47" s="1"/>
  <c r="P27" i="17"/>
  <c r="V28" i="17" s="1"/>
  <c r="P12" i="17"/>
  <c r="E26" i="47"/>
  <c r="K12" i="31"/>
  <c r="I49" i="47"/>
  <c r="N29" i="18"/>
  <c r="N14" i="18"/>
  <c r="N46" i="18"/>
  <c r="N47" i="18" s="1"/>
  <c r="N42" i="18"/>
  <c r="N33" i="18"/>
  <c r="R21" i="19"/>
  <c r="R21" i="15"/>
  <c r="T22" i="15" s="1"/>
  <c r="R43" i="15"/>
  <c r="R45" i="15" s="1"/>
  <c r="G50" i="47"/>
  <c r="M12" i="34"/>
  <c r="T8" i="34" l="1"/>
  <c r="T44" i="15"/>
  <c r="R10" i="31"/>
  <c r="L25" i="47" s="1"/>
  <c r="S41" i="15"/>
  <c r="L10" i="32"/>
  <c r="M15" i="34"/>
  <c r="G51" i="47"/>
  <c r="J10" i="47"/>
  <c r="L12" i="9"/>
  <c r="L13" i="9" s="1"/>
  <c r="F68" i="47"/>
  <c r="J29" i="35"/>
  <c r="N16" i="28"/>
  <c r="I21" i="51" s="1"/>
  <c r="P31" i="19"/>
  <c r="P38" i="19"/>
  <c r="P10" i="34" s="1"/>
  <c r="P14" i="34"/>
  <c r="J53" i="47" s="1"/>
  <c r="N48" i="17"/>
  <c r="N34" i="17"/>
  <c r="K22" i="9"/>
  <c r="K24" i="9" s="1"/>
  <c r="E27" i="47"/>
  <c r="P9" i="19"/>
  <c r="P11" i="19" s="1"/>
  <c r="P22" i="19" s="1"/>
  <c r="P23" i="19" s="1"/>
  <c r="P30" i="15"/>
  <c r="P36" i="15" s="1"/>
  <c r="N69" i="20"/>
  <c r="N77" i="20"/>
  <c r="N78" i="20" s="1"/>
  <c r="S24" i="10"/>
  <c r="S26" i="10" s="1"/>
  <c r="N22" i="34"/>
  <c r="H61" i="47" s="1"/>
  <c r="V29" i="17"/>
  <c r="V14" i="17"/>
  <c r="Q39" i="20"/>
  <c r="Q25" i="20"/>
  <c r="Q27" i="20" s="1"/>
  <c r="M27" i="31"/>
  <c r="G42" i="47" s="1"/>
  <c r="M16" i="22"/>
  <c r="M23" i="9"/>
  <c r="G36" i="47"/>
  <c r="N18" i="28"/>
  <c r="N34" i="18"/>
  <c r="N35" i="18" s="1"/>
  <c r="N48" i="18"/>
  <c r="Q10" i="13"/>
  <c r="Q11" i="13" s="1"/>
  <c r="Q34" i="20"/>
  <c r="R45" i="16"/>
  <c r="R46" i="16" s="1"/>
  <c r="R32" i="16"/>
  <c r="R41" i="16"/>
  <c r="R17" i="28" s="1"/>
  <c r="P48" i="19"/>
  <c r="N35" i="17"/>
  <c r="J23" i="47"/>
  <c r="Q25" i="12"/>
  <c r="Q26" i="12" s="1"/>
  <c r="R8" i="28"/>
  <c r="M12" i="51" s="1"/>
  <c r="R19" i="16"/>
  <c r="R21" i="16" s="1"/>
  <c r="R26" i="11"/>
  <c r="R27" i="11" s="1"/>
  <c r="H14" i="47" l="1"/>
  <c r="I23" i="51"/>
  <c r="L13" i="47"/>
  <c r="M22" i="51"/>
  <c r="P30" i="19"/>
  <c r="P32" i="19" s="1"/>
  <c r="P49" i="19"/>
  <c r="J49" i="47"/>
  <c r="M26" i="34"/>
  <c r="G54" i="47"/>
  <c r="Q35" i="20"/>
  <c r="Q36" i="20" s="1"/>
  <c r="R33" i="20" s="1"/>
  <c r="Q40" i="20"/>
  <c r="R14" i="31"/>
  <c r="S24" i="11"/>
  <c r="Q41" i="20"/>
  <c r="Q46" i="20" s="1"/>
  <c r="Q47" i="20" s="1"/>
  <c r="S44" i="12"/>
  <c r="S45" i="12" s="1"/>
  <c r="S11" i="11"/>
  <c r="S12" i="11" s="1"/>
  <c r="S20" i="10"/>
  <c r="S21" i="10" s="1"/>
  <c r="K23" i="31"/>
  <c r="E38" i="47" s="1"/>
  <c r="K15" i="22"/>
  <c r="K17" i="22" s="1"/>
  <c r="K21" i="22" s="1"/>
  <c r="L11" i="31"/>
  <c r="G7" i="51" s="1"/>
  <c r="L9" i="8"/>
  <c r="M11" i="9"/>
  <c r="J11" i="32"/>
  <c r="R47" i="16"/>
  <c r="R24" i="34" s="1"/>
  <c r="L63" i="47" s="1"/>
  <c r="R33" i="16"/>
  <c r="N13" i="17"/>
  <c r="N15" i="17" s="1"/>
  <c r="N13" i="18"/>
  <c r="N15" i="18" s="1"/>
  <c r="R19" i="34"/>
  <c r="L58" i="47" s="1"/>
  <c r="R26" i="16"/>
  <c r="T27" i="16" s="1"/>
  <c r="R12" i="16"/>
  <c r="Q27" i="13"/>
  <c r="Q29" i="13" s="1"/>
  <c r="Q12" i="13"/>
  <c r="Q13" i="28" s="1"/>
  <c r="L20" i="51" s="1"/>
  <c r="R11" i="28"/>
  <c r="M13" i="51" s="1"/>
  <c r="L4" i="47"/>
  <c r="P51" i="19"/>
  <c r="P36" i="19" s="1"/>
  <c r="Q37" i="19" s="1"/>
  <c r="N20" i="31"/>
  <c r="H35" i="47" s="1"/>
  <c r="O75" i="20"/>
  <c r="H12" i="47"/>
  <c r="N19" i="28"/>
  <c r="I15" i="51" s="1"/>
  <c r="V18" i="34"/>
  <c r="P57" i="47" s="1"/>
  <c r="N11" i="34"/>
  <c r="N23" i="34"/>
  <c r="H62" i="47" s="1"/>
  <c r="Q11" i="37"/>
  <c r="Q20" i="17"/>
  <c r="Q22" i="17" s="1"/>
  <c r="Q20" i="18"/>
  <c r="Q22" i="18" s="1"/>
  <c r="Q19" i="13"/>
  <c r="Q21" i="13" s="1"/>
  <c r="Q13" i="15"/>
  <c r="Q14" i="15" s="1"/>
  <c r="Q31" i="12"/>
  <c r="W32" i="12" s="1"/>
  <c r="Q39" i="12"/>
  <c r="Q41" i="12" s="1"/>
  <c r="Q17" i="9"/>
  <c r="Q18" i="9" s="1"/>
  <c r="R34" i="16"/>
  <c r="R13" i="16" s="1"/>
  <c r="N25" i="34"/>
  <c r="H64" i="47" s="1"/>
  <c r="P15" i="31"/>
  <c r="Q28" i="15"/>
  <c r="N47" i="47"/>
  <c r="R26" i="20" l="1"/>
  <c r="H50" i="47"/>
  <c r="N12" i="34"/>
  <c r="N18" i="31"/>
  <c r="O11" i="18"/>
  <c r="M29" i="34"/>
  <c r="G65" i="47"/>
  <c r="Q21" i="34"/>
  <c r="K60" i="47" s="1"/>
  <c r="Q12" i="18"/>
  <c r="R9" i="20"/>
  <c r="R10" i="20" s="1"/>
  <c r="L7" i="47"/>
  <c r="L11" i="29"/>
  <c r="F26" i="47"/>
  <c r="L12" i="31"/>
  <c r="L29" i="47"/>
  <c r="Q8" i="31"/>
  <c r="R18" i="13"/>
  <c r="Q29" i="15"/>
  <c r="Q10" i="12"/>
  <c r="Q11" i="12" s="1"/>
  <c r="K9" i="47"/>
  <c r="Q14" i="28"/>
  <c r="L14" i="51" s="1"/>
  <c r="N16" i="31"/>
  <c r="I9" i="51" s="1"/>
  <c r="O11" i="17"/>
  <c r="S16" i="37"/>
  <c r="S62" i="12"/>
  <c r="S64" i="12" s="1"/>
  <c r="S53" i="12"/>
  <c r="S56" i="12" s="1"/>
  <c r="Q38" i="19"/>
  <c r="Q10" i="34" s="1"/>
  <c r="Q31" i="19"/>
  <c r="Q12" i="37"/>
  <c r="L27" i="51" s="1"/>
  <c r="R38" i="12"/>
  <c r="N22" i="28"/>
  <c r="I16" i="51" s="1"/>
  <c r="N82" i="20"/>
  <c r="H15" i="47"/>
  <c r="R26" i="13"/>
  <c r="Q30" i="13"/>
  <c r="Q9" i="31" s="1"/>
  <c r="K24" i="47" s="1"/>
  <c r="Q48" i="20"/>
  <c r="Q21" i="28" s="1"/>
  <c r="Q76" i="20"/>
  <c r="Q81" i="20"/>
  <c r="W13" i="37"/>
  <c r="W40" i="12"/>
  <c r="W52" i="12"/>
  <c r="R15" i="16"/>
  <c r="S10" i="37"/>
  <c r="N26" i="51" s="1"/>
  <c r="S24" i="12"/>
  <c r="T17" i="10"/>
  <c r="Q17" i="34"/>
  <c r="K56" i="47" s="1"/>
  <c r="Q27" i="17"/>
  <c r="W28" i="17" s="1"/>
  <c r="Q12" i="17"/>
  <c r="J30" i="47"/>
  <c r="Q32" i="15"/>
  <c r="Q15" i="15"/>
  <c r="O66" i="20"/>
  <c r="O68" i="20" s="1"/>
  <c r="T14" i="16"/>
  <c r="T28" i="16"/>
  <c r="S16" i="19"/>
  <c r="S17" i="19" s="1"/>
  <c r="S42" i="15"/>
  <c r="S20" i="15"/>
  <c r="S25" i="11"/>
  <c r="P19" i="31"/>
  <c r="J34" i="47" s="1"/>
  <c r="Q29" i="19"/>
  <c r="H33" i="47" l="1"/>
  <c r="I10" i="51"/>
  <c r="K17" i="47"/>
  <c r="L24" i="51"/>
  <c r="S15" i="37"/>
  <c r="N28" i="51" s="1"/>
  <c r="T51" i="12"/>
  <c r="Q9" i="19"/>
  <c r="Q11" i="19" s="1"/>
  <c r="Q22" i="19" s="1"/>
  <c r="Q23" i="19" s="1"/>
  <c r="Q30" i="15"/>
  <c r="Q36" i="15" s="1"/>
  <c r="O40" i="18"/>
  <c r="O41" i="18" s="1"/>
  <c r="O27" i="18"/>
  <c r="O28" i="18" s="1"/>
  <c r="R17" i="31"/>
  <c r="S11" i="16"/>
  <c r="L17" i="32"/>
  <c r="S17" i="37"/>
  <c r="N29" i="51" s="1"/>
  <c r="T61" i="12"/>
  <c r="S17" i="11"/>
  <c r="S18" i="11" s="1"/>
  <c r="N37" i="9"/>
  <c r="N38" i="9" s="1"/>
  <c r="H18" i="47"/>
  <c r="R10" i="13"/>
  <c r="R11" i="13" s="1"/>
  <c r="N15" i="34"/>
  <c r="H51" i="47"/>
  <c r="K49" i="47"/>
  <c r="S21" i="19"/>
  <c r="S43" i="15"/>
  <c r="S45" i="15" s="1"/>
  <c r="S21" i="15"/>
  <c r="U22" i="15" s="1"/>
  <c r="R25" i="12"/>
  <c r="R26" i="12" s="1"/>
  <c r="K23" i="47"/>
  <c r="T25" i="10"/>
  <c r="L22" i="9"/>
  <c r="L24" i="9" s="1"/>
  <c r="F27" i="47"/>
  <c r="J12" i="32"/>
  <c r="T20" i="34"/>
  <c r="N59" i="47" s="1"/>
  <c r="Q48" i="19"/>
  <c r="W14" i="17"/>
  <c r="W29" i="17"/>
  <c r="O77" i="20"/>
  <c r="O78" i="20" s="1"/>
  <c r="O69" i="20"/>
  <c r="O11" i="34" s="1"/>
  <c r="O40" i="17"/>
  <c r="O41" i="17" s="1"/>
  <c r="K10" i="47"/>
  <c r="Q14" i="34"/>
  <c r="K53" i="47" s="1"/>
  <c r="H31" i="47"/>
  <c r="N21" i="31"/>
  <c r="R14" i="20"/>
  <c r="R15" i="20" s="1"/>
  <c r="R20" i="20"/>
  <c r="R21" i="20" s="1"/>
  <c r="M12" i="9"/>
  <c r="M13" i="9" s="1"/>
  <c r="G68" i="47"/>
  <c r="L32" i="47" l="1"/>
  <c r="M8" i="51"/>
  <c r="U8" i="34"/>
  <c r="U44" i="15"/>
  <c r="M8" i="35"/>
  <c r="S10" i="31"/>
  <c r="M25" i="47" s="1"/>
  <c r="T41" i="15"/>
  <c r="O29" i="18"/>
  <c r="O22" i="34" s="1"/>
  <c r="I61" i="47" s="1"/>
  <c r="O14" i="18"/>
  <c r="I50" i="47"/>
  <c r="O12" i="34"/>
  <c r="R11" i="37"/>
  <c r="R20" i="18"/>
  <c r="R22" i="18" s="1"/>
  <c r="R20" i="17"/>
  <c r="R22" i="17" s="1"/>
  <c r="R19" i="13"/>
  <c r="R21" i="13" s="1"/>
  <c r="R39" i="12"/>
  <c r="R41" i="12" s="1"/>
  <c r="R13" i="15"/>
  <c r="R14" i="15" s="1"/>
  <c r="R31" i="12"/>
  <c r="X32" i="12" s="1"/>
  <c r="R17" i="9"/>
  <c r="R18" i="9" s="1"/>
  <c r="N26" i="34"/>
  <c r="H54" i="47"/>
  <c r="S8" i="28"/>
  <c r="N12" i="51" s="1"/>
  <c r="S19" i="16"/>
  <c r="S21" i="16" s="1"/>
  <c r="S26" i="11"/>
  <c r="S27" i="11" s="1"/>
  <c r="O42" i="18"/>
  <c r="O18" i="28" s="1"/>
  <c r="O33" i="18"/>
  <c r="O46" i="18"/>
  <c r="O47" i="18" s="1"/>
  <c r="Q15" i="31"/>
  <c r="R28" i="15"/>
  <c r="Q30" i="19"/>
  <c r="Q32" i="19" s="1"/>
  <c r="Q49" i="19"/>
  <c r="Q51" i="19" s="1"/>
  <c r="Q36" i="19" s="1"/>
  <c r="R37" i="19" s="1"/>
  <c r="R27" i="13"/>
  <c r="R29" i="13" s="1"/>
  <c r="R12" i="13"/>
  <c r="R13" i="28" s="1"/>
  <c r="M20" i="51" s="1"/>
  <c r="T24" i="10"/>
  <c r="T26" i="10" s="1"/>
  <c r="N25" i="31"/>
  <c r="H40" i="47" s="1"/>
  <c r="O36" i="9"/>
  <c r="N28" i="9"/>
  <c r="N30" i="9" s="1"/>
  <c r="R34" i="20"/>
  <c r="S39" i="16"/>
  <c r="S40" i="16" s="1"/>
  <c r="O46" i="17"/>
  <c r="O47" i="17" s="1"/>
  <c r="O42" i="17"/>
  <c r="O16" i="28" s="1"/>
  <c r="J21" i="51" s="1"/>
  <c r="O33" i="17"/>
  <c r="O20" i="31"/>
  <c r="I35" i="47" s="1"/>
  <c r="P75" i="20"/>
  <c r="K20" i="32"/>
  <c r="L23" i="31"/>
  <c r="F38" i="47" s="1"/>
  <c r="L15" i="22"/>
  <c r="L17" i="22" s="1"/>
  <c r="L21" i="22" s="1"/>
  <c r="J23" i="32"/>
  <c r="R39" i="20"/>
  <c r="R25" i="20"/>
  <c r="R27" i="20" s="1"/>
  <c r="M11" i="31"/>
  <c r="H7" i="51" s="1"/>
  <c r="N11" i="9"/>
  <c r="M9" i="8"/>
  <c r="W18" i="34"/>
  <c r="Q57" i="47" s="1"/>
  <c r="N23" i="9"/>
  <c r="H36" i="47"/>
  <c r="I14" i="47" l="1"/>
  <c r="J23" i="51"/>
  <c r="N27" i="31"/>
  <c r="H42" i="47" s="1"/>
  <c r="N16" i="22"/>
  <c r="S14" i="31"/>
  <c r="T24" i="11"/>
  <c r="R15" i="15"/>
  <c r="R32" i="15"/>
  <c r="Q19" i="31"/>
  <c r="K34" i="47" s="1"/>
  <c r="R29" i="19"/>
  <c r="S19" i="34"/>
  <c r="M58" i="47" s="1"/>
  <c r="S26" i="16"/>
  <c r="U27" i="16" s="1"/>
  <c r="S12" i="16"/>
  <c r="R12" i="37"/>
  <c r="M27" i="51" s="1"/>
  <c r="S38" i="12"/>
  <c r="R38" i="19"/>
  <c r="R10" i="34" s="1"/>
  <c r="R31" i="19"/>
  <c r="X13" i="37"/>
  <c r="X40" i="12"/>
  <c r="X52" i="12"/>
  <c r="N13" i="38"/>
  <c r="R35" i="20"/>
  <c r="R36" i="20" s="1"/>
  <c r="S33" i="20" s="1"/>
  <c r="R40" i="20"/>
  <c r="R41" i="20"/>
  <c r="R46" i="20" s="1"/>
  <c r="R47" i="20" s="1"/>
  <c r="I12" i="47"/>
  <c r="O19" i="28"/>
  <c r="J15" i="51" s="1"/>
  <c r="S11" i="28"/>
  <c r="N13" i="51" s="1"/>
  <c r="M4" i="47"/>
  <c r="R8" i="31"/>
  <c r="S18" i="13"/>
  <c r="P66" i="20"/>
  <c r="P68" i="20" s="1"/>
  <c r="O48" i="17"/>
  <c r="O23" i="34" s="1"/>
  <c r="I62" i="47" s="1"/>
  <c r="O34" i="17"/>
  <c r="O35" i="17" s="1"/>
  <c r="O13" i="17" s="1"/>
  <c r="O15" i="17" s="1"/>
  <c r="K30" i="47"/>
  <c r="R17" i="34"/>
  <c r="L56" i="47" s="1"/>
  <c r="R27" i="17"/>
  <c r="X28" i="17" s="1"/>
  <c r="R12" i="17"/>
  <c r="T44" i="12"/>
  <c r="T45" i="12" s="1"/>
  <c r="T20" i="10"/>
  <c r="T21" i="10" s="1"/>
  <c r="T11" i="11"/>
  <c r="T12" i="11" s="1"/>
  <c r="R21" i="34"/>
  <c r="L60" i="47" s="1"/>
  <c r="R12" i="18"/>
  <c r="L9" i="47"/>
  <c r="R14" i="28"/>
  <c r="M14" i="51" s="1"/>
  <c r="O48" i="18"/>
  <c r="O25" i="34" s="1"/>
  <c r="I64" i="47" s="1"/>
  <c r="O34" i="18"/>
  <c r="N29" i="34"/>
  <c r="H65" i="47"/>
  <c r="S41" i="16"/>
  <c r="S45" i="16"/>
  <c r="S46" i="16" s="1"/>
  <c r="S32" i="16"/>
  <c r="G26" i="47"/>
  <c r="M12" i="31"/>
  <c r="S26" i="13"/>
  <c r="R30" i="13"/>
  <c r="O35" i="18"/>
  <c r="O13" i="18" s="1"/>
  <c r="O15" i="18" s="1"/>
  <c r="R29" i="15"/>
  <c r="R10" i="12"/>
  <c r="R11" i="12" s="1"/>
  <c r="O15" i="34"/>
  <c r="I51" i="47"/>
  <c r="O47" i="47"/>
  <c r="O16" i="31" l="1"/>
  <c r="J9" i="51" s="1"/>
  <c r="P11" i="17"/>
  <c r="K16" i="32"/>
  <c r="J16" i="33"/>
  <c r="S26" i="20"/>
  <c r="N12" i="9"/>
  <c r="N13" i="9" s="1"/>
  <c r="H68" i="47"/>
  <c r="L23" i="47"/>
  <c r="L49" i="47"/>
  <c r="R9" i="19"/>
  <c r="R11" i="19" s="1"/>
  <c r="R22" i="19" s="1"/>
  <c r="R23" i="19" s="1"/>
  <c r="R30" i="15"/>
  <c r="R36" i="15" s="1"/>
  <c r="S47" i="16"/>
  <c r="S33" i="16"/>
  <c r="T16" i="19"/>
  <c r="T17" i="19" s="1"/>
  <c r="T42" i="15"/>
  <c r="T20" i="15"/>
  <c r="T25" i="11"/>
  <c r="S25" i="12"/>
  <c r="S26" i="12" s="1"/>
  <c r="O26" i="34"/>
  <c r="I54" i="47"/>
  <c r="S17" i="28"/>
  <c r="T10" i="37"/>
  <c r="O26" i="51" s="1"/>
  <c r="U17" i="10"/>
  <c r="T24" i="12"/>
  <c r="S9" i="20"/>
  <c r="S10" i="20" s="1"/>
  <c r="M7" i="47"/>
  <c r="O18" i="31"/>
  <c r="P11" i="18"/>
  <c r="L10" i="47"/>
  <c r="T16" i="37"/>
  <c r="T62" i="12"/>
  <c r="T64" i="12" s="1"/>
  <c r="T53" i="12"/>
  <c r="T56" i="12" s="1"/>
  <c r="R14" i="34"/>
  <c r="L53" i="47" s="1"/>
  <c r="O22" i="28"/>
  <c r="J16" i="51" s="1"/>
  <c r="O82" i="20"/>
  <c r="I15" i="47"/>
  <c r="U28" i="16"/>
  <c r="U14" i="16"/>
  <c r="R9" i="31"/>
  <c r="L24" i="47" s="1"/>
  <c r="L9" i="32"/>
  <c r="P77" i="20"/>
  <c r="P78" i="20" s="1"/>
  <c r="P69" i="20"/>
  <c r="M29" i="47"/>
  <c r="S34" i="16"/>
  <c r="S13" i="16" s="1"/>
  <c r="S15" i="16" s="1"/>
  <c r="M22" i="9"/>
  <c r="M24" i="9" s="1"/>
  <c r="G27" i="47"/>
  <c r="X14" i="17"/>
  <c r="X29" i="17"/>
  <c r="R48" i="20"/>
  <c r="R21" i="28" s="1"/>
  <c r="R76" i="20"/>
  <c r="R81" i="20"/>
  <c r="R48" i="19"/>
  <c r="S10" i="13"/>
  <c r="S11" i="13" s="1"/>
  <c r="M13" i="47" l="1"/>
  <c r="N22" i="51"/>
  <c r="I33" i="47"/>
  <c r="J10" i="51"/>
  <c r="L17" i="47"/>
  <c r="M24" i="51"/>
  <c r="S17" i="31"/>
  <c r="T11" i="16"/>
  <c r="R15" i="31"/>
  <c r="S28" i="15"/>
  <c r="L15" i="32"/>
  <c r="N11" i="31"/>
  <c r="I7" i="51" s="1"/>
  <c r="O11" i="9"/>
  <c r="N9" i="8"/>
  <c r="M23" i="31"/>
  <c r="G38" i="47" s="1"/>
  <c r="M15" i="22"/>
  <c r="M17" i="22" s="1"/>
  <c r="M21" i="22" s="1"/>
  <c r="P27" i="18"/>
  <c r="P28" i="18" s="1"/>
  <c r="P40" i="18"/>
  <c r="P41" i="18" s="1"/>
  <c r="S11" i="37"/>
  <c r="S20" i="18"/>
  <c r="S22" i="18" s="1"/>
  <c r="S20" i="17"/>
  <c r="S22" i="17" s="1"/>
  <c r="S13" i="15"/>
  <c r="S14" i="15" s="1"/>
  <c r="S39" i="12"/>
  <c r="S41" i="12" s="1"/>
  <c r="S19" i="13"/>
  <c r="S21" i="13" s="1"/>
  <c r="S31" i="12"/>
  <c r="Y32" i="12" s="1"/>
  <c r="S17" i="9"/>
  <c r="S18" i="9" s="1"/>
  <c r="R49" i="19"/>
  <c r="R30" i="19"/>
  <c r="R32" i="19" s="1"/>
  <c r="U25" i="10"/>
  <c r="S27" i="13"/>
  <c r="S29" i="13" s="1"/>
  <c r="S12" i="13"/>
  <c r="R51" i="19"/>
  <c r="R36" i="19" s="1"/>
  <c r="S37" i="19" s="1"/>
  <c r="U20" i="34"/>
  <c r="O59" i="47" s="1"/>
  <c r="M20" i="35"/>
  <c r="T15" i="37"/>
  <c r="O28" i="51" s="1"/>
  <c r="U51" i="12"/>
  <c r="T17" i="37"/>
  <c r="O29" i="51" s="1"/>
  <c r="U61" i="12"/>
  <c r="T17" i="11"/>
  <c r="T18" i="11" s="1"/>
  <c r="T21" i="19"/>
  <c r="T43" i="15"/>
  <c r="T45" i="15" s="1"/>
  <c r="T21" i="15"/>
  <c r="V22" i="15" s="1"/>
  <c r="P11" i="34"/>
  <c r="P40" i="17"/>
  <c r="P41" i="17" s="1"/>
  <c r="X18" i="34"/>
  <c r="R57" i="47" s="1"/>
  <c r="N18" i="35"/>
  <c r="P20" i="31"/>
  <c r="J35" i="47" s="1"/>
  <c r="Q75" i="20"/>
  <c r="O37" i="9"/>
  <c r="O38" i="9" s="1"/>
  <c r="I18" i="47"/>
  <c r="S14" i="20"/>
  <c r="S15" i="20" s="1"/>
  <c r="S20" i="20"/>
  <c r="S21" i="20" s="1"/>
  <c r="O29" i="34"/>
  <c r="I65" i="47"/>
  <c r="S24" i="34"/>
  <c r="M63" i="47" s="1"/>
  <c r="I31" i="47"/>
  <c r="O21" i="31"/>
  <c r="M32" i="47" l="1"/>
  <c r="N8" i="51"/>
  <c r="S21" i="34"/>
  <c r="M60" i="47" s="1"/>
  <c r="S12" i="18"/>
  <c r="T8" i="28"/>
  <c r="O12" i="51" s="1"/>
  <c r="T19" i="16"/>
  <c r="T21" i="16" s="1"/>
  <c r="T26" i="11"/>
  <c r="T27" i="11" s="1"/>
  <c r="V8" i="34"/>
  <c r="V44" i="15"/>
  <c r="P46" i="17"/>
  <c r="P47" i="17" s="1"/>
  <c r="P42" i="17"/>
  <c r="P16" i="28" s="1"/>
  <c r="K21" i="51" s="1"/>
  <c r="P33" i="17"/>
  <c r="H26" i="47"/>
  <c r="N12" i="31"/>
  <c r="O25" i="31"/>
  <c r="I40" i="47" s="1"/>
  <c r="O28" i="9"/>
  <c r="O30" i="9" s="1"/>
  <c r="P36" i="9"/>
  <c r="K25" i="32"/>
  <c r="J25" i="33"/>
  <c r="S13" i="28"/>
  <c r="N20" i="51" s="1"/>
  <c r="Y13" i="37"/>
  <c r="Y40" i="12"/>
  <c r="Y52" i="12"/>
  <c r="S38" i="19"/>
  <c r="S31" i="19"/>
  <c r="J50" i="47"/>
  <c r="P12" i="34"/>
  <c r="T10" i="31"/>
  <c r="N25" i="47" s="1"/>
  <c r="U41" i="15"/>
  <c r="T26" i="13"/>
  <c r="S30" i="13"/>
  <c r="S9" i="31" s="1"/>
  <c r="M24" i="47" s="1"/>
  <c r="S8" i="31"/>
  <c r="T18" i="13"/>
  <c r="P46" i="18"/>
  <c r="P47" i="18" s="1"/>
  <c r="P42" i="18"/>
  <c r="P33" i="18"/>
  <c r="O12" i="9"/>
  <c r="O13" i="9" s="1"/>
  <c r="I68" i="47"/>
  <c r="U24" i="10"/>
  <c r="U26" i="10" s="1"/>
  <c r="S12" i="37"/>
  <c r="N27" i="51" s="1"/>
  <c r="T38" i="12"/>
  <c r="P29" i="18"/>
  <c r="P22" i="34" s="1"/>
  <c r="J61" i="47" s="1"/>
  <c r="P14" i="18"/>
  <c r="L30" i="47"/>
  <c r="S29" i="15"/>
  <c r="S10" i="12"/>
  <c r="S11" i="12" s="1"/>
  <c r="S34" i="20"/>
  <c r="S32" i="15"/>
  <c r="S15" i="15"/>
  <c r="T39" i="16"/>
  <c r="T40" i="16" s="1"/>
  <c r="Q66" i="20"/>
  <c r="Q68" i="20" s="1"/>
  <c r="O23" i="9"/>
  <c r="I36" i="47"/>
  <c r="K21" i="32"/>
  <c r="J21" i="33"/>
  <c r="S39" i="20"/>
  <c r="S25" i="20"/>
  <c r="S27" i="20" s="1"/>
  <c r="R19" i="31"/>
  <c r="L34" i="47" s="1"/>
  <c r="S29" i="19"/>
  <c r="L19" i="32"/>
  <c r="S17" i="34"/>
  <c r="M56" i="47" s="1"/>
  <c r="S27" i="17"/>
  <c r="Y28" i="17" s="1"/>
  <c r="S12" i="17"/>
  <c r="O11" i="31" l="1"/>
  <c r="J7" i="51" s="1"/>
  <c r="P11" i="9"/>
  <c r="O9" i="8"/>
  <c r="K11" i="32"/>
  <c r="J11" i="33"/>
  <c r="T10" i="13"/>
  <c r="T11" i="13" s="1"/>
  <c r="S40" i="20"/>
  <c r="S41" i="20" s="1"/>
  <c r="S46" i="20" s="1"/>
  <c r="S47" i="20" s="1"/>
  <c r="S35" i="20"/>
  <c r="S36" i="20" s="1"/>
  <c r="T33" i="20" s="1"/>
  <c r="U11" i="11"/>
  <c r="U12" i="11" s="1"/>
  <c r="U20" i="10"/>
  <c r="U21" i="10" s="1"/>
  <c r="U44" i="12"/>
  <c r="U45" i="12" s="1"/>
  <c r="M23" i="47"/>
  <c r="S10" i="34"/>
  <c r="M9" i="47"/>
  <c r="S14" i="28"/>
  <c r="N14" i="51" s="1"/>
  <c r="Q77" i="20"/>
  <c r="Q78" i="20" s="1"/>
  <c r="Q69" i="20"/>
  <c r="Q11" i="34" s="1"/>
  <c r="P47" i="47"/>
  <c r="J12" i="47"/>
  <c r="T14" i="31"/>
  <c r="U24" i="11"/>
  <c r="S9" i="19"/>
  <c r="S11" i="19" s="1"/>
  <c r="S22" i="19" s="1"/>
  <c r="S23" i="19" s="1"/>
  <c r="S30" i="15"/>
  <c r="S36" i="15" s="1"/>
  <c r="S14" i="34"/>
  <c r="M53" i="47" s="1"/>
  <c r="P34" i="17"/>
  <c r="P35" i="17" s="1"/>
  <c r="P13" i="17" s="1"/>
  <c r="P15" i="17" s="1"/>
  <c r="P48" i="17"/>
  <c r="T19" i="34"/>
  <c r="N58" i="47" s="1"/>
  <c r="T26" i="16"/>
  <c r="V27" i="16" s="1"/>
  <c r="T12" i="16"/>
  <c r="O27" i="31"/>
  <c r="I42" i="47" s="1"/>
  <c r="O16" i="22"/>
  <c r="K27" i="32"/>
  <c r="J27" i="33"/>
  <c r="T11" i="28"/>
  <c r="O13" i="51" s="1"/>
  <c r="N4" i="47"/>
  <c r="Y29" i="17"/>
  <c r="Y14" i="17"/>
  <c r="T32" i="16"/>
  <c r="T41" i="16"/>
  <c r="T45" i="16"/>
  <c r="T46" i="16" s="1"/>
  <c r="P15" i="34"/>
  <c r="J51" i="47"/>
  <c r="S48" i="19"/>
  <c r="T25" i="12"/>
  <c r="T26" i="12" s="1"/>
  <c r="P18" i="28"/>
  <c r="P48" i="18"/>
  <c r="P25" i="34" s="1"/>
  <c r="J64" i="47" s="1"/>
  <c r="P34" i="18"/>
  <c r="P35" i="18" s="1"/>
  <c r="P13" i="18" s="1"/>
  <c r="P15" i="18" s="1"/>
  <c r="N22" i="9"/>
  <c r="N24" i="9" s="1"/>
  <c r="H27" i="47"/>
  <c r="J14" i="47" l="1"/>
  <c r="K23" i="51"/>
  <c r="P18" i="31"/>
  <c r="Q11" i="18"/>
  <c r="V28" i="16"/>
  <c r="V14" i="16"/>
  <c r="S76" i="20"/>
  <c r="S81" i="20"/>
  <c r="S48" i="20"/>
  <c r="P16" i="31"/>
  <c r="K9" i="51" s="1"/>
  <c r="Q11" i="17"/>
  <c r="M49" i="47"/>
  <c r="T26" i="20"/>
  <c r="T9" i="20"/>
  <c r="T10" i="20" s="1"/>
  <c r="N7" i="47"/>
  <c r="T12" i="13"/>
  <c r="T27" i="13"/>
  <c r="T29" i="13" s="1"/>
  <c r="K50" i="47"/>
  <c r="Q12" i="34"/>
  <c r="U16" i="37"/>
  <c r="U62" i="12"/>
  <c r="U64" i="12" s="1"/>
  <c r="U53" i="12"/>
  <c r="U56" i="12" s="1"/>
  <c r="M16" i="38"/>
  <c r="J54" i="47"/>
  <c r="T47" i="16"/>
  <c r="T33" i="16"/>
  <c r="T17" i="28"/>
  <c r="N29" i="47"/>
  <c r="Q20" i="31"/>
  <c r="K35" i="47" s="1"/>
  <c r="R75" i="20"/>
  <c r="U10" i="37"/>
  <c r="P26" i="51" s="1"/>
  <c r="U24" i="12"/>
  <c r="V17" i="10"/>
  <c r="K10" i="39"/>
  <c r="J10" i="26"/>
  <c r="M10" i="38"/>
  <c r="P23" i="34"/>
  <c r="J62" i="47" s="1"/>
  <c r="T34" i="16"/>
  <c r="T13" i="16" s="1"/>
  <c r="T15" i="16" s="1"/>
  <c r="P19" i="28"/>
  <c r="K15" i="51" s="1"/>
  <c r="M10" i="47"/>
  <c r="U16" i="19"/>
  <c r="U17" i="19" s="1"/>
  <c r="U42" i="15"/>
  <c r="U20" i="15"/>
  <c r="U25" i="11"/>
  <c r="N23" i="31"/>
  <c r="H38" i="47" s="1"/>
  <c r="N15" i="22"/>
  <c r="N17" i="22" s="1"/>
  <c r="N21" i="22" s="1"/>
  <c r="S30" i="19"/>
  <c r="S32" i="19" s="1"/>
  <c r="S49" i="19"/>
  <c r="S51" i="19" s="1"/>
  <c r="S36" i="19" s="1"/>
  <c r="T37" i="19" s="1"/>
  <c r="S15" i="31"/>
  <c r="T28" i="15"/>
  <c r="T11" i="37"/>
  <c r="T20" i="18"/>
  <c r="T22" i="18" s="1"/>
  <c r="T20" i="17"/>
  <c r="T22" i="17" s="1"/>
  <c r="T13" i="15"/>
  <c r="T14" i="15" s="1"/>
  <c r="T19" i="13"/>
  <c r="T21" i="13" s="1"/>
  <c r="T17" i="9"/>
  <c r="T18" i="9" s="1"/>
  <c r="T31" i="12"/>
  <c r="Z32" i="12" s="1"/>
  <c r="T39" i="12"/>
  <c r="T41" i="12" s="1"/>
  <c r="Y18" i="34"/>
  <c r="S57" i="47" s="1"/>
  <c r="I26" i="47"/>
  <c r="O12" i="31"/>
  <c r="N13" i="47" l="1"/>
  <c r="O22" i="51"/>
  <c r="J33" i="47"/>
  <c r="K10" i="51"/>
  <c r="T17" i="31"/>
  <c r="U11" i="16"/>
  <c r="J31" i="47"/>
  <c r="P21" i="31"/>
  <c r="V25" i="10"/>
  <c r="T17" i="34"/>
  <c r="N56" i="47" s="1"/>
  <c r="T27" i="17"/>
  <c r="Z28" i="17" s="1"/>
  <c r="T12" i="17"/>
  <c r="P22" i="28"/>
  <c r="K16" i="51" s="1"/>
  <c r="P82" i="20"/>
  <c r="J15" i="47"/>
  <c r="Q15" i="34"/>
  <c r="K51" i="47"/>
  <c r="T14" i="20"/>
  <c r="T15" i="20" s="1"/>
  <c r="T20" i="20"/>
  <c r="T21" i="20" s="1"/>
  <c r="S21" i="28"/>
  <c r="O22" i="9"/>
  <c r="O24" i="9" s="1"/>
  <c r="I27" i="47"/>
  <c r="K12" i="32"/>
  <c r="R66" i="20"/>
  <c r="R68" i="20" s="1"/>
  <c r="T21" i="34"/>
  <c r="N60" i="47" s="1"/>
  <c r="T12" i="18"/>
  <c r="P26" i="34"/>
  <c r="T30" i="13"/>
  <c r="T9" i="31" s="1"/>
  <c r="N24" i="47" s="1"/>
  <c r="U26" i="13"/>
  <c r="T31" i="19"/>
  <c r="T38" i="19"/>
  <c r="T24" i="34"/>
  <c r="N63" i="47" s="1"/>
  <c r="M30" i="47"/>
  <c r="T13" i="28"/>
  <c r="O20" i="51" s="1"/>
  <c r="V20" i="34"/>
  <c r="P59" i="47" s="1"/>
  <c r="T29" i="15"/>
  <c r="T10" i="12"/>
  <c r="T11" i="12" s="1"/>
  <c r="U21" i="19"/>
  <c r="U43" i="15"/>
  <c r="U45" i="15" s="1"/>
  <c r="U21" i="15"/>
  <c r="W22" i="15" s="1"/>
  <c r="U15" i="37"/>
  <c r="P28" i="51" s="1"/>
  <c r="V51" i="12"/>
  <c r="K15" i="39"/>
  <c r="J15" i="26"/>
  <c r="M15" i="38"/>
  <c r="Q27" i="18"/>
  <c r="Q28" i="18" s="1"/>
  <c r="Q40" i="18"/>
  <c r="Q41" i="18" s="1"/>
  <c r="T32" i="15"/>
  <c r="T15" i="15"/>
  <c r="T14" i="34" s="1"/>
  <c r="N53" i="47" s="1"/>
  <c r="T12" i="37"/>
  <c r="O27" i="51" s="1"/>
  <c r="U38" i="12"/>
  <c r="Z13" i="37"/>
  <c r="Z40" i="12"/>
  <c r="Z52" i="12"/>
  <c r="T8" i="31"/>
  <c r="U18" i="13"/>
  <c r="S19" i="31"/>
  <c r="M34" i="47" s="1"/>
  <c r="T29" i="19"/>
  <c r="U17" i="37"/>
  <c r="P29" i="51" s="1"/>
  <c r="V61" i="12"/>
  <c r="U17" i="11"/>
  <c r="U18" i="11" s="1"/>
  <c r="K17" i="39"/>
  <c r="J17" i="26"/>
  <c r="M17" i="38"/>
  <c r="Q40" i="17"/>
  <c r="Q41" i="17" s="1"/>
  <c r="N32" i="47" l="1"/>
  <c r="O8" i="51"/>
  <c r="M17" i="47"/>
  <c r="N24" i="51"/>
  <c r="W8" i="34"/>
  <c r="W44" i="15"/>
  <c r="V24" i="10"/>
  <c r="V26" i="10" s="1"/>
  <c r="U10" i="13"/>
  <c r="U11" i="13" s="1"/>
  <c r="N23" i="47"/>
  <c r="U8" i="28"/>
  <c r="P12" i="51" s="1"/>
  <c r="U19" i="16"/>
  <c r="U21" i="16" s="1"/>
  <c r="U26" i="11"/>
  <c r="U27" i="11" s="1"/>
  <c r="T10" i="34"/>
  <c r="T34" i="20"/>
  <c r="P23" i="9"/>
  <c r="J36" i="47"/>
  <c r="Q42" i="18"/>
  <c r="Q18" i="28" s="1"/>
  <c r="Q46" i="18"/>
  <c r="Q47" i="18" s="1"/>
  <c r="Q33" i="18"/>
  <c r="Q14" i="18"/>
  <c r="Q29" i="18"/>
  <c r="Q22" i="34" s="1"/>
  <c r="K61" i="47" s="1"/>
  <c r="N9" i="47"/>
  <c r="T14" i="28"/>
  <c r="O14" i="51" s="1"/>
  <c r="R77" i="20"/>
  <c r="R78" i="20" s="1"/>
  <c r="R69" i="20"/>
  <c r="R11" i="34" s="1"/>
  <c r="T39" i="20"/>
  <c r="T25" i="20"/>
  <c r="T27" i="20" s="1"/>
  <c r="P37" i="9"/>
  <c r="P38" i="9" s="1"/>
  <c r="J18" i="47"/>
  <c r="T9" i="19"/>
  <c r="T11" i="19" s="1"/>
  <c r="T22" i="19" s="1"/>
  <c r="T23" i="19" s="1"/>
  <c r="T30" i="15"/>
  <c r="T36" i="15" s="1"/>
  <c r="U10" i="31"/>
  <c r="O25" i="47" s="1"/>
  <c r="V41" i="15"/>
  <c r="K10" i="33"/>
  <c r="J10" i="24"/>
  <c r="D25" i="50" s="1"/>
  <c r="M10" i="32"/>
  <c r="T48" i="19"/>
  <c r="U25" i="12"/>
  <c r="U26" i="12" s="1"/>
  <c r="U39" i="16"/>
  <c r="U40" i="16" s="1"/>
  <c r="Q33" i="17"/>
  <c r="Q42" i="17"/>
  <c r="Q16" i="28" s="1"/>
  <c r="L21" i="51" s="1"/>
  <c r="Q46" i="17"/>
  <c r="Q47" i="17" s="1"/>
  <c r="P29" i="34"/>
  <c r="J65" i="47"/>
  <c r="O23" i="31"/>
  <c r="I38" i="47" s="1"/>
  <c r="O15" i="22"/>
  <c r="O17" i="22" s="1"/>
  <c r="O21" i="22" s="1"/>
  <c r="K23" i="32"/>
  <c r="K54" i="47"/>
  <c r="Z29" i="17"/>
  <c r="Z14" i="17"/>
  <c r="K14" i="47" l="1"/>
  <c r="L23" i="51"/>
  <c r="Z18" i="34"/>
  <c r="T57" i="47" s="1"/>
  <c r="U32" i="16"/>
  <c r="U45" i="16"/>
  <c r="U46" i="16" s="1"/>
  <c r="U41" i="16"/>
  <c r="U27" i="13"/>
  <c r="U29" i="13" s="1"/>
  <c r="U12" i="13"/>
  <c r="L50" i="47"/>
  <c r="R12" i="34"/>
  <c r="N49" i="47"/>
  <c r="P12" i="9"/>
  <c r="P13" i="9" s="1"/>
  <c r="J68" i="47"/>
  <c r="U11" i="37"/>
  <c r="U20" i="18"/>
  <c r="U22" i="18" s="1"/>
  <c r="U20" i="17"/>
  <c r="U22" i="17" s="1"/>
  <c r="U13" i="15"/>
  <c r="U14" i="15" s="1"/>
  <c r="U19" i="13"/>
  <c r="U21" i="13" s="1"/>
  <c r="U31" i="12"/>
  <c r="AA32" i="12" s="1"/>
  <c r="U39" i="12"/>
  <c r="U41" i="12" s="1"/>
  <c r="U17" i="9"/>
  <c r="U18" i="9" s="1"/>
  <c r="M11" i="38"/>
  <c r="U14" i="31"/>
  <c r="V24" i="11"/>
  <c r="J14" i="24"/>
  <c r="D29" i="50" s="1"/>
  <c r="K14" i="33"/>
  <c r="M14" i="32"/>
  <c r="Q48" i="17"/>
  <c r="Q34" i="17"/>
  <c r="U19" i="34"/>
  <c r="O58" i="47" s="1"/>
  <c r="U12" i="16"/>
  <c r="U26" i="16"/>
  <c r="W27" i="16" s="1"/>
  <c r="T15" i="31"/>
  <c r="U28" i="15"/>
  <c r="Q48" i="18"/>
  <c r="Q25" i="34" s="1"/>
  <c r="K64" i="47" s="1"/>
  <c r="Q34" i="18"/>
  <c r="Q35" i="18" s="1"/>
  <c r="Q13" i="18" s="1"/>
  <c r="Q15" i="18" s="1"/>
  <c r="V11" i="11"/>
  <c r="V12" i="11" s="1"/>
  <c r="V20" i="10"/>
  <c r="V21" i="10" s="1"/>
  <c r="V44" i="12"/>
  <c r="V45" i="12" s="1"/>
  <c r="T49" i="19"/>
  <c r="T51" i="19" s="1"/>
  <c r="T36" i="19" s="1"/>
  <c r="U37" i="19" s="1"/>
  <c r="T30" i="19"/>
  <c r="T32" i="19" s="1"/>
  <c r="N10" i="47"/>
  <c r="K12" i="47"/>
  <c r="Q19" i="28"/>
  <c r="L15" i="51" s="1"/>
  <c r="U11" i="28"/>
  <c r="P13" i="51" s="1"/>
  <c r="O4" i="47"/>
  <c r="Q35" i="17"/>
  <c r="Q13" i="17" s="1"/>
  <c r="Q15" i="17" s="1"/>
  <c r="P25" i="31"/>
  <c r="J40" i="47" s="1"/>
  <c r="Q36" i="9"/>
  <c r="P28" i="9"/>
  <c r="P30" i="9" s="1"/>
  <c r="R20" i="31"/>
  <c r="L35" i="47" s="1"/>
  <c r="S75" i="20"/>
  <c r="L20" i="32"/>
  <c r="T35" i="20"/>
  <c r="T36" i="20" s="1"/>
  <c r="U33" i="20" s="1"/>
  <c r="T40" i="20"/>
  <c r="T41" i="20" s="1"/>
  <c r="T46" i="20" s="1"/>
  <c r="T47" i="20" s="1"/>
  <c r="Q47" i="47"/>
  <c r="T76" i="20" l="1"/>
  <c r="T81" i="20"/>
  <c r="T48" i="20"/>
  <c r="Q18" i="31"/>
  <c r="R11" i="18"/>
  <c r="N30" i="47"/>
  <c r="Q23" i="34"/>
  <c r="U12" i="37"/>
  <c r="P27" i="51" s="1"/>
  <c r="V38" i="12"/>
  <c r="K12" i="39"/>
  <c r="M12" i="38"/>
  <c r="J12" i="26"/>
  <c r="U30" i="13"/>
  <c r="V26" i="13"/>
  <c r="AA13" i="37"/>
  <c r="AA52" i="12"/>
  <c r="AA40" i="12"/>
  <c r="O13" i="38"/>
  <c r="P11" i="31"/>
  <c r="K7" i="51" s="1"/>
  <c r="Q11" i="9"/>
  <c r="P9" i="8"/>
  <c r="U17" i="28"/>
  <c r="M17" i="29"/>
  <c r="U8" i="31"/>
  <c r="V18" i="13"/>
  <c r="J8" i="24"/>
  <c r="D23" i="50" s="1"/>
  <c r="M8" i="32"/>
  <c r="K8" i="33"/>
  <c r="T19" i="31"/>
  <c r="N34" i="47" s="1"/>
  <c r="U29" i="19"/>
  <c r="U9" i="20"/>
  <c r="U10" i="20" s="1"/>
  <c r="O7" i="47"/>
  <c r="M11" i="29"/>
  <c r="W28" i="16"/>
  <c r="W14" i="16"/>
  <c r="U17" i="34"/>
  <c r="O56" i="47" s="1"/>
  <c r="U27" i="17"/>
  <c r="AA28" i="17" s="1"/>
  <c r="U12" i="17"/>
  <c r="M17" i="35"/>
  <c r="U33" i="16"/>
  <c r="U34" i="16" s="1"/>
  <c r="U13" i="16" s="1"/>
  <c r="U15" i="16" s="1"/>
  <c r="U47" i="16"/>
  <c r="Q16" i="31"/>
  <c r="L9" i="51" s="1"/>
  <c r="R11" i="17"/>
  <c r="S66" i="20"/>
  <c r="S68" i="20" s="1"/>
  <c r="U31" i="19"/>
  <c r="U38" i="19"/>
  <c r="V16" i="37"/>
  <c r="V62" i="12"/>
  <c r="V64" i="12" s="1"/>
  <c r="V53" i="12"/>
  <c r="V56" i="12" s="1"/>
  <c r="O29" i="47"/>
  <c r="U21" i="34"/>
  <c r="O60" i="47" s="1"/>
  <c r="U12" i="18"/>
  <c r="R15" i="34"/>
  <c r="L51" i="47"/>
  <c r="U26" i="20"/>
  <c r="U32" i="15"/>
  <c r="U15" i="15"/>
  <c r="U14" i="34" s="1"/>
  <c r="O53" i="47" s="1"/>
  <c r="Q22" i="28"/>
  <c r="L16" i="51" s="1"/>
  <c r="Q82" i="20"/>
  <c r="K15" i="47"/>
  <c r="V10" i="37"/>
  <c r="Q26" i="51" s="1"/>
  <c r="W17" i="10"/>
  <c r="V24" i="12"/>
  <c r="P27" i="31"/>
  <c r="J42" i="47" s="1"/>
  <c r="P16" i="22"/>
  <c r="V16" i="19"/>
  <c r="V17" i="19" s="1"/>
  <c r="V42" i="15"/>
  <c r="V20" i="15"/>
  <c r="V25" i="11"/>
  <c r="U29" i="15"/>
  <c r="U10" i="12"/>
  <c r="U11" i="12" s="1"/>
  <c r="U13" i="28"/>
  <c r="M13" i="29"/>
  <c r="O13" i="47" l="1"/>
  <c r="P22" i="51"/>
  <c r="K33" i="47"/>
  <c r="L10" i="51"/>
  <c r="O9" i="47"/>
  <c r="P20" i="51"/>
  <c r="U17" i="31"/>
  <c r="V11" i="16"/>
  <c r="K17" i="33"/>
  <c r="J17" i="24"/>
  <c r="D32" i="50" s="1"/>
  <c r="M17" i="32"/>
  <c r="W25" i="10"/>
  <c r="U24" i="34"/>
  <c r="O63" i="47" s="1"/>
  <c r="M24" i="35"/>
  <c r="R27" i="18"/>
  <c r="R28" i="18" s="1"/>
  <c r="R40" i="18"/>
  <c r="R41" i="18" s="1"/>
  <c r="L54" i="47"/>
  <c r="R40" i="17"/>
  <c r="R41" i="17" s="1"/>
  <c r="U9" i="31"/>
  <c r="O24" i="47" s="1"/>
  <c r="J9" i="24"/>
  <c r="D24" i="50" s="1"/>
  <c r="K9" i="33"/>
  <c r="M9" i="32"/>
  <c r="U9" i="19"/>
  <c r="U11" i="19" s="1"/>
  <c r="U22" i="19" s="1"/>
  <c r="U23" i="19" s="1"/>
  <c r="U30" i="15"/>
  <c r="U36" i="15" s="1"/>
  <c r="V15" i="37"/>
  <c r="Q28" i="51" s="1"/>
  <c r="W51" i="12"/>
  <c r="K31" i="47"/>
  <c r="Q21" i="31"/>
  <c r="V17" i="37"/>
  <c r="Q29" i="51" s="1"/>
  <c r="V17" i="11"/>
  <c r="V18" i="11" s="1"/>
  <c r="W61" i="12"/>
  <c r="V10" i="13"/>
  <c r="V11" i="13" s="1"/>
  <c r="V25" i="12"/>
  <c r="V26" i="12" s="1"/>
  <c r="U10" i="34"/>
  <c r="M10" i="35"/>
  <c r="U14" i="20"/>
  <c r="U15" i="20" s="1"/>
  <c r="U20" i="20"/>
  <c r="U21" i="20" s="1"/>
  <c r="U34" i="20" s="1"/>
  <c r="O23" i="47"/>
  <c r="T21" i="28"/>
  <c r="W20" i="34"/>
  <c r="Q59" i="47" s="1"/>
  <c r="J26" i="47"/>
  <c r="P12" i="31"/>
  <c r="AA29" i="17"/>
  <c r="AA14" i="17"/>
  <c r="U14" i="28"/>
  <c r="P14" i="51" s="1"/>
  <c r="V21" i="19"/>
  <c r="V43" i="15"/>
  <c r="V45" i="15" s="1"/>
  <c r="V21" i="15"/>
  <c r="X22" i="15" s="1"/>
  <c r="Q37" i="9"/>
  <c r="Q38" i="9" s="1"/>
  <c r="K18" i="47"/>
  <c r="S77" i="20"/>
  <c r="S78" i="20" s="1"/>
  <c r="S69" i="20"/>
  <c r="U48" i="19"/>
  <c r="K62" i="47"/>
  <c r="Q26" i="34"/>
  <c r="N17" i="47" l="1"/>
  <c r="O24" i="51"/>
  <c r="O32" i="47"/>
  <c r="P8" i="51"/>
  <c r="V11" i="37"/>
  <c r="V20" i="18"/>
  <c r="V22" i="18" s="1"/>
  <c r="V20" i="17"/>
  <c r="V22" i="17" s="1"/>
  <c r="V13" i="15"/>
  <c r="V14" i="15" s="1"/>
  <c r="V19" i="13"/>
  <c r="V21" i="13" s="1"/>
  <c r="V31" i="12"/>
  <c r="AB32" i="12" s="1"/>
  <c r="V17" i="9"/>
  <c r="V18" i="9" s="1"/>
  <c r="V39" i="12"/>
  <c r="V41" i="12" s="1"/>
  <c r="X8" i="34"/>
  <c r="X44" i="15"/>
  <c r="N8" i="35"/>
  <c r="V10" i="31"/>
  <c r="P25" i="47" s="1"/>
  <c r="W41" i="15"/>
  <c r="O49" i="47"/>
  <c r="U30" i="19"/>
  <c r="U32" i="19" s="1"/>
  <c r="U49" i="19"/>
  <c r="U15" i="31"/>
  <c r="V28" i="15"/>
  <c r="M15" i="32"/>
  <c r="J15" i="24"/>
  <c r="D30" i="50" s="1"/>
  <c r="K15" i="33"/>
  <c r="S11" i="34"/>
  <c r="R14" i="18"/>
  <c r="R29" i="18"/>
  <c r="R22" i="34" s="1"/>
  <c r="Q23" i="9"/>
  <c r="K36" i="47"/>
  <c r="R46" i="18"/>
  <c r="R47" i="18" s="1"/>
  <c r="R33" i="18"/>
  <c r="R42" i="18"/>
  <c r="R18" i="28" s="1"/>
  <c r="Q29" i="34"/>
  <c r="K65" i="47"/>
  <c r="Q25" i="31"/>
  <c r="K40" i="47" s="1"/>
  <c r="R36" i="9"/>
  <c r="Q28" i="9"/>
  <c r="Q30" i="9" s="1"/>
  <c r="V12" i="13"/>
  <c r="V27" i="13"/>
  <c r="V29" i="13" s="1"/>
  <c r="W24" i="10"/>
  <c r="W26" i="10" s="1"/>
  <c r="AA18" i="34"/>
  <c r="U57" i="47" s="1"/>
  <c r="O18" i="35"/>
  <c r="U39" i="20"/>
  <c r="U25" i="20"/>
  <c r="U27" i="20" s="1"/>
  <c r="R46" i="17"/>
  <c r="R47" i="17" s="1"/>
  <c r="R33" i="17"/>
  <c r="R42" i="17"/>
  <c r="R16" i="28" s="1"/>
  <c r="M21" i="51" s="1"/>
  <c r="V39" i="16"/>
  <c r="V40" i="16" s="1"/>
  <c r="S20" i="31"/>
  <c r="M35" i="47" s="1"/>
  <c r="T75" i="20"/>
  <c r="P22" i="9"/>
  <c r="P24" i="9" s="1"/>
  <c r="J27" i="47"/>
  <c r="U51" i="19"/>
  <c r="U36" i="19" s="1"/>
  <c r="V37" i="19" s="1"/>
  <c r="O10" i="47"/>
  <c r="V8" i="28"/>
  <c r="Q12" i="51" s="1"/>
  <c r="V19" i="16"/>
  <c r="V21" i="16" s="1"/>
  <c r="V26" i="11"/>
  <c r="V27" i="11" s="1"/>
  <c r="L14" i="47" l="1"/>
  <c r="M23" i="51"/>
  <c r="V14" i="31"/>
  <c r="W24" i="11"/>
  <c r="V12" i="37"/>
  <c r="Q27" i="51" s="1"/>
  <c r="W38" i="12"/>
  <c r="L61" i="47"/>
  <c r="O30" i="47"/>
  <c r="V29" i="15"/>
  <c r="V10" i="12"/>
  <c r="V11" i="12" s="1"/>
  <c r="V31" i="19"/>
  <c r="V38" i="19"/>
  <c r="Q12" i="9"/>
  <c r="Q13" i="9" s="1"/>
  <c r="K68" i="47"/>
  <c r="U19" i="31"/>
  <c r="O34" i="47" s="1"/>
  <c r="V29" i="19"/>
  <c r="K19" i="33"/>
  <c r="M19" i="32"/>
  <c r="J19" i="24"/>
  <c r="D34" i="50" s="1"/>
  <c r="V8" i="31"/>
  <c r="W18" i="13"/>
  <c r="V32" i="16"/>
  <c r="V45" i="16"/>
  <c r="V46" i="16" s="1"/>
  <c r="V41" i="16"/>
  <c r="W11" i="11"/>
  <c r="W12" i="11" s="1"/>
  <c r="W20" i="10"/>
  <c r="W21" i="10" s="1"/>
  <c r="W44" i="12"/>
  <c r="W45" i="12" s="1"/>
  <c r="M50" i="47"/>
  <c r="S12" i="34"/>
  <c r="R47" i="47"/>
  <c r="V32" i="15"/>
  <c r="V15" i="15"/>
  <c r="AB13" i="37"/>
  <c r="AB52" i="12"/>
  <c r="AB40" i="12"/>
  <c r="L12" i="47"/>
  <c r="R19" i="28"/>
  <c r="M15" i="51" s="1"/>
  <c r="R48" i="17"/>
  <c r="R34" i="17"/>
  <c r="R35" i="17" s="1"/>
  <c r="R13" i="17" s="1"/>
  <c r="R15" i="17" s="1"/>
  <c r="V30" i="13"/>
  <c r="V9" i="31" s="1"/>
  <c r="P24" i="47" s="1"/>
  <c r="W26" i="13"/>
  <c r="V17" i="34"/>
  <c r="P56" i="47" s="1"/>
  <c r="V27" i="17"/>
  <c r="AB28" i="17" s="1"/>
  <c r="V12" i="17"/>
  <c r="V19" i="34"/>
  <c r="P58" i="47" s="1"/>
  <c r="V26" i="16"/>
  <c r="X27" i="16" s="1"/>
  <c r="V12" i="16"/>
  <c r="P23" i="31"/>
  <c r="J38" i="47" s="1"/>
  <c r="P15" i="22"/>
  <c r="P17" i="22" s="1"/>
  <c r="P21" i="22" s="1"/>
  <c r="V13" i="28"/>
  <c r="R48" i="18"/>
  <c r="R25" i="34" s="1"/>
  <c r="L64" i="47" s="1"/>
  <c r="R34" i="18"/>
  <c r="R35" i="18" s="1"/>
  <c r="R13" i="18" s="1"/>
  <c r="R15" i="18" s="1"/>
  <c r="V21" i="34"/>
  <c r="P60" i="47" s="1"/>
  <c r="V12" i="18"/>
  <c r="V11" i="28"/>
  <c r="Q13" i="51" s="1"/>
  <c r="P4" i="47"/>
  <c r="T66" i="20"/>
  <c r="T68" i="20" s="1"/>
  <c r="U35" i="20"/>
  <c r="U36" i="20" s="1"/>
  <c r="V33" i="20" s="1"/>
  <c r="U40" i="20"/>
  <c r="U41" i="20" s="1"/>
  <c r="U46" i="20" s="1"/>
  <c r="U47" i="20" s="1"/>
  <c r="Q27" i="31"/>
  <c r="K42" i="47" s="1"/>
  <c r="Q16" i="22"/>
  <c r="P9" i="47" l="1"/>
  <c r="Q20" i="51"/>
  <c r="R16" i="31"/>
  <c r="M9" i="51" s="1"/>
  <c r="S11" i="17"/>
  <c r="L16" i="32"/>
  <c r="R18" i="31"/>
  <c r="S11" i="18"/>
  <c r="L18" i="32"/>
  <c r="U76" i="20"/>
  <c r="U81" i="20"/>
  <c r="U48" i="20"/>
  <c r="V26" i="20"/>
  <c r="W10" i="13"/>
  <c r="W11" i="13" s="1"/>
  <c r="Q11" i="31"/>
  <c r="L7" i="51" s="1"/>
  <c r="R11" i="9"/>
  <c r="Q9" i="8"/>
  <c r="W10" i="37"/>
  <c r="R26" i="51" s="1"/>
  <c r="W24" i="12"/>
  <c r="X17" i="10"/>
  <c r="W16" i="37"/>
  <c r="W62" i="12"/>
  <c r="W64" i="12" s="1"/>
  <c r="W53" i="12"/>
  <c r="W56" i="12" s="1"/>
  <c r="P23" i="47"/>
  <c r="V10" i="34"/>
  <c r="W25" i="12"/>
  <c r="R23" i="34"/>
  <c r="V14" i="34"/>
  <c r="P53" i="47" s="1"/>
  <c r="W16" i="19"/>
  <c r="W17" i="19" s="1"/>
  <c r="W42" i="15"/>
  <c r="W20" i="15"/>
  <c r="W25" i="11"/>
  <c r="V9" i="19"/>
  <c r="V11" i="19" s="1"/>
  <c r="V22" i="19" s="1"/>
  <c r="V23" i="19" s="1"/>
  <c r="V30" i="15"/>
  <c r="V36" i="15" s="1"/>
  <c r="T77" i="20"/>
  <c r="T78" i="20" s="1"/>
  <c r="T69" i="20"/>
  <c r="V14" i="28"/>
  <c r="Q14" i="51" s="1"/>
  <c r="V9" i="20"/>
  <c r="V10" i="20" s="1"/>
  <c r="P7" i="47"/>
  <c r="R82" i="20"/>
  <c r="R22" i="28"/>
  <c r="M16" i="51" s="1"/>
  <c r="L15" i="47"/>
  <c r="AB29" i="17"/>
  <c r="AB14" i="17"/>
  <c r="V17" i="28"/>
  <c r="V48" i="19"/>
  <c r="V33" i="16"/>
  <c r="V34" i="16" s="1"/>
  <c r="V13" i="16" s="1"/>
  <c r="V15" i="16" s="1"/>
  <c r="V47" i="16"/>
  <c r="X28" i="16"/>
  <c r="X14" i="16"/>
  <c r="S15" i="34"/>
  <c r="M51" i="47"/>
  <c r="P29" i="47"/>
  <c r="L33" i="47" l="1"/>
  <c r="M10" i="51"/>
  <c r="P13" i="47"/>
  <c r="Q22" i="51"/>
  <c r="W26" i="12"/>
  <c r="W39" i="12" s="1"/>
  <c r="W41" i="12" s="1"/>
  <c r="V15" i="31"/>
  <c r="W28" i="15"/>
  <c r="V17" i="31"/>
  <c r="W11" i="16"/>
  <c r="V30" i="19"/>
  <c r="V32" i="19" s="1"/>
  <c r="V49" i="19"/>
  <c r="V51" i="19" s="1"/>
  <c r="V36" i="19" s="1"/>
  <c r="W37" i="19" s="1"/>
  <c r="T20" i="31"/>
  <c r="N35" i="47" s="1"/>
  <c r="U75" i="20"/>
  <c r="W15" i="37"/>
  <c r="R28" i="51" s="1"/>
  <c r="X51" i="12"/>
  <c r="K26" i="47"/>
  <c r="Q12" i="31"/>
  <c r="X20" i="34"/>
  <c r="R59" i="47" s="1"/>
  <c r="N20" i="35"/>
  <c r="W17" i="37"/>
  <c r="R29" i="51" s="1"/>
  <c r="W17" i="11"/>
  <c r="W18" i="11" s="1"/>
  <c r="X61" i="12"/>
  <c r="P49" i="47"/>
  <c r="X25" i="10"/>
  <c r="L62" i="47"/>
  <c r="R26" i="34"/>
  <c r="W11" i="37"/>
  <c r="W20" i="18"/>
  <c r="W22" i="18" s="1"/>
  <c r="W13" i="15"/>
  <c r="W14" i="15" s="1"/>
  <c r="W19" i="13"/>
  <c r="W21" i="13" s="1"/>
  <c r="W20" i="17"/>
  <c r="W22" i="17" s="1"/>
  <c r="W31" i="12"/>
  <c r="AC32" i="12" s="1"/>
  <c r="W17" i="9"/>
  <c r="W18" i="9" s="1"/>
  <c r="V24" i="34"/>
  <c r="P63" i="47" s="1"/>
  <c r="S27" i="18"/>
  <c r="S28" i="18" s="1"/>
  <c r="S40" i="18"/>
  <c r="S41" i="18" s="1"/>
  <c r="AB18" i="34"/>
  <c r="V57" i="47" s="1"/>
  <c r="W45" i="15"/>
  <c r="W27" i="13"/>
  <c r="W29" i="13" s="1"/>
  <c r="W12" i="13"/>
  <c r="P10" i="47"/>
  <c r="W21" i="19"/>
  <c r="W43" i="15"/>
  <c r="W21" i="15"/>
  <c r="Y22" i="15" s="1"/>
  <c r="U21" i="28"/>
  <c r="M21" i="29"/>
  <c r="S40" i="17"/>
  <c r="S41" i="17" s="1"/>
  <c r="V14" i="20"/>
  <c r="V15" i="20" s="1"/>
  <c r="V20" i="20"/>
  <c r="V21" i="20" s="1"/>
  <c r="V34" i="20" s="1"/>
  <c r="M54" i="47"/>
  <c r="R37" i="9"/>
  <c r="R38" i="9" s="1"/>
  <c r="L18" i="47"/>
  <c r="T11" i="34"/>
  <c r="L31" i="47"/>
  <c r="R21" i="31"/>
  <c r="P32" i="47" l="1"/>
  <c r="Q8" i="51"/>
  <c r="O17" i="47"/>
  <c r="P24" i="51"/>
  <c r="W31" i="19"/>
  <c r="W38" i="19"/>
  <c r="V39" i="20"/>
  <c r="V25" i="20"/>
  <c r="V27" i="20" s="1"/>
  <c r="W10" i="31"/>
  <c r="Q25" i="47" s="1"/>
  <c r="X41" i="15"/>
  <c r="AC13" i="37"/>
  <c r="AC52" i="12"/>
  <c r="AC40" i="12"/>
  <c r="Y8" i="34"/>
  <c r="Y44" i="15"/>
  <c r="U66" i="20"/>
  <c r="U68" i="20" s="1"/>
  <c r="N50" i="47"/>
  <c r="T12" i="34"/>
  <c r="W17" i="34"/>
  <c r="Q56" i="47" s="1"/>
  <c r="W27" i="17"/>
  <c r="AC28" i="17" s="1"/>
  <c r="W12" i="17"/>
  <c r="V19" i="31"/>
  <c r="P34" i="47" s="1"/>
  <c r="W29" i="19"/>
  <c r="W8" i="31"/>
  <c r="X18" i="13"/>
  <c r="W32" i="15"/>
  <c r="W15" i="15"/>
  <c r="W21" i="34"/>
  <c r="Q60" i="47" s="1"/>
  <c r="W12" i="18"/>
  <c r="Q22" i="9"/>
  <c r="Q24" i="9" s="1"/>
  <c r="K27" i="47"/>
  <c r="W39" i="16"/>
  <c r="W40" i="16" s="1"/>
  <c r="R25" i="31"/>
  <c r="L40" i="47" s="1"/>
  <c r="S36" i="9"/>
  <c r="R28" i="9"/>
  <c r="R30" i="9" s="1"/>
  <c r="L25" i="32"/>
  <c r="R23" i="9"/>
  <c r="L36" i="47"/>
  <c r="S46" i="18"/>
  <c r="S47" i="18" s="1"/>
  <c r="S42" i="18"/>
  <c r="S18" i="28" s="1"/>
  <c r="S33" i="18"/>
  <c r="S42" i="17"/>
  <c r="S46" i="17"/>
  <c r="S47" i="17" s="1"/>
  <c r="S33" i="17"/>
  <c r="W13" i="28"/>
  <c r="S14" i="18"/>
  <c r="S29" i="18"/>
  <c r="W29" i="15"/>
  <c r="W10" i="12"/>
  <c r="W11" i="12" s="1"/>
  <c r="R29" i="34"/>
  <c r="L65" i="47"/>
  <c r="W8" i="28"/>
  <c r="R12" i="51" s="1"/>
  <c r="W19" i="16"/>
  <c r="W21" i="16" s="1"/>
  <c r="W26" i="11"/>
  <c r="W27" i="11" s="1"/>
  <c r="X24" i="10"/>
  <c r="X26" i="10" s="1"/>
  <c r="W30" i="13"/>
  <c r="W9" i="31" s="1"/>
  <c r="Q24" i="47" s="1"/>
  <c r="X26" i="13"/>
  <c r="W12" i="37"/>
  <c r="R27" i="51" s="1"/>
  <c r="X38" i="12"/>
  <c r="P30" i="47"/>
  <c r="M14" i="47" l="1"/>
  <c r="N23" i="51"/>
  <c r="Q9" i="47"/>
  <c r="R20" i="51"/>
  <c r="S48" i="18"/>
  <c r="S34" i="18"/>
  <c r="W32" i="16"/>
  <c r="W45" i="16"/>
  <c r="W46" i="16" s="1"/>
  <c r="W41" i="16"/>
  <c r="W14" i="34"/>
  <c r="Q53" i="47" s="1"/>
  <c r="AC29" i="17"/>
  <c r="AC14" i="17"/>
  <c r="X25" i="12"/>
  <c r="X11" i="11"/>
  <c r="X12" i="11" s="1"/>
  <c r="X20" i="10"/>
  <c r="X21" i="10" s="1"/>
  <c r="X44" i="12"/>
  <c r="X45" i="12" s="1"/>
  <c r="R12" i="9"/>
  <c r="R13" i="9" s="1"/>
  <c r="L68" i="47"/>
  <c r="W9" i="19"/>
  <c r="W11" i="19" s="1"/>
  <c r="W22" i="19" s="1"/>
  <c r="W23" i="19" s="1"/>
  <c r="W30" i="15"/>
  <c r="W36" i="15" s="1"/>
  <c r="S48" i="17"/>
  <c r="S34" i="17"/>
  <c r="S35" i="17" s="1"/>
  <c r="S13" i="17" s="1"/>
  <c r="S15" i="17" s="1"/>
  <c r="X10" i="13"/>
  <c r="X11" i="13" s="1"/>
  <c r="S22" i="34"/>
  <c r="S16" i="28"/>
  <c r="N21" i="51" s="1"/>
  <c r="R27" i="31"/>
  <c r="L42" i="47" s="1"/>
  <c r="R16" i="22"/>
  <c r="W48" i="19"/>
  <c r="T15" i="34"/>
  <c r="N51" i="47"/>
  <c r="S47" i="47"/>
  <c r="V40" i="20"/>
  <c r="V41" i="20" s="1"/>
  <c r="V46" i="20" s="1"/>
  <c r="V47" i="20" s="1"/>
  <c r="V35" i="20"/>
  <c r="V36" i="20" s="1"/>
  <c r="W33" i="20" s="1"/>
  <c r="Q23" i="31"/>
  <c r="K38" i="47" s="1"/>
  <c r="Q15" i="22"/>
  <c r="Q17" i="22" s="1"/>
  <c r="Q21" i="22" s="1"/>
  <c r="Q23" i="47"/>
  <c r="W14" i="31"/>
  <c r="X24" i="11"/>
  <c r="S35" i="18"/>
  <c r="S13" i="18" s="1"/>
  <c r="S15" i="18" s="1"/>
  <c r="W10" i="34"/>
  <c r="W19" i="34"/>
  <c r="Q58" i="47" s="1"/>
  <c r="W12" i="16"/>
  <c r="W26" i="16"/>
  <c r="Y27" i="16" s="1"/>
  <c r="W11" i="28"/>
  <c r="R13" i="51" s="1"/>
  <c r="Q4" i="47"/>
  <c r="U69" i="20"/>
  <c r="U77" i="20"/>
  <c r="U78" i="20" s="1"/>
  <c r="W15" i="31" l="1"/>
  <c r="Q30" i="47" s="1"/>
  <c r="X28" i="15"/>
  <c r="X27" i="13"/>
  <c r="X29" i="13" s="1"/>
  <c r="X12" i="13"/>
  <c r="X10" i="37"/>
  <c r="S26" i="51" s="1"/>
  <c r="X24" i="12"/>
  <c r="X26" i="12" s="1"/>
  <c r="Y17" i="10"/>
  <c r="N10" i="38"/>
  <c r="X16" i="19"/>
  <c r="X17" i="19" s="1"/>
  <c r="X42" i="15"/>
  <c r="X25" i="11"/>
  <c r="X20" i="15"/>
  <c r="U11" i="34"/>
  <c r="M11" i="35"/>
  <c r="M12" i="47"/>
  <c r="S19" i="28"/>
  <c r="N15" i="51" s="1"/>
  <c r="W47" i="16"/>
  <c r="W33" i="16"/>
  <c r="W30" i="19"/>
  <c r="W32" i="19" s="1"/>
  <c r="W49" i="19"/>
  <c r="W34" i="16"/>
  <c r="W13" i="16" s="1"/>
  <c r="W15" i="16" s="1"/>
  <c r="W26" i="20"/>
  <c r="W17" i="28"/>
  <c r="S16" i="31"/>
  <c r="N9" i="51" s="1"/>
  <c r="T11" i="17"/>
  <c r="S18" i="31"/>
  <c r="T11" i="18"/>
  <c r="N54" i="47"/>
  <c r="M61" i="47"/>
  <c r="AC18" i="34"/>
  <c r="W57" i="47" s="1"/>
  <c r="Q49" i="47"/>
  <c r="Y14" i="16"/>
  <c r="Y28" i="16"/>
  <c r="R11" i="31"/>
  <c r="M7" i="51" s="1"/>
  <c r="R9" i="8"/>
  <c r="S11" i="9"/>
  <c r="L11" i="32"/>
  <c r="S25" i="34"/>
  <c r="M64" i="47" s="1"/>
  <c r="W14" i="28"/>
  <c r="R14" i="51" s="1"/>
  <c r="W9" i="20"/>
  <c r="W10" i="20" s="1"/>
  <c r="Q7" i="47"/>
  <c r="S23" i="34"/>
  <c r="M62" i="47" s="1"/>
  <c r="V81" i="20"/>
  <c r="V76" i="20"/>
  <c r="V48" i="20"/>
  <c r="U20" i="31"/>
  <c r="O35" i="47" s="1"/>
  <c r="V75" i="20"/>
  <c r="J20" i="24"/>
  <c r="D35" i="50" s="1"/>
  <c r="K20" i="33"/>
  <c r="M20" i="32"/>
  <c r="Q29" i="47"/>
  <c r="W51" i="19"/>
  <c r="W36" i="19" s="1"/>
  <c r="X37" i="19" s="1"/>
  <c r="X16" i="37"/>
  <c r="X53" i="12"/>
  <c r="X56" i="12" s="1"/>
  <c r="X62" i="12"/>
  <c r="X64" i="12" s="1"/>
  <c r="N16" i="38"/>
  <c r="S26" i="34" l="1"/>
  <c r="Q13" i="47"/>
  <c r="R22" i="51"/>
  <c r="M33" i="47"/>
  <c r="N10" i="51"/>
  <c r="S82" i="20"/>
  <c r="S22" i="28"/>
  <c r="N16" i="51" s="1"/>
  <c r="M15" i="47"/>
  <c r="V66" i="20"/>
  <c r="V68" i="20" s="1"/>
  <c r="X31" i="19"/>
  <c r="X38" i="19"/>
  <c r="T27" i="18"/>
  <c r="T28" i="18" s="1"/>
  <c r="T40" i="18"/>
  <c r="T41" i="18" s="1"/>
  <c r="Y25" i="10"/>
  <c r="V21" i="28"/>
  <c r="T40" i="17"/>
  <c r="T41" i="17" s="1"/>
  <c r="O50" i="47"/>
  <c r="U12" i="34"/>
  <c r="X11" i="37"/>
  <c r="X20" i="18"/>
  <c r="X22" i="18" s="1"/>
  <c r="X20" i="17"/>
  <c r="X22" i="17" s="1"/>
  <c r="X19" i="13"/>
  <c r="X21" i="13" s="1"/>
  <c r="X31" i="12"/>
  <c r="AD32" i="12" s="1"/>
  <c r="X13" i="15"/>
  <c r="X14" i="15" s="1"/>
  <c r="X39" i="12"/>
  <c r="X41" i="12" s="1"/>
  <c r="X17" i="9"/>
  <c r="X18" i="9" s="1"/>
  <c r="N11" i="38"/>
  <c r="L26" i="47"/>
  <c r="R12" i="31"/>
  <c r="W17" i="31"/>
  <c r="X11" i="16"/>
  <c r="W20" i="20"/>
  <c r="W21" i="20" s="1"/>
  <c r="W34" i="20" s="1"/>
  <c r="W14" i="20"/>
  <c r="W15" i="20" s="1"/>
  <c r="S29" i="34"/>
  <c r="M65" i="47"/>
  <c r="M31" i="47"/>
  <c r="S21" i="31"/>
  <c r="X13" i="28"/>
  <c r="N13" i="29"/>
  <c r="Q10" i="47"/>
  <c r="Y20" i="34"/>
  <c r="S59" i="47" s="1"/>
  <c r="W19" i="31"/>
  <c r="Q34" i="47" s="1"/>
  <c r="X29" i="19"/>
  <c r="Y26" i="13"/>
  <c r="X30" i="13"/>
  <c r="X17" i="37"/>
  <c r="S29" i="51" s="1"/>
  <c r="X17" i="11"/>
  <c r="X18" i="11" s="1"/>
  <c r="Y61" i="12"/>
  <c r="N17" i="38"/>
  <c r="X15" i="37"/>
  <c r="S28" i="51" s="1"/>
  <c r="Y51" i="12"/>
  <c r="N15" i="38"/>
  <c r="W24" i="34"/>
  <c r="Q63" i="47" s="1"/>
  <c r="X21" i="19"/>
  <c r="X43" i="15"/>
  <c r="X45" i="15" s="1"/>
  <c r="X21" i="15"/>
  <c r="Z22" i="15" s="1"/>
  <c r="P17" i="47" l="1"/>
  <c r="Q24" i="51"/>
  <c r="R9" i="47"/>
  <c r="S20" i="51"/>
  <c r="Q32" i="47"/>
  <c r="R8" i="51"/>
  <c r="Z8" i="34"/>
  <c r="Z44" i="15"/>
  <c r="Y24" i="10"/>
  <c r="Y26" i="10" s="1"/>
  <c r="X9" i="31"/>
  <c r="R24" i="47" s="1"/>
  <c r="N9" i="32"/>
  <c r="X29" i="15"/>
  <c r="X10" i="12"/>
  <c r="X11" i="12" s="1"/>
  <c r="U15" i="34"/>
  <c r="O51" i="47"/>
  <c r="X39" i="16"/>
  <c r="X40" i="16" s="1"/>
  <c r="X12" i="37"/>
  <c r="S27" i="51" s="1"/>
  <c r="Y38" i="12"/>
  <c r="N12" i="38"/>
  <c r="V69" i="20"/>
  <c r="V77" i="20"/>
  <c r="V78" i="20" s="1"/>
  <c r="W39" i="20"/>
  <c r="W25" i="20"/>
  <c r="W27" i="20" s="1"/>
  <c r="X48" i="19"/>
  <c r="S23" i="9"/>
  <c r="M36" i="47"/>
  <c r="X32" i="15"/>
  <c r="X15" i="15"/>
  <c r="X10" i="31"/>
  <c r="R25" i="47" s="1"/>
  <c r="Y41" i="15"/>
  <c r="N10" i="32"/>
  <c r="R22" i="9"/>
  <c r="R24" i="9" s="1"/>
  <c r="L27" i="47"/>
  <c r="L12" i="32"/>
  <c r="AD13" i="37"/>
  <c r="AD52" i="12"/>
  <c r="AD40" i="12"/>
  <c r="P13" i="38"/>
  <c r="T42" i="17"/>
  <c r="T33" i="17"/>
  <c r="T46" i="17"/>
  <c r="T47" i="17" s="1"/>
  <c r="T42" i="18"/>
  <c r="T18" i="28" s="1"/>
  <c r="T33" i="18"/>
  <c r="T46" i="18"/>
  <c r="T47" i="18" s="1"/>
  <c r="X8" i="28"/>
  <c r="S12" i="51" s="1"/>
  <c r="X19" i="16"/>
  <c r="X21" i="16" s="1"/>
  <c r="X26" i="11"/>
  <c r="X27" i="11" s="1"/>
  <c r="N8" i="29"/>
  <c r="X8" i="31"/>
  <c r="Y18" i="13"/>
  <c r="N8" i="32"/>
  <c r="T29" i="18"/>
  <c r="T14" i="18"/>
  <c r="X17" i="34"/>
  <c r="R56" i="47" s="1"/>
  <c r="X27" i="17"/>
  <c r="AD28" i="17" s="1"/>
  <c r="X12" i="17"/>
  <c r="N17" i="35"/>
  <c r="S37" i="9"/>
  <c r="S38" i="9" s="1"/>
  <c r="M18" i="47"/>
  <c r="S12" i="9"/>
  <c r="S13" i="9" s="1"/>
  <c r="M68" i="47"/>
  <c r="X21" i="34"/>
  <c r="R60" i="47" s="1"/>
  <c r="X12" i="18"/>
  <c r="N21" i="35"/>
  <c r="X10" i="34"/>
  <c r="N10" i="35"/>
  <c r="N14" i="47" l="1"/>
  <c r="O23" i="51"/>
  <c r="X11" i="28"/>
  <c r="S13" i="51" s="1"/>
  <c r="R4" i="47"/>
  <c r="X14" i="34"/>
  <c r="R53" i="47" s="1"/>
  <c r="N14" i="35"/>
  <c r="R23" i="47"/>
  <c r="S11" i="31"/>
  <c r="N7" i="51" s="1"/>
  <c r="T11" i="9"/>
  <c r="S9" i="8"/>
  <c r="AD29" i="17"/>
  <c r="AD14" i="17"/>
  <c r="T48" i="17"/>
  <c r="T34" i="17"/>
  <c r="V20" i="31"/>
  <c r="P35" i="47" s="1"/>
  <c r="W75" i="20"/>
  <c r="Y11" i="11"/>
  <c r="Y12" i="11" s="1"/>
  <c r="Y20" i="10"/>
  <c r="Y21" i="10" s="1"/>
  <c r="Y44" i="12"/>
  <c r="Y45" i="12" s="1"/>
  <c r="T48" i="18"/>
  <c r="T34" i="18"/>
  <c r="W35" i="20"/>
  <c r="W36" i="20" s="1"/>
  <c r="X33" i="20" s="1"/>
  <c r="W40" i="20"/>
  <c r="W41" i="20" s="1"/>
  <c r="W46" i="20" s="1"/>
  <c r="W47" i="20" s="1"/>
  <c r="T35" i="17"/>
  <c r="T13" i="17" s="1"/>
  <c r="T15" i="17" s="1"/>
  <c r="V11" i="34"/>
  <c r="O54" i="47"/>
  <c r="M15" i="35"/>
  <c r="Y10" i="13"/>
  <c r="Y11" i="13" s="1"/>
  <c r="R49" i="47"/>
  <c r="X14" i="31"/>
  <c r="Y24" i="11"/>
  <c r="N14" i="32"/>
  <c r="T16" i="28"/>
  <c r="O21" i="51" s="1"/>
  <c r="R23" i="31"/>
  <c r="L38" i="47" s="1"/>
  <c r="R15" i="22"/>
  <c r="R17" i="22" s="1"/>
  <c r="R21" i="22" s="1"/>
  <c r="L23" i="32"/>
  <c r="X9" i="19"/>
  <c r="X11" i="19" s="1"/>
  <c r="X22" i="19" s="1"/>
  <c r="X23" i="19" s="1"/>
  <c r="X30" i="15"/>
  <c r="X36" i="15" s="1"/>
  <c r="T35" i="18"/>
  <c r="T13" i="18" s="1"/>
  <c r="T15" i="18" s="1"/>
  <c r="X45" i="16"/>
  <c r="X46" i="16" s="1"/>
  <c r="X41" i="16"/>
  <c r="X32" i="16"/>
  <c r="S25" i="31"/>
  <c r="M40" i="47" s="1"/>
  <c r="T36" i="9"/>
  <c r="S28" i="9"/>
  <c r="S30" i="9" s="1"/>
  <c r="T22" i="34"/>
  <c r="X19" i="34"/>
  <c r="R58" i="47" s="1"/>
  <c r="X12" i="16"/>
  <c r="X26" i="16"/>
  <c r="Z27" i="16" s="1"/>
  <c r="N19" i="35"/>
  <c r="Y25" i="12"/>
  <c r="T47" i="47"/>
  <c r="W48" i="20" l="1"/>
  <c r="W76" i="20"/>
  <c r="W81" i="20"/>
  <c r="T18" i="31"/>
  <c r="U11" i="18"/>
  <c r="N61" i="47"/>
  <c r="S27" i="31"/>
  <c r="M42" i="47" s="1"/>
  <c r="S16" i="22"/>
  <c r="X30" i="19"/>
  <c r="X32" i="19" s="1"/>
  <c r="X49" i="19"/>
  <c r="X51" i="19" s="1"/>
  <c r="X36" i="19" s="1"/>
  <c r="Y37" i="19" s="1"/>
  <c r="R29" i="47"/>
  <c r="T23" i="34"/>
  <c r="N62" i="47" s="1"/>
  <c r="T25" i="34"/>
  <c r="N64" i="47" s="1"/>
  <c r="Y16" i="37"/>
  <c r="Y62" i="12"/>
  <c r="Y64" i="12" s="1"/>
  <c r="Y53" i="12"/>
  <c r="Y56" i="12" s="1"/>
  <c r="AD18" i="34"/>
  <c r="X57" i="47" s="1"/>
  <c r="P18" i="35"/>
  <c r="Z28" i="16"/>
  <c r="Z14" i="16"/>
  <c r="Y10" i="37"/>
  <c r="T26" i="51" s="1"/>
  <c r="Y24" i="12"/>
  <c r="Y26" i="12" s="1"/>
  <c r="Z17" i="10"/>
  <c r="P50" i="47"/>
  <c r="V12" i="34"/>
  <c r="Y16" i="19"/>
  <c r="Y17" i="19" s="1"/>
  <c r="Y42" i="15"/>
  <c r="Y20" i="15"/>
  <c r="Y25" i="11"/>
  <c r="X17" i="28"/>
  <c r="N17" i="29"/>
  <c r="X15" i="31"/>
  <c r="R30" i="47" s="1"/>
  <c r="Y28" i="15"/>
  <c r="N15" i="32"/>
  <c r="X33" i="16"/>
  <c r="X34" i="16" s="1"/>
  <c r="X13" i="16" s="1"/>
  <c r="X15" i="16" s="1"/>
  <c r="X47" i="16"/>
  <c r="N12" i="47"/>
  <c r="T19" i="28"/>
  <c r="O15" i="51" s="1"/>
  <c r="Y27" i="13"/>
  <c r="Y29" i="13" s="1"/>
  <c r="Y12" i="13"/>
  <c r="T16" i="31"/>
  <c r="O9" i="51" s="1"/>
  <c r="U11" i="17"/>
  <c r="W66" i="20"/>
  <c r="W68" i="20" s="1"/>
  <c r="M26" i="47"/>
  <c r="S12" i="31"/>
  <c r="X26" i="20"/>
  <c r="X14" i="28"/>
  <c r="S14" i="51" s="1"/>
  <c r="X9" i="20"/>
  <c r="X10" i="20" s="1"/>
  <c r="R7" i="47"/>
  <c r="N11" i="29"/>
  <c r="T26" i="34" l="1"/>
  <c r="N33" i="47"/>
  <c r="O10" i="51"/>
  <c r="R13" i="47"/>
  <c r="S22" i="51"/>
  <c r="R10" i="47"/>
  <c r="N14" i="29"/>
  <c r="T29" i="34"/>
  <c r="N65" i="47"/>
  <c r="U40" i="17"/>
  <c r="U41" i="17" s="1"/>
  <c r="Y11" i="37"/>
  <c r="Y20" i="18"/>
  <c r="Y22" i="18" s="1"/>
  <c r="Y20" i="17"/>
  <c r="Y22" i="17" s="1"/>
  <c r="Y19" i="13"/>
  <c r="Y21" i="13" s="1"/>
  <c r="Y13" i="15"/>
  <c r="Y14" i="15" s="1"/>
  <c r="Y31" i="12"/>
  <c r="AE32" i="12" s="1"/>
  <c r="Y39" i="12"/>
  <c r="Y41" i="12" s="1"/>
  <c r="Y17" i="9"/>
  <c r="Y18" i="9" s="1"/>
  <c r="N31" i="47"/>
  <c r="T21" i="31"/>
  <c r="Y13" i="28"/>
  <c r="Z26" i="13"/>
  <c r="Y30" i="13"/>
  <c r="Y9" i="31" s="1"/>
  <c r="S24" i="47" s="1"/>
  <c r="Y21" i="19"/>
  <c r="Y43" i="15"/>
  <c r="Y45" i="15" s="1"/>
  <c r="Y21" i="15"/>
  <c r="Y15" i="37"/>
  <c r="T28" i="51" s="1"/>
  <c r="Z51" i="12"/>
  <c r="U40" i="18"/>
  <c r="U41" i="18" s="1"/>
  <c r="U27" i="18"/>
  <c r="U28" i="18" s="1"/>
  <c r="S22" i="9"/>
  <c r="S24" i="9" s="1"/>
  <c r="M27" i="47"/>
  <c r="T22" i="28"/>
  <c r="O16" i="51" s="1"/>
  <c r="T82" i="20"/>
  <c r="N15" i="47"/>
  <c r="V15" i="34"/>
  <c r="P51" i="47"/>
  <c r="Z20" i="34"/>
  <c r="T59" i="47" s="1"/>
  <c r="Y17" i="37"/>
  <c r="T29" i="51" s="1"/>
  <c r="Z61" i="12"/>
  <c r="Y17" i="11"/>
  <c r="Y18" i="11" s="1"/>
  <c r="AA22" i="15"/>
  <c r="Y38" i="19"/>
  <c r="Y31" i="19"/>
  <c r="X24" i="34"/>
  <c r="R63" i="47" s="1"/>
  <c r="N24" i="35"/>
  <c r="X17" i="31"/>
  <c r="Y11" i="16"/>
  <c r="N17" i="32"/>
  <c r="X19" i="31"/>
  <c r="R34" i="47" s="1"/>
  <c r="Y29" i="19"/>
  <c r="N19" i="32"/>
  <c r="X20" i="20"/>
  <c r="X21" i="20" s="1"/>
  <c r="X34" i="20" s="1"/>
  <c r="X14" i="20"/>
  <c r="X15" i="20" s="1"/>
  <c r="W77" i="20"/>
  <c r="W78" i="20" s="1"/>
  <c r="W69" i="20"/>
  <c r="Z25" i="10"/>
  <c r="W21" i="28"/>
  <c r="R32" i="47" l="1"/>
  <c r="S8" i="51"/>
  <c r="S9" i="47"/>
  <c r="T20" i="51"/>
  <c r="Q17" i="47"/>
  <c r="R24" i="51"/>
  <c r="Y10" i="31"/>
  <c r="S25" i="47" s="1"/>
  <c r="Z41" i="15"/>
  <c r="X39" i="20"/>
  <c r="X25" i="20"/>
  <c r="X27" i="20" s="1"/>
  <c r="Y8" i="28"/>
  <c r="T12" i="51" s="1"/>
  <c r="Y19" i="16"/>
  <c r="Y21" i="16" s="1"/>
  <c r="Y26" i="11"/>
  <c r="Y27" i="11" s="1"/>
  <c r="T23" i="9"/>
  <c r="N36" i="47"/>
  <c r="Y32" i="15"/>
  <c r="Y15" i="15"/>
  <c r="P54" i="47"/>
  <c r="Y8" i="31"/>
  <c r="Z18" i="13"/>
  <c r="T12" i="9"/>
  <c r="T13" i="9" s="1"/>
  <c r="N68" i="47"/>
  <c r="U29" i="18"/>
  <c r="U14" i="18"/>
  <c r="Y17" i="34"/>
  <c r="S56" i="47" s="1"/>
  <c r="Y27" i="17"/>
  <c r="AE28" i="17" s="1"/>
  <c r="Y12" i="17"/>
  <c r="Y48" i="19"/>
  <c r="U46" i="18"/>
  <c r="U47" i="18" s="1"/>
  <c r="U42" i="18"/>
  <c r="U18" i="28" s="1"/>
  <c r="U33" i="18"/>
  <c r="Y21" i="34"/>
  <c r="S60" i="47" s="1"/>
  <c r="Y12" i="18"/>
  <c r="Y10" i="34"/>
  <c r="T37" i="9"/>
  <c r="T38" i="9" s="1"/>
  <c r="N18" i="47"/>
  <c r="Y29" i="15"/>
  <c r="Y10" i="12"/>
  <c r="Y11" i="12" s="1"/>
  <c r="W11" i="34"/>
  <c r="Y39" i="16"/>
  <c r="Y40" i="16" s="1"/>
  <c r="AA8" i="34"/>
  <c r="AA44" i="15"/>
  <c r="O8" i="35"/>
  <c r="Y12" i="37"/>
  <c r="T27" i="51" s="1"/>
  <c r="Z38" i="12"/>
  <c r="U33" i="17"/>
  <c r="U42" i="17"/>
  <c r="U46" i="17"/>
  <c r="U47" i="17" s="1"/>
  <c r="Z24" i="10"/>
  <c r="Z26" i="10" s="1"/>
  <c r="W20" i="31"/>
  <c r="Q35" i="47" s="1"/>
  <c r="X75" i="20"/>
  <c r="S23" i="31"/>
  <c r="M38" i="47" s="1"/>
  <c r="S15" i="22"/>
  <c r="S17" i="22" s="1"/>
  <c r="S21" i="22" s="1"/>
  <c r="AE13" i="37"/>
  <c r="AE40" i="12"/>
  <c r="AE52" i="12"/>
  <c r="O14" i="47" l="1"/>
  <c r="P23" i="51"/>
  <c r="AE14" i="17"/>
  <c r="AE29" i="17"/>
  <c r="T11" i="31"/>
  <c r="O7" i="51" s="1"/>
  <c r="T9" i="8"/>
  <c r="U11" i="9"/>
  <c r="Y9" i="19"/>
  <c r="Y11" i="19" s="1"/>
  <c r="Y22" i="19" s="1"/>
  <c r="Y23" i="19" s="1"/>
  <c r="Y30" i="15"/>
  <c r="Y36" i="15" s="1"/>
  <c r="S49" i="47"/>
  <c r="U48" i="18"/>
  <c r="U34" i="18"/>
  <c r="Z10" i="13"/>
  <c r="Z11" i="13" s="1"/>
  <c r="Y14" i="34"/>
  <c r="S53" i="47" s="1"/>
  <c r="Y14" i="31"/>
  <c r="Z24" i="11"/>
  <c r="Z44" i="12"/>
  <c r="Z45" i="12" s="1"/>
  <c r="Z11" i="11"/>
  <c r="Z12" i="11" s="1"/>
  <c r="Z20" i="10"/>
  <c r="Z21" i="10" s="1"/>
  <c r="U47" i="47"/>
  <c r="S23" i="47"/>
  <c r="Y19" i="34"/>
  <c r="S58" i="47" s="1"/>
  <c r="Y26" i="16"/>
  <c r="AA27" i="16" s="1"/>
  <c r="Y12" i="16"/>
  <c r="Y11" i="28"/>
  <c r="T13" i="51" s="1"/>
  <c r="S4" i="47"/>
  <c r="U16" i="28"/>
  <c r="P21" i="51" s="1"/>
  <c r="M16" i="29"/>
  <c r="Y41" i="16"/>
  <c r="Y32" i="16"/>
  <c r="Y45" i="16"/>
  <c r="Y46" i="16" s="1"/>
  <c r="U22" i="34"/>
  <c r="M22" i="35"/>
  <c r="X35" i="20"/>
  <c r="X36" i="20" s="1"/>
  <c r="Y33" i="20" s="1"/>
  <c r="X40" i="20"/>
  <c r="X41" i="20" s="1"/>
  <c r="X46" i="20" s="1"/>
  <c r="X47" i="20" s="1"/>
  <c r="Q50" i="47"/>
  <c r="W12" i="34"/>
  <c r="T25" i="31"/>
  <c r="N40" i="47" s="1"/>
  <c r="T28" i="9"/>
  <c r="T30" i="9" s="1"/>
  <c r="U36" i="9"/>
  <c r="Z25" i="12"/>
  <c r="U48" i="17"/>
  <c r="U34" i="17"/>
  <c r="U35" i="17" s="1"/>
  <c r="U13" i="17" s="1"/>
  <c r="U15" i="17" s="1"/>
  <c r="X66" i="20"/>
  <c r="X68" i="20" s="1"/>
  <c r="U35" i="18"/>
  <c r="U13" i="18" s="1"/>
  <c r="U15" i="18" s="1"/>
  <c r="Y15" i="31" l="1"/>
  <c r="S30" i="47" s="1"/>
  <c r="Z28" i="15"/>
  <c r="X48" i="20"/>
  <c r="X76" i="20"/>
  <c r="X81" i="20"/>
  <c r="U23" i="34"/>
  <c r="O62" i="47" s="1"/>
  <c r="M23" i="35"/>
  <c r="T27" i="31"/>
  <c r="N42" i="47" s="1"/>
  <c r="T16" i="22"/>
  <c r="Y47" i="16"/>
  <c r="Y33" i="16"/>
  <c r="Y34" i="16"/>
  <c r="Y13" i="16" s="1"/>
  <c r="Y15" i="16" s="1"/>
  <c r="Y30" i="19"/>
  <c r="Y32" i="19" s="1"/>
  <c r="Y49" i="19"/>
  <c r="Y51" i="19" s="1"/>
  <c r="Y36" i="19" s="1"/>
  <c r="Z37" i="19" s="1"/>
  <c r="W15" i="34"/>
  <c r="Q51" i="47"/>
  <c r="AA28" i="16"/>
  <c r="AA14" i="16"/>
  <c r="Z16" i="19"/>
  <c r="Z17" i="19" s="1"/>
  <c r="Z42" i="15"/>
  <c r="Z25" i="11"/>
  <c r="Z20" i="15"/>
  <c r="Z10" i="37"/>
  <c r="U26" i="51" s="1"/>
  <c r="Z24" i="12"/>
  <c r="Z26" i="12" s="1"/>
  <c r="AA17" i="10"/>
  <c r="U18" i="31"/>
  <c r="V11" i="18"/>
  <c r="J18" i="24"/>
  <c r="D33" i="50" s="1"/>
  <c r="K18" i="33"/>
  <c r="M18" i="32"/>
  <c r="O12" i="47"/>
  <c r="U19" i="28"/>
  <c r="P15" i="51" s="1"/>
  <c r="Z16" i="37"/>
  <c r="Z62" i="12"/>
  <c r="Z64" i="12" s="1"/>
  <c r="Z53" i="12"/>
  <c r="Z56" i="12" s="1"/>
  <c r="Z27" i="13"/>
  <c r="Z29" i="13" s="1"/>
  <c r="Z12" i="13"/>
  <c r="Y26" i="20"/>
  <c r="N26" i="47"/>
  <c r="T12" i="31"/>
  <c r="S29" i="47"/>
  <c r="U25" i="34"/>
  <c r="O64" i="47" s="1"/>
  <c r="M25" i="35"/>
  <c r="AE18" i="34"/>
  <c r="Y57" i="47" s="1"/>
  <c r="Y17" i="28"/>
  <c r="U16" i="31"/>
  <c r="P9" i="51" s="1"/>
  <c r="V11" i="17"/>
  <c r="J16" i="24"/>
  <c r="D31" i="50" s="1"/>
  <c r="K16" i="33"/>
  <c r="M16" i="32"/>
  <c r="X77" i="20"/>
  <c r="X69" i="20"/>
  <c r="Y14" i="28"/>
  <c r="T14" i="51" s="1"/>
  <c r="Y9" i="20"/>
  <c r="Y10" i="20" s="1"/>
  <c r="S7" i="47"/>
  <c r="O61" i="47"/>
  <c r="U26" i="34" l="1"/>
  <c r="S13" i="47"/>
  <c r="T22" i="51"/>
  <c r="O33" i="47"/>
  <c r="P10" i="51"/>
  <c r="Z38" i="19"/>
  <c r="Z31" i="19"/>
  <c r="Z21" i="19"/>
  <c r="Z43" i="15"/>
  <c r="Z45" i="15" s="1"/>
  <c r="Z21" i="15"/>
  <c r="V40" i="17"/>
  <c r="V41" i="17" s="1"/>
  <c r="AA25" i="10"/>
  <c r="Y19" i="31"/>
  <c r="S34" i="47" s="1"/>
  <c r="Z29" i="19"/>
  <c r="Q54" i="47"/>
  <c r="Y20" i="20"/>
  <c r="Y21" i="20" s="1"/>
  <c r="Y34" i="20" s="1"/>
  <c r="Y14" i="20"/>
  <c r="Y15" i="20" s="1"/>
  <c r="O31" i="47"/>
  <c r="U21" i="31"/>
  <c r="U22" i="28"/>
  <c r="P16" i="51" s="1"/>
  <c r="U82" i="20"/>
  <c r="O15" i="47"/>
  <c r="M19" i="29"/>
  <c r="Z11" i="37"/>
  <c r="Z20" i="18"/>
  <c r="Z22" i="18" s="1"/>
  <c r="Z20" i="17"/>
  <c r="Z22" i="17" s="1"/>
  <c r="Z19" i="13"/>
  <c r="Z21" i="13" s="1"/>
  <c r="Z39" i="12"/>
  <c r="Z41" i="12" s="1"/>
  <c r="Z13" i="15"/>
  <c r="Z14" i="15" s="1"/>
  <c r="Z31" i="12"/>
  <c r="AF32" i="12" s="1"/>
  <c r="Z17" i="9"/>
  <c r="Z18" i="9" s="1"/>
  <c r="AA20" i="34"/>
  <c r="U59" i="47" s="1"/>
  <c r="O20" i="35"/>
  <c r="X78" i="20"/>
  <c r="Z17" i="37"/>
  <c r="U29" i="51" s="1"/>
  <c r="AA61" i="12"/>
  <c r="Z17" i="11"/>
  <c r="Z18" i="11" s="1"/>
  <c r="U29" i="34"/>
  <c r="O65" i="47"/>
  <c r="M26" i="35"/>
  <c r="X21" i="28"/>
  <c r="N21" i="29"/>
  <c r="Y17" i="31"/>
  <c r="Z11" i="16"/>
  <c r="T22" i="9"/>
  <c r="T24" i="9" s="1"/>
  <c r="N27" i="47"/>
  <c r="V40" i="18"/>
  <c r="V41" i="18" s="1"/>
  <c r="V27" i="18"/>
  <c r="V28" i="18" s="1"/>
  <c r="S10" i="47"/>
  <c r="X11" i="34"/>
  <c r="N11" i="35"/>
  <c r="Z13" i="28"/>
  <c r="Y24" i="34"/>
  <c r="S63" i="47" s="1"/>
  <c r="Z15" i="37"/>
  <c r="U28" i="51" s="1"/>
  <c r="AA51" i="12"/>
  <c r="AA26" i="13"/>
  <c r="Z30" i="13"/>
  <c r="Z9" i="31" s="1"/>
  <c r="T24" i="47" s="1"/>
  <c r="AB22" i="15"/>
  <c r="R17" i="47" l="1"/>
  <c r="S24" i="51"/>
  <c r="T9" i="47"/>
  <c r="U20" i="51"/>
  <c r="S32" i="47"/>
  <c r="T8" i="51"/>
  <c r="Z10" i="31"/>
  <c r="T25" i="47" s="1"/>
  <c r="AA41" i="15"/>
  <c r="Z12" i="37"/>
  <c r="U27" i="51" s="1"/>
  <c r="AA38" i="12"/>
  <c r="U37" i="9"/>
  <c r="U38" i="9" s="1"/>
  <c r="O18" i="47"/>
  <c r="M22" i="29"/>
  <c r="X20" i="31"/>
  <c r="R35" i="47" s="1"/>
  <c r="Y75" i="20"/>
  <c r="N20" i="32"/>
  <c r="Z8" i="31"/>
  <c r="AA18" i="13"/>
  <c r="U23" i="9"/>
  <c r="O36" i="47"/>
  <c r="J21" i="24"/>
  <c r="D36" i="50" s="1"/>
  <c r="K21" i="33"/>
  <c r="M21" i="32"/>
  <c r="Z17" i="34"/>
  <c r="T56" i="47" s="1"/>
  <c r="Z27" i="17"/>
  <c r="AF28" i="17" s="1"/>
  <c r="Z12" i="17"/>
  <c r="Z48" i="19"/>
  <c r="R50" i="47"/>
  <c r="X12" i="34"/>
  <c r="Z21" i="34"/>
  <c r="T60" i="47" s="1"/>
  <c r="Z12" i="18"/>
  <c r="Y39" i="20"/>
  <c r="Y25" i="20"/>
  <c r="Y27" i="20" s="1"/>
  <c r="V46" i="17"/>
  <c r="V47" i="17" s="1"/>
  <c r="V42" i="17"/>
  <c r="V33" i="17"/>
  <c r="V29" i="18"/>
  <c r="V14" i="18"/>
  <c r="AB8" i="34"/>
  <c r="AB44" i="15"/>
  <c r="T23" i="31"/>
  <c r="N38" i="47" s="1"/>
  <c r="T15" i="22"/>
  <c r="T17" i="22" s="1"/>
  <c r="T21" i="22" s="1"/>
  <c r="Z32" i="15"/>
  <c r="Z15" i="15"/>
  <c r="V46" i="18"/>
  <c r="V47" i="18" s="1"/>
  <c r="V42" i="18"/>
  <c r="V33" i="18"/>
  <c r="Z39" i="16"/>
  <c r="Z40" i="16" s="1"/>
  <c r="U12" i="9"/>
  <c r="U13" i="9" s="1"/>
  <c r="O68" i="47"/>
  <c r="M29" i="35"/>
  <c r="Z29" i="15"/>
  <c r="Z10" i="12"/>
  <c r="Z11" i="12" s="1"/>
  <c r="Z10" i="34"/>
  <c r="AA24" i="10"/>
  <c r="AA26" i="10" s="1"/>
  <c r="Z8" i="28"/>
  <c r="U12" i="51" s="1"/>
  <c r="Z19" i="16"/>
  <c r="Z21" i="16" s="1"/>
  <c r="Z26" i="11"/>
  <c r="Z27" i="11" s="1"/>
  <c r="AF13" i="37"/>
  <c r="AF40" i="12"/>
  <c r="AF52" i="12"/>
  <c r="V34" i="18" l="1"/>
  <c r="V48" i="18"/>
  <c r="Y35" i="20"/>
  <c r="Y36" i="20" s="1"/>
  <c r="Z33" i="20" s="1"/>
  <c r="Y40" i="20"/>
  <c r="Z19" i="34"/>
  <c r="T58" i="47" s="1"/>
  <c r="Z26" i="16"/>
  <c r="AB27" i="16" s="1"/>
  <c r="Z12" i="16"/>
  <c r="Z11" i="28"/>
  <c r="U13" i="51" s="1"/>
  <c r="T4" i="47"/>
  <c r="Z14" i="34"/>
  <c r="T53" i="47" s="1"/>
  <c r="V47" i="47"/>
  <c r="Y41" i="20"/>
  <c r="Y46" i="20" s="1"/>
  <c r="Y47" i="20" s="1"/>
  <c r="Z14" i="31"/>
  <c r="AA24" i="11"/>
  <c r="U11" i="31"/>
  <c r="P7" i="51" s="1"/>
  <c r="V11" i="9"/>
  <c r="U9" i="8"/>
  <c r="M11" i="32"/>
  <c r="K11" i="33"/>
  <c r="J11" i="24"/>
  <c r="D26" i="50" s="1"/>
  <c r="U25" i="31"/>
  <c r="O40" i="47" s="1"/>
  <c r="U28" i="9"/>
  <c r="U30" i="9" s="1"/>
  <c r="V36" i="9"/>
  <c r="J25" i="24"/>
  <c r="D40" i="50" s="1"/>
  <c r="K25" i="33"/>
  <c r="M25" i="32"/>
  <c r="AA44" i="12"/>
  <c r="AA45" i="12" s="1"/>
  <c r="AA11" i="11"/>
  <c r="AA12" i="11" s="1"/>
  <c r="AA20" i="10"/>
  <c r="AA21" i="10" s="1"/>
  <c r="V22" i="34"/>
  <c r="AA10" i="13"/>
  <c r="AA11" i="13" s="1"/>
  <c r="AA25" i="12"/>
  <c r="V18" i="28"/>
  <c r="Z45" i="16"/>
  <c r="Z46" i="16" s="1"/>
  <c r="Z32" i="16"/>
  <c r="Z41" i="16"/>
  <c r="AF14" i="17"/>
  <c r="AF29" i="17"/>
  <c r="T23" i="47"/>
  <c r="T49" i="47"/>
  <c r="V16" i="28"/>
  <c r="Q21" i="51" s="1"/>
  <c r="X15" i="34"/>
  <c r="R51" i="47"/>
  <c r="N12" i="35"/>
  <c r="Z9" i="19"/>
  <c r="Z11" i="19" s="1"/>
  <c r="Z22" i="19" s="1"/>
  <c r="Z23" i="19" s="1"/>
  <c r="Z30" i="15"/>
  <c r="Z36" i="15" s="1"/>
  <c r="V35" i="18"/>
  <c r="V13" i="18" s="1"/>
  <c r="V15" i="18" s="1"/>
  <c r="V48" i="17"/>
  <c r="V34" i="17"/>
  <c r="V35" i="17" s="1"/>
  <c r="V13" i="17" s="1"/>
  <c r="V15" i="17" s="1"/>
  <c r="Y66" i="20"/>
  <c r="Y68" i="20" s="1"/>
  <c r="P14" i="47" l="1"/>
  <c r="Q23" i="51"/>
  <c r="Z15" i="31"/>
  <c r="T30" i="47" s="1"/>
  <c r="AA28" i="15"/>
  <c r="V16" i="31"/>
  <c r="Q9" i="51" s="1"/>
  <c r="W11" i="17"/>
  <c r="Z47" i="16"/>
  <c r="Z33" i="16"/>
  <c r="Z34" i="16" s="1"/>
  <c r="Z13" i="16" s="1"/>
  <c r="Z15" i="16" s="1"/>
  <c r="AA27" i="13"/>
  <c r="AA29" i="13" s="1"/>
  <c r="AA12" i="13"/>
  <c r="Y48" i="20"/>
  <c r="Y76" i="20"/>
  <c r="Y81" i="20"/>
  <c r="AB28" i="16"/>
  <c r="AB14" i="16"/>
  <c r="Y77" i="20"/>
  <c r="Y69" i="20"/>
  <c r="V23" i="34"/>
  <c r="P62" i="47" s="1"/>
  <c r="R54" i="47"/>
  <c r="N15" i="35"/>
  <c r="AF18" i="34"/>
  <c r="Z57" i="47" s="1"/>
  <c r="V18" i="31"/>
  <c r="W11" i="18"/>
  <c r="P61" i="47"/>
  <c r="O26" i="47"/>
  <c r="U12" i="31"/>
  <c r="Z26" i="20"/>
  <c r="AA10" i="37"/>
  <c r="V26" i="51" s="1"/>
  <c r="AA24" i="12"/>
  <c r="AA26" i="12" s="1"/>
  <c r="AB17" i="10"/>
  <c r="O10" i="38"/>
  <c r="L10" i="39"/>
  <c r="U27" i="31"/>
  <c r="O42" i="47" s="1"/>
  <c r="U16" i="22"/>
  <c r="K27" i="33"/>
  <c r="M27" i="32"/>
  <c r="J27" i="24"/>
  <c r="D42" i="50" s="1"/>
  <c r="V25" i="34"/>
  <c r="P64" i="47" s="1"/>
  <c r="AA16" i="37"/>
  <c r="AA62" i="12"/>
  <c r="AA64" i="12" s="1"/>
  <c r="AA53" i="12"/>
  <c r="AA56" i="12" s="1"/>
  <c r="O16" i="38"/>
  <c r="Z49" i="19"/>
  <c r="Z51" i="19" s="1"/>
  <c r="Z36" i="19" s="1"/>
  <c r="AA37" i="19" s="1"/>
  <c r="Z30" i="19"/>
  <c r="Z32" i="19" s="1"/>
  <c r="P12" i="47"/>
  <c r="V19" i="28"/>
  <c r="Q15" i="51" s="1"/>
  <c r="Z17" i="28"/>
  <c r="AA16" i="19"/>
  <c r="AA17" i="19" s="1"/>
  <c r="AA20" i="15"/>
  <c r="AA42" i="15"/>
  <c r="AA25" i="11"/>
  <c r="T29" i="47"/>
  <c r="Z14" i="28"/>
  <c r="U14" i="51" s="1"/>
  <c r="Z9" i="20"/>
  <c r="Z10" i="20" s="1"/>
  <c r="T7" i="47"/>
  <c r="T13" i="47" l="1"/>
  <c r="U22" i="51"/>
  <c r="P33" i="47"/>
  <c r="Q10" i="51"/>
  <c r="Y78" i="20"/>
  <c r="V26" i="34"/>
  <c r="Z17" i="31"/>
  <c r="AA11" i="16"/>
  <c r="Y11" i="34"/>
  <c r="AA13" i="28"/>
  <c r="O13" i="29"/>
  <c r="W40" i="18"/>
  <c r="W41" i="18" s="1"/>
  <c r="W27" i="18"/>
  <c r="W28" i="18" s="1"/>
  <c r="AB26" i="13"/>
  <c r="AA30" i="13"/>
  <c r="AB25" i="10"/>
  <c r="Z14" i="20"/>
  <c r="Z15" i="20" s="1"/>
  <c r="Z20" i="20"/>
  <c r="Z21" i="20" s="1"/>
  <c r="Z34" i="20" s="1"/>
  <c r="AA15" i="37"/>
  <c r="V28" i="51" s="1"/>
  <c r="AB51" i="12"/>
  <c r="L15" i="39"/>
  <c r="O15" i="38"/>
  <c r="AA11" i="37"/>
  <c r="AA20" i="18"/>
  <c r="AA22" i="18" s="1"/>
  <c r="AA20" i="17"/>
  <c r="AA22" i="17" s="1"/>
  <c r="AA13" i="15"/>
  <c r="AA14" i="15" s="1"/>
  <c r="AA39" i="12"/>
  <c r="AA41" i="12" s="1"/>
  <c r="AA31" i="12"/>
  <c r="AG32" i="12" s="1"/>
  <c r="AA19" i="13"/>
  <c r="AA21" i="13" s="1"/>
  <c r="AA17" i="9"/>
  <c r="AA18" i="9" s="1"/>
  <c r="O11" i="38"/>
  <c r="AA17" i="37"/>
  <c r="V29" i="51" s="1"/>
  <c r="AB61" i="12"/>
  <c r="AA17" i="11"/>
  <c r="AA18" i="11" s="1"/>
  <c r="O17" i="38"/>
  <c r="L17" i="39"/>
  <c r="V22" i="28"/>
  <c r="Q16" i="51" s="1"/>
  <c r="V82" i="20"/>
  <c r="P15" i="47"/>
  <c r="AB20" i="34"/>
  <c r="V59" i="47" s="1"/>
  <c r="Z24" i="34"/>
  <c r="T63" i="47" s="1"/>
  <c r="U22" i="9"/>
  <c r="U24" i="9" s="1"/>
  <c r="O27" i="47"/>
  <c r="M12" i="32"/>
  <c r="K12" i="33"/>
  <c r="J12" i="24"/>
  <c r="D27" i="50" s="1"/>
  <c r="W40" i="17"/>
  <c r="W41" i="17" s="1"/>
  <c r="AA38" i="19"/>
  <c r="AA31" i="19"/>
  <c r="AA21" i="19"/>
  <c r="AA43" i="15"/>
  <c r="AA45" i="15" s="1"/>
  <c r="AA21" i="15"/>
  <c r="AC22" i="15" s="1"/>
  <c r="T10" i="47"/>
  <c r="Z19" i="31"/>
  <c r="T34" i="47" s="1"/>
  <c r="AA29" i="19"/>
  <c r="P31" i="47"/>
  <c r="V21" i="31"/>
  <c r="Y20" i="31"/>
  <c r="S35" i="47" s="1"/>
  <c r="Z75" i="20"/>
  <c r="V29" i="34"/>
  <c r="P65" i="47"/>
  <c r="Y21" i="28"/>
  <c r="T32" i="47" l="1"/>
  <c r="U8" i="51"/>
  <c r="S17" i="47"/>
  <c r="T24" i="51"/>
  <c r="U9" i="47"/>
  <c r="V20" i="51"/>
  <c r="AC8" i="34"/>
  <c r="AC44" i="15"/>
  <c r="AA10" i="31"/>
  <c r="U25" i="47" s="1"/>
  <c r="AB41" i="15"/>
  <c r="L10" i="33"/>
  <c r="O10" i="32"/>
  <c r="AA29" i="15"/>
  <c r="AA10" i="12"/>
  <c r="AA11" i="12" s="1"/>
  <c r="AA9" i="31"/>
  <c r="U24" i="47" s="1"/>
  <c r="O9" i="32"/>
  <c r="L9" i="33"/>
  <c r="AA21" i="34"/>
  <c r="U60" i="47" s="1"/>
  <c r="AA12" i="18"/>
  <c r="O21" i="35"/>
  <c r="AA10" i="34"/>
  <c r="O10" i="35"/>
  <c r="V37" i="9"/>
  <c r="V38" i="9" s="1"/>
  <c r="P18" i="47"/>
  <c r="AA8" i="31"/>
  <c r="AB18" i="13"/>
  <c r="L8" i="33"/>
  <c r="O8" i="32"/>
  <c r="U23" i="31"/>
  <c r="O38" i="47" s="1"/>
  <c r="U15" i="22"/>
  <c r="U17" i="22" s="1"/>
  <c r="U21" i="22" s="1"/>
  <c r="J23" i="24"/>
  <c r="D38" i="50" s="1"/>
  <c r="K23" i="33"/>
  <c r="Z66" i="20"/>
  <c r="Z68" i="20" s="1"/>
  <c r="W46" i="17"/>
  <c r="W47" i="17" s="1"/>
  <c r="W42" i="17"/>
  <c r="W33" i="17"/>
  <c r="AG13" i="37"/>
  <c r="AG40" i="12"/>
  <c r="AG52" i="12"/>
  <c r="Q13" i="38"/>
  <c r="AB24" i="10"/>
  <c r="AB26" i="10" s="1"/>
  <c r="V12" i="9"/>
  <c r="V13" i="9" s="1"/>
  <c r="P68" i="47"/>
  <c r="V23" i="9"/>
  <c r="P36" i="47"/>
  <c r="AA12" i="37"/>
  <c r="V27" i="51" s="1"/>
  <c r="AB38" i="12"/>
  <c r="L12" i="39"/>
  <c r="O12" i="38"/>
  <c r="W29" i="18"/>
  <c r="W14" i="18"/>
  <c r="S50" i="47"/>
  <c r="Y12" i="34"/>
  <c r="AA8" i="28"/>
  <c r="V12" i="51" s="1"/>
  <c r="AA19" i="16"/>
  <c r="AA21" i="16" s="1"/>
  <c r="AA26" i="11"/>
  <c r="AA27" i="11" s="1"/>
  <c r="O8" i="29"/>
  <c r="AA32" i="15"/>
  <c r="AA15" i="15"/>
  <c r="W42" i="18"/>
  <c r="W33" i="18"/>
  <c r="W46" i="18"/>
  <c r="W47" i="18" s="1"/>
  <c r="AA39" i="16"/>
  <c r="AA40" i="16" s="1"/>
  <c r="AA48" i="19"/>
  <c r="AA17" i="34"/>
  <c r="U56" i="47" s="1"/>
  <c r="AA12" i="17"/>
  <c r="AA27" i="17"/>
  <c r="AG28" i="17" s="1"/>
  <c r="O17" i="35"/>
  <c r="Z39" i="20"/>
  <c r="Z25" i="20"/>
  <c r="Z27" i="20" s="1"/>
  <c r="Z35" i="20" l="1"/>
  <c r="Z36" i="20" s="1"/>
  <c r="AA33" i="20" s="1"/>
  <c r="Z40" i="20"/>
  <c r="U23" i="47"/>
  <c r="AA14" i="34"/>
  <c r="U53" i="47" s="1"/>
  <c r="O14" i="35"/>
  <c r="Z41" i="20"/>
  <c r="Z46" i="20" s="1"/>
  <c r="Z47" i="20" s="1"/>
  <c r="W22" i="34"/>
  <c r="AG29" i="17"/>
  <c r="AG14" i="17"/>
  <c r="W48" i="18"/>
  <c r="W34" i="18"/>
  <c r="AA19" i="34"/>
  <c r="U58" i="47" s="1"/>
  <c r="AA26" i="16"/>
  <c r="AC27" i="16" s="1"/>
  <c r="AA12" i="16"/>
  <c r="O19" i="35"/>
  <c r="AB25" i="12"/>
  <c r="V11" i="31"/>
  <c r="Q7" i="51" s="1"/>
  <c r="W11" i="9"/>
  <c r="V9" i="8"/>
  <c r="W16" i="28"/>
  <c r="R21" i="51" s="1"/>
  <c r="W35" i="18"/>
  <c r="W13" i="18" s="1"/>
  <c r="W15" i="18" s="1"/>
  <c r="AA11" i="28"/>
  <c r="V13" i="51" s="1"/>
  <c r="U4" i="47"/>
  <c r="W48" i="17"/>
  <c r="W34" i="17"/>
  <c r="W35" i="17" s="1"/>
  <c r="W13" i="17" s="1"/>
  <c r="W15" i="17" s="1"/>
  <c r="V25" i="31"/>
  <c r="P40" i="47" s="1"/>
  <c r="W36" i="9"/>
  <c r="V28" i="9"/>
  <c r="V30" i="9" s="1"/>
  <c r="AA41" i="16"/>
  <c r="AA32" i="16"/>
  <c r="AA45" i="16"/>
  <c r="AA46" i="16" s="1"/>
  <c r="AA14" i="31"/>
  <c r="AB24" i="11"/>
  <c r="O14" i="32"/>
  <c r="L14" i="33"/>
  <c r="W18" i="28"/>
  <c r="Y15" i="34"/>
  <c r="S51" i="47"/>
  <c r="AB44" i="12"/>
  <c r="AB45" i="12" s="1"/>
  <c r="AB11" i="11"/>
  <c r="AB12" i="11" s="1"/>
  <c r="AB20" i="10"/>
  <c r="AB21" i="10" s="1"/>
  <c r="AA9" i="19"/>
  <c r="AA11" i="19" s="1"/>
  <c r="AA22" i="19" s="1"/>
  <c r="AA23" i="19" s="1"/>
  <c r="AA30" i="15"/>
  <c r="Z77" i="20"/>
  <c r="Z69" i="20"/>
  <c r="AB10" i="13"/>
  <c r="AB11" i="13" s="1"/>
  <c r="U49" i="47"/>
  <c r="AA36" i="15"/>
  <c r="W47" i="47"/>
  <c r="Q14" i="47" l="1"/>
  <c r="R23" i="51"/>
  <c r="W16" i="31"/>
  <c r="R9" i="51" s="1"/>
  <c r="X11" i="17"/>
  <c r="V27" i="31"/>
  <c r="P42" i="47" s="1"/>
  <c r="V16" i="22"/>
  <c r="AG18" i="34"/>
  <c r="AA57" i="47" s="1"/>
  <c r="Q18" i="35"/>
  <c r="AA17" i="28"/>
  <c r="O17" i="29"/>
  <c r="Z11" i="34"/>
  <c r="AB27" i="13"/>
  <c r="AB29" i="13" s="1"/>
  <c r="AB12" i="13"/>
  <c r="Q12" i="47"/>
  <c r="W19" i="28"/>
  <c r="R15" i="51" s="1"/>
  <c r="AC28" i="16"/>
  <c r="AC14" i="16"/>
  <c r="W18" i="31"/>
  <c r="X11" i="18"/>
  <c r="Z48" i="20"/>
  <c r="Z76" i="20"/>
  <c r="Z78" i="20" s="1"/>
  <c r="Z81" i="20"/>
  <c r="AA15" i="31"/>
  <c r="U30" i="47" s="1"/>
  <c r="AB28" i="15"/>
  <c r="L15" i="33"/>
  <c r="O15" i="32"/>
  <c r="AA30" i="19"/>
  <c r="AA32" i="19" s="1"/>
  <c r="AA49" i="19"/>
  <c r="AA51" i="19" s="1"/>
  <c r="AA36" i="19" s="1"/>
  <c r="AB37" i="19" s="1"/>
  <c r="S54" i="47"/>
  <c r="U29" i="47"/>
  <c r="W23" i="34"/>
  <c r="Q62" i="47" s="1"/>
  <c r="AB16" i="37"/>
  <c r="AB62" i="12"/>
  <c r="AB64" i="12" s="1"/>
  <c r="AB53" i="12"/>
  <c r="AB56" i="12" s="1"/>
  <c r="AB10" i="37"/>
  <c r="W26" i="51" s="1"/>
  <c r="AC17" i="10"/>
  <c r="AB24" i="12"/>
  <c r="AB26" i="12" s="1"/>
  <c r="AA47" i="16"/>
  <c r="AA33" i="16"/>
  <c r="AA34" i="16" s="1"/>
  <c r="AA13" i="16" s="1"/>
  <c r="AA15" i="16" s="1"/>
  <c r="AB16" i="19"/>
  <c r="AB17" i="19" s="1"/>
  <c r="AB42" i="15"/>
  <c r="AB20" i="15"/>
  <c r="AB25" i="11"/>
  <c r="AA14" i="28"/>
  <c r="V14" i="51" s="1"/>
  <c r="AA9" i="20"/>
  <c r="AA10" i="20" s="1"/>
  <c r="U7" i="47"/>
  <c r="O11" i="29"/>
  <c r="P26" i="47"/>
  <c r="V12" i="31"/>
  <c r="W25" i="34"/>
  <c r="Q64" i="47" s="1"/>
  <c r="Q61" i="47"/>
  <c r="AA26" i="20"/>
  <c r="Q33" i="47" l="1"/>
  <c r="R10" i="51"/>
  <c r="U13" i="47"/>
  <c r="V22" i="51"/>
  <c r="AA17" i="31"/>
  <c r="AB11" i="16"/>
  <c r="L17" i="33"/>
  <c r="O17" i="32"/>
  <c r="V22" i="9"/>
  <c r="V24" i="9" s="1"/>
  <c r="P27" i="47"/>
  <c r="Z20" i="31"/>
  <c r="T35" i="47" s="1"/>
  <c r="AA75" i="20"/>
  <c r="AB31" i="19"/>
  <c r="AB38" i="19"/>
  <c r="Z21" i="28"/>
  <c r="AB13" i="28"/>
  <c r="AB21" i="19"/>
  <c r="AB43" i="15"/>
  <c r="AB45" i="15" s="1"/>
  <c r="AB21" i="15"/>
  <c r="AD22" i="15" s="1"/>
  <c r="AB15" i="37"/>
  <c r="W28" i="51" s="1"/>
  <c r="AC51" i="12"/>
  <c r="AA19" i="31"/>
  <c r="U34" i="47" s="1"/>
  <c r="AB29" i="19"/>
  <c r="L19" i="33"/>
  <c r="O19" i="32"/>
  <c r="X27" i="18"/>
  <c r="X28" i="18" s="1"/>
  <c r="X40" i="18"/>
  <c r="X41" i="18" s="1"/>
  <c r="AB30" i="13"/>
  <c r="AB9" i="31" s="1"/>
  <c r="V24" i="47" s="1"/>
  <c r="AC26" i="13"/>
  <c r="AB17" i="37"/>
  <c r="W29" i="51" s="1"/>
  <c r="AC61" i="12"/>
  <c r="AB17" i="11"/>
  <c r="AB18" i="11" s="1"/>
  <c r="AA14" i="20"/>
  <c r="AA15" i="20" s="1"/>
  <c r="AA20" i="20"/>
  <c r="AA21" i="20" s="1"/>
  <c r="AA34" i="20" s="1"/>
  <c r="W26" i="34"/>
  <c r="AA24" i="34"/>
  <c r="U63" i="47" s="1"/>
  <c r="O24" i="35"/>
  <c r="U10" i="47"/>
  <c r="O14" i="29"/>
  <c r="AB11" i="37"/>
  <c r="AB20" i="18"/>
  <c r="AB22" i="18" s="1"/>
  <c r="AB20" i="17"/>
  <c r="AB22" i="17" s="1"/>
  <c r="AB13" i="15"/>
  <c r="AB14" i="15" s="1"/>
  <c r="AB19" i="13"/>
  <c r="AB21" i="13" s="1"/>
  <c r="AB39" i="12"/>
  <c r="AB41" i="12" s="1"/>
  <c r="AB31" i="12"/>
  <c r="AH32" i="12" s="1"/>
  <c r="AB17" i="9"/>
  <c r="AB18" i="9" s="1"/>
  <c r="AC20" i="34"/>
  <c r="W59" i="47" s="1"/>
  <c r="T50" i="47"/>
  <c r="Z12" i="34"/>
  <c r="X40" i="17"/>
  <c r="X41" i="17" s="1"/>
  <c r="AC25" i="10"/>
  <c r="W22" i="28"/>
  <c r="R16" i="51" s="1"/>
  <c r="W82" i="20"/>
  <c r="Q15" i="47"/>
  <c r="Q31" i="47"/>
  <c r="W21" i="31"/>
  <c r="T17" i="47" l="1"/>
  <c r="U24" i="51"/>
  <c r="U32" i="47"/>
  <c r="V8" i="51"/>
  <c r="V9" i="47"/>
  <c r="W20" i="51"/>
  <c r="AB32" i="15"/>
  <c r="AB15" i="15"/>
  <c r="AD8" i="34"/>
  <c r="AD44" i="15"/>
  <c r="P8" i="35"/>
  <c r="AB17" i="34"/>
  <c r="V56" i="47" s="1"/>
  <c r="AB27" i="17"/>
  <c r="AH28" i="17" s="1"/>
  <c r="AB12" i="17"/>
  <c r="W29" i="34"/>
  <c r="Q65" i="47"/>
  <c r="AC24" i="10"/>
  <c r="AC26" i="10" s="1"/>
  <c r="V23" i="31"/>
  <c r="P38" i="47" s="1"/>
  <c r="V15" i="22"/>
  <c r="V17" i="22" s="1"/>
  <c r="V21" i="22" s="1"/>
  <c r="AB21" i="34"/>
  <c r="V60" i="47" s="1"/>
  <c r="AB12" i="18"/>
  <c r="X46" i="17"/>
  <c r="X47" i="17" s="1"/>
  <c r="X42" i="17"/>
  <c r="X33" i="17"/>
  <c r="AA39" i="20"/>
  <c r="AA25" i="20"/>
  <c r="AA27" i="20" s="1"/>
  <c r="X46" i="18"/>
  <c r="X47" i="18" s="1"/>
  <c r="X42" i="18"/>
  <c r="X33" i="18"/>
  <c r="AB10" i="34"/>
  <c r="AB8" i="31"/>
  <c r="AC18" i="13"/>
  <c r="AB48" i="19"/>
  <c r="W23" i="9"/>
  <c r="Q36" i="47"/>
  <c r="AB29" i="15"/>
  <c r="AB10" i="12"/>
  <c r="AB11" i="12" s="1"/>
  <c r="AB10" i="31"/>
  <c r="V25" i="47" s="1"/>
  <c r="AC41" i="15"/>
  <c r="X29" i="18"/>
  <c r="X14" i="18"/>
  <c r="W37" i="9"/>
  <c r="W38" i="9" s="1"/>
  <c r="Q18" i="47"/>
  <c r="Z15" i="34"/>
  <c r="T51" i="47"/>
  <c r="AB8" i="28"/>
  <c r="W12" i="51" s="1"/>
  <c r="AB19" i="16"/>
  <c r="AB21" i="16" s="1"/>
  <c r="AB26" i="11"/>
  <c r="AB27" i="11" s="1"/>
  <c r="AA66" i="20"/>
  <c r="AA68" i="20" s="1"/>
  <c r="AB39" i="16"/>
  <c r="AB40" i="16" s="1"/>
  <c r="AH13" i="37"/>
  <c r="AH40" i="12"/>
  <c r="AH52" i="12"/>
  <c r="AB12" i="37"/>
  <c r="W27" i="51" s="1"/>
  <c r="AC38" i="12"/>
  <c r="X22" i="34" l="1"/>
  <c r="N22" i="35"/>
  <c r="T54" i="47"/>
  <c r="AC10" i="13"/>
  <c r="AC11" i="13" s="1"/>
  <c r="AA40" i="20"/>
  <c r="AA35" i="20"/>
  <c r="AA36" i="20" s="1"/>
  <c r="AB33" i="20" s="1"/>
  <c r="V23" i="47"/>
  <c r="AA41" i="20"/>
  <c r="AA46" i="20" s="1"/>
  <c r="AA47" i="20" s="1"/>
  <c r="X48" i="18"/>
  <c r="X34" i="18"/>
  <c r="X35" i="18" s="1"/>
  <c r="X13" i="18" s="1"/>
  <c r="X15" i="18" s="1"/>
  <c r="AB9" i="19"/>
  <c r="AB11" i="19" s="1"/>
  <c r="AB22" i="19" s="1"/>
  <c r="AB23" i="19" s="1"/>
  <c r="AB30" i="15"/>
  <c r="AB36" i="15" s="1"/>
  <c r="W12" i="9"/>
  <c r="W13" i="9" s="1"/>
  <c r="Q68" i="47"/>
  <c r="AB14" i="31"/>
  <c r="AC24" i="11"/>
  <c r="X16" i="28"/>
  <c r="S21" i="51" s="1"/>
  <c r="N16" i="29"/>
  <c r="X47" i="47"/>
  <c r="AB19" i="34"/>
  <c r="V58" i="47" s="1"/>
  <c r="AB26" i="16"/>
  <c r="AD27" i="16" s="1"/>
  <c r="AB12" i="16"/>
  <c r="V49" i="47"/>
  <c r="X34" i="17"/>
  <c r="X35" i="17" s="1"/>
  <c r="X13" i="17" s="1"/>
  <c r="X15" i="17" s="1"/>
  <c r="X48" i="17"/>
  <c r="AA77" i="20"/>
  <c r="AA69" i="20"/>
  <c r="AC25" i="12"/>
  <c r="AB32" i="16"/>
  <c r="AB41" i="16"/>
  <c r="AB45" i="16"/>
  <c r="AB46" i="16" s="1"/>
  <c r="AB11" i="28"/>
  <c r="W13" i="51" s="1"/>
  <c r="V4" i="47"/>
  <c r="W25" i="31"/>
  <c r="Q40" i="47" s="1"/>
  <c r="W28" i="9"/>
  <c r="W30" i="9" s="1"/>
  <c r="X36" i="9"/>
  <c r="AC11" i="11"/>
  <c r="AC12" i="11" s="1"/>
  <c r="AC20" i="10"/>
  <c r="AC21" i="10" s="1"/>
  <c r="AC44" i="12"/>
  <c r="AC45" i="12" s="1"/>
  <c r="AB14" i="34"/>
  <c r="V53" i="47" s="1"/>
  <c r="X18" i="28"/>
  <c r="N18" i="29"/>
  <c r="AH29" i="17"/>
  <c r="AH14" i="17"/>
  <c r="R14" i="47" l="1"/>
  <c r="S23" i="51"/>
  <c r="X16" i="31"/>
  <c r="S9" i="51" s="1"/>
  <c r="Y11" i="17"/>
  <c r="N16" i="32"/>
  <c r="AB15" i="31"/>
  <c r="V30" i="47" s="1"/>
  <c r="AC28" i="15"/>
  <c r="AA76" i="20"/>
  <c r="AA78" i="20" s="1"/>
  <c r="AA81" i="20"/>
  <c r="AA48" i="20"/>
  <c r="W27" i="31"/>
  <c r="Q42" i="47" s="1"/>
  <c r="W16" i="22"/>
  <c r="R12" i="47"/>
  <c r="X19" i="28"/>
  <c r="S15" i="51" s="1"/>
  <c r="W11" i="31"/>
  <c r="R7" i="51" s="1"/>
  <c r="X11" i="9"/>
  <c r="W9" i="8"/>
  <c r="AD28" i="16"/>
  <c r="AD14" i="16"/>
  <c r="AB26" i="20"/>
  <c r="AA11" i="34"/>
  <c r="O11" i="35"/>
  <c r="AH18" i="34"/>
  <c r="AB57" i="47" s="1"/>
  <c r="AC16" i="37"/>
  <c r="AC62" i="12"/>
  <c r="AC64" i="12" s="1"/>
  <c r="AC53" i="12"/>
  <c r="AC56" i="12" s="1"/>
  <c r="AB14" i="28"/>
  <c r="W14" i="51" s="1"/>
  <c r="AB9" i="20"/>
  <c r="AB10" i="20" s="1"/>
  <c r="V7" i="47"/>
  <c r="X23" i="34"/>
  <c r="R62" i="47" s="1"/>
  <c r="N23" i="35"/>
  <c r="AB47" i="16"/>
  <c r="AB33" i="16"/>
  <c r="V29" i="47"/>
  <c r="AB49" i="19"/>
  <c r="AB51" i="19" s="1"/>
  <c r="AB36" i="19" s="1"/>
  <c r="AC37" i="19" s="1"/>
  <c r="AB30" i="19"/>
  <c r="AB32" i="19" s="1"/>
  <c r="AC10" i="37"/>
  <c r="X26" i="51" s="1"/>
  <c r="AC24" i="12"/>
  <c r="AC26" i="12" s="1"/>
  <c r="AD17" i="10"/>
  <c r="AC16" i="19"/>
  <c r="AC17" i="19" s="1"/>
  <c r="AC42" i="15"/>
  <c r="AC20" i="15"/>
  <c r="AC25" i="11"/>
  <c r="AB17" i="28"/>
  <c r="AC27" i="13"/>
  <c r="AC29" i="13" s="1"/>
  <c r="AC12" i="13"/>
  <c r="X18" i="31"/>
  <c r="Y11" i="18"/>
  <c r="N18" i="32"/>
  <c r="AB34" i="16"/>
  <c r="AB13" i="16" s="1"/>
  <c r="AB15" i="16" s="1"/>
  <c r="X25" i="34"/>
  <c r="R64" i="47" s="1"/>
  <c r="N25" i="35"/>
  <c r="R61" i="47"/>
  <c r="X26" i="34"/>
  <c r="V13" i="47" l="1"/>
  <c r="W22" i="51"/>
  <c r="R33" i="47"/>
  <c r="S10" i="51"/>
  <c r="AB17" i="31"/>
  <c r="AC11" i="16"/>
  <c r="V10" i="47"/>
  <c r="AA21" i="28"/>
  <c r="O21" i="29"/>
  <c r="AB19" i="31"/>
  <c r="V34" i="47" s="1"/>
  <c r="AC29" i="19"/>
  <c r="X29" i="34"/>
  <c r="R65" i="47"/>
  <c r="N26" i="35"/>
  <c r="Q26" i="47"/>
  <c r="W12" i="31"/>
  <c r="AA20" i="31"/>
  <c r="U35" i="47" s="1"/>
  <c r="AB75" i="20"/>
  <c r="L20" i="33"/>
  <c r="O20" i="32"/>
  <c r="Y27" i="18"/>
  <c r="Y28" i="18" s="1"/>
  <c r="Y40" i="18"/>
  <c r="Y41" i="18" s="1"/>
  <c r="AC31" i="19"/>
  <c r="AC38" i="19"/>
  <c r="AC15" i="37"/>
  <c r="X28" i="51" s="1"/>
  <c r="AD51" i="12"/>
  <c r="U50" i="47"/>
  <c r="AA12" i="34"/>
  <c r="X22" i="28"/>
  <c r="S16" i="51" s="1"/>
  <c r="X82" i="20"/>
  <c r="R15" i="47"/>
  <c r="N19" i="29"/>
  <c r="AC13" i="28"/>
  <c r="AC21" i="19"/>
  <c r="AC43" i="15"/>
  <c r="AC45" i="15" s="1"/>
  <c r="AC21" i="15"/>
  <c r="AE22" i="15" s="1"/>
  <c r="AC17" i="37"/>
  <c r="X29" i="51" s="1"/>
  <c r="AD61" i="12"/>
  <c r="AC17" i="11"/>
  <c r="AC18" i="11" s="1"/>
  <c r="AC30" i="13"/>
  <c r="AC9" i="31" s="1"/>
  <c r="W24" i="47" s="1"/>
  <c r="AD26" i="13"/>
  <c r="AD25" i="10"/>
  <c r="AB24" i="34"/>
  <c r="V63" i="47" s="1"/>
  <c r="Y40" i="17"/>
  <c r="Y41" i="17" s="1"/>
  <c r="AC11" i="37"/>
  <c r="AC20" i="18"/>
  <c r="AC22" i="18" s="1"/>
  <c r="AC20" i="17"/>
  <c r="AC22" i="17" s="1"/>
  <c r="AC13" i="15"/>
  <c r="AC14" i="15" s="1"/>
  <c r="AC31" i="12"/>
  <c r="AI32" i="12" s="1"/>
  <c r="AC19" i="13"/>
  <c r="AC21" i="13" s="1"/>
  <c r="AC39" i="12"/>
  <c r="AC41" i="12" s="1"/>
  <c r="AC17" i="9"/>
  <c r="AC18" i="9" s="1"/>
  <c r="AB14" i="20"/>
  <c r="AB15" i="20" s="1"/>
  <c r="AB20" i="20"/>
  <c r="AB21" i="20" s="1"/>
  <c r="AB34" i="20" s="1"/>
  <c r="AD20" i="34"/>
  <c r="X59" i="47" s="1"/>
  <c r="P20" i="35"/>
  <c r="R31" i="47"/>
  <c r="X21" i="31"/>
  <c r="V32" i="47" l="1"/>
  <c r="W8" i="51"/>
  <c r="U17" i="47"/>
  <c r="V24" i="51"/>
  <c r="W9" i="47"/>
  <c r="X20" i="51"/>
  <c r="AE8" i="34"/>
  <c r="AE44" i="15"/>
  <c r="AC10" i="31"/>
  <c r="W25" i="47" s="1"/>
  <c r="AD41" i="15"/>
  <c r="AI13" i="37"/>
  <c r="AI52" i="12"/>
  <c r="AI40" i="12"/>
  <c r="AD24" i="10"/>
  <c r="AD26" i="10" s="1"/>
  <c r="Y14" i="18"/>
  <c r="Y29" i="18"/>
  <c r="AB39" i="20"/>
  <c r="AB25" i="20"/>
  <c r="AB27" i="20" s="1"/>
  <c r="AC17" i="34"/>
  <c r="W56" i="47" s="1"/>
  <c r="AC12" i="17"/>
  <c r="AC27" i="17"/>
  <c r="AI28" i="17" s="1"/>
  <c r="AC21" i="34"/>
  <c r="W60" i="47" s="1"/>
  <c r="AC12" i="18"/>
  <c r="AC10" i="34"/>
  <c r="AB66" i="20"/>
  <c r="AB68" i="20" s="1"/>
  <c r="X12" i="9"/>
  <c r="X13" i="9" s="1"/>
  <c r="R68" i="47"/>
  <c r="N29" i="35"/>
  <c r="X23" i="9"/>
  <c r="R36" i="47"/>
  <c r="N21" i="32"/>
  <c r="AC29" i="15"/>
  <c r="AC10" i="12"/>
  <c r="AC11" i="12" s="1"/>
  <c r="X37" i="9"/>
  <c r="X38" i="9" s="1"/>
  <c r="R18" i="47"/>
  <c r="N22" i="29"/>
  <c r="W22" i="9"/>
  <c r="W24" i="9" s="1"/>
  <c r="Q27" i="47"/>
  <c r="AC48" i="19"/>
  <c r="AC12" i="37"/>
  <c r="X27" i="51" s="1"/>
  <c r="AD38" i="12"/>
  <c r="Y33" i="17"/>
  <c r="Y42" i="17"/>
  <c r="Y46" i="17"/>
  <c r="Y47" i="17" s="1"/>
  <c r="AC8" i="28"/>
  <c r="X12" i="51" s="1"/>
  <c r="AC19" i="16"/>
  <c r="AC21" i="16" s="1"/>
  <c r="AC26" i="11"/>
  <c r="AC27" i="11" s="1"/>
  <c r="AA15" i="34"/>
  <c r="U51" i="47"/>
  <c r="O12" i="35"/>
  <c r="AC39" i="16"/>
  <c r="AC40" i="16" s="1"/>
  <c r="AC32" i="15"/>
  <c r="AC15" i="15"/>
  <c r="AC8" i="31"/>
  <c r="AD18" i="13"/>
  <c r="Y42" i="18"/>
  <c r="Y46" i="18"/>
  <c r="Y47" i="18" s="1"/>
  <c r="Y33" i="18"/>
  <c r="AD25" i="12" l="1"/>
  <c r="AC14" i="34"/>
  <c r="W53" i="47" s="1"/>
  <c r="Y22" i="34"/>
  <c r="AC14" i="31"/>
  <c r="AD24" i="11"/>
  <c r="X25" i="31"/>
  <c r="R40" i="47" s="1"/>
  <c r="Y36" i="9"/>
  <c r="X28" i="9"/>
  <c r="X30" i="9" s="1"/>
  <c r="N25" i="32"/>
  <c r="W49" i="47"/>
  <c r="AD11" i="11"/>
  <c r="AD12" i="11" s="1"/>
  <c r="AD20" i="10"/>
  <c r="AD21" i="10" s="1"/>
  <c r="AD44" i="12"/>
  <c r="AD45" i="12" s="1"/>
  <c r="AC19" i="34"/>
  <c r="W58" i="47" s="1"/>
  <c r="AC26" i="16"/>
  <c r="AE27" i="16" s="1"/>
  <c r="AC12" i="16"/>
  <c r="AC11" i="28"/>
  <c r="X13" i="51" s="1"/>
  <c r="W4" i="47"/>
  <c r="AC9" i="19"/>
  <c r="AC11" i="19" s="1"/>
  <c r="AC22" i="19" s="1"/>
  <c r="AC23" i="19" s="1"/>
  <c r="AC30" i="15"/>
  <c r="AC36" i="15" s="1"/>
  <c r="Y48" i="18"/>
  <c r="Y34" i="18"/>
  <c r="Y35" i="18" s="1"/>
  <c r="Y13" i="18" s="1"/>
  <c r="Y15" i="18" s="1"/>
  <c r="W23" i="31"/>
  <c r="Q38" i="47" s="1"/>
  <c r="W15" i="22"/>
  <c r="W17" i="22" s="1"/>
  <c r="W21" i="22" s="1"/>
  <c r="X11" i="31"/>
  <c r="S7" i="51" s="1"/>
  <c r="Y11" i="9"/>
  <c r="X9" i="8"/>
  <c r="N11" i="32"/>
  <c r="Y34" i="17"/>
  <c r="Y35" i="17" s="1"/>
  <c r="Y13" i="17" s="1"/>
  <c r="Y15" i="17" s="1"/>
  <c r="Y48" i="17"/>
  <c r="Y16" i="28"/>
  <c r="T21" i="51" s="1"/>
  <c r="AB35" i="20"/>
  <c r="AB36" i="20" s="1"/>
  <c r="AC33" i="20" s="1"/>
  <c r="AB40" i="20"/>
  <c r="AB41" i="20" s="1"/>
  <c r="AB46" i="20" s="1"/>
  <c r="AB47" i="20" s="1"/>
  <c r="W23" i="47"/>
  <c r="AI29" i="17"/>
  <c r="AI14" i="17"/>
  <c r="AC32" i="16"/>
  <c r="AC45" i="16"/>
  <c r="AC46" i="16" s="1"/>
  <c r="AC41" i="16"/>
  <c r="Y18" i="28"/>
  <c r="AD10" i="13"/>
  <c r="AD11" i="13" s="1"/>
  <c r="U54" i="47"/>
  <c r="O15" i="35"/>
  <c r="AB77" i="20"/>
  <c r="AB69" i="20"/>
  <c r="Y47" i="47"/>
  <c r="S14" i="47" l="1"/>
  <c r="T23" i="51"/>
  <c r="AC15" i="31"/>
  <c r="W30" i="47" s="1"/>
  <c r="AD28" i="15"/>
  <c r="AB76" i="20"/>
  <c r="AB78" i="20" s="1"/>
  <c r="AB81" i="20"/>
  <c r="AB48" i="20"/>
  <c r="AC33" i="16"/>
  <c r="AC34" i="16" s="1"/>
  <c r="AC13" i="16" s="1"/>
  <c r="AC15" i="16" s="1"/>
  <c r="AC47" i="16"/>
  <c r="AC26" i="20"/>
  <c r="AC30" i="19"/>
  <c r="AC32" i="19" s="1"/>
  <c r="AC49" i="19"/>
  <c r="AC51" i="19" s="1"/>
  <c r="AC36" i="19" s="1"/>
  <c r="AD37" i="19" s="1"/>
  <c r="AE28" i="16"/>
  <c r="AE14" i="16"/>
  <c r="AC17" i="28"/>
  <c r="X27" i="31"/>
  <c r="R42" i="47" s="1"/>
  <c r="X16" i="22"/>
  <c r="N27" i="32"/>
  <c r="S61" i="47"/>
  <c r="R26" i="47"/>
  <c r="X12" i="31"/>
  <c r="AD16" i="37"/>
  <c r="AD53" i="12"/>
  <c r="AD56" i="12" s="1"/>
  <c r="AD62" i="12"/>
  <c r="AD64" i="12" s="1"/>
  <c r="P16" i="38"/>
  <c r="AB11" i="34"/>
  <c r="AC14" i="28"/>
  <c r="X14" i="51" s="1"/>
  <c r="AC9" i="20"/>
  <c r="AC10" i="20" s="1"/>
  <c r="W7" i="47"/>
  <c r="AD10" i="37"/>
  <c r="Y26" i="51" s="1"/>
  <c r="AE17" i="10"/>
  <c r="AD24" i="12"/>
  <c r="AD26" i="12" s="1"/>
  <c r="P10" i="38"/>
  <c r="AD27" i="13"/>
  <c r="AD29" i="13" s="1"/>
  <c r="AD12" i="13"/>
  <c r="AI18" i="34"/>
  <c r="AC57" i="47" s="1"/>
  <c r="Y18" i="31"/>
  <c r="Z11" i="18"/>
  <c r="S12" i="47"/>
  <c r="Y19" i="28"/>
  <c r="T15" i="51" s="1"/>
  <c r="AD16" i="19"/>
  <c r="AD17" i="19" s="1"/>
  <c r="AD42" i="15"/>
  <c r="AD20" i="15"/>
  <c r="AD25" i="11"/>
  <c r="Y16" i="31"/>
  <c r="T9" i="51" s="1"/>
  <c r="Z11" i="17"/>
  <c r="Y23" i="34"/>
  <c r="S62" i="47" s="1"/>
  <c r="W29" i="47"/>
  <c r="Y25" i="34"/>
  <c r="S64" i="47" s="1"/>
  <c r="W13" i="47" l="1"/>
  <c r="X22" i="51"/>
  <c r="S33" i="47"/>
  <c r="T10" i="51"/>
  <c r="AC17" i="31"/>
  <c r="AD11" i="16"/>
  <c r="AD21" i="19"/>
  <c r="AD43" i="15"/>
  <c r="AD45" i="15" s="1"/>
  <c r="AD21" i="15"/>
  <c r="Y26" i="34"/>
  <c r="AC24" i="34"/>
  <c r="W63" i="47" s="1"/>
  <c r="AD13" i="28"/>
  <c r="P13" i="29"/>
  <c r="Z40" i="17"/>
  <c r="Z41" i="17" s="1"/>
  <c r="AD30" i="13"/>
  <c r="AE26" i="13"/>
  <c r="AC14" i="20"/>
  <c r="AC15" i="20" s="1"/>
  <c r="AC20" i="20"/>
  <c r="AC21" i="20" s="1"/>
  <c r="AC34" i="20" s="1"/>
  <c r="AD17" i="37"/>
  <c r="Y29" i="51" s="1"/>
  <c r="AD17" i="11"/>
  <c r="AD18" i="11" s="1"/>
  <c r="AE61" i="12"/>
  <c r="P17" i="38"/>
  <c r="AB21" i="28"/>
  <c r="S31" i="47"/>
  <c r="Y21" i="31"/>
  <c r="Z27" i="18"/>
  <c r="Z28" i="18" s="1"/>
  <c r="Z40" i="18"/>
  <c r="Z41" i="18" s="1"/>
  <c r="W10" i="47"/>
  <c r="AD15" i="37"/>
  <c r="Y28" i="51" s="1"/>
  <c r="AE51" i="12"/>
  <c r="P15" i="38"/>
  <c r="AE20" i="34"/>
  <c r="Y59" i="47" s="1"/>
  <c r="Y22" i="28"/>
  <c r="T16" i="51" s="1"/>
  <c r="Y82" i="20"/>
  <c r="S15" i="47"/>
  <c r="AD31" i="19"/>
  <c r="AD38" i="19"/>
  <c r="AB20" i="31"/>
  <c r="V35" i="47" s="1"/>
  <c r="AC75" i="20"/>
  <c r="AD11" i="37"/>
  <c r="AD20" i="18"/>
  <c r="AD22" i="18" s="1"/>
  <c r="AD20" i="17"/>
  <c r="AD22" i="17" s="1"/>
  <c r="AD13" i="15"/>
  <c r="AD14" i="15" s="1"/>
  <c r="AD19" i="13"/>
  <c r="AD21" i="13" s="1"/>
  <c r="AD31" i="12"/>
  <c r="AJ32" i="12" s="1"/>
  <c r="AD39" i="12"/>
  <c r="AD41" i="12" s="1"/>
  <c r="AD17" i="9"/>
  <c r="AD18" i="9" s="1"/>
  <c r="P11" i="38"/>
  <c r="AE25" i="10"/>
  <c r="R27" i="47"/>
  <c r="X22" i="9"/>
  <c r="X24" i="9" s="1"/>
  <c r="N12" i="32"/>
  <c r="AC19" i="31"/>
  <c r="W34" i="47" s="1"/>
  <c r="AD29" i="19"/>
  <c r="AF22" i="15"/>
  <c r="V50" i="47"/>
  <c r="AB12" i="34"/>
  <c r="V17" i="47" l="1"/>
  <c r="W24" i="51"/>
  <c r="W32" i="47"/>
  <c r="X8" i="51"/>
  <c r="X9" i="47"/>
  <c r="Y20" i="51"/>
  <c r="AD10" i="31"/>
  <c r="X25" i="47" s="1"/>
  <c r="AE41" i="15"/>
  <c r="P10" i="32"/>
  <c r="AB15" i="34"/>
  <c r="V51" i="47"/>
  <c r="AD32" i="15"/>
  <c r="AD15" i="15"/>
  <c r="Z42" i="18"/>
  <c r="Z46" i="18"/>
  <c r="Z47" i="18" s="1"/>
  <c r="Z33" i="18"/>
  <c r="Z46" i="17"/>
  <c r="Z47" i="17" s="1"/>
  <c r="Z33" i="17"/>
  <c r="Z42" i="17"/>
  <c r="Y29" i="34"/>
  <c r="S65" i="47"/>
  <c r="AD8" i="31"/>
  <c r="AE18" i="13"/>
  <c r="P8" i="32"/>
  <c r="AF8" i="34"/>
  <c r="AF44" i="15"/>
  <c r="AD17" i="34"/>
  <c r="X56" i="47" s="1"/>
  <c r="AD27" i="17"/>
  <c r="AJ28" i="17" s="1"/>
  <c r="AD12" i="17"/>
  <c r="P17" i="35"/>
  <c r="AE24" i="10"/>
  <c r="AE26" i="10" s="1"/>
  <c r="Z14" i="18"/>
  <c r="Z29" i="18"/>
  <c r="AD8" i="28"/>
  <c r="Y12" i="51" s="1"/>
  <c r="AD19" i="16"/>
  <c r="AD21" i="16" s="1"/>
  <c r="AD26" i="11"/>
  <c r="AD27" i="11" s="1"/>
  <c r="P8" i="29"/>
  <c r="AD9" i="31"/>
  <c r="X24" i="47" s="1"/>
  <c r="P9" i="32"/>
  <c r="Y23" i="9"/>
  <c r="S36" i="47"/>
  <c r="AD29" i="15"/>
  <c r="AD10" i="12"/>
  <c r="AD11" i="12" s="1"/>
  <c r="AC66" i="20"/>
  <c r="AC68" i="20" s="1"/>
  <c r="AD48" i="19"/>
  <c r="AD12" i="37"/>
  <c r="Y27" i="51" s="1"/>
  <c r="AE38" i="12"/>
  <c r="P12" i="38"/>
  <c r="Y37" i="9"/>
  <c r="Y38" i="9" s="1"/>
  <c r="S18" i="47"/>
  <c r="AC39" i="20"/>
  <c r="AC25" i="20"/>
  <c r="AC27" i="20" s="1"/>
  <c r="AD39" i="16"/>
  <c r="AD40" i="16" s="1"/>
  <c r="AD21" i="34"/>
  <c r="X60" i="47" s="1"/>
  <c r="AD12" i="18"/>
  <c r="P21" i="35"/>
  <c r="X23" i="31"/>
  <c r="R38" i="47" s="1"/>
  <c r="X15" i="22"/>
  <c r="X17" i="22" s="1"/>
  <c r="X21" i="22" s="1"/>
  <c r="N23" i="32"/>
  <c r="AJ13" i="37"/>
  <c r="AJ52" i="12"/>
  <c r="AJ40" i="12"/>
  <c r="R13" i="38"/>
  <c r="AD10" i="34"/>
  <c r="P10" i="35"/>
  <c r="AD32" i="16" l="1"/>
  <c r="AD45" i="16"/>
  <c r="AD46" i="16" s="1"/>
  <c r="AD41" i="16"/>
  <c r="AC35" i="20"/>
  <c r="AC36" i="20" s="1"/>
  <c r="AD33" i="20" s="1"/>
  <c r="AC40" i="20"/>
  <c r="AC41" i="20" s="1"/>
  <c r="AC46" i="20" s="1"/>
  <c r="AC47" i="20" s="1"/>
  <c r="AE25" i="12"/>
  <c r="AD9" i="19"/>
  <c r="AD11" i="19" s="1"/>
  <c r="AD22" i="19" s="1"/>
  <c r="AD23" i="19" s="1"/>
  <c r="AD30" i="15"/>
  <c r="AD36" i="15" s="1"/>
  <c r="AD14" i="31"/>
  <c r="AE24" i="11"/>
  <c r="P14" i="32"/>
  <c r="AE10" i="13"/>
  <c r="AE11" i="13" s="1"/>
  <c r="Z16" i="28"/>
  <c r="U21" i="51" s="1"/>
  <c r="AD19" i="34"/>
  <c r="X58" i="47" s="1"/>
  <c r="AD26" i="16"/>
  <c r="AF27" i="16" s="1"/>
  <c r="AD12" i="16"/>
  <c r="P19" i="35"/>
  <c r="X23" i="47"/>
  <c r="Z48" i="17"/>
  <c r="Z34" i="17"/>
  <c r="Z35" i="17" s="1"/>
  <c r="Z13" i="17" s="1"/>
  <c r="Z15" i="17" s="1"/>
  <c r="AD11" i="28"/>
  <c r="Y13" i="51" s="1"/>
  <c r="X4" i="47"/>
  <c r="AJ29" i="17"/>
  <c r="AJ14" i="17"/>
  <c r="AC69" i="20"/>
  <c r="AC77" i="20"/>
  <c r="Z22" i="34"/>
  <c r="V54" i="47"/>
  <c r="Z48" i="18"/>
  <c r="Z34" i="18"/>
  <c r="Z35" i="18" s="1"/>
  <c r="Z13" i="18" s="1"/>
  <c r="Z15" i="18" s="1"/>
  <c r="X49" i="47"/>
  <c r="Z18" i="28"/>
  <c r="Y25" i="31"/>
  <c r="S40" i="47" s="1"/>
  <c r="Z36" i="9"/>
  <c r="Y28" i="9"/>
  <c r="Y30" i="9" s="1"/>
  <c r="AE11" i="11"/>
  <c r="AE12" i="11" s="1"/>
  <c r="AE20" i="10"/>
  <c r="AE21" i="10" s="1"/>
  <c r="AE44" i="12"/>
  <c r="AE45" i="12" s="1"/>
  <c r="Z47" i="47"/>
  <c r="Y12" i="9"/>
  <c r="Y13" i="9" s="1"/>
  <c r="S68" i="47"/>
  <c r="AD14" i="34"/>
  <c r="X53" i="47" s="1"/>
  <c r="P14" i="35"/>
  <c r="T14" i="47" l="1"/>
  <c r="U23" i="51"/>
  <c r="Z16" i="31"/>
  <c r="U9" i="51" s="1"/>
  <c r="AA11" i="17"/>
  <c r="AC76" i="20"/>
  <c r="AC78" i="20" s="1"/>
  <c r="AC81" i="20"/>
  <c r="AC48" i="20"/>
  <c r="AJ18" i="34"/>
  <c r="AD57" i="47" s="1"/>
  <c r="R18" i="35"/>
  <c r="AD30" i="19"/>
  <c r="AD32" i="19" s="1"/>
  <c r="AD49" i="19"/>
  <c r="AD51" i="19" s="1"/>
  <c r="AD36" i="19" s="1"/>
  <c r="AE37" i="19" s="1"/>
  <c r="AF28" i="16"/>
  <c r="AF14" i="16"/>
  <c r="AE27" i="13"/>
  <c r="AE29" i="13" s="1"/>
  <c r="AE12" i="13"/>
  <c r="Z18" i="31"/>
  <c r="AA11" i="18"/>
  <c r="T61" i="47"/>
  <c r="AD26" i="20"/>
  <c r="T12" i="47"/>
  <c r="Z19" i="28"/>
  <c r="U15" i="51" s="1"/>
  <c r="AE16" i="19"/>
  <c r="AE17" i="19" s="1"/>
  <c r="AE42" i="15"/>
  <c r="AE20" i="15"/>
  <c r="AE25" i="11"/>
  <c r="AD14" i="28"/>
  <c r="Y14" i="51" s="1"/>
  <c r="AD9" i="20"/>
  <c r="AD10" i="20" s="1"/>
  <c r="X7" i="47"/>
  <c r="P11" i="29"/>
  <c r="Z25" i="34"/>
  <c r="T64" i="47" s="1"/>
  <c r="Z23" i="34"/>
  <c r="T62" i="47" s="1"/>
  <c r="AD15" i="31"/>
  <c r="X30" i="47" s="1"/>
  <c r="AE28" i="15"/>
  <c r="P15" i="32"/>
  <c r="AD17" i="28"/>
  <c r="P17" i="29"/>
  <c r="AE16" i="37"/>
  <c r="AE62" i="12"/>
  <c r="AE64" i="12" s="1"/>
  <c r="AE53" i="12"/>
  <c r="AE56" i="12" s="1"/>
  <c r="Y27" i="31"/>
  <c r="S42" i="47" s="1"/>
  <c r="Y16" i="22"/>
  <c r="Y11" i="31"/>
  <c r="T7" i="51" s="1"/>
  <c r="Z11" i="9"/>
  <c r="Y9" i="8"/>
  <c r="X29" i="47"/>
  <c r="AD33" i="16"/>
  <c r="AD34" i="16" s="1"/>
  <c r="AD13" i="16" s="1"/>
  <c r="AD15" i="16" s="1"/>
  <c r="AD47" i="16"/>
  <c r="AE10" i="37"/>
  <c r="Z26" i="51" s="1"/>
  <c r="AE24" i="12"/>
  <c r="AE26" i="12" s="1"/>
  <c r="AF17" i="10"/>
  <c r="AC11" i="34"/>
  <c r="T33" i="47" l="1"/>
  <c r="U10" i="51"/>
  <c r="X13" i="47"/>
  <c r="Y22" i="51"/>
  <c r="AD17" i="31"/>
  <c r="AE11" i="16"/>
  <c r="P17" i="32"/>
  <c r="AE30" i="13"/>
  <c r="AE9" i="31" s="1"/>
  <c r="Y24" i="47" s="1"/>
  <c r="AF26" i="13"/>
  <c r="W50" i="47"/>
  <c r="AC12" i="34"/>
  <c r="AD14" i="20"/>
  <c r="AD15" i="20" s="1"/>
  <c r="AD20" i="20"/>
  <c r="AD21" i="20" s="1"/>
  <c r="AD34" i="20" s="1"/>
  <c r="AE13" i="28"/>
  <c r="AE11" i="37"/>
  <c r="AE20" i="18"/>
  <c r="AE22" i="18" s="1"/>
  <c r="AE13" i="15"/>
  <c r="AE14" i="15" s="1"/>
  <c r="AE19" i="13"/>
  <c r="AE21" i="13" s="1"/>
  <c r="AE20" i="17"/>
  <c r="AE22" i="17" s="1"/>
  <c r="AE31" i="12"/>
  <c r="AK32" i="12" s="1"/>
  <c r="AE39" i="12"/>
  <c r="AE41" i="12" s="1"/>
  <c r="AE17" i="9"/>
  <c r="AE18" i="9" s="1"/>
  <c r="X10" i="47"/>
  <c r="P14" i="29"/>
  <c r="AF20" i="34"/>
  <c r="Z59" i="47" s="1"/>
  <c r="AC21" i="28"/>
  <c r="Z22" i="28"/>
  <c r="U16" i="51" s="1"/>
  <c r="Z82" i="20"/>
  <c r="T15" i="47"/>
  <c r="S26" i="47"/>
  <c r="Y12" i="31"/>
  <c r="Z26" i="34"/>
  <c r="AE31" i="19"/>
  <c r="AE38" i="19"/>
  <c r="AD24" i="34"/>
  <c r="X63" i="47" s="1"/>
  <c r="P24" i="35"/>
  <c r="AD19" i="31"/>
  <c r="X34" i="47" s="1"/>
  <c r="AE29" i="19"/>
  <c r="P19" i="32"/>
  <c r="AC20" i="31"/>
  <c r="W35" i="47" s="1"/>
  <c r="AD75" i="20"/>
  <c r="AA27" i="18"/>
  <c r="AA28" i="18" s="1"/>
  <c r="AA40" i="18"/>
  <c r="AA41" i="18" s="1"/>
  <c r="AA40" i="17"/>
  <c r="AA41" i="17" s="1"/>
  <c r="AE15" i="37"/>
  <c r="Z28" i="51" s="1"/>
  <c r="AF51" i="12"/>
  <c r="AE17" i="37"/>
  <c r="Z29" i="51" s="1"/>
  <c r="AE17" i="11"/>
  <c r="AE18" i="11" s="1"/>
  <c r="AF61" i="12"/>
  <c r="AF25" i="10"/>
  <c r="AE21" i="19"/>
  <c r="AE43" i="15"/>
  <c r="AE45" i="15" s="1"/>
  <c r="AE21" i="15"/>
  <c r="AG22" i="15" s="1"/>
  <c r="T31" i="47"/>
  <c r="Z21" i="31"/>
  <c r="Y9" i="47" l="1"/>
  <c r="Z20" i="51"/>
  <c r="X32" i="47"/>
  <c r="Y8" i="51"/>
  <c r="W17" i="47"/>
  <c r="X24" i="51"/>
  <c r="AG8" i="34"/>
  <c r="AG44" i="15"/>
  <c r="Q8" i="35"/>
  <c r="AE48" i="19"/>
  <c r="AE32" i="15"/>
  <c r="AE15" i="15"/>
  <c r="AC15" i="34"/>
  <c r="W51" i="47"/>
  <c r="Z29" i="34"/>
  <c r="T65" i="47"/>
  <c r="AA46" i="18"/>
  <c r="AA47" i="18" s="1"/>
  <c r="AA33" i="18"/>
  <c r="AA42" i="18"/>
  <c r="Y22" i="9"/>
  <c r="Y24" i="9" s="1"/>
  <c r="S27" i="47"/>
  <c r="AE21" i="34"/>
  <c r="Y60" i="47" s="1"/>
  <c r="AE12" i="18"/>
  <c r="AE8" i="28"/>
  <c r="Z12" i="51" s="1"/>
  <c r="AE19" i="16"/>
  <c r="AE21" i="16" s="1"/>
  <c r="AE26" i="11"/>
  <c r="AE27" i="11" s="1"/>
  <c r="AE29" i="15"/>
  <c r="AE10" i="12"/>
  <c r="AE11" i="12" s="1"/>
  <c r="Z23" i="9"/>
  <c r="T36" i="47"/>
  <c r="AE10" i="31"/>
  <c r="Y25" i="47" s="1"/>
  <c r="AF41" i="15"/>
  <c r="AF24" i="10"/>
  <c r="AF26" i="10" s="1"/>
  <c r="AE12" i="37"/>
  <c r="Z27" i="51" s="1"/>
  <c r="AF38" i="12"/>
  <c r="AD66" i="20"/>
  <c r="AD68" i="20" s="1"/>
  <c r="AK13" i="37"/>
  <c r="AK52" i="12"/>
  <c r="AK40" i="12"/>
  <c r="AE39" i="16"/>
  <c r="AE40" i="16" s="1"/>
  <c r="AE10" i="34"/>
  <c r="Z37" i="9"/>
  <c r="Z38" i="9" s="1"/>
  <c r="T18" i="47"/>
  <c r="AE17" i="34"/>
  <c r="Y56" i="47" s="1"/>
  <c r="AE27" i="17"/>
  <c r="AK28" i="17" s="1"/>
  <c r="AE12" i="17"/>
  <c r="AA29" i="18"/>
  <c r="AA14" i="18"/>
  <c r="AA42" i="17"/>
  <c r="AA46" i="17"/>
  <c r="AA47" i="17" s="1"/>
  <c r="AA33" i="17"/>
  <c r="AE8" i="31"/>
  <c r="AF18" i="13"/>
  <c r="AD39" i="20"/>
  <c r="AD25" i="20"/>
  <c r="AD27" i="20" s="1"/>
  <c r="AA34" i="18" l="1"/>
  <c r="AA48" i="18"/>
  <c r="Z25" i="31"/>
  <c r="T40" i="47" s="1"/>
  <c r="Z28" i="9"/>
  <c r="Z30" i="9" s="1"/>
  <c r="AA36" i="9"/>
  <c r="AE36" i="15"/>
  <c r="AE14" i="34"/>
  <c r="Y53" i="47" s="1"/>
  <c r="AE9" i="19"/>
  <c r="AE11" i="19" s="1"/>
  <c r="AE22" i="19" s="1"/>
  <c r="AE23" i="19" s="1"/>
  <c r="AE30" i="15"/>
  <c r="AF10" i="13"/>
  <c r="AF11" i="13" s="1"/>
  <c r="Y23" i="47"/>
  <c r="AF11" i="11"/>
  <c r="AF12" i="11" s="1"/>
  <c r="AF20" i="10"/>
  <c r="AF21" i="10" s="1"/>
  <c r="AF44" i="12"/>
  <c r="AF45" i="12" s="1"/>
  <c r="AA22" i="34"/>
  <c r="O22" i="35"/>
  <c r="AF25" i="12"/>
  <c r="Y49" i="47"/>
  <c r="AE14" i="31"/>
  <c r="AF24" i="11"/>
  <c r="Z12" i="9"/>
  <c r="Z13" i="9" s="1"/>
  <c r="T68" i="47"/>
  <c r="AD40" i="20"/>
  <c r="AD41" i="20" s="1"/>
  <c r="AD46" i="20" s="1"/>
  <c r="AD47" i="20" s="1"/>
  <c r="AD35" i="20"/>
  <c r="AD36" i="20" s="1"/>
  <c r="AE33" i="20" s="1"/>
  <c r="W54" i="47"/>
  <c r="AA48" i="17"/>
  <c r="AA34" i="17"/>
  <c r="AA35" i="17" s="1"/>
  <c r="AA13" i="17" s="1"/>
  <c r="AA15" i="17" s="1"/>
  <c r="AK29" i="17"/>
  <c r="AK14" i="17"/>
  <c r="AE19" i="34"/>
  <c r="Y58" i="47" s="1"/>
  <c r="AE26" i="16"/>
  <c r="AG27" i="16" s="1"/>
  <c r="AE12" i="16"/>
  <c r="Y23" i="31"/>
  <c r="S38" i="47" s="1"/>
  <c r="Y15" i="22"/>
  <c r="Y17" i="22" s="1"/>
  <c r="Y21" i="22" s="1"/>
  <c r="AA16" i="28"/>
  <c r="V21" i="51" s="1"/>
  <c r="O16" i="29"/>
  <c r="AE11" i="28"/>
  <c r="Z13" i="51" s="1"/>
  <c r="Y4" i="47"/>
  <c r="AA18" i="28"/>
  <c r="O18" i="29"/>
  <c r="AE32" i="16"/>
  <c r="AE45" i="16"/>
  <c r="AE46" i="16" s="1"/>
  <c r="AE41" i="16"/>
  <c r="AD69" i="20"/>
  <c r="AD77" i="20"/>
  <c r="AA35" i="18"/>
  <c r="AA13" i="18" s="1"/>
  <c r="AA15" i="18" s="1"/>
  <c r="AA47" i="47"/>
  <c r="U14" i="47" l="1"/>
  <c r="V23" i="51"/>
  <c r="AD81" i="20"/>
  <c r="AD48" i="20"/>
  <c r="AD76" i="20"/>
  <c r="AD78" i="20" s="1"/>
  <c r="AA16" i="31"/>
  <c r="V9" i="51" s="1"/>
  <c r="AB11" i="17"/>
  <c r="L16" i="33"/>
  <c r="O16" i="32"/>
  <c r="Z11" i="31"/>
  <c r="U7" i="51" s="1"/>
  <c r="Z9" i="8"/>
  <c r="AA11" i="9"/>
  <c r="AE15" i="31"/>
  <c r="Y30" i="47" s="1"/>
  <c r="AF28" i="15"/>
  <c r="AG28" i="16"/>
  <c r="AG14" i="16"/>
  <c r="AF27" i="13"/>
  <c r="AF29" i="13" s="1"/>
  <c r="AF12" i="13"/>
  <c r="Y29" i="47"/>
  <c r="U61" i="47"/>
  <c r="Z27" i="31"/>
  <c r="T42" i="47" s="1"/>
  <c r="Z16" i="22"/>
  <c r="AA18" i="31"/>
  <c r="AB11" i="18"/>
  <c r="L18" i="33"/>
  <c r="O18" i="32"/>
  <c r="U12" i="47"/>
  <c r="AA19" i="28"/>
  <c r="V15" i="51" s="1"/>
  <c r="AE26" i="20"/>
  <c r="AF16" i="37"/>
  <c r="AF53" i="12"/>
  <c r="AF56" i="12" s="1"/>
  <c r="AF62" i="12"/>
  <c r="AF64" i="12" s="1"/>
  <c r="AA23" i="34"/>
  <c r="U62" i="47" s="1"/>
  <c r="O23" i="35"/>
  <c r="AE14" i="28"/>
  <c r="Z14" i="51" s="1"/>
  <c r="AE9" i="20"/>
  <c r="AE10" i="20" s="1"/>
  <c r="Y7" i="47"/>
  <c r="AE17" i="28"/>
  <c r="AE33" i="16"/>
  <c r="AE47" i="16"/>
  <c r="AK18" i="34"/>
  <c r="AE57" i="47" s="1"/>
  <c r="AF10" i="37"/>
  <c r="AA26" i="51" s="1"/>
  <c r="AF24" i="12"/>
  <c r="AF26" i="12" s="1"/>
  <c r="AG17" i="10"/>
  <c r="AE30" i="19"/>
  <c r="AE32" i="19" s="1"/>
  <c r="AE49" i="19"/>
  <c r="AE51" i="19" s="1"/>
  <c r="AE36" i="19" s="1"/>
  <c r="AF37" i="19" s="1"/>
  <c r="AA25" i="34"/>
  <c r="U64" i="47" s="1"/>
  <c r="O25" i="35"/>
  <c r="AE15" i="16"/>
  <c r="AD11" i="34"/>
  <c r="P11" i="35"/>
  <c r="AE34" i="16"/>
  <c r="AE13" i="16" s="1"/>
  <c r="AF16" i="19"/>
  <c r="AF17" i="19" s="1"/>
  <c r="AF42" i="15"/>
  <c r="AF20" i="15"/>
  <c r="AF25" i="11"/>
  <c r="U33" i="47" l="1"/>
  <c r="V10" i="51"/>
  <c r="Y13" i="47"/>
  <c r="Z22" i="51"/>
  <c r="AE24" i="34"/>
  <c r="Y63" i="47" s="1"/>
  <c r="AG26" i="13"/>
  <c r="AF30" i="13"/>
  <c r="AF9" i="31" s="1"/>
  <c r="Z24" i="47" s="1"/>
  <c r="T26" i="47"/>
  <c r="Z12" i="31"/>
  <c r="AG25" i="10"/>
  <c r="Y10" i="47"/>
  <c r="AE19" i="31"/>
  <c r="Y34" i="47" s="1"/>
  <c r="AF29" i="19"/>
  <c r="AE20" i="20"/>
  <c r="AE21" i="20" s="1"/>
  <c r="AE34" i="20" s="1"/>
  <c r="AE14" i="20"/>
  <c r="AE15" i="20" s="1"/>
  <c r="AF11" i="37"/>
  <c r="AF20" i="17"/>
  <c r="AF22" i="17" s="1"/>
  <c r="AF20" i="18"/>
  <c r="AF22" i="18" s="1"/>
  <c r="AF19" i="13"/>
  <c r="AF21" i="13" s="1"/>
  <c r="AF13" i="15"/>
  <c r="AF14" i="15" s="1"/>
  <c r="AF31" i="12"/>
  <c r="AL32" i="12" s="1"/>
  <c r="AF39" i="12"/>
  <c r="AF41" i="12" s="1"/>
  <c r="AF17" i="9"/>
  <c r="AF18" i="9" s="1"/>
  <c r="AA22" i="28"/>
  <c r="V16" i="51" s="1"/>
  <c r="AA82" i="20"/>
  <c r="U15" i="47"/>
  <c r="O19" i="29"/>
  <c r="AA26" i="34"/>
  <c r="X50" i="47"/>
  <c r="AD12" i="34"/>
  <c r="AG20" i="34"/>
  <c r="AA59" i="47" s="1"/>
  <c r="Q20" i="35"/>
  <c r="AB40" i="17"/>
  <c r="AB41" i="17" s="1"/>
  <c r="AE17" i="31"/>
  <c r="AF11" i="16"/>
  <c r="U31" i="47"/>
  <c r="AA21" i="31"/>
  <c r="AD20" i="31"/>
  <c r="X35" i="47" s="1"/>
  <c r="AE75" i="20"/>
  <c r="P20" i="32"/>
  <c r="AF17" i="37"/>
  <c r="AA29" i="51" s="1"/>
  <c r="AF17" i="11"/>
  <c r="AF18" i="11" s="1"/>
  <c r="AG61" i="12"/>
  <c r="AF15" i="37"/>
  <c r="AA28" i="51" s="1"/>
  <c r="AG51" i="12"/>
  <c r="AB27" i="18"/>
  <c r="AB28" i="18" s="1"/>
  <c r="AB40" i="18"/>
  <c r="AB41" i="18" s="1"/>
  <c r="AD21" i="28"/>
  <c r="P21" i="29"/>
  <c r="AF21" i="19"/>
  <c r="AF43" i="15"/>
  <c r="AF45" i="15" s="1"/>
  <c r="AF21" i="15"/>
  <c r="AH22" i="15" s="1"/>
  <c r="AF31" i="19"/>
  <c r="AF38" i="19"/>
  <c r="AF13" i="28"/>
  <c r="X17" i="47" l="1"/>
  <c r="Y24" i="51"/>
  <c r="Z9" i="47"/>
  <c r="AA20" i="51"/>
  <c r="Y32" i="47"/>
  <c r="Z8" i="51"/>
  <c r="AH8" i="34"/>
  <c r="AH44" i="15"/>
  <c r="AF10" i="31"/>
  <c r="Z25" i="47" s="1"/>
  <c r="AG41" i="15"/>
  <c r="Z22" i="9"/>
  <c r="Z24" i="9" s="1"/>
  <c r="T27" i="47"/>
  <c r="AF8" i="31"/>
  <c r="AG18" i="13"/>
  <c r="AB46" i="17"/>
  <c r="AB47" i="17" s="1"/>
  <c r="AB42" i="17"/>
  <c r="AB33" i="17"/>
  <c r="AF21" i="34"/>
  <c r="Z60" i="47" s="1"/>
  <c r="AF12" i="18"/>
  <c r="AA37" i="9"/>
  <c r="AA38" i="9" s="1"/>
  <c r="U18" i="47"/>
  <c r="O22" i="29"/>
  <c r="AF17" i="34"/>
  <c r="Z56" i="47" s="1"/>
  <c r="AF27" i="17"/>
  <c r="AL28" i="17" s="1"/>
  <c r="AF12" i="17"/>
  <c r="AF32" i="15"/>
  <c r="AF15" i="15"/>
  <c r="AB46" i="18"/>
  <c r="AB47" i="18" s="1"/>
  <c r="AB33" i="18"/>
  <c r="AB42" i="18"/>
  <c r="AA23" i="9"/>
  <c r="U36" i="47"/>
  <c r="L21" i="33"/>
  <c r="O21" i="32"/>
  <c r="AG24" i="10"/>
  <c r="AG26" i="10" s="1"/>
  <c r="AD15" i="34"/>
  <c r="X51" i="47"/>
  <c r="P12" i="35"/>
  <c r="AF29" i="15"/>
  <c r="AF10" i="12"/>
  <c r="AF11" i="12" s="1"/>
  <c r="AE39" i="20"/>
  <c r="AE25" i="20"/>
  <c r="AE27" i="20" s="1"/>
  <c r="AE66" i="20"/>
  <c r="AE68" i="20" s="1"/>
  <c r="AB29" i="18"/>
  <c r="AB14" i="18"/>
  <c r="AF12" i="37"/>
  <c r="AA27" i="51" s="1"/>
  <c r="AG38" i="12"/>
  <c r="AF10" i="34"/>
  <c r="AF8" i="28"/>
  <c r="AA12" i="51" s="1"/>
  <c r="AF19" i="16"/>
  <c r="AF21" i="16" s="1"/>
  <c r="AF26" i="11"/>
  <c r="AF27" i="11" s="1"/>
  <c r="AF39" i="16"/>
  <c r="AF40" i="16" s="1"/>
  <c r="AA29" i="34"/>
  <c r="U65" i="47"/>
  <c r="O26" i="35"/>
  <c r="AL13" i="37"/>
  <c r="AL52" i="12"/>
  <c r="AL40" i="12"/>
  <c r="AF48" i="19"/>
  <c r="Z23" i="31" l="1"/>
  <c r="T38" i="47" s="1"/>
  <c r="Z15" i="22"/>
  <c r="Z17" i="22" s="1"/>
  <c r="Z21" i="22" s="1"/>
  <c r="AB22" i="34"/>
  <c r="AA12" i="9"/>
  <c r="AA13" i="9" s="1"/>
  <c r="U68" i="47"/>
  <c r="O29" i="35"/>
  <c r="Z49" i="47"/>
  <c r="AB18" i="28"/>
  <c r="AL29" i="17"/>
  <c r="AL14" i="17"/>
  <c r="AB16" i="28"/>
  <c r="W21" i="51" s="1"/>
  <c r="X54" i="47"/>
  <c r="P15" i="35"/>
  <c r="AB48" i="17"/>
  <c r="AB34" i="17"/>
  <c r="AB35" i="17" s="1"/>
  <c r="AB13" i="17" s="1"/>
  <c r="AB15" i="17" s="1"/>
  <c r="AE77" i="20"/>
  <c r="AE69" i="20"/>
  <c r="AE35" i="20"/>
  <c r="AE36" i="20" s="1"/>
  <c r="AF33" i="20" s="1"/>
  <c r="AE40" i="20"/>
  <c r="AG11" i="11"/>
  <c r="AG12" i="11" s="1"/>
  <c r="AG20" i="10"/>
  <c r="AG21" i="10" s="1"/>
  <c r="AG44" i="12"/>
  <c r="AG45" i="12" s="1"/>
  <c r="AF14" i="34"/>
  <c r="Z53" i="47" s="1"/>
  <c r="AG10" i="13"/>
  <c r="AG11" i="13" s="1"/>
  <c r="AF45" i="16"/>
  <c r="AF46" i="16" s="1"/>
  <c r="AF41" i="16"/>
  <c r="AF32" i="16"/>
  <c r="AB48" i="18"/>
  <c r="AB34" i="18"/>
  <c r="AB35" i="18" s="1"/>
  <c r="AB13" i="18" s="1"/>
  <c r="AB15" i="18" s="1"/>
  <c r="AE41" i="20"/>
  <c r="AE46" i="20" s="1"/>
  <c r="AE47" i="20" s="1"/>
  <c r="AF14" i="31"/>
  <c r="AG24" i="11"/>
  <c r="AF9" i="19"/>
  <c r="AF11" i="19" s="1"/>
  <c r="AF22" i="19" s="1"/>
  <c r="AF23" i="19" s="1"/>
  <c r="AF30" i="15"/>
  <c r="AA25" i="31"/>
  <c r="U40" i="47" s="1"/>
  <c r="AB36" i="9"/>
  <c r="AA28" i="9"/>
  <c r="AA30" i="9" s="1"/>
  <c r="O25" i="32"/>
  <c r="L25" i="33"/>
  <c r="Z23" i="47"/>
  <c r="AF11" i="28"/>
  <c r="AA13" i="51" s="1"/>
  <c r="Z4" i="47"/>
  <c r="AG25" i="12"/>
  <c r="AF19" i="34"/>
  <c r="Z58" i="47" s="1"/>
  <c r="AF26" i="16"/>
  <c r="AH27" i="16" s="1"/>
  <c r="AF12" i="16"/>
  <c r="AF36" i="15"/>
  <c r="AB47" i="47"/>
  <c r="V14" i="47" l="1"/>
  <c r="W23" i="51"/>
  <c r="AB18" i="31"/>
  <c r="AC11" i="18"/>
  <c r="AB16" i="31"/>
  <c r="W9" i="51" s="1"/>
  <c r="AC11" i="17"/>
  <c r="AL18" i="34"/>
  <c r="AF57" i="47" s="1"/>
  <c r="AA11" i="31"/>
  <c r="V7" i="51" s="1"/>
  <c r="AB11" i="9"/>
  <c r="AA9" i="8"/>
  <c r="L11" i="33"/>
  <c r="O11" i="32"/>
  <c r="AF33" i="16"/>
  <c r="AF47" i="16"/>
  <c r="Z29" i="47"/>
  <c r="AF26" i="20"/>
  <c r="AH28" i="16"/>
  <c r="AH14" i="16"/>
  <c r="AE48" i="20"/>
  <c r="AE81" i="20"/>
  <c r="AE76" i="20"/>
  <c r="AE78" i="20" s="1"/>
  <c r="AE11" i="34"/>
  <c r="AG16" i="19"/>
  <c r="AG17" i="19" s="1"/>
  <c r="AG42" i="15"/>
  <c r="AG20" i="15"/>
  <c r="AG25" i="11"/>
  <c r="AG27" i="13"/>
  <c r="AG29" i="13" s="1"/>
  <c r="AG12" i="13"/>
  <c r="AB25" i="34"/>
  <c r="V64" i="47" s="1"/>
  <c r="V12" i="47"/>
  <c r="AB19" i="28"/>
  <c r="W15" i="51" s="1"/>
  <c r="V61" i="47"/>
  <c r="AF30" i="19"/>
  <c r="AF32" i="19" s="1"/>
  <c r="AF49" i="19"/>
  <c r="AF51" i="19" s="1"/>
  <c r="AF36" i="19" s="1"/>
  <c r="AG37" i="19" s="1"/>
  <c r="AA27" i="31"/>
  <c r="U42" i="47" s="1"/>
  <c r="AA16" i="22"/>
  <c r="L27" i="33"/>
  <c r="O27" i="32"/>
  <c r="AF34" i="16"/>
  <c r="AF13" i="16" s="1"/>
  <c r="AF15" i="16" s="1"/>
  <c r="AG16" i="37"/>
  <c r="AG62" i="12"/>
  <c r="AG64" i="12" s="1"/>
  <c r="AG53" i="12"/>
  <c r="AG56" i="12" s="1"/>
  <c r="Q16" i="38"/>
  <c r="AB23" i="34"/>
  <c r="V62" i="47" s="1"/>
  <c r="AF15" i="31"/>
  <c r="Z30" i="47" s="1"/>
  <c r="AG28" i="15"/>
  <c r="AF14" i="28"/>
  <c r="AA14" i="51" s="1"/>
  <c r="AF9" i="20"/>
  <c r="AF10" i="20" s="1"/>
  <c r="Z7" i="47"/>
  <c r="AF17" i="28"/>
  <c r="AG10" i="37"/>
  <c r="AB26" i="51" s="1"/>
  <c r="AG24" i="12"/>
  <c r="AG26" i="12" s="1"/>
  <c r="AH17" i="10"/>
  <c r="M10" i="39"/>
  <c r="Q10" i="38"/>
  <c r="K10" i="26"/>
  <c r="V33" i="47" l="1"/>
  <c r="W10" i="51"/>
  <c r="Z13" i="47"/>
  <c r="AA22" i="51"/>
  <c r="AF17" i="31"/>
  <c r="AG11" i="16"/>
  <c r="AB22" i="28"/>
  <c r="W16" i="51" s="1"/>
  <c r="AB82" i="20"/>
  <c r="V15" i="47"/>
  <c r="AF24" i="34"/>
  <c r="Z63" i="47" s="1"/>
  <c r="AE21" i="28"/>
  <c r="AG21" i="19"/>
  <c r="AG43" i="15"/>
  <c r="AG45" i="15" s="1"/>
  <c r="AG21" i="15"/>
  <c r="AI22" i="15" s="1"/>
  <c r="AH20" i="34"/>
  <c r="AB59" i="47" s="1"/>
  <c r="AC40" i="17"/>
  <c r="AC41" i="17" s="1"/>
  <c r="V31" i="47"/>
  <c r="AB21" i="31"/>
  <c r="AH26" i="13"/>
  <c r="AG30" i="13"/>
  <c r="AE20" i="31"/>
  <c r="Y35" i="47" s="1"/>
  <c r="AF75" i="20"/>
  <c r="AG38" i="19"/>
  <c r="AG31" i="19"/>
  <c r="AG17" i="37"/>
  <c r="AB29" i="51" s="1"/>
  <c r="AH61" i="12"/>
  <c r="AG17" i="11"/>
  <c r="AG18" i="11" s="1"/>
  <c r="Q17" i="38"/>
  <c r="M17" i="39"/>
  <c r="K17" i="26"/>
  <c r="AF19" i="31"/>
  <c r="Z34" i="47" s="1"/>
  <c r="AG29" i="19"/>
  <c r="AC40" i="18"/>
  <c r="AC41" i="18" s="1"/>
  <c r="AC27" i="18"/>
  <c r="AC28" i="18" s="1"/>
  <c r="AF20" i="20"/>
  <c r="AF21" i="20" s="1"/>
  <c r="AF34" i="20" s="1"/>
  <c r="AF14" i="20"/>
  <c r="AF15" i="20" s="1"/>
  <c r="AG15" i="37"/>
  <c r="AB28" i="51" s="1"/>
  <c r="AH51" i="12"/>
  <c r="K15" i="26"/>
  <c r="Q15" i="38"/>
  <c r="M15" i="39"/>
  <c r="AH25" i="10"/>
  <c r="Z10" i="47"/>
  <c r="AG11" i="37"/>
  <c r="AG20" i="17"/>
  <c r="AG22" i="17" s="1"/>
  <c r="AG20" i="18"/>
  <c r="AG22" i="18" s="1"/>
  <c r="AG19" i="13"/>
  <c r="AG21" i="13" s="1"/>
  <c r="AG13" i="15"/>
  <c r="AG14" i="15" s="1"/>
  <c r="AG31" i="12"/>
  <c r="AM32" i="12" s="1"/>
  <c r="AG39" i="12"/>
  <c r="AG41" i="12" s="1"/>
  <c r="AG17" i="9"/>
  <c r="AG18" i="9" s="1"/>
  <c r="Q11" i="38"/>
  <c r="AB26" i="34"/>
  <c r="AG13" i="28"/>
  <c r="Q13" i="29"/>
  <c r="Y50" i="47"/>
  <c r="AE12" i="34"/>
  <c r="U26" i="47"/>
  <c r="AA12" i="31"/>
  <c r="Z32" i="47" l="1"/>
  <c r="AA8" i="51"/>
  <c r="Y17" i="47"/>
  <c r="Z24" i="51"/>
  <c r="AA9" i="47"/>
  <c r="AB20" i="51"/>
  <c r="AM13" i="37"/>
  <c r="AM40" i="12"/>
  <c r="AM52" i="12"/>
  <c r="S13" i="38"/>
  <c r="AF39" i="20"/>
  <c r="AF25" i="20"/>
  <c r="AF27" i="20" s="1"/>
  <c r="AF66" i="20"/>
  <c r="AF68" i="20" s="1"/>
  <c r="AC33" i="17"/>
  <c r="AC46" i="17"/>
  <c r="AC47" i="17" s="1"/>
  <c r="AC42" i="17"/>
  <c r="AG8" i="31"/>
  <c r="AH18" i="13"/>
  <c r="Q8" i="32"/>
  <c r="K8" i="24"/>
  <c r="E23" i="50" s="1"/>
  <c r="M8" i="33"/>
  <c r="AG9" i="31"/>
  <c r="AA24" i="47" s="1"/>
  <c r="K9" i="24"/>
  <c r="E24" i="50" s="1"/>
  <c r="M9" i="33"/>
  <c r="Q9" i="32"/>
  <c r="AB37" i="9"/>
  <c r="AB38" i="9" s="1"/>
  <c r="V18" i="47"/>
  <c r="AE15" i="34"/>
  <c r="Y51" i="47"/>
  <c r="AG10" i="31"/>
  <c r="AA25" i="47" s="1"/>
  <c r="AH41" i="15"/>
  <c r="K10" i="24"/>
  <c r="E25" i="50" s="1"/>
  <c r="Q10" i="32"/>
  <c r="M10" i="33"/>
  <c r="AC29" i="18"/>
  <c r="AC14" i="18"/>
  <c r="AG8" i="28"/>
  <c r="AB12" i="51" s="1"/>
  <c r="AG19" i="16"/>
  <c r="AG21" i="16" s="1"/>
  <c r="AG26" i="11"/>
  <c r="AG27" i="11" s="1"/>
  <c r="Q8" i="29"/>
  <c r="AI8" i="34"/>
  <c r="AI44" i="15"/>
  <c r="AG21" i="34"/>
  <c r="AA60" i="47" s="1"/>
  <c r="AG12" i="18"/>
  <c r="Q21" i="35"/>
  <c r="AG17" i="34"/>
  <c r="AA56" i="47" s="1"/>
  <c r="AG27" i="17"/>
  <c r="AM28" i="17" s="1"/>
  <c r="AG12" i="17"/>
  <c r="Q17" i="35"/>
  <c r="AC46" i="18"/>
  <c r="AC47" i="18" s="1"/>
  <c r="AC33" i="18"/>
  <c r="AC42" i="18"/>
  <c r="AB23" i="9"/>
  <c r="V36" i="47"/>
  <c r="AG39" i="16"/>
  <c r="AG40" i="16" s="1"/>
  <c r="AG12" i="37"/>
  <c r="AB27" i="51" s="1"/>
  <c r="AH38" i="12"/>
  <c r="M12" i="39"/>
  <c r="K12" i="26"/>
  <c r="Q12" i="38"/>
  <c r="AG10" i="34"/>
  <c r="Q10" i="35"/>
  <c r="AG32" i="15"/>
  <c r="AG15" i="15"/>
  <c r="AB29" i="34"/>
  <c r="V65" i="47"/>
  <c r="AA22" i="9"/>
  <c r="AA24" i="9" s="1"/>
  <c r="U27" i="47"/>
  <c r="O12" i="32"/>
  <c r="L12" i="33"/>
  <c r="AG29" i="15"/>
  <c r="AG10" i="12"/>
  <c r="AG11" i="12" s="1"/>
  <c r="AH24" i="10"/>
  <c r="AH26" i="10" s="1"/>
  <c r="AG48" i="19"/>
  <c r="AG9" i="19" l="1"/>
  <c r="AG11" i="19" s="1"/>
  <c r="AG22" i="19" s="1"/>
  <c r="AG23" i="19" s="1"/>
  <c r="AG30" i="15"/>
  <c r="AB12" i="9"/>
  <c r="AB13" i="9" s="1"/>
  <c r="V68" i="47"/>
  <c r="AG14" i="31"/>
  <c r="AH24" i="11"/>
  <c r="M14" i="33"/>
  <c r="Q14" i="32"/>
  <c r="K14" i="24"/>
  <c r="E29" i="50" s="1"/>
  <c r="AF77" i="20"/>
  <c r="AF69" i="20"/>
  <c r="AC18" i="28"/>
  <c r="AG14" i="34"/>
  <c r="AA53" i="47" s="1"/>
  <c r="Q14" i="35"/>
  <c r="AC34" i="18"/>
  <c r="AC35" i="18" s="1"/>
  <c r="AC13" i="18" s="1"/>
  <c r="AC15" i="18" s="1"/>
  <c r="AC48" i="18"/>
  <c r="AG19" i="34"/>
  <c r="AA58" i="47" s="1"/>
  <c r="AG26" i="16"/>
  <c r="AI27" i="16" s="1"/>
  <c r="AG12" i="16"/>
  <c r="Q19" i="35"/>
  <c r="AB25" i="31"/>
  <c r="V40" i="47" s="1"/>
  <c r="AB28" i="9"/>
  <c r="AB30" i="9" s="1"/>
  <c r="AC36" i="9"/>
  <c r="AH10" i="13"/>
  <c r="AH11" i="13" s="1"/>
  <c r="AF35" i="20"/>
  <c r="AF36" i="20" s="1"/>
  <c r="AG33" i="20" s="1"/>
  <c r="AF40" i="20"/>
  <c r="AG36" i="15"/>
  <c r="AH25" i="12"/>
  <c r="AG11" i="28"/>
  <c r="AB13" i="51" s="1"/>
  <c r="AA4" i="47"/>
  <c r="AA23" i="47"/>
  <c r="AF41" i="20"/>
  <c r="AF46" i="20" s="1"/>
  <c r="AF47" i="20" s="1"/>
  <c r="AG41" i="16"/>
  <c r="AG32" i="16"/>
  <c r="AG45" i="16"/>
  <c r="AG46" i="16" s="1"/>
  <c r="AA23" i="31"/>
  <c r="U38" i="47" s="1"/>
  <c r="AA15" i="22"/>
  <c r="AA17" i="22" s="1"/>
  <c r="AA21" i="22" s="1"/>
  <c r="L23" i="33"/>
  <c r="O23" i="32"/>
  <c r="AA49" i="47"/>
  <c r="AM29" i="17"/>
  <c r="AM14" i="17"/>
  <c r="AC22" i="34"/>
  <c r="AC16" i="28"/>
  <c r="X21" i="51" s="1"/>
  <c r="AC47" i="47"/>
  <c r="Y54" i="47"/>
  <c r="AC48" i="17"/>
  <c r="AC34" i="17"/>
  <c r="AC35" i="17" s="1"/>
  <c r="AC13" i="17" s="1"/>
  <c r="AC15" i="17" s="1"/>
  <c r="AH44" i="12"/>
  <c r="AH45" i="12" s="1"/>
  <c r="AH11" i="11"/>
  <c r="AH12" i="11" s="1"/>
  <c r="AH20" i="10"/>
  <c r="AH21" i="10" s="1"/>
  <c r="W14" i="47" l="1"/>
  <c r="X23" i="51"/>
  <c r="AC18" i="31"/>
  <c r="AD11" i="18"/>
  <c r="AI28" i="16"/>
  <c r="AI14" i="16"/>
  <c r="AC16" i="31"/>
  <c r="X9" i="51" s="1"/>
  <c r="AD11" i="17"/>
  <c r="AF11" i="34"/>
  <c r="AA29" i="47"/>
  <c r="AH10" i="37"/>
  <c r="AH24" i="12"/>
  <c r="AH26" i="12" s="1"/>
  <c r="AI17" i="10"/>
  <c r="W61" i="47"/>
  <c r="AH27" i="13"/>
  <c r="AH29" i="13" s="1"/>
  <c r="AH12" i="13"/>
  <c r="AC25" i="34"/>
  <c r="W64" i="47" s="1"/>
  <c r="AG26" i="20"/>
  <c r="AH16" i="19"/>
  <c r="AH17" i="19" s="1"/>
  <c r="AH42" i="15"/>
  <c r="AH25" i="11"/>
  <c r="AH20" i="15"/>
  <c r="AG14" i="28"/>
  <c r="AB14" i="51" s="1"/>
  <c r="AG9" i="20"/>
  <c r="AG10" i="20" s="1"/>
  <c r="AA7" i="47"/>
  <c r="Q11" i="29"/>
  <c r="AH16" i="37"/>
  <c r="AH62" i="12"/>
  <c r="AH64" i="12" s="1"/>
  <c r="AH53" i="12"/>
  <c r="AH56" i="12" s="1"/>
  <c r="AG47" i="16"/>
  <c r="AG33" i="16"/>
  <c r="AG34" i="16" s="1"/>
  <c r="AG13" i="16" s="1"/>
  <c r="AG15" i="16" s="1"/>
  <c r="AM18" i="34"/>
  <c r="AG57" i="47" s="1"/>
  <c r="S18" i="35"/>
  <c r="AB27" i="31"/>
  <c r="V42" i="47" s="1"/>
  <c r="AB16" i="22"/>
  <c r="AB11" i="31"/>
  <c r="W7" i="51" s="1"/>
  <c r="AB9" i="8"/>
  <c r="AC11" i="9"/>
  <c r="AC23" i="34"/>
  <c r="W62" i="47" s="1"/>
  <c r="AG17" i="28"/>
  <c r="Q17" i="29"/>
  <c r="AG15" i="31"/>
  <c r="AA30" i="47" s="1"/>
  <c r="AH28" i="15"/>
  <c r="M15" i="33"/>
  <c r="K15" i="24"/>
  <c r="E30" i="50" s="1"/>
  <c r="Q15" i="32"/>
  <c r="W12" i="47"/>
  <c r="AC19" i="28"/>
  <c r="X15" i="51" s="1"/>
  <c r="AF48" i="20"/>
  <c r="AF76" i="20"/>
  <c r="AF78" i="20" s="1"/>
  <c r="AF81" i="20"/>
  <c r="AG30" i="19"/>
  <c r="AG32" i="19" s="1"/>
  <c r="AG49" i="19"/>
  <c r="AG51" i="19" s="1"/>
  <c r="AG36" i="19" s="1"/>
  <c r="AH37" i="19" s="1"/>
  <c r="W33" i="47" l="1"/>
  <c r="X10" i="51"/>
  <c r="AA13" i="47"/>
  <c r="AB22" i="51"/>
  <c r="AG17" i="31"/>
  <c r="AH11" i="16"/>
  <c r="Q17" i="32"/>
  <c r="K17" i="24"/>
  <c r="E32" i="50" s="1"/>
  <c r="M17" i="33"/>
  <c r="AI26" i="13"/>
  <c r="AH30" i="13"/>
  <c r="AH9" i="31" s="1"/>
  <c r="AB24" i="47" s="1"/>
  <c r="AF20" i="31"/>
  <c r="Z35" i="47" s="1"/>
  <c r="AG75" i="20"/>
  <c r="AG19" i="31"/>
  <c r="AA34" i="47" s="1"/>
  <c r="AH29" i="19"/>
  <c r="K19" i="24"/>
  <c r="E34" i="50" s="1"/>
  <c r="M19" i="33"/>
  <c r="Q19" i="32"/>
  <c r="AH21" i="19"/>
  <c r="AH43" i="15"/>
  <c r="AH45" i="15" s="1"/>
  <c r="AH21" i="15"/>
  <c r="AC26" i="34"/>
  <c r="Z50" i="47"/>
  <c r="AF12" i="34"/>
  <c r="AD40" i="17"/>
  <c r="AD41" i="17" s="1"/>
  <c r="V26" i="47"/>
  <c r="AB12" i="31"/>
  <c r="AI25" i="10"/>
  <c r="W31" i="47"/>
  <c r="AC21" i="31"/>
  <c r="AG14" i="20"/>
  <c r="AG15" i="20" s="1"/>
  <c r="AG20" i="20"/>
  <c r="AG21" i="20" s="1"/>
  <c r="AG34" i="20" s="1"/>
  <c r="AH11" i="37"/>
  <c r="AH20" i="18"/>
  <c r="AH22" i="18" s="1"/>
  <c r="AH20" i="17"/>
  <c r="AH22" i="17" s="1"/>
  <c r="AH19" i="13"/>
  <c r="AH21" i="13" s="1"/>
  <c r="AH13" i="15"/>
  <c r="AH14" i="15" s="1"/>
  <c r="AH39" i="12"/>
  <c r="AH41" i="12" s="1"/>
  <c r="AH31" i="12"/>
  <c r="AN32" i="12" s="1"/>
  <c r="AH17" i="9"/>
  <c r="AH18" i="9" s="1"/>
  <c r="AA10" i="47"/>
  <c r="Q14" i="29"/>
  <c r="AI20" i="34"/>
  <c r="AC59" i="47" s="1"/>
  <c r="AG24" i="34"/>
  <c r="AA63" i="47" s="1"/>
  <c r="Q24" i="35"/>
  <c r="AC22" i="28"/>
  <c r="X16" i="51" s="1"/>
  <c r="AC82" i="20"/>
  <c r="W15" i="47"/>
  <c r="AH38" i="19"/>
  <c r="AH31" i="19"/>
  <c r="AH15" i="37"/>
  <c r="AI51" i="12"/>
  <c r="AJ22" i="15"/>
  <c r="AD27" i="18"/>
  <c r="AD28" i="18" s="1"/>
  <c r="AD40" i="18"/>
  <c r="AD41" i="18" s="1"/>
  <c r="AF21" i="28"/>
  <c r="AH17" i="37"/>
  <c r="AI61" i="12"/>
  <c r="AH17" i="11"/>
  <c r="AH18" i="11" s="1"/>
  <c r="AH13" i="28"/>
  <c r="AB9" i="47" s="1"/>
  <c r="Z17" i="47" l="1"/>
  <c r="AA24" i="51"/>
  <c r="AA32" i="47"/>
  <c r="AB8" i="51"/>
  <c r="AH10" i="31"/>
  <c r="AB25" i="47" s="1"/>
  <c r="AI41" i="15"/>
  <c r="AH8" i="28"/>
  <c r="AH19" i="16"/>
  <c r="AH21" i="16" s="1"/>
  <c r="AH26" i="11"/>
  <c r="AH27" i="11" s="1"/>
  <c r="AD29" i="18"/>
  <c r="AD14" i="18"/>
  <c r="AN13" i="37"/>
  <c r="AN40" i="12"/>
  <c r="AN52" i="12"/>
  <c r="AG39" i="20"/>
  <c r="AG25" i="20"/>
  <c r="AG27" i="20" s="1"/>
  <c r="AJ8" i="34"/>
  <c r="AJ44" i="15"/>
  <c r="R8" i="35"/>
  <c r="AD46" i="17"/>
  <c r="AD47" i="17" s="1"/>
  <c r="AD42" i="17"/>
  <c r="AD33" i="17"/>
  <c r="AH12" i="37"/>
  <c r="AI38" i="12"/>
  <c r="AC23" i="9"/>
  <c r="W36" i="47"/>
  <c r="AI24" i="10"/>
  <c r="AI26" i="10" s="1"/>
  <c r="AC37" i="9"/>
  <c r="AC38" i="9" s="1"/>
  <c r="W18" i="47"/>
  <c r="AH15" i="15"/>
  <c r="AH32" i="15"/>
  <c r="AF15" i="34"/>
  <c r="Z51" i="47"/>
  <c r="AH8" i="31"/>
  <c r="AI18" i="13"/>
  <c r="AH17" i="34"/>
  <c r="AB56" i="47" s="1"/>
  <c r="AH27" i="17"/>
  <c r="AN28" i="17" s="1"/>
  <c r="AH12" i="17"/>
  <c r="AC29" i="34"/>
  <c r="W65" i="47"/>
  <c r="AH48" i="19"/>
  <c r="AH10" i="34"/>
  <c r="AH21" i="34"/>
  <c r="AB60" i="47" s="1"/>
  <c r="AH12" i="18"/>
  <c r="AB22" i="9"/>
  <c r="AB24" i="9" s="1"/>
  <c r="V27" i="47"/>
  <c r="AG66" i="20"/>
  <c r="AG68" i="20" s="1"/>
  <c r="AH39" i="16"/>
  <c r="AH40" i="16" s="1"/>
  <c r="AD46" i="18"/>
  <c r="AD47" i="18" s="1"/>
  <c r="AD42" i="18"/>
  <c r="AD33" i="18"/>
  <c r="AH29" i="15"/>
  <c r="AH10" i="12"/>
  <c r="AH11" i="12" s="1"/>
  <c r="Z54" i="47" l="1"/>
  <c r="AI44" i="12"/>
  <c r="AI45" i="12" s="1"/>
  <c r="AI11" i="11"/>
  <c r="AI12" i="11" s="1"/>
  <c r="AI20" i="10"/>
  <c r="AI21" i="10" s="1"/>
  <c r="AD16" i="28"/>
  <c r="Y21" i="51" s="1"/>
  <c r="P16" i="29"/>
  <c r="AD34" i="18"/>
  <c r="AD48" i="18"/>
  <c r="AH14" i="34"/>
  <c r="AB53" i="47" s="1"/>
  <c r="AH14" i="31"/>
  <c r="AI24" i="11"/>
  <c r="AD48" i="17"/>
  <c r="AD34" i="17"/>
  <c r="AD35" i="17" s="1"/>
  <c r="AD13" i="17" s="1"/>
  <c r="AD15" i="17" s="1"/>
  <c r="AI25" i="12"/>
  <c r="AH19" i="34"/>
  <c r="AB58" i="47" s="1"/>
  <c r="AH26" i="16"/>
  <c r="AJ27" i="16" s="1"/>
  <c r="AH12" i="16"/>
  <c r="AN29" i="17"/>
  <c r="AN14" i="17"/>
  <c r="AH9" i="19"/>
  <c r="AH11" i="19" s="1"/>
  <c r="AH22" i="19" s="1"/>
  <c r="AH23" i="19" s="1"/>
  <c r="AH30" i="15"/>
  <c r="AH36" i="15" s="1"/>
  <c r="AC12" i="9"/>
  <c r="AC13" i="9" s="1"/>
  <c r="W68" i="47"/>
  <c r="AB23" i="47"/>
  <c r="AH11" i="28"/>
  <c r="AB4" i="47"/>
  <c r="AI10" i="13"/>
  <c r="AI11" i="13" s="1"/>
  <c r="AC25" i="31"/>
  <c r="W40" i="47" s="1"/>
  <c r="AC28" i="9"/>
  <c r="AC30" i="9" s="1"/>
  <c r="AD36" i="9"/>
  <c r="AD47" i="47"/>
  <c r="AH45" i="16"/>
  <c r="AH46" i="16" s="1"/>
  <c r="AH41" i="16"/>
  <c r="AH32" i="16"/>
  <c r="AG77" i="20"/>
  <c r="AG69" i="20"/>
  <c r="AD35" i="18"/>
  <c r="AD13" i="18" s="1"/>
  <c r="AD15" i="18" s="1"/>
  <c r="AB23" i="31"/>
  <c r="V38" i="47" s="1"/>
  <c r="AB15" i="22"/>
  <c r="AB17" i="22" s="1"/>
  <c r="AB21" i="22" s="1"/>
  <c r="AD18" i="28"/>
  <c r="P18" i="29"/>
  <c r="AB49" i="47"/>
  <c r="AG35" i="20"/>
  <c r="AG36" i="20" s="1"/>
  <c r="AH33" i="20" s="1"/>
  <c r="AG40" i="20"/>
  <c r="AG41" i="20" s="1"/>
  <c r="AG46" i="20" s="1"/>
  <c r="AG47" i="20" s="1"/>
  <c r="AD22" i="34"/>
  <c r="P22" i="35"/>
  <c r="X14" i="47" l="1"/>
  <c r="Y23" i="51"/>
  <c r="AG48" i="20"/>
  <c r="AG76" i="20"/>
  <c r="AG78" i="20" s="1"/>
  <c r="AG81" i="20"/>
  <c r="X12" i="47"/>
  <c r="AD19" i="28"/>
  <c r="Y15" i="51" s="1"/>
  <c r="AD16" i="31"/>
  <c r="Y9" i="51" s="1"/>
  <c r="AE11" i="17"/>
  <c r="P16" i="32"/>
  <c r="AG11" i="34"/>
  <c r="Q11" i="35"/>
  <c r="AN18" i="34"/>
  <c r="AH57" i="47" s="1"/>
  <c r="AI10" i="37"/>
  <c r="AI24" i="12"/>
  <c r="AI26" i="12" s="1"/>
  <c r="AJ17" i="10"/>
  <c r="AC27" i="31"/>
  <c r="W42" i="47" s="1"/>
  <c r="AC16" i="22"/>
  <c r="AI16" i="19"/>
  <c r="AI17" i="19" s="1"/>
  <c r="AI20" i="15"/>
  <c r="AI42" i="15"/>
  <c r="AI25" i="11"/>
  <c r="AH15" i="31"/>
  <c r="AB30" i="47" s="1"/>
  <c r="AI28" i="15"/>
  <c r="AD23" i="34"/>
  <c r="X62" i="47" s="1"/>
  <c r="P23" i="35"/>
  <c r="AD25" i="34"/>
  <c r="X64" i="47" s="1"/>
  <c r="P25" i="35"/>
  <c r="AI16" i="37"/>
  <c r="AI62" i="12"/>
  <c r="AI64" i="12" s="1"/>
  <c r="AI53" i="12"/>
  <c r="AI56" i="12" s="1"/>
  <c r="AH14" i="28"/>
  <c r="AH9" i="20"/>
  <c r="AH10" i="20" s="1"/>
  <c r="AB7" i="47"/>
  <c r="X61" i="47"/>
  <c r="AD26" i="34"/>
  <c r="AH17" i="28"/>
  <c r="AB13" i="47" s="1"/>
  <c r="AH49" i="19"/>
  <c r="AH51" i="19" s="1"/>
  <c r="AH36" i="19" s="1"/>
  <c r="AI37" i="19" s="1"/>
  <c r="AH30" i="19"/>
  <c r="AH32" i="19" s="1"/>
  <c r="AH47" i="16"/>
  <c r="AH33" i="16"/>
  <c r="AH34" i="16" s="1"/>
  <c r="AH13" i="16" s="1"/>
  <c r="AH15" i="16" s="1"/>
  <c r="AI27" i="13"/>
  <c r="AI29" i="13" s="1"/>
  <c r="AI12" i="13"/>
  <c r="AC11" i="31"/>
  <c r="X7" i="51" s="1"/>
  <c r="AD11" i="9"/>
  <c r="AC9" i="8"/>
  <c r="AD18" i="31"/>
  <c r="AE11" i="18"/>
  <c r="P18" i="32"/>
  <c r="AH26" i="20"/>
  <c r="AJ28" i="16"/>
  <c r="AJ14" i="16"/>
  <c r="AB29" i="47"/>
  <c r="X33" i="47" l="1"/>
  <c r="Y10" i="51"/>
  <c r="AH17" i="31"/>
  <c r="AB32" i="47" s="1"/>
  <c r="AI11" i="16"/>
  <c r="AI13" i="28"/>
  <c r="AC9" i="47" s="1"/>
  <c r="AH14" i="20"/>
  <c r="AH15" i="20" s="1"/>
  <c r="AH20" i="20"/>
  <c r="AH21" i="20" s="1"/>
  <c r="AH34" i="20" s="1"/>
  <c r="AI11" i="37"/>
  <c r="AI20" i="18"/>
  <c r="AI22" i="18" s="1"/>
  <c r="AI20" i="17"/>
  <c r="AI22" i="17" s="1"/>
  <c r="AI13" i="15"/>
  <c r="AI14" i="15" s="1"/>
  <c r="AI39" i="12"/>
  <c r="AI41" i="12" s="1"/>
  <c r="AI31" i="12"/>
  <c r="AO32" i="12" s="1"/>
  <c r="AI17" i="9"/>
  <c r="AI18" i="9" s="1"/>
  <c r="AI19" i="13"/>
  <c r="AI21" i="13" s="1"/>
  <c r="AE40" i="18"/>
  <c r="AE41" i="18" s="1"/>
  <c r="AE27" i="18"/>
  <c r="AE28" i="18" s="1"/>
  <c r="AJ26" i="13"/>
  <c r="AI30" i="13"/>
  <c r="AI9" i="31" s="1"/>
  <c r="AC24" i="47" s="1"/>
  <c r="AB10" i="47"/>
  <c r="AE40" i="17"/>
  <c r="AE41" i="17" s="1"/>
  <c r="AD29" i="34"/>
  <c r="X65" i="47"/>
  <c r="P26" i="35"/>
  <c r="X31" i="47"/>
  <c r="AD21" i="31"/>
  <c r="AD22" i="28"/>
  <c r="Y16" i="51" s="1"/>
  <c r="AD82" i="20"/>
  <c r="X15" i="47"/>
  <c r="P19" i="29"/>
  <c r="AI21" i="19"/>
  <c r="AI43" i="15"/>
  <c r="AI45" i="15" s="1"/>
  <c r="AI21" i="15"/>
  <c r="AK22" i="15" s="1"/>
  <c r="AJ20" i="34"/>
  <c r="AD59" i="47" s="1"/>
  <c r="R20" i="35"/>
  <c r="AI38" i="19"/>
  <c r="AI31" i="19"/>
  <c r="AI15" i="37"/>
  <c r="AJ51" i="12"/>
  <c r="AI17" i="37"/>
  <c r="AJ61" i="12"/>
  <c r="AI17" i="11"/>
  <c r="AI18" i="11" s="1"/>
  <c r="AG20" i="31"/>
  <c r="AA35" i="47" s="1"/>
  <c r="AH75" i="20"/>
  <c r="Q20" i="32"/>
  <c r="M20" i="33"/>
  <c r="K20" i="24"/>
  <c r="E35" i="50" s="1"/>
  <c r="AH24" i="34"/>
  <c r="AB63" i="47" s="1"/>
  <c r="AH19" i="31"/>
  <c r="AB34" i="47" s="1"/>
  <c r="AI29" i="19"/>
  <c r="W26" i="47"/>
  <c r="AC12" i="31"/>
  <c r="AJ25" i="10"/>
  <c r="AA50" i="47"/>
  <c r="AG12" i="34"/>
  <c r="AG21" i="28"/>
  <c r="Q21" i="29"/>
  <c r="AA17" i="47" l="1"/>
  <c r="AB24" i="51"/>
  <c r="AK8" i="34"/>
  <c r="AK44" i="15"/>
  <c r="AI10" i="31"/>
  <c r="AC25" i="47" s="1"/>
  <c r="AJ41" i="15"/>
  <c r="AD12" i="9"/>
  <c r="AD13" i="9" s="1"/>
  <c r="X68" i="47"/>
  <c r="P29" i="35"/>
  <c r="AJ24" i="10"/>
  <c r="AJ26" i="10" s="1"/>
  <c r="AI29" i="15"/>
  <c r="AI10" i="12"/>
  <c r="AI11" i="12" s="1"/>
  <c r="AH39" i="20"/>
  <c r="AH25" i="20"/>
  <c r="AH27" i="20" s="1"/>
  <c r="AI8" i="31"/>
  <c r="AJ18" i="13"/>
  <c r="AD23" i="9"/>
  <c r="X36" i="47"/>
  <c r="P21" i="32"/>
  <c r="AE46" i="17"/>
  <c r="AE47" i="17" s="1"/>
  <c r="AE42" i="17"/>
  <c r="AE33" i="17"/>
  <c r="AO13" i="37"/>
  <c r="AO40" i="12"/>
  <c r="AO52" i="12"/>
  <c r="AD37" i="9"/>
  <c r="AD38" i="9" s="1"/>
  <c r="X18" i="47"/>
  <c r="P22" i="29"/>
  <c r="AH66" i="20"/>
  <c r="AH68" i="20" s="1"/>
  <c r="AE29" i="18"/>
  <c r="AE14" i="18"/>
  <c r="AI12" i="37"/>
  <c r="AJ38" i="12"/>
  <c r="AI10" i="34"/>
  <c r="AE42" i="18"/>
  <c r="AE33" i="18"/>
  <c r="AE46" i="18"/>
  <c r="AE47" i="18" s="1"/>
  <c r="AI32" i="15"/>
  <c r="AI15" i="15"/>
  <c r="AI48" i="19"/>
  <c r="AI17" i="34"/>
  <c r="AC56" i="47" s="1"/>
  <c r="AI12" i="17"/>
  <c r="AI27" i="17"/>
  <c r="AO28" i="17" s="1"/>
  <c r="AI21" i="34"/>
  <c r="AC60" i="47" s="1"/>
  <c r="AI12" i="18"/>
  <c r="AI39" i="16"/>
  <c r="AI40" i="16" s="1"/>
  <c r="AG15" i="34"/>
  <c r="AA51" i="47"/>
  <c r="Q12" i="35"/>
  <c r="AI8" i="28"/>
  <c r="AI19" i="16"/>
  <c r="AI21" i="16" s="1"/>
  <c r="AI26" i="11"/>
  <c r="AI27" i="11" s="1"/>
  <c r="AC22" i="9"/>
  <c r="AC24" i="9" s="1"/>
  <c r="W27" i="47"/>
  <c r="AI9" i="19" l="1"/>
  <c r="AI11" i="19" s="1"/>
  <c r="AI22" i="19" s="1"/>
  <c r="AI23" i="19" s="1"/>
  <c r="AI30" i="15"/>
  <c r="AI36" i="15" s="1"/>
  <c r="AE18" i="28"/>
  <c r="AC23" i="31"/>
  <c r="W38" i="47" s="1"/>
  <c r="AC15" i="22"/>
  <c r="AC17" i="22" s="1"/>
  <c r="AC21" i="22" s="1"/>
  <c r="AI11" i="28"/>
  <c r="AC4" i="47"/>
  <c r="AE34" i="17"/>
  <c r="AE35" i="17" s="1"/>
  <c r="AE13" i="17" s="1"/>
  <c r="AE15" i="17" s="1"/>
  <c r="AE48" i="17"/>
  <c r="AA54" i="47"/>
  <c r="Q15" i="35"/>
  <c r="AD11" i="31"/>
  <c r="Y7" i="51" s="1"/>
  <c r="AE11" i="9"/>
  <c r="AD9" i="8"/>
  <c r="P11" i="32"/>
  <c r="AH77" i="20"/>
  <c r="AH69" i="20"/>
  <c r="AJ10" i="13"/>
  <c r="AJ11" i="13" s="1"/>
  <c r="AJ44" i="12"/>
  <c r="AJ45" i="12" s="1"/>
  <c r="AJ20" i="10"/>
  <c r="AJ21" i="10" s="1"/>
  <c r="AJ11" i="11"/>
  <c r="AJ12" i="11" s="1"/>
  <c r="AD25" i="31"/>
  <c r="X40" i="47" s="1"/>
  <c r="AE36" i="9"/>
  <c r="AD28" i="9"/>
  <c r="AD30" i="9" s="1"/>
  <c r="P25" i="32"/>
  <c r="AE22" i="34"/>
  <c r="AI14" i="34"/>
  <c r="AC53" i="47" s="1"/>
  <c r="AC23" i="47"/>
  <c r="AC49" i="47"/>
  <c r="AI14" i="31"/>
  <c r="AJ24" i="11"/>
  <c r="AJ25" i="12"/>
  <c r="AH35" i="20"/>
  <c r="AH36" i="20" s="1"/>
  <c r="AI33" i="20" s="1"/>
  <c r="AH40" i="20"/>
  <c r="AI41" i="16"/>
  <c r="AI45" i="16"/>
  <c r="AI46" i="16" s="1"/>
  <c r="AI32" i="16"/>
  <c r="AI19" i="34"/>
  <c r="AC58" i="47" s="1"/>
  <c r="AI26" i="16"/>
  <c r="AK27" i="16" s="1"/>
  <c r="AI12" i="16"/>
  <c r="AO29" i="17"/>
  <c r="AO14" i="17"/>
  <c r="AE48" i="18"/>
  <c r="AE34" i="18"/>
  <c r="AE35" i="18" s="1"/>
  <c r="AE13" i="18" s="1"/>
  <c r="AE15" i="18" s="1"/>
  <c r="AE16" i="28"/>
  <c r="Z21" i="51" s="1"/>
  <c r="AH41" i="20"/>
  <c r="AH46" i="20" s="1"/>
  <c r="AH47" i="20" s="1"/>
  <c r="AE47" i="47"/>
  <c r="Y14" i="47" l="1"/>
  <c r="Z23" i="51"/>
  <c r="AE18" i="31"/>
  <c r="AF11" i="18"/>
  <c r="AE25" i="34"/>
  <c r="Y64" i="47" s="1"/>
  <c r="AJ27" i="13"/>
  <c r="AJ29" i="13" s="1"/>
  <c r="AJ12" i="13"/>
  <c r="AD27" i="31"/>
  <c r="X42" i="47" s="1"/>
  <c r="AD16" i="22"/>
  <c r="P27" i="32"/>
  <c r="AH11" i="34"/>
  <c r="AK28" i="16"/>
  <c r="AK14" i="16"/>
  <c r="Y61" i="47"/>
  <c r="AO18" i="34"/>
  <c r="AI57" i="47" s="1"/>
  <c r="AI47" i="16"/>
  <c r="AI33" i="16"/>
  <c r="AI34" i="16" s="1"/>
  <c r="AI13" i="16" s="1"/>
  <c r="AI15" i="16" s="1"/>
  <c r="AE23" i="34"/>
  <c r="Y62" i="47" s="1"/>
  <c r="AH48" i="20"/>
  <c r="AH76" i="20"/>
  <c r="AH78" i="20" s="1"/>
  <c r="AH81" i="20"/>
  <c r="AI17" i="28"/>
  <c r="AC13" i="47" s="1"/>
  <c r="AC29" i="47"/>
  <c r="AE16" i="31"/>
  <c r="Z9" i="51" s="1"/>
  <c r="AF11" i="17"/>
  <c r="AJ16" i="19"/>
  <c r="AJ17" i="19" s="1"/>
  <c r="AJ42" i="15"/>
  <c r="AJ20" i="15"/>
  <c r="AJ25" i="11"/>
  <c r="AI15" i="31"/>
  <c r="AC30" i="47" s="1"/>
  <c r="AJ28" i="15"/>
  <c r="AJ10" i="37"/>
  <c r="AJ24" i="12"/>
  <c r="AJ26" i="12" s="1"/>
  <c r="AK17" i="10"/>
  <c r="R10" i="38"/>
  <c r="AI14" i="28"/>
  <c r="AI9" i="20"/>
  <c r="AI10" i="20" s="1"/>
  <c r="AC7" i="47"/>
  <c r="Y12" i="47"/>
  <c r="AE19" i="28"/>
  <c r="Z15" i="51" s="1"/>
  <c r="AI26" i="20"/>
  <c r="AJ16" i="37"/>
  <c r="AJ62" i="12"/>
  <c r="AJ64" i="12" s="1"/>
  <c r="AJ53" i="12"/>
  <c r="AJ56" i="12" s="1"/>
  <c r="R16" i="38"/>
  <c r="X26" i="47"/>
  <c r="AD12" i="31"/>
  <c r="AI30" i="19"/>
  <c r="AI32" i="19" s="1"/>
  <c r="AI49" i="19"/>
  <c r="AI51" i="19" s="1"/>
  <c r="AI36" i="19" s="1"/>
  <c r="AJ37" i="19" s="1"/>
  <c r="Y33" i="47" l="1"/>
  <c r="Z10" i="51"/>
  <c r="AI17" i="31"/>
  <c r="AC32" i="47" s="1"/>
  <c r="AJ11" i="16"/>
  <c r="AJ11" i="37"/>
  <c r="AJ20" i="18"/>
  <c r="AJ22" i="18" s="1"/>
  <c r="AJ20" i="17"/>
  <c r="AJ22" i="17" s="1"/>
  <c r="AJ13" i="15"/>
  <c r="AJ14" i="15" s="1"/>
  <c r="AJ19" i="13"/>
  <c r="AJ21" i="13" s="1"/>
  <c r="AJ17" i="9"/>
  <c r="AJ18" i="9" s="1"/>
  <c r="AJ39" i="12"/>
  <c r="AJ41" i="12" s="1"/>
  <c r="AJ31" i="12"/>
  <c r="AP32" i="12" s="1"/>
  <c r="R11" i="38"/>
  <c r="Y31" i="47"/>
  <c r="AE21" i="31"/>
  <c r="AH20" i="31"/>
  <c r="AB35" i="47" s="1"/>
  <c r="AI75" i="20"/>
  <c r="AI24" i="34"/>
  <c r="AC63" i="47" s="1"/>
  <c r="AJ13" i="28"/>
  <c r="AD9" i="47" s="1"/>
  <c r="R13" i="29"/>
  <c r="AH21" i="28"/>
  <c r="AB17" i="47" s="1"/>
  <c r="AJ30" i="13"/>
  <c r="AK26" i="13"/>
  <c r="AI14" i="20"/>
  <c r="AI15" i="20" s="1"/>
  <c r="AI20" i="20"/>
  <c r="AI21" i="20" s="1"/>
  <c r="AI34" i="20" s="1"/>
  <c r="AC10" i="47"/>
  <c r="AB50" i="47"/>
  <c r="AH12" i="34"/>
  <c r="AJ17" i="37"/>
  <c r="AK61" i="12"/>
  <c r="AJ17" i="11"/>
  <c r="AJ18" i="11" s="1"/>
  <c r="R17" i="38"/>
  <c r="AK20" i="34"/>
  <c r="AE59" i="47" s="1"/>
  <c r="AD22" i="9"/>
  <c r="AD24" i="9" s="1"/>
  <c r="X27" i="47"/>
  <c r="P12" i="32"/>
  <c r="AE22" i="28"/>
  <c r="Z16" i="51" s="1"/>
  <c r="AE82" i="20"/>
  <c r="Y15" i="47"/>
  <c r="AE26" i="34"/>
  <c r="AJ31" i="19"/>
  <c r="AJ38" i="19"/>
  <c r="AI19" i="31"/>
  <c r="AC34" i="47" s="1"/>
  <c r="AJ29" i="19"/>
  <c r="AF27" i="18"/>
  <c r="AF28" i="18" s="1"/>
  <c r="AF40" i="18"/>
  <c r="AF41" i="18" s="1"/>
  <c r="AF40" i="17"/>
  <c r="AF41" i="17" s="1"/>
  <c r="AJ15" i="37"/>
  <c r="AK51" i="12"/>
  <c r="R15" i="38"/>
  <c r="AK25" i="10"/>
  <c r="AJ21" i="19"/>
  <c r="AJ43" i="15"/>
  <c r="AJ45" i="15" s="1"/>
  <c r="AJ21" i="15"/>
  <c r="AL22" i="15" s="1"/>
  <c r="AL8" i="34" l="1"/>
  <c r="AL44" i="15"/>
  <c r="AJ10" i="31"/>
  <c r="AD25" i="47" s="1"/>
  <c r="AK41" i="15"/>
  <c r="R10" i="32"/>
  <c r="AJ48" i="19"/>
  <c r="AJ8" i="31"/>
  <c r="AK18" i="13"/>
  <c r="R8" i="32"/>
  <c r="AE37" i="9"/>
  <c r="AE38" i="9" s="1"/>
  <c r="Y18" i="47"/>
  <c r="AJ17" i="34"/>
  <c r="AD56" i="47" s="1"/>
  <c r="AJ27" i="17"/>
  <c r="AP28" i="17" s="1"/>
  <c r="AJ12" i="17"/>
  <c r="R17" i="35"/>
  <c r="AK24" i="10"/>
  <c r="AK26" i="10" s="1"/>
  <c r="AJ8" i="28"/>
  <c r="AJ19" i="16"/>
  <c r="AJ21" i="16" s="1"/>
  <c r="AJ26" i="11"/>
  <c r="AJ27" i="11" s="1"/>
  <c r="R8" i="29"/>
  <c r="AJ21" i="34"/>
  <c r="AD60" i="47" s="1"/>
  <c r="AJ12" i="18"/>
  <c r="R21" i="35"/>
  <c r="AF46" i="17"/>
  <c r="AF47" i="17" s="1"/>
  <c r="AF42" i="17"/>
  <c r="AF33" i="17"/>
  <c r="AE29" i="34"/>
  <c r="Y65" i="47"/>
  <c r="AF46" i="18"/>
  <c r="AF47" i="18" s="1"/>
  <c r="AF42" i="18"/>
  <c r="AF33" i="18"/>
  <c r="AD23" i="31"/>
  <c r="X38" i="47" s="1"/>
  <c r="AD15" i="22"/>
  <c r="AD17" i="22" s="1"/>
  <c r="AD21" i="22" s="1"/>
  <c r="P23" i="32"/>
  <c r="AP13" i="37"/>
  <c r="AP40" i="12"/>
  <c r="AP52" i="12"/>
  <c r="T13" i="38"/>
  <c r="AJ9" i="31"/>
  <c r="AD24" i="47" s="1"/>
  <c r="R9" i="32"/>
  <c r="AF29" i="18"/>
  <c r="AF14" i="18"/>
  <c r="AH15" i="34"/>
  <c r="AB51" i="47"/>
  <c r="AI39" i="20"/>
  <c r="AI25" i="20"/>
  <c r="AI27" i="20" s="1"/>
  <c r="AI66" i="20"/>
  <c r="AI68" i="20" s="1"/>
  <c r="AJ12" i="37"/>
  <c r="AK38" i="12"/>
  <c r="R12" i="38"/>
  <c r="AJ39" i="16"/>
  <c r="AJ40" i="16" s="1"/>
  <c r="AE23" i="9"/>
  <c r="Y36" i="47"/>
  <c r="AJ32" i="15"/>
  <c r="AJ15" i="15"/>
  <c r="AJ10" i="34"/>
  <c r="R10" i="35"/>
  <c r="AJ29" i="15"/>
  <c r="AJ10" i="12"/>
  <c r="AJ11" i="12" s="1"/>
  <c r="AJ11" i="28" l="1"/>
  <c r="AD4" i="47"/>
  <c r="AE12" i="9"/>
  <c r="AE13" i="9" s="1"/>
  <c r="Y68" i="47"/>
  <c r="AK11" i="11"/>
  <c r="AK12" i="11" s="1"/>
  <c r="AK20" i="10"/>
  <c r="AK21" i="10" s="1"/>
  <c r="AK44" i="12"/>
  <c r="AK45" i="12" s="1"/>
  <c r="AJ14" i="34"/>
  <c r="AD53" i="47" s="1"/>
  <c r="R14" i="35"/>
  <c r="AF18" i="28"/>
  <c r="AJ32" i="16"/>
  <c r="AJ45" i="16"/>
  <c r="AJ46" i="16" s="1"/>
  <c r="AJ41" i="16"/>
  <c r="AB54" i="47"/>
  <c r="AF48" i="18"/>
  <c r="AF34" i="18"/>
  <c r="AF35" i="18" s="1"/>
  <c r="AF13" i="18" s="1"/>
  <c r="AF15" i="18" s="1"/>
  <c r="AF16" i="28"/>
  <c r="AA21" i="51" s="1"/>
  <c r="AE25" i="31"/>
  <c r="Y40" i="47" s="1"/>
  <c r="AE28" i="9"/>
  <c r="AE30" i="9" s="1"/>
  <c r="AF36" i="9"/>
  <c r="AI77" i="20"/>
  <c r="AI69" i="20"/>
  <c r="AD49" i="47"/>
  <c r="AK25" i="12"/>
  <c r="AJ9" i="19"/>
  <c r="AJ11" i="19" s="1"/>
  <c r="AJ22" i="19" s="1"/>
  <c r="AJ23" i="19" s="1"/>
  <c r="AJ30" i="15"/>
  <c r="AF34" i="17"/>
  <c r="AF35" i="17" s="1"/>
  <c r="AF13" i="17" s="1"/>
  <c r="AF15" i="17" s="1"/>
  <c r="AF48" i="17"/>
  <c r="AI40" i="20"/>
  <c r="AI41" i="20" s="1"/>
  <c r="AI46" i="20" s="1"/>
  <c r="AI47" i="20" s="1"/>
  <c r="AI35" i="20"/>
  <c r="AI36" i="20" s="1"/>
  <c r="AJ33" i="20" s="1"/>
  <c r="AF22" i="34"/>
  <c r="AJ14" i="31"/>
  <c r="AK24" i="11"/>
  <c r="R14" i="32"/>
  <c r="AK10" i="13"/>
  <c r="AK11" i="13" s="1"/>
  <c r="AJ36" i="15"/>
  <c r="AJ19" i="34"/>
  <c r="AD58" i="47" s="1"/>
  <c r="AJ26" i="16"/>
  <c r="AL27" i="16" s="1"/>
  <c r="AJ12" i="16"/>
  <c r="R19" i="35"/>
  <c r="AP29" i="17"/>
  <c r="AP14" i="17"/>
  <c r="AD23" i="47"/>
  <c r="AF47" i="47"/>
  <c r="Z14" i="47" l="1"/>
  <c r="AA23" i="51"/>
  <c r="AF18" i="31"/>
  <c r="AG11" i="18"/>
  <c r="AF16" i="31"/>
  <c r="AA9" i="51" s="1"/>
  <c r="AG11" i="17"/>
  <c r="AK16" i="19"/>
  <c r="AK17" i="19" s="1"/>
  <c r="AK42" i="15"/>
  <c r="AK20" i="15"/>
  <c r="AK25" i="11"/>
  <c r="AI76" i="20"/>
  <c r="AI78" i="20" s="1"/>
  <c r="AI81" i="20"/>
  <c r="AI48" i="20"/>
  <c r="Z61" i="47"/>
  <c r="AJ17" i="28"/>
  <c r="AD13" i="47" s="1"/>
  <c r="R17" i="29"/>
  <c r="AJ47" i="16"/>
  <c r="AJ33" i="16"/>
  <c r="AK27" i="13"/>
  <c r="AK29" i="13" s="1"/>
  <c r="AK12" i="13"/>
  <c r="AF23" i="34"/>
  <c r="Z62" i="47" s="1"/>
  <c r="AI11" i="34"/>
  <c r="AF25" i="34"/>
  <c r="Z64" i="47" s="1"/>
  <c r="AJ34" i="16"/>
  <c r="AJ13" i="16" s="1"/>
  <c r="AJ15" i="16" s="1"/>
  <c r="AJ15" i="31"/>
  <c r="AD30" i="47" s="1"/>
  <c r="AK28" i="15"/>
  <c r="R15" i="32"/>
  <c r="Z12" i="47"/>
  <c r="AF19" i="28"/>
  <c r="AA15" i="51" s="1"/>
  <c r="AE11" i="31"/>
  <c r="Z7" i="51" s="1"/>
  <c r="AF11" i="9"/>
  <c r="AE9" i="8"/>
  <c r="AP18" i="34"/>
  <c r="AJ57" i="47" s="1"/>
  <c r="T18" i="35"/>
  <c r="AK16" i="37"/>
  <c r="AK62" i="12"/>
  <c r="AK64" i="12" s="1"/>
  <c r="AK53" i="12"/>
  <c r="AK56" i="12" s="1"/>
  <c r="AJ26" i="20"/>
  <c r="AL28" i="16"/>
  <c r="AL14" i="16"/>
  <c r="AD29" i="47"/>
  <c r="AJ49" i="19"/>
  <c r="AJ51" i="19" s="1"/>
  <c r="AJ36" i="19" s="1"/>
  <c r="AK37" i="19" s="1"/>
  <c r="AJ30" i="19"/>
  <c r="AJ32" i="19" s="1"/>
  <c r="AE27" i="31"/>
  <c r="Y42" i="47" s="1"/>
  <c r="AE16" i="22"/>
  <c r="AK10" i="37"/>
  <c r="AK24" i="12"/>
  <c r="AK26" i="12" s="1"/>
  <c r="AL17" i="10"/>
  <c r="AJ14" i="28"/>
  <c r="AJ9" i="20"/>
  <c r="AJ10" i="20" s="1"/>
  <c r="AD7" i="47"/>
  <c r="R11" i="29"/>
  <c r="Z33" i="47" l="1"/>
  <c r="AA10" i="51"/>
  <c r="AJ17" i="31"/>
  <c r="AD32" i="47" s="1"/>
  <c r="AK11" i="16"/>
  <c r="R17" i="32"/>
  <c r="AD10" i="47"/>
  <c r="R14" i="29"/>
  <c r="AC50" i="47"/>
  <c r="AI12" i="34"/>
  <c r="AL25" i="10"/>
  <c r="AK11" i="37"/>
  <c r="AK20" i="18"/>
  <c r="AK22" i="18" s="1"/>
  <c r="AK20" i="17"/>
  <c r="AK22" i="17" s="1"/>
  <c r="AK13" i="15"/>
  <c r="AK14" i="15" s="1"/>
  <c r="AK19" i="13"/>
  <c r="AK21" i="13" s="1"/>
  <c r="AK31" i="12"/>
  <c r="AQ32" i="12" s="1"/>
  <c r="AK39" i="12"/>
  <c r="AK41" i="12" s="1"/>
  <c r="AK17" i="9"/>
  <c r="AK18" i="9" s="1"/>
  <c r="AK17" i="37"/>
  <c r="AL61" i="12"/>
  <c r="AK17" i="11"/>
  <c r="AK18" i="11" s="1"/>
  <c r="AK15" i="37"/>
  <c r="AL51" i="12"/>
  <c r="AL20" i="34"/>
  <c r="AF59" i="47" s="1"/>
  <c r="AK13" i="28"/>
  <c r="AE9" i="47" s="1"/>
  <c r="AF26" i="34"/>
  <c r="AK21" i="19"/>
  <c r="AK43" i="15"/>
  <c r="AK45" i="15" s="1"/>
  <c r="AK21" i="15"/>
  <c r="AM22" i="15" s="1"/>
  <c r="AJ14" i="20"/>
  <c r="AJ15" i="20" s="1"/>
  <c r="AJ20" i="20"/>
  <c r="AJ21" i="20" s="1"/>
  <c r="AJ34" i="20" s="1"/>
  <c r="AK30" i="13"/>
  <c r="AK9" i="31" s="1"/>
  <c r="AE24" i="47" s="1"/>
  <c r="AL26" i="13"/>
  <c r="AG40" i="17"/>
  <c r="AG41" i="17" s="1"/>
  <c r="Y26" i="47"/>
  <c r="AE12" i="31"/>
  <c r="AF22" i="28"/>
  <c r="AA16" i="51" s="1"/>
  <c r="AF82" i="20"/>
  <c r="Z15" i="47"/>
  <c r="AI21" i="28"/>
  <c r="AC17" i="47" s="1"/>
  <c r="Z31" i="47"/>
  <c r="AF21" i="31"/>
  <c r="AJ19" i="31"/>
  <c r="AD34" i="47" s="1"/>
  <c r="AK29" i="19"/>
  <c r="R19" i="32"/>
  <c r="AJ24" i="34"/>
  <c r="AD63" i="47" s="1"/>
  <c r="R24" i="35"/>
  <c r="AG27" i="18"/>
  <c r="AG28" i="18" s="1"/>
  <c r="AG40" i="18"/>
  <c r="AG41" i="18" s="1"/>
  <c r="AK31" i="19"/>
  <c r="AK38" i="19"/>
  <c r="AI20" i="31"/>
  <c r="AC35" i="47" s="1"/>
  <c r="AJ75" i="20"/>
  <c r="AM8" i="34" l="1"/>
  <c r="AM44" i="15"/>
  <c r="S8" i="35"/>
  <c r="AK21" i="34"/>
  <c r="AE60" i="47" s="1"/>
  <c r="AK12" i="18"/>
  <c r="AG33" i="17"/>
  <c r="AG42" i="17"/>
  <c r="AG46" i="17"/>
  <c r="AG47" i="17" s="1"/>
  <c r="AF29" i="34"/>
  <c r="Z65" i="47"/>
  <c r="AL24" i="10"/>
  <c r="AL26" i="10" s="1"/>
  <c r="AK29" i="15"/>
  <c r="AK10" i="12"/>
  <c r="AK11" i="12" s="1"/>
  <c r="AK10" i="34"/>
  <c r="AK10" i="31"/>
  <c r="AE25" i="47" s="1"/>
  <c r="AL41" i="15"/>
  <c r="AK12" i="37"/>
  <c r="AL38" i="12"/>
  <c r="AK48" i="19"/>
  <c r="AK8" i="28"/>
  <c r="AK19" i="16"/>
  <c r="AK21" i="16" s="1"/>
  <c r="AK26" i="11"/>
  <c r="AK27" i="11" s="1"/>
  <c r="AQ13" i="37"/>
  <c r="AQ52" i="12"/>
  <c r="AQ40" i="12"/>
  <c r="AG14" i="18"/>
  <c r="AG29" i="18"/>
  <c r="AF37" i="9"/>
  <c r="AF38" i="9" s="1"/>
  <c r="Z18" i="47"/>
  <c r="AJ39" i="20"/>
  <c r="AJ25" i="20"/>
  <c r="AJ27" i="20" s="1"/>
  <c r="AK8" i="31"/>
  <c r="AL18" i="13"/>
  <c r="AI15" i="34"/>
  <c r="AC51" i="47"/>
  <c r="AG42" i="18"/>
  <c r="AG46" i="18"/>
  <c r="AG47" i="18" s="1"/>
  <c r="AG33" i="18"/>
  <c r="AF23" i="9"/>
  <c r="Z36" i="47"/>
  <c r="AJ66" i="20"/>
  <c r="AJ68" i="20" s="1"/>
  <c r="AE22" i="9"/>
  <c r="AE24" i="9" s="1"/>
  <c r="Y27" i="47"/>
  <c r="AK32" i="15"/>
  <c r="AK15" i="15"/>
  <c r="AK39" i="16"/>
  <c r="AK40" i="16" s="1"/>
  <c r="AK17" i="34"/>
  <c r="AE56" i="47" s="1"/>
  <c r="AK12" i="17"/>
  <c r="AK27" i="17"/>
  <c r="AQ28" i="17" s="1"/>
  <c r="AC54" i="47" l="1"/>
  <c r="AK11" i="28"/>
  <c r="AE4" i="47"/>
  <c r="AL11" i="11"/>
  <c r="AL12" i="11" s="1"/>
  <c r="AL20" i="10"/>
  <c r="AL21" i="10" s="1"/>
  <c r="AL44" i="12"/>
  <c r="AL45" i="12" s="1"/>
  <c r="AJ77" i="20"/>
  <c r="AJ69" i="20"/>
  <c r="AK32" i="16"/>
  <c r="AK45" i="16"/>
  <c r="AK46" i="16" s="1"/>
  <c r="AK41" i="16"/>
  <c r="AF25" i="31"/>
  <c r="Z40" i="47" s="1"/>
  <c r="AF28" i="9"/>
  <c r="AF30" i="9" s="1"/>
  <c r="AG36" i="9"/>
  <c r="AL10" i="13"/>
  <c r="AL11" i="13" s="1"/>
  <c r="AG22" i="34"/>
  <c r="Q22" i="35"/>
  <c r="AL25" i="12"/>
  <c r="AE49" i="47"/>
  <c r="AF12" i="9"/>
  <c r="AF13" i="9" s="1"/>
  <c r="Z68" i="47"/>
  <c r="AK14" i="34"/>
  <c r="AE53" i="47" s="1"/>
  <c r="AK9" i="19"/>
  <c r="AK11" i="19" s="1"/>
  <c r="AK22" i="19" s="1"/>
  <c r="AK23" i="19" s="1"/>
  <c r="AK30" i="15"/>
  <c r="AK36" i="15" s="1"/>
  <c r="AG34" i="17"/>
  <c r="AG48" i="17"/>
  <c r="AG48" i="18"/>
  <c r="AG34" i="18"/>
  <c r="AG35" i="18" s="1"/>
  <c r="AG13" i="18" s="1"/>
  <c r="AG15" i="18" s="1"/>
  <c r="AG18" i="28"/>
  <c r="Q18" i="29"/>
  <c r="AK14" i="31"/>
  <c r="AL24" i="11"/>
  <c r="AG16" i="28"/>
  <c r="AB21" i="51" s="1"/>
  <c r="Q16" i="29"/>
  <c r="AE23" i="47"/>
  <c r="AQ29" i="17"/>
  <c r="AQ14" i="17"/>
  <c r="AE23" i="31"/>
  <c r="Y38" i="47" s="1"/>
  <c r="AE15" i="22"/>
  <c r="AE17" i="22" s="1"/>
  <c r="AE21" i="22" s="1"/>
  <c r="AJ35" i="20"/>
  <c r="AJ36" i="20" s="1"/>
  <c r="AK33" i="20" s="1"/>
  <c r="AJ40" i="20"/>
  <c r="AJ41" i="20" s="1"/>
  <c r="AJ46" i="20" s="1"/>
  <c r="AJ47" i="20" s="1"/>
  <c r="AK19" i="34"/>
  <c r="AE58" i="47" s="1"/>
  <c r="AK26" i="16"/>
  <c r="AM27" i="16" s="1"/>
  <c r="AK12" i="16"/>
  <c r="AG35" i="17"/>
  <c r="AG13" i="17" s="1"/>
  <c r="AG15" i="17" s="1"/>
  <c r="AG47" i="47"/>
  <c r="AA14" i="47" l="1"/>
  <c r="AB23" i="51"/>
  <c r="AJ76" i="20"/>
  <c r="AJ78" i="20" s="1"/>
  <c r="AJ81" i="20"/>
  <c r="AJ48" i="20"/>
  <c r="AK17" i="28"/>
  <c r="AE13" i="47" s="1"/>
  <c r="AK15" i="31"/>
  <c r="AE30" i="47" s="1"/>
  <c r="AL28" i="15"/>
  <c r="AA61" i="47"/>
  <c r="AK33" i="16"/>
  <c r="AK47" i="16"/>
  <c r="AK14" i="28"/>
  <c r="AK9" i="20"/>
  <c r="AK10" i="20" s="1"/>
  <c r="AE7" i="47"/>
  <c r="AF11" i="31"/>
  <c r="AA7" i="51" s="1"/>
  <c r="AG11" i="9"/>
  <c r="AF9" i="8"/>
  <c r="AL12" i="13"/>
  <c r="AL27" i="13"/>
  <c r="AL29" i="13" s="1"/>
  <c r="AK34" i="16"/>
  <c r="AK13" i="16" s="1"/>
  <c r="AQ18" i="34"/>
  <c r="AK57" i="47" s="1"/>
  <c r="AE29" i="47"/>
  <c r="AK30" i="19"/>
  <c r="AK32" i="19" s="1"/>
  <c r="AK49" i="19"/>
  <c r="AK51" i="19" s="1"/>
  <c r="AK36" i="19" s="1"/>
  <c r="AL37" i="19" s="1"/>
  <c r="AG18" i="31"/>
  <c r="AH11" i="18"/>
  <c r="M18" i="33"/>
  <c r="K18" i="24"/>
  <c r="E33" i="50" s="1"/>
  <c r="Q18" i="32"/>
  <c r="AJ11" i="34"/>
  <c r="R11" i="35"/>
  <c r="AG23" i="34"/>
  <c r="AA62" i="47" s="1"/>
  <c r="Q23" i="35"/>
  <c r="AL16" i="37"/>
  <c r="AL53" i="12"/>
  <c r="AL56" i="12" s="1"/>
  <c r="AL62" i="12"/>
  <c r="AL64" i="12" s="1"/>
  <c r="AK15" i="16"/>
  <c r="AM28" i="16"/>
  <c r="AM14" i="16"/>
  <c r="AF27" i="31"/>
  <c r="Z42" i="47" s="1"/>
  <c r="AF16" i="22"/>
  <c r="AL10" i="37"/>
  <c r="AL24" i="12"/>
  <c r="AL26" i="12" s="1"/>
  <c r="AM17" i="10"/>
  <c r="AG16" i="31"/>
  <c r="AB9" i="51" s="1"/>
  <c r="AH11" i="17"/>
  <c r="K16" i="24"/>
  <c r="E31" i="50" s="1"/>
  <c r="M16" i="33"/>
  <c r="Q16" i="32"/>
  <c r="AK26" i="20"/>
  <c r="AA12" i="47"/>
  <c r="AG19" i="28"/>
  <c r="AB15" i="51" s="1"/>
  <c r="AG25" i="34"/>
  <c r="AA64" i="47" s="1"/>
  <c r="Q25" i="35"/>
  <c r="AL16" i="19"/>
  <c r="AL17" i="19" s="1"/>
  <c r="AL42" i="15"/>
  <c r="AL20" i="15"/>
  <c r="AL25" i="11"/>
  <c r="AA33" i="47" l="1"/>
  <c r="AB10" i="51"/>
  <c r="AL30" i="13"/>
  <c r="AL9" i="31" s="1"/>
  <c r="AF24" i="47" s="1"/>
  <c r="AM26" i="13"/>
  <c r="AM25" i="10"/>
  <c r="AL17" i="37"/>
  <c r="AL17" i="11"/>
  <c r="AL18" i="11" s="1"/>
  <c r="AM61" i="12"/>
  <c r="AL15" i="37"/>
  <c r="AM51" i="12"/>
  <c r="AK19" i="31"/>
  <c r="AE34" i="47" s="1"/>
  <c r="AL29" i="19"/>
  <c r="AL13" i="28"/>
  <c r="AF9" i="47" s="1"/>
  <c r="AK14" i="20"/>
  <c r="AK15" i="20" s="1"/>
  <c r="AK20" i="20"/>
  <c r="AK21" i="20" s="1"/>
  <c r="AK34" i="20" s="1"/>
  <c r="AL11" i="37"/>
  <c r="AL20" i="18"/>
  <c r="AL22" i="18" s="1"/>
  <c r="AL20" i="17"/>
  <c r="AL22" i="17" s="1"/>
  <c r="AL13" i="15"/>
  <c r="AL14" i="15" s="1"/>
  <c r="AL19" i="13"/>
  <c r="AL21" i="13" s="1"/>
  <c r="AL31" i="12"/>
  <c r="AR32" i="12" s="1"/>
  <c r="AL39" i="12"/>
  <c r="AL41" i="12" s="1"/>
  <c r="AL17" i="9"/>
  <c r="AL18" i="9" s="1"/>
  <c r="AL31" i="19"/>
  <c r="AL38" i="19"/>
  <c r="AD50" i="47"/>
  <c r="AJ12" i="34"/>
  <c r="AE10" i="47"/>
  <c r="AK24" i="34"/>
  <c r="AE63" i="47" s="1"/>
  <c r="Z26" i="47"/>
  <c r="AF12" i="31"/>
  <c r="AH40" i="17"/>
  <c r="AH41" i="17" s="1"/>
  <c r="AM20" i="34"/>
  <c r="AG59" i="47" s="1"/>
  <c r="S20" i="35"/>
  <c r="AG26" i="34"/>
  <c r="AJ21" i="28"/>
  <c r="AD17" i="47" s="1"/>
  <c r="R21" i="29"/>
  <c r="AL21" i="19"/>
  <c r="AL43" i="15"/>
  <c r="AL45" i="15" s="1"/>
  <c r="AL21" i="15"/>
  <c r="AN22" i="15" s="1"/>
  <c r="AG22" i="28"/>
  <c r="AB16" i="51" s="1"/>
  <c r="AG82" i="20"/>
  <c r="AA15" i="47"/>
  <c r="Q19" i="29"/>
  <c r="AA31" i="47"/>
  <c r="AG21" i="31"/>
  <c r="AK17" i="31"/>
  <c r="AE32" i="47" s="1"/>
  <c r="AL11" i="16"/>
  <c r="AH27" i="18"/>
  <c r="AH28" i="18" s="1"/>
  <c r="AH40" i="18"/>
  <c r="AH41" i="18" s="1"/>
  <c r="AJ20" i="31"/>
  <c r="AD35" i="47" s="1"/>
  <c r="AK75" i="20"/>
  <c r="R20" i="32"/>
  <c r="AN8" i="34" l="1"/>
  <c r="AN44" i="15"/>
  <c r="AL10" i="31"/>
  <c r="AF25" i="47" s="1"/>
  <c r="AM41" i="15"/>
  <c r="AK66" i="20"/>
  <c r="AK68" i="20" s="1"/>
  <c r="AG23" i="9"/>
  <c r="AA36" i="47"/>
  <c r="Q21" i="32"/>
  <c r="M21" i="33"/>
  <c r="K21" i="24"/>
  <c r="E36" i="50" s="1"/>
  <c r="AL8" i="31"/>
  <c r="AM18" i="13"/>
  <c r="AK25" i="20"/>
  <c r="AK27" i="20" s="1"/>
  <c r="AK39" i="20"/>
  <c r="AJ15" i="34"/>
  <c r="AD51" i="47"/>
  <c r="R12" i="35"/>
  <c r="AF22" i="9"/>
  <c r="AF24" i="9" s="1"/>
  <c r="Z27" i="47"/>
  <c r="AL10" i="34"/>
  <c r="AL17" i="34"/>
  <c r="AF56" i="47" s="1"/>
  <c r="AL27" i="17"/>
  <c r="AR28" i="17" s="1"/>
  <c r="AL12" i="17"/>
  <c r="AL12" i="37"/>
  <c r="AM38" i="12"/>
  <c r="AR13" i="37"/>
  <c r="AR52" i="12"/>
  <c r="AR40" i="12"/>
  <c r="AL8" i="28"/>
  <c r="AL19" i="16"/>
  <c r="AL21" i="16" s="1"/>
  <c r="AL26" i="11"/>
  <c r="AL27" i="11" s="1"/>
  <c r="AH46" i="17"/>
  <c r="AH47" i="17" s="1"/>
  <c r="AH42" i="17"/>
  <c r="AH33" i="17"/>
  <c r="AL32" i="15"/>
  <c r="AL15" i="15"/>
  <c r="AL21" i="34"/>
  <c r="AF60" i="47" s="1"/>
  <c r="AL12" i="18"/>
  <c r="AM24" i="10"/>
  <c r="AM26" i="10" s="1"/>
  <c r="AL39" i="16"/>
  <c r="AL40" i="16" s="1"/>
  <c r="AL48" i="19"/>
  <c r="AH46" i="18"/>
  <c r="AH47" i="18" s="1"/>
  <c r="AH42" i="18"/>
  <c r="AH33" i="18"/>
  <c r="AH14" i="18"/>
  <c r="AH29" i="18"/>
  <c r="AG37" i="9"/>
  <c r="AG38" i="9" s="1"/>
  <c r="AA18" i="47"/>
  <c r="Q22" i="29"/>
  <c r="AG29" i="34"/>
  <c r="AA65" i="47"/>
  <c r="Q26" i="35"/>
  <c r="AL29" i="15"/>
  <c r="AL10" i="12"/>
  <c r="AL11" i="12" s="1"/>
  <c r="AL9" i="19" l="1"/>
  <c r="AL11" i="19" s="1"/>
  <c r="AL22" i="19" s="1"/>
  <c r="AL23" i="19" s="1"/>
  <c r="AL30" i="15"/>
  <c r="AL19" i="34"/>
  <c r="AF58" i="47" s="1"/>
  <c r="AL26" i="16"/>
  <c r="AN27" i="16" s="1"/>
  <c r="AL12" i="16"/>
  <c r="AM10" i="13"/>
  <c r="AM11" i="13" s="1"/>
  <c r="AG25" i="31"/>
  <c r="AA40" i="47" s="1"/>
  <c r="AH36" i="9"/>
  <c r="AG28" i="9"/>
  <c r="AG30" i="9" s="1"/>
  <c r="M25" i="33"/>
  <c r="Q25" i="32"/>
  <c r="K25" i="24"/>
  <c r="E40" i="50" s="1"/>
  <c r="AL14" i="34"/>
  <c r="AF53" i="47" s="1"/>
  <c r="AL11" i="28"/>
  <c r="AF4" i="47"/>
  <c r="AF23" i="47"/>
  <c r="AK69" i="20"/>
  <c r="AK77" i="20"/>
  <c r="AR14" i="17"/>
  <c r="AR29" i="17"/>
  <c r="AH22" i="34"/>
  <c r="AL36" i="15"/>
  <c r="AH16" i="28"/>
  <c r="AD54" i="47"/>
  <c r="R15" i="35"/>
  <c r="AH18" i="28"/>
  <c r="AB14" i="47" s="1"/>
  <c r="AM11" i="11"/>
  <c r="AM12" i="11" s="1"/>
  <c r="AM20" i="10"/>
  <c r="AM21" i="10" s="1"/>
  <c r="AM44" i="12"/>
  <c r="AM45" i="12" s="1"/>
  <c r="AH48" i="17"/>
  <c r="AH34" i="17"/>
  <c r="AH35" i="17" s="1"/>
  <c r="AH13" i="17" s="1"/>
  <c r="AH15" i="17" s="1"/>
  <c r="AF49" i="47"/>
  <c r="AM25" i="12"/>
  <c r="AL32" i="16"/>
  <c r="AL45" i="16"/>
  <c r="AL46" i="16" s="1"/>
  <c r="AL41" i="16"/>
  <c r="AG12" i="9"/>
  <c r="AG13" i="9" s="1"/>
  <c r="AA68" i="47"/>
  <c r="Q29" i="35"/>
  <c r="AH48" i="18"/>
  <c r="AH34" i="18"/>
  <c r="AH35" i="18" s="1"/>
  <c r="AH13" i="18" s="1"/>
  <c r="AH15" i="18" s="1"/>
  <c r="AL14" i="31"/>
  <c r="AM24" i="11"/>
  <c r="AF23" i="31"/>
  <c r="Z38" i="47" s="1"/>
  <c r="AF15" i="22"/>
  <c r="AF17" i="22" s="1"/>
  <c r="AF21" i="22" s="1"/>
  <c r="AK35" i="20"/>
  <c r="AK36" i="20" s="1"/>
  <c r="AL33" i="20" s="1"/>
  <c r="AK40" i="20"/>
  <c r="AK41" i="20" s="1"/>
  <c r="AK46" i="20" s="1"/>
  <c r="AK47" i="20" s="1"/>
  <c r="AH47" i="47"/>
  <c r="AH18" i="31" l="1"/>
  <c r="AB33" i="47" s="1"/>
  <c r="AI11" i="18"/>
  <c r="AK76" i="20"/>
  <c r="AK78" i="20" s="1"/>
  <c r="AK81" i="20"/>
  <c r="AK48" i="20"/>
  <c r="AM27" i="13"/>
  <c r="AM29" i="13" s="1"/>
  <c r="AM12" i="13"/>
  <c r="AH25" i="34"/>
  <c r="AB64" i="47" s="1"/>
  <c r="AM16" i="19"/>
  <c r="AM17" i="19" s="1"/>
  <c r="AM42" i="15"/>
  <c r="AM20" i="15"/>
  <c r="AM25" i="11"/>
  <c r="AL15" i="31"/>
  <c r="AF30" i="47" s="1"/>
  <c r="AM28" i="15"/>
  <c r="AK11" i="34"/>
  <c r="AL26" i="20"/>
  <c r="AN28" i="16"/>
  <c r="AN14" i="16"/>
  <c r="AH16" i="31"/>
  <c r="AI11" i="17"/>
  <c r="AG11" i="31"/>
  <c r="AB7" i="51" s="1"/>
  <c r="AH11" i="9"/>
  <c r="AG9" i="8"/>
  <c r="Q11" i="32"/>
  <c r="K11" i="24"/>
  <c r="E26" i="50" s="1"/>
  <c r="M11" i="33"/>
  <c r="AG27" i="31"/>
  <c r="AA42" i="47" s="1"/>
  <c r="AG16" i="22"/>
  <c r="Q27" i="32"/>
  <c r="M27" i="33"/>
  <c r="K27" i="24"/>
  <c r="E42" i="50" s="1"/>
  <c r="AM10" i="37"/>
  <c r="AM24" i="12"/>
  <c r="AM26" i="12" s="1"/>
  <c r="AN17" i="10"/>
  <c r="N10" i="39"/>
  <c r="S10" i="38"/>
  <c r="AL17" i="28"/>
  <c r="AF13" i="47" s="1"/>
  <c r="AB61" i="47"/>
  <c r="AL33" i="16"/>
  <c r="AL34" i="16" s="1"/>
  <c r="AL13" i="16" s="1"/>
  <c r="AL15" i="16" s="1"/>
  <c r="AL47" i="16"/>
  <c r="AH23" i="34"/>
  <c r="AB62" i="47" s="1"/>
  <c r="AB12" i="47"/>
  <c r="AH19" i="28"/>
  <c r="AL14" i="28"/>
  <c r="AL9" i="20"/>
  <c r="AL10" i="20" s="1"/>
  <c r="AF7" i="47"/>
  <c r="AF29" i="47"/>
  <c r="AM16" i="37"/>
  <c r="AM62" i="12"/>
  <c r="AM64" i="12" s="1"/>
  <c r="AM53" i="12"/>
  <c r="AM56" i="12" s="1"/>
  <c r="S16" i="38"/>
  <c r="AR18" i="34"/>
  <c r="AL57" i="47" s="1"/>
  <c r="AL30" i="19"/>
  <c r="AL32" i="19" s="1"/>
  <c r="AL49" i="19"/>
  <c r="AL51" i="19" s="1"/>
  <c r="AL36" i="19" s="1"/>
  <c r="AM37" i="19" s="1"/>
  <c r="AH26" i="34" l="1"/>
  <c r="AL17" i="31"/>
  <c r="AF32" i="47" s="1"/>
  <c r="AM11" i="16"/>
  <c r="AM13" i="28"/>
  <c r="AG9" i="47" s="1"/>
  <c r="S13" i="29"/>
  <c r="AL19" i="31"/>
  <c r="AF34" i="47" s="1"/>
  <c r="AM29" i="19"/>
  <c r="AM30" i="13"/>
  <c r="AN26" i="13"/>
  <c r="AA26" i="47"/>
  <c r="AG12" i="31"/>
  <c r="AK21" i="28"/>
  <c r="AE17" i="47" s="1"/>
  <c r="AM15" i="37"/>
  <c r="AN51" i="12"/>
  <c r="S15" i="38"/>
  <c r="N15" i="39"/>
  <c r="AL24" i="34"/>
  <c r="AF63" i="47" s="1"/>
  <c r="AI40" i="17"/>
  <c r="AI41" i="17" s="1"/>
  <c r="AM21" i="19"/>
  <c r="AM43" i="15"/>
  <c r="AM45" i="15" s="1"/>
  <c r="AM21" i="15"/>
  <c r="AO22" i="15" s="1"/>
  <c r="AM31" i="19"/>
  <c r="AM38" i="19"/>
  <c r="AH29" i="34"/>
  <c r="AB65" i="47"/>
  <c r="AM17" i="37"/>
  <c r="AM17" i="11"/>
  <c r="AM18" i="11" s="1"/>
  <c r="AN61" i="12"/>
  <c r="N17" i="39"/>
  <c r="S17" i="38"/>
  <c r="AB31" i="47"/>
  <c r="AH21" i="31"/>
  <c r="AK20" i="31"/>
  <c r="AE35" i="47" s="1"/>
  <c r="AL75" i="20"/>
  <c r="AL14" i="20"/>
  <c r="AL15" i="20" s="1"/>
  <c r="AL20" i="20"/>
  <c r="AL21" i="20" s="1"/>
  <c r="AL34" i="20" s="1"/>
  <c r="AF10" i="47"/>
  <c r="AH22" i="28"/>
  <c r="AH82" i="20"/>
  <c r="AB15" i="47"/>
  <c r="AN25" i="10"/>
  <c r="AE50" i="47"/>
  <c r="AK12" i="34"/>
  <c r="AI27" i="18"/>
  <c r="AI28" i="18" s="1"/>
  <c r="AI40" i="18"/>
  <c r="AI41" i="18" s="1"/>
  <c r="AM11" i="37"/>
  <c r="AM20" i="17"/>
  <c r="AM22" i="17" s="1"/>
  <c r="AM13" i="15"/>
  <c r="AM14" i="15" s="1"/>
  <c r="AM20" i="18"/>
  <c r="AM22" i="18" s="1"/>
  <c r="AM19" i="13"/>
  <c r="AM21" i="13" s="1"/>
  <c r="AM31" i="12"/>
  <c r="AS32" i="12" s="1"/>
  <c r="AM39" i="12"/>
  <c r="AM41" i="12" s="1"/>
  <c r="AM17" i="9"/>
  <c r="AM18" i="9" s="1"/>
  <c r="S11" i="38"/>
  <c r="AN20" i="34"/>
  <c r="AH59" i="47" s="1"/>
  <c r="AO8" i="34" l="1"/>
  <c r="AO44" i="15"/>
  <c r="AM10" i="31"/>
  <c r="AG25" i="47" s="1"/>
  <c r="AN41" i="15"/>
  <c r="N10" i="33"/>
  <c r="S10" i="32"/>
  <c r="AM10" i="34"/>
  <c r="S10" i="35"/>
  <c r="AM48" i="19"/>
  <c r="AL39" i="20"/>
  <c r="AL25" i="20"/>
  <c r="AL27" i="20" s="1"/>
  <c r="AM8" i="28"/>
  <c r="AM19" i="16"/>
  <c r="AM21" i="16" s="1"/>
  <c r="AM26" i="11"/>
  <c r="AM27" i="11" s="1"/>
  <c r="S8" i="29"/>
  <c r="AL66" i="20"/>
  <c r="AL68" i="20" s="1"/>
  <c r="AG22" i="9"/>
  <c r="AG24" i="9" s="1"/>
  <c r="AA27" i="47"/>
  <c r="M12" i="33"/>
  <c r="Q12" i="32"/>
  <c r="K12" i="24"/>
  <c r="E27" i="50" s="1"/>
  <c r="AS13" i="37"/>
  <c r="AS52" i="12"/>
  <c r="AS40" i="12"/>
  <c r="U13" i="38"/>
  <c r="AN24" i="10"/>
  <c r="AN26" i="10" s="1"/>
  <c r="AM21" i="34"/>
  <c r="AG60" i="47" s="1"/>
  <c r="AM12" i="18"/>
  <c r="S21" i="35"/>
  <c r="AH37" i="9"/>
  <c r="AH38" i="9" s="1"/>
  <c r="AB18" i="47"/>
  <c r="AH23" i="9"/>
  <c r="AB36" i="47"/>
  <c r="AM12" i="37"/>
  <c r="AN38" i="12"/>
  <c r="S12" i="38"/>
  <c r="N12" i="39"/>
  <c r="AK15" i="34"/>
  <c r="AE51" i="47"/>
  <c r="AM32" i="15"/>
  <c r="AM15" i="15"/>
  <c r="AM9" i="31"/>
  <c r="AG24" i="47" s="1"/>
  <c r="S9" i="32"/>
  <c r="N9" i="33"/>
  <c r="AM39" i="16"/>
  <c r="AM40" i="16" s="1"/>
  <c r="AH12" i="9"/>
  <c r="AH13" i="9" s="1"/>
  <c r="AB68" i="47"/>
  <c r="AM29" i="15"/>
  <c r="AM10" i="12"/>
  <c r="AM11" i="12" s="1"/>
  <c r="AI46" i="18"/>
  <c r="AI47" i="18" s="1"/>
  <c r="AI42" i="18"/>
  <c r="AI33" i="18"/>
  <c r="AI14" i="18"/>
  <c r="AI29" i="18"/>
  <c r="AM8" i="31"/>
  <c r="AN18" i="13"/>
  <c r="N8" i="33"/>
  <c r="S8" i="32"/>
  <c r="AM17" i="34"/>
  <c r="AG56" i="47" s="1"/>
  <c r="AM27" i="17"/>
  <c r="AS28" i="17" s="1"/>
  <c r="AM12" i="17"/>
  <c r="S17" i="35"/>
  <c r="AI42" i="17"/>
  <c r="AI33" i="17"/>
  <c r="AI46" i="17"/>
  <c r="AI47" i="17" s="1"/>
  <c r="AN11" i="11" l="1"/>
  <c r="AN12" i="11" s="1"/>
  <c r="AN20" i="10"/>
  <c r="AN21" i="10" s="1"/>
  <c r="AN44" i="12"/>
  <c r="AN45" i="12" s="1"/>
  <c r="AN25" i="12"/>
  <c r="AG23" i="31"/>
  <c r="AA38" i="47" s="1"/>
  <c r="AG15" i="22"/>
  <c r="AG17" i="22" s="1"/>
  <c r="AG21" i="22" s="1"/>
  <c r="M23" i="33"/>
  <c r="K23" i="24"/>
  <c r="E38" i="50" s="1"/>
  <c r="Q23" i="32"/>
  <c r="AM14" i="34"/>
  <c r="AG53" i="47" s="1"/>
  <c r="S14" i="35"/>
  <c r="AL40" i="20"/>
  <c r="AL41" i="20" s="1"/>
  <c r="AL46" i="20" s="1"/>
  <c r="AL47" i="20" s="1"/>
  <c r="AL35" i="20"/>
  <c r="AL36" i="20" s="1"/>
  <c r="AM33" i="20" s="1"/>
  <c r="AI18" i="28"/>
  <c r="AC14" i="47" s="1"/>
  <c r="AH11" i="31"/>
  <c r="AH9" i="8"/>
  <c r="AI11" i="9"/>
  <c r="AI48" i="18"/>
  <c r="AI34" i="18"/>
  <c r="AI35" i="18" s="1"/>
  <c r="AI13" i="18" s="1"/>
  <c r="AI15" i="18" s="1"/>
  <c r="AH25" i="31"/>
  <c r="AB40" i="47" s="1"/>
  <c r="AI36" i="9"/>
  <c r="AH28" i="9"/>
  <c r="AH30" i="9" s="1"/>
  <c r="AL69" i="20"/>
  <c r="AL77" i="20"/>
  <c r="AI48" i="17"/>
  <c r="AI34" i="17"/>
  <c r="AI35" i="17" s="1"/>
  <c r="AI13" i="17" s="1"/>
  <c r="AI15" i="17" s="1"/>
  <c r="AM9" i="19"/>
  <c r="AM11" i="19" s="1"/>
  <c r="AM22" i="19" s="1"/>
  <c r="AM23" i="19" s="1"/>
  <c r="AM30" i="15"/>
  <c r="AM36" i="15" s="1"/>
  <c r="AM32" i="16"/>
  <c r="AM45" i="16"/>
  <c r="AM46" i="16" s="1"/>
  <c r="AM41" i="16"/>
  <c r="AN10" i="13"/>
  <c r="AN11" i="13" s="1"/>
  <c r="AM14" i="31"/>
  <c r="AN24" i="11"/>
  <c r="N14" i="33"/>
  <c r="S14" i="32"/>
  <c r="AG49" i="47"/>
  <c r="AI22" i="34"/>
  <c r="AS14" i="17"/>
  <c r="AS29" i="17"/>
  <c r="AI16" i="28"/>
  <c r="AG23" i="47"/>
  <c r="AE54" i="47"/>
  <c r="AM19" i="34"/>
  <c r="AG58" i="47" s="1"/>
  <c r="AM26" i="16"/>
  <c r="AO27" i="16" s="1"/>
  <c r="AM12" i="16"/>
  <c r="S19" i="35"/>
  <c r="AM11" i="28"/>
  <c r="AG4" i="47"/>
  <c r="AI47" i="47"/>
  <c r="AL81" i="20" l="1"/>
  <c r="AL76" i="20"/>
  <c r="AL78" i="20" s="1"/>
  <c r="AL48" i="20"/>
  <c r="AC12" i="47"/>
  <c r="AI19" i="28"/>
  <c r="AM14" i="28"/>
  <c r="AM9" i="20"/>
  <c r="AM10" i="20" s="1"/>
  <c r="AG7" i="47"/>
  <c r="S11" i="29"/>
  <c r="AS18" i="34"/>
  <c r="AM57" i="47" s="1"/>
  <c r="U18" i="35"/>
  <c r="AM17" i="28"/>
  <c r="AG13" i="47" s="1"/>
  <c r="S17" i="29"/>
  <c r="AM26" i="20"/>
  <c r="AM33" i="16"/>
  <c r="AM34" i="16" s="1"/>
  <c r="AM13" i="16" s="1"/>
  <c r="AM15" i="16" s="1"/>
  <c r="AM47" i="16"/>
  <c r="AL11" i="34"/>
  <c r="AB26" i="47"/>
  <c r="AH12" i="31"/>
  <c r="AH27" i="31"/>
  <c r="AB42" i="47" s="1"/>
  <c r="AH16" i="22"/>
  <c r="AG29" i="47"/>
  <c r="AM15" i="31"/>
  <c r="AG30" i="47" s="1"/>
  <c r="AN28" i="15"/>
  <c r="N15" i="33"/>
  <c r="S15" i="32"/>
  <c r="AM30" i="19"/>
  <c r="AM32" i="19" s="1"/>
  <c r="AM49" i="19"/>
  <c r="AM51" i="19" s="1"/>
  <c r="AM36" i="19" s="1"/>
  <c r="AN37" i="19" s="1"/>
  <c r="AN16" i="37"/>
  <c r="AN53" i="12"/>
  <c r="AN56" i="12" s="1"/>
  <c r="AN62" i="12"/>
  <c r="AN64" i="12" s="1"/>
  <c r="AI18" i="31"/>
  <c r="AC33" i="47" s="1"/>
  <c r="AJ11" i="18"/>
  <c r="AC61" i="47"/>
  <c r="AN10" i="37"/>
  <c r="AN24" i="12"/>
  <c r="AN26" i="12" s="1"/>
  <c r="AO17" i="10"/>
  <c r="AI16" i="31"/>
  <c r="AJ11" i="17"/>
  <c r="AO28" i="16"/>
  <c r="AO14" i="16"/>
  <c r="AN27" i="13"/>
  <c r="AN29" i="13" s="1"/>
  <c r="AN12" i="13"/>
  <c r="AI23" i="34"/>
  <c r="AC62" i="47" s="1"/>
  <c r="AI25" i="34"/>
  <c r="AC64" i="47" s="1"/>
  <c r="AN16" i="19"/>
  <c r="AN17" i="19" s="1"/>
  <c r="AN42" i="15"/>
  <c r="AN20" i="15"/>
  <c r="AN25" i="11"/>
  <c r="AI26" i="34" l="1"/>
  <c r="AO25" i="10"/>
  <c r="AN21" i="19"/>
  <c r="AN43" i="15"/>
  <c r="AN45" i="15" s="1"/>
  <c r="AN21" i="15"/>
  <c r="AN11" i="37"/>
  <c r="AN20" i="18"/>
  <c r="AN22" i="18" s="1"/>
  <c r="AN20" i="17"/>
  <c r="AN22" i="17" s="1"/>
  <c r="AN19" i="13"/>
  <c r="AN21" i="13" s="1"/>
  <c r="AN31" i="12"/>
  <c r="AT32" i="12" s="1"/>
  <c r="AN39" i="12"/>
  <c r="AN41" i="12" s="1"/>
  <c r="AN17" i="9"/>
  <c r="AN18" i="9" s="1"/>
  <c r="AN13" i="15"/>
  <c r="AN14" i="15" s="1"/>
  <c r="AN17" i="37"/>
  <c r="AN17" i="11"/>
  <c r="AN18" i="11" s="1"/>
  <c r="AO61" i="12"/>
  <c r="AM20" i="20"/>
  <c r="AM21" i="20" s="1"/>
  <c r="AM34" i="20" s="1"/>
  <c r="AM14" i="20"/>
  <c r="AM15" i="20" s="1"/>
  <c r="AN15" i="37"/>
  <c r="AO51" i="12"/>
  <c r="AM17" i="31"/>
  <c r="AG32" i="47" s="1"/>
  <c r="AN11" i="16"/>
  <c r="N17" i="33"/>
  <c r="S17" i="32"/>
  <c r="AG10" i="47"/>
  <c r="S14" i="29"/>
  <c r="AI22" i="28"/>
  <c r="AI82" i="20"/>
  <c r="AC15" i="47"/>
  <c r="AI29" i="34"/>
  <c r="AC65" i="47"/>
  <c r="AH22" i="9"/>
  <c r="AH24" i="9" s="1"/>
  <c r="AB27" i="47"/>
  <c r="AN31" i="19"/>
  <c r="AN38" i="19"/>
  <c r="AN13" i="28"/>
  <c r="AH9" i="47" s="1"/>
  <c r="AO26" i="13"/>
  <c r="AN30" i="13"/>
  <c r="AN9" i="31" s="1"/>
  <c r="AH24" i="47" s="1"/>
  <c r="AO20" i="34"/>
  <c r="AI59" i="47" s="1"/>
  <c r="AJ27" i="18"/>
  <c r="AJ28" i="18" s="1"/>
  <c r="AJ40" i="18"/>
  <c r="AJ41" i="18" s="1"/>
  <c r="AM19" i="31"/>
  <c r="AG34" i="47" s="1"/>
  <c r="AN29" i="19"/>
  <c r="N19" i="33"/>
  <c r="S19" i="32"/>
  <c r="AL21" i="28"/>
  <c r="AF17" i="47" s="1"/>
  <c r="AJ40" i="17"/>
  <c r="AJ41" i="17" s="1"/>
  <c r="AF50" i="47"/>
  <c r="AL12" i="34"/>
  <c r="AL20" i="31"/>
  <c r="AF35" i="47" s="1"/>
  <c r="AM75" i="20"/>
  <c r="AP22" i="15"/>
  <c r="AC31" i="47"/>
  <c r="AI21" i="31"/>
  <c r="AM24" i="34"/>
  <c r="AG63" i="47" s="1"/>
  <c r="S24" i="35"/>
  <c r="AN10" i="31" l="1"/>
  <c r="AH25" i="47" s="1"/>
  <c r="AO41" i="15"/>
  <c r="AN10" i="34"/>
  <c r="AI12" i="9"/>
  <c r="AI13" i="9" s="1"/>
  <c r="AC68" i="47"/>
  <c r="AM39" i="20"/>
  <c r="AM25" i="20"/>
  <c r="AM27" i="20" s="1"/>
  <c r="AN29" i="15"/>
  <c r="AN10" i="12"/>
  <c r="AN11" i="12" s="1"/>
  <c r="AN12" i="37"/>
  <c r="AO38" i="12"/>
  <c r="AL15" i="34"/>
  <c r="AF51" i="47"/>
  <c r="AT13" i="37"/>
  <c r="AT52" i="12"/>
  <c r="AT40" i="12"/>
  <c r="AP8" i="34"/>
  <c r="AP44" i="15"/>
  <c r="T8" i="35"/>
  <c r="AN32" i="15"/>
  <c r="AN15" i="15"/>
  <c r="AH23" i="31"/>
  <c r="AB38" i="47" s="1"/>
  <c r="AH15" i="22"/>
  <c r="AH17" i="22" s="1"/>
  <c r="AH21" i="22" s="1"/>
  <c r="AN8" i="28"/>
  <c r="AN26" i="11"/>
  <c r="AN27" i="11" s="1"/>
  <c r="AN19" i="16"/>
  <c r="AN21" i="16" s="1"/>
  <c r="AN8" i="31"/>
  <c r="AO18" i="13"/>
  <c r="AM66" i="20"/>
  <c r="AM68" i="20" s="1"/>
  <c r="AN39" i="16"/>
  <c r="AN40" i="16" s="1"/>
  <c r="AN17" i="34"/>
  <c r="AH56" i="47" s="1"/>
  <c r="AN27" i="17"/>
  <c r="AT28" i="17" s="1"/>
  <c r="AN12" i="17"/>
  <c r="AJ42" i="17"/>
  <c r="AJ33" i="17"/>
  <c r="AJ46" i="17"/>
  <c r="AJ47" i="17" s="1"/>
  <c r="AN21" i="34"/>
  <c r="AH60" i="47" s="1"/>
  <c r="AN12" i="18"/>
  <c r="AN48" i="19"/>
  <c r="AC36" i="47"/>
  <c r="AI23" i="9"/>
  <c r="AJ42" i="18"/>
  <c r="AJ33" i="18"/>
  <c r="AJ46" i="18"/>
  <c r="AJ47" i="18" s="1"/>
  <c r="AJ29" i="18"/>
  <c r="AJ14" i="18"/>
  <c r="AI37" i="9"/>
  <c r="AI38" i="9" s="1"/>
  <c r="AC18" i="47"/>
  <c r="AO24" i="10"/>
  <c r="AO26" i="10" s="1"/>
  <c r="AN19" i="34" l="1"/>
  <c r="AH58" i="47" s="1"/>
  <c r="AN12" i="16"/>
  <c r="AN26" i="16"/>
  <c r="AP27" i="16" s="1"/>
  <c r="AJ48" i="17"/>
  <c r="AJ34" i="17"/>
  <c r="AJ35" i="17" s="1"/>
  <c r="AJ13" i="17" s="1"/>
  <c r="AJ15" i="17" s="1"/>
  <c r="AI25" i="31"/>
  <c r="AC40" i="47" s="1"/>
  <c r="AJ36" i="9"/>
  <c r="AI28" i="9"/>
  <c r="AI30" i="9" s="1"/>
  <c r="AN45" i="16"/>
  <c r="AN46" i="16" s="1"/>
  <c r="AN41" i="16"/>
  <c r="AN32" i="16"/>
  <c r="AN14" i="31"/>
  <c r="AO24" i="11"/>
  <c r="AN9" i="19"/>
  <c r="AN11" i="19" s="1"/>
  <c r="AN22" i="19" s="1"/>
  <c r="AN23" i="19" s="1"/>
  <c r="AN30" i="15"/>
  <c r="AN36" i="15" s="1"/>
  <c r="AI11" i="31"/>
  <c r="AJ11" i="9"/>
  <c r="AI9" i="8"/>
  <c r="AJ16" i="28"/>
  <c r="R16" i="29"/>
  <c r="AN11" i="28"/>
  <c r="AH4" i="47"/>
  <c r="AJ47" i="47"/>
  <c r="AM35" i="20"/>
  <c r="AM36" i="20" s="1"/>
  <c r="AN33" i="20" s="1"/>
  <c r="AM40" i="20"/>
  <c r="AM77" i="20"/>
  <c r="AM69" i="20"/>
  <c r="AO11" i="11"/>
  <c r="AO12" i="11" s="1"/>
  <c r="AO20" i="10"/>
  <c r="AO21" i="10" s="1"/>
  <c r="AO44" i="12"/>
  <c r="AO45" i="12" s="1"/>
  <c r="AJ48" i="18"/>
  <c r="AJ34" i="18"/>
  <c r="AJ35" i="18" s="1"/>
  <c r="AJ13" i="18" s="1"/>
  <c r="AJ15" i="18" s="1"/>
  <c r="AO10" i="13"/>
  <c r="AO11" i="13" s="1"/>
  <c r="AF54" i="47"/>
  <c r="AM41" i="20"/>
  <c r="AM46" i="20" s="1"/>
  <c r="AM47" i="20" s="1"/>
  <c r="AH49" i="47"/>
  <c r="AJ22" i="34"/>
  <c r="R22" i="35"/>
  <c r="AH23" i="47"/>
  <c r="AN14" i="34"/>
  <c r="AH53" i="47" s="1"/>
  <c r="AJ18" i="28"/>
  <c r="AD14" i="47" s="1"/>
  <c r="R18" i="29"/>
  <c r="AT29" i="17"/>
  <c r="AT14" i="17"/>
  <c r="AO25" i="12"/>
  <c r="AT18" i="34" l="1"/>
  <c r="AN57" i="47" s="1"/>
  <c r="AJ25" i="34"/>
  <c r="AD64" i="47" s="1"/>
  <c r="R25" i="35"/>
  <c r="AN26" i="20"/>
  <c r="AH29" i="47"/>
  <c r="AM48" i="20"/>
  <c r="AM81" i="20"/>
  <c r="AM76" i="20"/>
  <c r="AM78" i="20" s="1"/>
  <c r="AO16" i="37"/>
  <c r="AO62" i="12"/>
  <c r="AO64" i="12" s="1"/>
  <c r="AO53" i="12"/>
  <c r="AO56" i="12" s="1"/>
  <c r="AN15" i="31"/>
  <c r="AH30" i="47" s="1"/>
  <c r="AO28" i="15"/>
  <c r="AD12" i="47"/>
  <c r="AJ19" i="28"/>
  <c r="AJ23" i="34"/>
  <c r="AD62" i="47" s="1"/>
  <c r="R23" i="35"/>
  <c r="AO10" i="37"/>
  <c r="AO24" i="12"/>
  <c r="AO26" i="12" s="1"/>
  <c r="AP17" i="10"/>
  <c r="AN17" i="28"/>
  <c r="AH13" i="47" s="1"/>
  <c r="AO16" i="19"/>
  <c r="AO17" i="19" s="1"/>
  <c r="AO42" i="15"/>
  <c r="AO20" i="15"/>
  <c r="AO25" i="11"/>
  <c r="AN33" i="16"/>
  <c r="AN34" i="16" s="1"/>
  <c r="AN13" i="16" s="1"/>
  <c r="AN15" i="16" s="1"/>
  <c r="AN47" i="16"/>
  <c r="AM11" i="34"/>
  <c r="S11" i="35"/>
  <c r="AC26" i="47"/>
  <c r="AI12" i="31"/>
  <c r="AJ16" i="31"/>
  <c r="AK11" i="17"/>
  <c r="R16" i="32"/>
  <c r="AP28" i="16"/>
  <c r="AP14" i="16"/>
  <c r="AJ18" i="31"/>
  <c r="AD33" i="47" s="1"/>
  <c r="AK11" i="18"/>
  <c r="R18" i="32"/>
  <c r="AN14" i="28"/>
  <c r="AN9" i="20"/>
  <c r="AN10" i="20" s="1"/>
  <c r="AH7" i="47"/>
  <c r="AI27" i="31"/>
  <c r="AC42" i="47" s="1"/>
  <c r="AI16" i="22"/>
  <c r="AD61" i="47"/>
  <c r="AO27" i="13"/>
  <c r="AO29" i="13" s="1"/>
  <c r="AO12" i="13"/>
  <c r="AN30" i="19"/>
  <c r="AN32" i="19" s="1"/>
  <c r="AN49" i="19"/>
  <c r="AN51" i="19" s="1"/>
  <c r="AN36" i="19" s="1"/>
  <c r="AO37" i="19" s="1"/>
  <c r="AJ26" i="34" l="1"/>
  <c r="AN17" i="31"/>
  <c r="AH32" i="47" s="1"/>
  <c r="AO11" i="16"/>
  <c r="AN19" i="31"/>
  <c r="AH34" i="47" s="1"/>
  <c r="AO29" i="19"/>
  <c r="AH10" i="47"/>
  <c r="AD31" i="47"/>
  <c r="AJ21" i="31"/>
  <c r="AO11" i="37"/>
  <c r="AO20" i="18"/>
  <c r="AO22" i="18" s="1"/>
  <c r="AO20" i="17"/>
  <c r="AO22" i="17" s="1"/>
  <c r="AO19" i="13"/>
  <c r="AO21" i="13" s="1"/>
  <c r="AO13" i="15"/>
  <c r="AO14" i="15" s="1"/>
  <c r="AO31" i="12"/>
  <c r="AU32" i="12" s="1"/>
  <c r="AO39" i="12"/>
  <c r="AO41" i="12" s="1"/>
  <c r="AO17" i="9"/>
  <c r="AO18" i="9" s="1"/>
  <c r="AM20" i="31"/>
  <c r="AG35" i="47" s="1"/>
  <c r="AN75" i="20"/>
  <c r="N20" i="33"/>
  <c r="S20" i="32"/>
  <c r="AI22" i="9"/>
  <c r="AI24" i="9" s="1"/>
  <c r="AC27" i="47"/>
  <c r="AK40" i="18"/>
  <c r="AK41" i="18" s="1"/>
  <c r="AK27" i="18"/>
  <c r="AK28" i="18" s="1"/>
  <c r="AM21" i="28"/>
  <c r="AG17" i="47" s="1"/>
  <c r="S21" i="29"/>
  <c r="AO38" i="19"/>
  <c r="AO31" i="19"/>
  <c r="AO21" i="19"/>
  <c r="AO43" i="15"/>
  <c r="AO45" i="15" s="1"/>
  <c r="AO21" i="15"/>
  <c r="AQ22" i="15" s="1"/>
  <c r="AG50" i="47"/>
  <c r="AM12" i="34"/>
  <c r="AP20" i="34"/>
  <c r="AJ59" i="47" s="1"/>
  <c r="T20" i="35"/>
  <c r="AO15" i="37"/>
  <c r="AP51" i="12"/>
  <c r="AO17" i="37"/>
  <c r="AP61" i="12"/>
  <c r="AO17" i="11"/>
  <c r="AO18" i="11" s="1"/>
  <c r="AO13" i="28"/>
  <c r="AI9" i="47" s="1"/>
  <c r="AN24" i="34"/>
  <c r="AH63" i="47" s="1"/>
  <c r="AP26" i="13"/>
  <c r="AO30" i="13"/>
  <c r="AO9" i="31" s="1"/>
  <c r="AI24" i="47" s="1"/>
  <c r="AJ29" i="34"/>
  <c r="AD65" i="47"/>
  <c r="R26" i="35"/>
  <c r="AN20" i="20"/>
  <c r="AN21" i="20" s="1"/>
  <c r="AN34" i="20" s="1"/>
  <c r="AN14" i="20"/>
  <c r="AN15" i="20" s="1"/>
  <c r="AK40" i="17"/>
  <c r="AK41" i="17" s="1"/>
  <c r="AP25" i="10"/>
  <c r="AJ22" i="28"/>
  <c r="AJ82" i="20"/>
  <c r="AD15" i="47"/>
  <c r="R19" i="29"/>
  <c r="AQ8" i="34" l="1"/>
  <c r="AQ44" i="15"/>
  <c r="AO10" i="31"/>
  <c r="AI25" i="47" s="1"/>
  <c r="AP41" i="15"/>
  <c r="AP24" i="10"/>
  <c r="AP26" i="10" s="1"/>
  <c r="AO32" i="15"/>
  <c r="AO15" i="15"/>
  <c r="AJ37" i="9"/>
  <c r="AJ38" i="9" s="1"/>
  <c r="AD18" i="47"/>
  <c r="R22" i="29"/>
  <c r="AK29" i="18"/>
  <c r="AK14" i="18"/>
  <c r="AN66" i="20"/>
  <c r="AN68" i="20" s="1"/>
  <c r="AO8" i="31"/>
  <c r="AP18" i="13"/>
  <c r="AK46" i="18"/>
  <c r="AK47" i="18" s="1"/>
  <c r="AK42" i="18"/>
  <c r="AK33" i="18"/>
  <c r="AO17" i="34"/>
  <c r="AI56" i="47" s="1"/>
  <c r="AO27" i="17"/>
  <c r="AU28" i="17" s="1"/>
  <c r="AO12" i="17"/>
  <c r="AO21" i="34"/>
  <c r="AI60" i="47" s="1"/>
  <c r="AO12" i="18"/>
  <c r="AO48" i="19"/>
  <c r="AO10" i="34"/>
  <c r="AO8" i="28"/>
  <c r="AO19" i="16"/>
  <c r="AO21" i="16" s="1"/>
  <c r="AO26" i="11"/>
  <c r="AO27" i="11" s="1"/>
  <c r="AO29" i="15"/>
  <c r="AO10" i="12"/>
  <c r="AO11" i="12" s="1"/>
  <c r="AJ23" i="9"/>
  <c r="AD36" i="47"/>
  <c r="R21" i="32"/>
  <c r="AM15" i="34"/>
  <c r="AG51" i="47"/>
  <c r="S12" i="35"/>
  <c r="AI23" i="31"/>
  <c r="AC38" i="47" s="1"/>
  <c r="AI15" i="22"/>
  <c r="AI17" i="22" s="1"/>
  <c r="AI21" i="22" s="1"/>
  <c r="AO12" i="37"/>
  <c r="AP38" i="12"/>
  <c r="AO39" i="16"/>
  <c r="AO40" i="16" s="1"/>
  <c r="AJ12" i="9"/>
  <c r="AJ13" i="9" s="1"/>
  <c r="AD68" i="47"/>
  <c r="R29" i="35"/>
  <c r="AK33" i="17"/>
  <c r="AK46" i="17"/>
  <c r="AK47" i="17" s="1"/>
  <c r="AK42" i="17"/>
  <c r="AN25" i="20"/>
  <c r="AN27" i="20" s="1"/>
  <c r="AN39" i="20"/>
  <c r="AU13" i="37"/>
  <c r="AU40" i="12"/>
  <c r="AU52" i="12"/>
  <c r="AP25" i="12" l="1"/>
  <c r="AO11" i="28"/>
  <c r="AI4" i="47"/>
  <c r="AK18" i="28"/>
  <c r="AE14" i="47" s="1"/>
  <c r="AK22" i="34"/>
  <c r="AK48" i="18"/>
  <c r="AK34" i="18"/>
  <c r="AK35" i="18" s="1"/>
  <c r="AK13" i="18" s="1"/>
  <c r="AK15" i="18" s="1"/>
  <c r="AP44" i="12"/>
  <c r="AP45" i="12" s="1"/>
  <c r="AP20" i="10"/>
  <c r="AP21" i="10" s="1"/>
  <c r="AP11" i="11"/>
  <c r="AP12" i="11" s="1"/>
  <c r="AO9" i="19"/>
  <c r="AO11" i="19" s="1"/>
  <c r="AO22" i="19" s="1"/>
  <c r="AO23" i="19" s="1"/>
  <c r="AO30" i="15"/>
  <c r="AO36" i="15" s="1"/>
  <c r="AI49" i="47"/>
  <c r="AP10" i="13"/>
  <c r="AP11" i="13" s="1"/>
  <c r="AI23" i="47"/>
  <c r="AN41" i="20"/>
  <c r="AN46" i="20" s="1"/>
  <c r="AN47" i="20" s="1"/>
  <c r="AN35" i="20"/>
  <c r="AN36" i="20" s="1"/>
  <c r="AO33" i="20" s="1"/>
  <c r="AN40" i="20"/>
  <c r="AU14" i="17"/>
  <c r="AU29" i="17"/>
  <c r="AJ25" i="31"/>
  <c r="AD40" i="47" s="1"/>
  <c r="AJ28" i="9"/>
  <c r="AJ30" i="9" s="1"/>
  <c r="AK36" i="9"/>
  <c r="R25" i="32"/>
  <c r="AK16" i="28"/>
  <c r="AG54" i="47"/>
  <c r="S15" i="35"/>
  <c r="AO14" i="31"/>
  <c r="AP24" i="11"/>
  <c r="AN77" i="20"/>
  <c r="AN69" i="20"/>
  <c r="AO14" i="34"/>
  <c r="AI53" i="47" s="1"/>
  <c r="AJ11" i="31"/>
  <c r="AJ9" i="8"/>
  <c r="AK11" i="9"/>
  <c r="R11" i="32"/>
  <c r="AK48" i="17"/>
  <c r="AK34" i="17"/>
  <c r="AK35" i="17" s="1"/>
  <c r="AK13" i="17" s="1"/>
  <c r="AK15" i="17" s="1"/>
  <c r="AO41" i="16"/>
  <c r="AO32" i="16"/>
  <c r="AO45" i="16"/>
  <c r="AO46" i="16" s="1"/>
  <c r="AO19" i="34"/>
  <c r="AI58" i="47" s="1"/>
  <c r="AO26" i="16"/>
  <c r="AQ27" i="16" s="1"/>
  <c r="AO12" i="16"/>
  <c r="AK47" i="47"/>
  <c r="AK16" i="31" l="1"/>
  <c r="AL11" i="17"/>
  <c r="AO15" i="31"/>
  <c r="AI30" i="47" s="1"/>
  <c r="AP28" i="15"/>
  <c r="AP16" i="37"/>
  <c r="AP62" i="12"/>
  <c r="AP64" i="12" s="1"/>
  <c r="AP53" i="12"/>
  <c r="AP56" i="12" s="1"/>
  <c r="T16" i="38"/>
  <c r="AQ28" i="16"/>
  <c r="AQ14" i="16"/>
  <c r="AE12" i="47"/>
  <c r="AK19" i="28"/>
  <c r="AI29" i="47"/>
  <c r="AO26" i="20"/>
  <c r="AK25" i="34"/>
  <c r="AE64" i="47" s="1"/>
  <c r="AO47" i="16"/>
  <c r="AO33" i="16"/>
  <c r="AD26" i="47"/>
  <c r="AJ12" i="31"/>
  <c r="AN48" i="20"/>
  <c r="AN76" i="20"/>
  <c r="AN78" i="20" s="1"/>
  <c r="AN81" i="20"/>
  <c r="AO9" i="20"/>
  <c r="AO10" i="20" s="1"/>
  <c r="AO14" i="28"/>
  <c r="AI7" i="47"/>
  <c r="AJ27" i="31"/>
  <c r="AD42" i="47" s="1"/>
  <c r="AJ16" i="22"/>
  <c r="R27" i="32"/>
  <c r="AK18" i="31"/>
  <c r="AE33" i="47" s="1"/>
  <c r="AL11" i="18"/>
  <c r="AO17" i="28"/>
  <c r="AI13" i="47" s="1"/>
  <c r="AO30" i="19"/>
  <c r="AO32" i="19" s="1"/>
  <c r="AO49" i="19"/>
  <c r="AO51" i="19" s="1"/>
  <c r="AO36" i="19" s="1"/>
  <c r="AP37" i="19" s="1"/>
  <c r="AO34" i="16"/>
  <c r="AO13" i="16" s="1"/>
  <c r="AO15" i="16" s="1"/>
  <c r="AU18" i="34"/>
  <c r="AO57" i="47" s="1"/>
  <c r="AP16" i="19"/>
  <c r="AP17" i="19" s="1"/>
  <c r="AP42" i="15"/>
  <c r="AP25" i="11"/>
  <c r="AP20" i="15"/>
  <c r="AE61" i="47"/>
  <c r="AK23" i="34"/>
  <c r="AE62" i="47" s="1"/>
  <c r="AN11" i="34"/>
  <c r="AP27" i="13"/>
  <c r="AP29" i="13" s="1"/>
  <c r="AP12" i="13"/>
  <c r="AP10" i="37"/>
  <c r="AP24" i="12"/>
  <c r="AP26" i="12" s="1"/>
  <c r="AQ17" i="10"/>
  <c r="T10" i="38"/>
  <c r="AO17" i="31" l="1"/>
  <c r="AI32" i="47" s="1"/>
  <c r="AP11" i="16"/>
  <c r="AP38" i="19"/>
  <c r="AP31" i="19"/>
  <c r="AN20" i="31"/>
  <c r="AH35" i="47" s="1"/>
  <c r="AO75" i="20"/>
  <c r="AK22" i="28"/>
  <c r="AK82" i="20"/>
  <c r="AE15" i="47"/>
  <c r="AP15" i="37"/>
  <c r="AQ51" i="12"/>
  <c r="T15" i="38"/>
  <c r="AQ25" i="10"/>
  <c r="AN21" i="28"/>
  <c r="AH17" i="47" s="1"/>
  <c r="AP17" i="37"/>
  <c r="AQ61" i="12"/>
  <c r="AP17" i="11"/>
  <c r="AP18" i="11" s="1"/>
  <c r="T17" i="38"/>
  <c r="AJ22" i="9"/>
  <c r="AJ24" i="9" s="1"/>
  <c r="AD27" i="47"/>
  <c r="R12" i="32"/>
  <c r="AH50" i="47"/>
  <c r="AN12" i="34"/>
  <c r="AP11" i="37"/>
  <c r="AP20" i="18"/>
  <c r="AP22" i="18" s="1"/>
  <c r="AP20" i="17"/>
  <c r="AP22" i="17" s="1"/>
  <c r="AP19" i="13"/>
  <c r="AP21" i="13" s="1"/>
  <c r="AP39" i="12"/>
  <c r="AP41" i="12" s="1"/>
  <c r="AP13" i="15"/>
  <c r="AP14" i="15" s="1"/>
  <c r="AP31" i="12"/>
  <c r="AV32" i="12" s="1"/>
  <c r="AP17" i="9"/>
  <c r="AP18" i="9" s="1"/>
  <c r="T11" i="38"/>
  <c r="AP21" i="19"/>
  <c r="AP21" i="15"/>
  <c r="AR22" i="15" s="1"/>
  <c r="AP43" i="15"/>
  <c r="AP45" i="15" s="1"/>
  <c r="AQ26" i="13"/>
  <c r="AP30" i="13"/>
  <c r="AK26" i="34"/>
  <c r="AL27" i="18"/>
  <c r="AL28" i="18" s="1"/>
  <c r="AL40" i="18"/>
  <c r="AL41" i="18" s="1"/>
  <c r="AI10" i="47"/>
  <c r="AQ20" i="34"/>
  <c r="AK59" i="47" s="1"/>
  <c r="AL40" i="17"/>
  <c r="AL41" i="17" s="1"/>
  <c r="AO19" i="31"/>
  <c r="AI34" i="47" s="1"/>
  <c r="AP29" i="19"/>
  <c r="AP13" i="28"/>
  <c r="AJ9" i="47" s="1"/>
  <c r="T13" i="29"/>
  <c r="AO20" i="20"/>
  <c r="AO21" i="20" s="1"/>
  <c r="AO34" i="20" s="1"/>
  <c r="AO14" i="20"/>
  <c r="AO15" i="20" s="1"/>
  <c r="AO24" i="34"/>
  <c r="AI63" i="47" s="1"/>
  <c r="AE31" i="47"/>
  <c r="AK21" i="31"/>
  <c r="AP10" i="31" l="1"/>
  <c r="AJ25" i="47" s="1"/>
  <c r="AQ41" i="15"/>
  <c r="T10" i="32"/>
  <c r="AR8" i="34"/>
  <c r="AR44" i="15"/>
  <c r="AN15" i="34"/>
  <c r="AH51" i="47"/>
  <c r="AP12" i="37"/>
  <c r="AQ38" i="12"/>
  <c r="T12" i="38"/>
  <c r="AO66" i="20"/>
  <c r="AO68" i="20" s="1"/>
  <c r="AP8" i="31"/>
  <c r="AQ18" i="13"/>
  <c r="T8" i="32"/>
  <c r="AP8" i="28"/>
  <c r="AP19" i="16"/>
  <c r="AP21" i="16" s="1"/>
  <c r="AP26" i="11"/>
  <c r="AP27" i="11" s="1"/>
  <c r="T8" i="29"/>
  <c r="AP48" i="19"/>
  <c r="AQ24" i="10"/>
  <c r="AQ26" i="10" s="1"/>
  <c r="AO39" i="20"/>
  <c r="AO25" i="20"/>
  <c r="AO27" i="20" s="1"/>
  <c r="AL46" i="17"/>
  <c r="AL47" i="17" s="1"/>
  <c r="AL42" i="17"/>
  <c r="AL33" i="17"/>
  <c r="AP17" i="34"/>
  <c r="AJ56" i="47" s="1"/>
  <c r="AP27" i="17"/>
  <c r="AV28" i="17" s="1"/>
  <c r="AP12" i="17"/>
  <c r="T17" i="35"/>
  <c r="AP10" i="34"/>
  <c r="T10" i="35"/>
  <c r="AL46" i="18"/>
  <c r="AL47" i="18" s="1"/>
  <c r="AL42" i="18"/>
  <c r="AL33" i="18"/>
  <c r="AP21" i="34"/>
  <c r="AJ60" i="47" s="1"/>
  <c r="AP12" i="18"/>
  <c r="T21" i="35"/>
  <c r="AP39" i="16"/>
  <c r="AP40" i="16" s="1"/>
  <c r="AP9" i="31"/>
  <c r="AJ24" i="47" s="1"/>
  <c r="T9" i="32"/>
  <c r="AK37" i="9"/>
  <c r="AK38" i="9" s="1"/>
  <c r="AE18" i="47"/>
  <c r="AL29" i="18"/>
  <c r="AL14" i="18"/>
  <c r="AJ23" i="31"/>
  <c r="AD38" i="47" s="1"/>
  <c r="AJ15" i="22"/>
  <c r="AJ17" i="22" s="1"/>
  <c r="AJ21" i="22" s="1"/>
  <c r="R23" i="32"/>
  <c r="AV13" i="37"/>
  <c r="AV40" i="12"/>
  <c r="AV52" i="12"/>
  <c r="V13" i="38"/>
  <c r="AP15" i="15"/>
  <c r="AP32" i="15"/>
  <c r="AK23" i="9"/>
  <c r="AE36" i="47"/>
  <c r="AK29" i="34"/>
  <c r="AE65" i="47"/>
  <c r="AP29" i="15"/>
  <c r="AP10" i="12"/>
  <c r="AP11" i="12" s="1"/>
  <c r="AL48" i="17" l="1"/>
  <c r="AL34" i="17"/>
  <c r="AK25" i="31"/>
  <c r="AE40" i="47" s="1"/>
  <c r="AK28" i="9"/>
  <c r="AK30" i="9" s="1"/>
  <c r="AL36" i="9"/>
  <c r="AO35" i="20"/>
  <c r="AO36" i="20" s="1"/>
  <c r="AP33" i="20" s="1"/>
  <c r="AO40" i="20"/>
  <c r="AO41" i="20" s="1"/>
  <c r="AO46" i="20" s="1"/>
  <c r="AO47" i="20" s="1"/>
  <c r="AO77" i="20"/>
  <c r="AO69" i="20"/>
  <c r="AH54" i="47"/>
  <c r="AP14" i="31"/>
  <c r="AQ24" i="11"/>
  <c r="T14" i="32"/>
  <c r="AL18" i="28"/>
  <c r="AF14" i="47" s="1"/>
  <c r="AV14" i="17"/>
  <c r="AV29" i="17"/>
  <c r="AP19" i="34"/>
  <c r="AJ58" i="47" s="1"/>
  <c r="AP26" i="16"/>
  <c r="AR27" i="16" s="1"/>
  <c r="AP12" i="16"/>
  <c r="T19" i="35"/>
  <c r="AQ25" i="12"/>
  <c r="AL34" i="18"/>
  <c r="AL35" i="18" s="1"/>
  <c r="AL13" i="18" s="1"/>
  <c r="AL15" i="18" s="1"/>
  <c r="AL48" i="18"/>
  <c r="AQ44" i="12"/>
  <c r="AQ45" i="12" s="1"/>
  <c r="AQ11" i="11"/>
  <c r="AQ12" i="11" s="1"/>
  <c r="AQ20" i="10"/>
  <c r="AQ21" i="10" s="1"/>
  <c r="AP11" i="28"/>
  <c r="AJ4" i="47"/>
  <c r="AL47" i="47"/>
  <c r="AP14" i="34"/>
  <c r="AJ53" i="47" s="1"/>
  <c r="T14" i="35"/>
  <c r="AK12" i="9"/>
  <c r="AK13" i="9" s="1"/>
  <c r="AE68" i="47"/>
  <c r="AP45" i="16"/>
  <c r="AP46" i="16" s="1"/>
  <c r="AP32" i="16"/>
  <c r="AP41" i="16"/>
  <c r="AL22" i="34"/>
  <c r="AP9" i="19"/>
  <c r="AP11" i="19" s="1"/>
  <c r="AP22" i="19" s="1"/>
  <c r="AP23" i="19" s="1"/>
  <c r="AP30" i="15"/>
  <c r="AP36" i="15" s="1"/>
  <c r="AL35" i="17"/>
  <c r="AL13" i="17" s="1"/>
  <c r="AL15" i="17" s="1"/>
  <c r="AQ10" i="13"/>
  <c r="AQ11" i="13" s="1"/>
  <c r="AJ49" i="47"/>
  <c r="AL16" i="28"/>
  <c r="AJ23" i="47"/>
  <c r="AP15" i="31" l="1"/>
  <c r="AJ30" i="47" s="1"/>
  <c r="AQ28" i="15"/>
  <c r="T15" i="32"/>
  <c r="AL18" i="31"/>
  <c r="AF33" i="47" s="1"/>
  <c r="AM11" i="18"/>
  <c r="AQ27" i="13"/>
  <c r="AQ29" i="13" s="1"/>
  <c r="AQ12" i="13"/>
  <c r="AP47" i="16"/>
  <c r="AP33" i="16"/>
  <c r="AL25" i="34"/>
  <c r="AF64" i="47" s="1"/>
  <c r="AO48" i="20"/>
  <c r="AO76" i="20"/>
  <c r="AO78" i="20" s="1"/>
  <c r="AO81" i="20"/>
  <c r="AJ29" i="47"/>
  <c r="AL16" i="31"/>
  <c r="AM11" i="17"/>
  <c r="AV18" i="34"/>
  <c r="AP57" i="47" s="1"/>
  <c r="V18" i="35"/>
  <c r="AP26" i="20"/>
  <c r="AR14" i="16"/>
  <c r="AR28" i="16"/>
  <c r="AF12" i="47"/>
  <c r="AL19" i="28"/>
  <c r="AP34" i="16"/>
  <c r="AP13" i="16" s="1"/>
  <c r="AP15" i="16" s="1"/>
  <c r="AP49" i="19"/>
  <c r="AP51" i="19" s="1"/>
  <c r="AP36" i="19" s="1"/>
  <c r="AQ37" i="19" s="1"/>
  <c r="AP30" i="19"/>
  <c r="AP32" i="19" s="1"/>
  <c r="AK27" i="31"/>
  <c r="AE42" i="47" s="1"/>
  <c r="AK16" i="22"/>
  <c r="AP14" i="28"/>
  <c r="AP9" i="20"/>
  <c r="AP10" i="20" s="1"/>
  <c r="AJ7" i="47"/>
  <c r="T11" i="29"/>
  <c r="AF61" i="47"/>
  <c r="AK11" i="31"/>
  <c r="AL11" i="9"/>
  <c r="AK9" i="8"/>
  <c r="AQ10" i="37"/>
  <c r="AQ24" i="12"/>
  <c r="AQ26" i="12" s="1"/>
  <c r="AR17" i="10"/>
  <c r="AQ16" i="37"/>
  <c r="AQ62" i="12"/>
  <c r="AQ64" i="12" s="1"/>
  <c r="AQ53" i="12"/>
  <c r="AQ56" i="12" s="1"/>
  <c r="AP17" i="28"/>
  <c r="AJ13" i="47" s="1"/>
  <c r="T17" i="29"/>
  <c r="AQ16" i="19"/>
  <c r="AQ17" i="19" s="1"/>
  <c r="AQ42" i="15"/>
  <c r="AQ20" i="15"/>
  <c r="AQ25" i="11"/>
  <c r="AO11" i="34"/>
  <c r="AL23" i="34"/>
  <c r="AF62" i="47" s="1"/>
  <c r="AQ21" i="19" l="1"/>
  <c r="AQ43" i="15"/>
  <c r="AQ21" i="15"/>
  <c r="AP19" i="31"/>
  <c r="AJ34" i="47" s="1"/>
  <c r="AQ29" i="19"/>
  <c r="T19" i="32"/>
  <c r="AP24" i="34"/>
  <c r="AJ63" i="47" s="1"/>
  <c r="T24" i="35"/>
  <c r="AR25" i="10"/>
  <c r="AQ38" i="19"/>
  <c r="AQ31" i="19"/>
  <c r="AQ13" i="28"/>
  <c r="AK9" i="47" s="1"/>
  <c r="AQ11" i="37"/>
  <c r="AQ20" i="18"/>
  <c r="AQ22" i="18" s="1"/>
  <c r="AQ20" i="17"/>
  <c r="AQ22" i="17" s="1"/>
  <c r="AQ13" i="15"/>
  <c r="AQ14" i="15" s="1"/>
  <c r="AQ39" i="12"/>
  <c r="AQ41" i="12" s="1"/>
  <c r="AQ17" i="9"/>
  <c r="AQ18" i="9" s="1"/>
  <c r="AQ19" i="13"/>
  <c r="AQ21" i="13" s="1"/>
  <c r="AQ31" i="12"/>
  <c r="AW32" i="12" s="1"/>
  <c r="AR26" i="13"/>
  <c r="AQ30" i="13"/>
  <c r="AQ9" i="31" s="1"/>
  <c r="AK24" i="47" s="1"/>
  <c r="AO20" i="31"/>
  <c r="AI35" i="47" s="1"/>
  <c r="AP75" i="20"/>
  <c r="AM40" i="18"/>
  <c r="AM41" i="18" s="1"/>
  <c r="AM27" i="18"/>
  <c r="AM28" i="18" s="1"/>
  <c r="AI50" i="47"/>
  <c r="AO12" i="34"/>
  <c r="AP17" i="31"/>
  <c r="AJ32" i="47" s="1"/>
  <c r="AQ11" i="16"/>
  <c r="T17" i="32"/>
  <c r="AP14" i="20"/>
  <c r="AP15" i="20" s="1"/>
  <c r="AP20" i="20"/>
  <c r="AP21" i="20" s="1"/>
  <c r="AP34" i="20" s="1"/>
  <c r="AL22" i="28"/>
  <c r="AL82" i="20"/>
  <c r="AF15" i="47"/>
  <c r="AO21" i="28"/>
  <c r="AI17" i="47" s="1"/>
  <c r="AJ10" i="47"/>
  <c r="T14" i="29"/>
  <c r="AS22" i="15"/>
  <c r="AQ15" i="37"/>
  <c r="AR51" i="12"/>
  <c r="AE26" i="47"/>
  <c r="AK12" i="31"/>
  <c r="AR20" i="34"/>
  <c r="AL59" i="47" s="1"/>
  <c r="AM40" i="17"/>
  <c r="AM41" i="17" s="1"/>
  <c r="AQ45" i="15"/>
  <c r="AQ17" i="37"/>
  <c r="AR61" i="12"/>
  <c r="AQ17" i="11"/>
  <c r="AQ18" i="11" s="1"/>
  <c r="AL26" i="34"/>
  <c r="AF31" i="47"/>
  <c r="AL21" i="31"/>
  <c r="AM29" i="18" l="1"/>
  <c r="AM14" i="18"/>
  <c r="AW13" i="37"/>
  <c r="AW40" i="12"/>
  <c r="AW52" i="12"/>
  <c r="AQ10" i="31"/>
  <c r="AK25" i="47" s="1"/>
  <c r="AR41" i="15"/>
  <c r="AR24" i="10"/>
  <c r="AR26" i="10" s="1"/>
  <c r="AP39" i="20"/>
  <c r="AP25" i="20"/>
  <c r="AP27" i="20" s="1"/>
  <c r="AM42" i="18"/>
  <c r="AM33" i="18"/>
  <c r="AM46" i="18"/>
  <c r="AM47" i="18" s="1"/>
  <c r="AQ8" i="31"/>
  <c r="AR18" i="13"/>
  <c r="AP66" i="20"/>
  <c r="AP68" i="20" s="1"/>
  <c r="AQ29" i="15"/>
  <c r="AQ10" i="12"/>
  <c r="AQ11" i="12" s="1"/>
  <c r="AL23" i="9"/>
  <c r="AF36" i="47"/>
  <c r="AS8" i="34"/>
  <c r="AS44" i="15"/>
  <c r="U8" i="35"/>
  <c r="AQ39" i="16"/>
  <c r="AQ40" i="16" s="1"/>
  <c r="AQ12" i="37"/>
  <c r="AR38" i="12"/>
  <c r="AQ48" i="19"/>
  <c r="AQ32" i="15"/>
  <c r="AQ15" i="15"/>
  <c r="AQ10" i="34"/>
  <c r="AM46" i="17"/>
  <c r="AM47" i="17" s="1"/>
  <c r="AM42" i="17"/>
  <c r="AM33" i="17"/>
  <c r="AL29" i="34"/>
  <c r="AF65" i="47"/>
  <c r="AO15" i="34"/>
  <c r="AI51" i="47"/>
  <c r="AQ17" i="34"/>
  <c r="AK56" i="47" s="1"/>
  <c r="AQ12" i="17"/>
  <c r="AQ27" i="17"/>
  <c r="AW28" i="17" s="1"/>
  <c r="AQ8" i="28"/>
  <c r="AQ19" i="16"/>
  <c r="AQ21" i="16" s="1"/>
  <c r="AQ26" i="11"/>
  <c r="AQ27" i="11" s="1"/>
  <c r="AQ21" i="34"/>
  <c r="AK60" i="47" s="1"/>
  <c r="AQ12" i="18"/>
  <c r="AK22" i="9"/>
  <c r="AK24" i="9" s="1"/>
  <c r="AE27" i="47"/>
  <c r="AL37" i="9"/>
  <c r="AL38" i="9" s="1"/>
  <c r="AF18" i="47"/>
  <c r="AI54" i="47" l="1"/>
  <c r="AP35" i="20"/>
  <c r="AP36" i="20" s="1"/>
  <c r="AQ33" i="20" s="1"/>
  <c r="AP40" i="20"/>
  <c r="AP41" i="20" s="1"/>
  <c r="AP46" i="20" s="1"/>
  <c r="AP47" i="20" s="1"/>
  <c r="AQ9" i="19"/>
  <c r="AQ11" i="19" s="1"/>
  <c r="AQ22" i="19" s="1"/>
  <c r="AQ23" i="19" s="1"/>
  <c r="AQ30" i="15"/>
  <c r="AQ36" i="15" s="1"/>
  <c r="AK49" i="47"/>
  <c r="AQ41" i="16"/>
  <c r="AQ32" i="16"/>
  <c r="AQ45" i="16"/>
  <c r="AQ46" i="16" s="1"/>
  <c r="AP77" i="20"/>
  <c r="AP69" i="20"/>
  <c r="AQ14" i="34"/>
  <c r="AK53" i="47" s="1"/>
  <c r="AL12" i="9"/>
  <c r="AL13" i="9" s="1"/>
  <c r="AF68" i="47"/>
  <c r="AR10" i="13"/>
  <c r="AR11" i="13" s="1"/>
  <c r="AR44" i="12"/>
  <c r="AR45" i="12" s="1"/>
  <c r="AR20" i="10"/>
  <c r="AR21" i="10" s="1"/>
  <c r="AR11" i="11"/>
  <c r="AR12" i="11" s="1"/>
  <c r="AM18" i="28"/>
  <c r="AG14" i="47" s="1"/>
  <c r="S18" i="29"/>
  <c r="AW29" i="17"/>
  <c r="AW14" i="17"/>
  <c r="AK23" i="31"/>
  <c r="AE38" i="47" s="1"/>
  <c r="AK15" i="22"/>
  <c r="AK17" i="22" s="1"/>
  <c r="AK21" i="22" s="1"/>
  <c r="AQ14" i="31"/>
  <c r="AR24" i="11"/>
  <c r="AM47" i="47"/>
  <c r="AK23" i="47"/>
  <c r="AQ19" i="34"/>
  <c r="AK58" i="47" s="1"/>
  <c r="AQ26" i="16"/>
  <c r="AS27" i="16" s="1"/>
  <c r="AQ12" i="16"/>
  <c r="AM16" i="28"/>
  <c r="S16" i="29"/>
  <c r="AM48" i="18"/>
  <c r="AM34" i="18"/>
  <c r="AM22" i="34"/>
  <c r="S22" i="35"/>
  <c r="AL25" i="31"/>
  <c r="AF40" i="47" s="1"/>
  <c r="AM36" i="9"/>
  <c r="AL28" i="9"/>
  <c r="AL30" i="9" s="1"/>
  <c r="AQ11" i="28"/>
  <c r="AK4" i="47"/>
  <c r="AM48" i="17"/>
  <c r="AM34" i="17"/>
  <c r="AM35" i="17" s="1"/>
  <c r="AM13" i="17" s="1"/>
  <c r="AM15" i="17" s="1"/>
  <c r="AR25" i="12"/>
  <c r="AM35" i="18"/>
  <c r="AM13" i="18" s="1"/>
  <c r="AM15" i="18" s="1"/>
  <c r="AM16" i="31" l="1"/>
  <c r="AN11" i="17"/>
  <c r="N16" i="33"/>
  <c r="S16" i="32"/>
  <c r="AW18" i="34"/>
  <c r="AQ57" i="47" s="1"/>
  <c r="AP48" i="20"/>
  <c r="AP76" i="20"/>
  <c r="AP78" i="20" s="1"/>
  <c r="AP81" i="20"/>
  <c r="AQ47" i="16"/>
  <c r="AQ33" i="16"/>
  <c r="AQ34" i="16" s="1"/>
  <c r="AQ13" i="16" s="1"/>
  <c r="AQ15" i="16" s="1"/>
  <c r="AQ26" i="20"/>
  <c r="AR12" i="13"/>
  <c r="AR27" i="13"/>
  <c r="AR29" i="13" s="1"/>
  <c r="AG61" i="47"/>
  <c r="AL11" i="31"/>
  <c r="AM11" i="9"/>
  <c r="AL9" i="8"/>
  <c r="AQ15" i="31"/>
  <c r="AK30" i="47" s="1"/>
  <c r="AR28" i="15"/>
  <c r="AS28" i="16"/>
  <c r="AS14" i="16"/>
  <c r="AR16" i="19"/>
  <c r="AR17" i="19" s="1"/>
  <c r="AR42" i="15"/>
  <c r="AR20" i="15"/>
  <c r="AR25" i="11"/>
  <c r="AQ17" i="28"/>
  <c r="AK13" i="47" s="1"/>
  <c r="AM23" i="34"/>
  <c r="AG62" i="47" s="1"/>
  <c r="S23" i="35"/>
  <c r="AM25" i="34"/>
  <c r="AG64" i="47" s="1"/>
  <c r="S25" i="35"/>
  <c r="AK29" i="47"/>
  <c r="AR10" i="37"/>
  <c r="AR24" i="12"/>
  <c r="AR26" i="12" s="1"/>
  <c r="AS17" i="10"/>
  <c r="AG12" i="47"/>
  <c r="AM19" i="28"/>
  <c r="AQ30" i="19"/>
  <c r="AQ32" i="19" s="1"/>
  <c r="AQ49" i="19"/>
  <c r="AQ51" i="19" s="1"/>
  <c r="AQ36" i="19" s="1"/>
  <c r="AR37" i="19" s="1"/>
  <c r="AQ14" i="28"/>
  <c r="AQ9" i="20"/>
  <c r="AQ10" i="20" s="1"/>
  <c r="AK7" i="47"/>
  <c r="AR16" i="37"/>
  <c r="AR62" i="12"/>
  <c r="AR64" i="12" s="1"/>
  <c r="AR53" i="12"/>
  <c r="AR56" i="12" s="1"/>
  <c r="AM18" i="31"/>
  <c r="AG33" i="47" s="1"/>
  <c r="AN11" i="18"/>
  <c r="S18" i="32"/>
  <c r="N18" i="33"/>
  <c r="AL27" i="31"/>
  <c r="AF42" i="47" s="1"/>
  <c r="AL16" i="22"/>
  <c r="AP11" i="34"/>
  <c r="T11" i="35"/>
  <c r="AQ17" i="31" l="1"/>
  <c r="AK32" i="47" s="1"/>
  <c r="AR11" i="16"/>
  <c r="AR21" i="19"/>
  <c r="AR43" i="15"/>
  <c r="AR45" i="15" s="1"/>
  <c r="AR21" i="15"/>
  <c r="AT22" i="15" s="1"/>
  <c r="AS25" i="10"/>
  <c r="AF26" i="47"/>
  <c r="AL12" i="31"/>
  <c r="AR11" i="37"/>
  <c r="AR20" i="18"/>
  <c r="AR22" i="18" s="1"/>
  <c r="AR20" i="17"/>
  <c r="AR22" i="17" s="1"/>
  <c r="AR13" i="15"/>
  <c r="AR14" i="15" s="1"/>
  <c r="AR19" i="13"/>
  <c r="AR21" i="13" s="1"/>
  <c r="AR17" i="9"/>
  <c r="AR18" i="9" s="1"/>
  <c r="AR39" i="12"/>
  <c r="AR41" i="12" s="1"/>
  <c r="AR31" i="12"/>
  <c r="AX32" i="12" s="1"/>
  <c r="AQ24" i="34"/>
  <c r="AK63" i="47" s="1"/>
  <c r="AM22" i="28"/>
  <c r="AM82" i="20"/>
  <c r="AG15" i="47"/>
  <c r="S19" i="29"/>
  <c r="AQ14" i="20"/>
  <c r="AQ15" i="20" s="1"/>
  <c r="AQ20" i="20"/>
  <c r="AQ21" i="20" s="1"/>
  <c r="AQ34" i="20" s="1"/>
  <c r="AS20" i="34"/>
  <c r="AM59" i="47" s="1"/>
  <c r="U20" i="35"/>
  <c r="AM26" i="34"/>
  <c r="AN27" i="18"/>
  <c r="AN28" i="18" s="1"/>
  <c r="AN40" i="18"/>
  <c r="AN41" i="18" s="1"/>
  <c r="AK10" i="47"/>
  <c r="AP20" i="31"/>
  <c r="AJ35" i="47" s="1"/>
  <c r="AQ75" i="20"/>
  <c r="T20" i="32"/>
  <c r="AR15" i="37"/>
  <c r="AS51" i="12"/>
  <c r="AR31" i="19"/>
  <c r="AR38" i="19"/>
  <c r="AR30" i="13"/>
  <c r="AR9" i="31" s="1"/>
  <c r="AL24" i="47" s="1"/>
  <c r="AS26" i="13"/>
  <c r="AP21" i="28"/>
  <c r="AJ17" i="47" s="1"/>
  <c r="T21" i="29"/>
  <c r="AN40" i="17"/>
  <c r="AN41" i="17" s="1"/>
  <c r="AJ50" i="47"/>
  <c r="AP12" i="34"/>
  <c r="AR17" i="37"/>
  <c r="AS61" i="12"/>
  <c r="AR17" i="11"/>
  <c r="AR18" i="11" s="1"/>
  <c r="AQ19" i="31"/>
  <c r="AK34" i="47" s="1"/>
  <c r="AR29" i="19"/>
  <c r="AR13" i="28"/>
  <c r="AL9" i="47" s="1"/>
  <c r="AG31" i="47"/>
  <c r="AM21" i="31"/>
  <c r="AR29" i="15" l="1"/>
  <c r="AR10" i="12"/>
  <c r="AR11" i="12" s="1"/>
  <c r="AR10" i="34"/>
  <c r="AM29" i="34"/>
  <c r="AG65" i="47"/>
  <c r="S26" i="35"/>
  <c r="AM37" i="9"/>
  <c r="AM38" i="9" s="1"/>
  <c r="AG18" i="47"/>
  <c r="S22" i="29"/>
  <c r="AR8" i="31"/>
  <c r="AS18" i="13"/>
  <c r="AR32" i="15"/>
  <c r="AR15" i="15"/>
  <c r="AP15" i="34"/>
  <c r="AJ51" i="47"/>
  <c r="T12" i="35"/>
  <c r="AR10" i="31"/>
  <c r="AL25" i="47" s="1"/>
  <c r="AS41" i="15"/>
  <c r="AT8" i="34"/>
  <c r="AT44" i="15"/>
  <c r="AR48" i="19"/>
  <c r="AS24" i="10"/>
  <c r="AS26" i="10" s="1"/>
  <c r="AR17" i="34"/>
  <c r="AL56" i="47" s="1"/>
  <c r="AR27" i="17"/>
  <c r="AX28" i="17" s="1"/>
  <c r="AR12" i="17"/>
  <c r="AR21" i="34"/>
  <c r="AL60" i="47" s="1"/>
  <c r="AR12" i="18"/>
  <c r="AR8" i="28"/>
  <c r="AR19" i="16"/>
  <c r="AR21" i="16" s="1"/>
  <c r="AR26" i="11"/>
  <c r="AR27" i="11" s="1"/>
  <c r="AQ39" i="20"/>
  <c r="AQ25" i="20"/>
  <c r="AQ27" i="20" s="1"/>
  <c r="AN46" i="17"/>
  <c r="AN47" i="17" s="1"/>
  <c r="AN33" i="17"/>
  <c r="AN42" i="17"/>
  <c r="AX13" i="37"/>
  <c r="AX40" i="12"/>
  <c r="AX52" i="12"/>
  <c r="AL22" i="9"/>
  <c r="AL24" i="9" s="1"/>
  <c r="AF27" i="47"/>
  <c r="AR39" i="16"/>
  <c r="AR40" i="16" s="1"/>
  <c r="AM23" i="9"/>
  <c r="AG36" i="47"/>
  <c r="N21" i="33"/>
  <c r="S21" i="32"/>
  <c r="AQ66" i="20"/>
  <c r="AQ68" i="20" s="1"/>
  <c r="AN46" i="18"/>
  <c r="AN47" i="18" s="1"/>
  <c r="AN42" i="18"/>
  <c r="AN33" i="18"/>
  <c r="AN29" i="18"/>
  <c r="AN14" i="18"/>
  <c r="AR12" i="37"/>
  <c r="AS38" i="12"/>
  <c r="AR14" i="31" l="1"/>
  <c r="AS24" i="11"/>
  <c r="AN48" i="18"/>
  <c r="AN34" i="18"/>
  <c r="AN16" i="28"/>
  <c r="AR19" i="34"/>
  <c r="AL58" i="47" s="1"/>
  <c r="AR26" i="16"/>
  <c r="AT27" i="16" s="1"/>
  <c r="AR12" i="16"/>
  <c r="AX29" i="17"/>
  <c r="AX14" i="17"/>
  <c r="AJ54" i="47"/>
  <c r="T15" i="35"/>
  <c r="AM25" i="31"/>
  <c r="AG40" i="47" s="1"/>
  <c r="AM28" i="9"/>
  <c r="AM30" i="9" s="1"/>
  <c r="AN36" i="9"/>
  <c r="S25" i="32"/>
  <c r="N25" i="33"/>
  <c r="AR32" i="16"/>
  <c r="AR41" i="16"/>
  <c r="AR45" i="16"/>
  <c r="AR46" i="16" s="1"/>
  <c r="AS25" i="12"/>
  <c r="AR11" i="28"/>
  <c r="AL4" i="47"/>
  <c r="AR14" i="34"/>
  <c r="AL53" i="47" s="1"/>
  <c r="AQ77" i="20"/>
  <c r="AQ69" i="20"/>
  <c r="AL23" i="31"/>
  <c r="AF38" i="47" s="1"/>
  <c r="AL15" i="22"/>
  <c r="AL17" i="22" s="1"/>
  <c r="AL21" i="22" s="1"/>
  <c r="AN34" i="17"/>
  <c r="AN35" i="17" s="1"/>
  <c r="AN13" i="17" s="1"/>
  <c r="AN15" i="17" s="1"/>
  <c r="AN48" i="17"/>
  <c r="AN47" i="47"/>
  <c r="AM12" i="9"/>
  <c r="AM13" i="9" s="1"/>
  <c r="AG68" i="47"/>
  <c r="S29" i="35"/>
  <c r="AS11" i="11"/>
  <c r="AS12" i="11" s="1"/>
  <c r="AS20" i="10"/>
  <c r="AS21" i="10" s="1"/>
  <c r="AS44" i="12"/>
  <c r="AS45" i="12" s="1"/>
  <c r="AS10" i="13"/>
  <c r="AS11" i="13" s="1"/>
  <c r="AN18" i="28"/>
  <c r="AH14" i="47" s="1"/>
  <c r="AN22" i="34"/>
  <c r="AQ40" i="20"/>
  <c r="AQ41" i="20" s="1"/>
  <c r="AQ46" i="20" s="1"/>
  <c r="AQ47" i="20" s="1"/>
  <c r="AQ35" i="20"/>
  <c r="AQ36" i="20" s="1"/>
  <c r="AR33" i="20" s="1"/>
  <c r="AL23" i="47"/>
  <c r="AL49" i="47"/>
  <c r="AR9" i="19"/>
  <c r="AR11" i="19" s="1"/>
  <c r="AR22" i="19" s="1"/>
  <c r="AR23" i="19" s="1"/>
  <c r="AR30" i="15"/>
  <c r="AN35" i="18"/>
  <c r="AN13" i="18" s="1"/>
  <c r="AN15" i="18" s="1"/>
  <c r="AR36" i="15"/>
  <c r="AN16" i="31" l="1"/>
  <c r="AO11" i="17"/>
  <c r="AQ76" i="20"/>
  <c r="AQ78" i="20" s="1"/>
  <c r="AQ81" i="20"/>
  <c r="AQ48" i="20"/>
  <c r="AR49" i="19"/>
  <c r="AR51" i="19" s="1"/>
  <c r="AR36" i="19" s="1"/>
  <c r="AS37" i="19" s="1"/>
  <c r="AR30" i="19"/>
  <c r="AR32" i="19" s="1"/>
  <c r="AS16" i="37"/>
  <c r="AS62" i="12"/>
  <c r="AS64" i="12" s="1"/>
  <c r="AS53" i="12"/>
  <c r="AS56" i="12" s="1"/>
  <c r="U16" i="38"/>
  <c r="AH61" i="47"/>
  <c r="AS10" i="37"/>
  <c r="AS24" i="12"/>
  <c r="AS26" i="12" s="1"/>
  <c r="AT17" i="10"/>
  <c r="O10" i="39"/>
  <c r="L10" i="26"/>
  <c r="U10" i="38"/>
  <c r="AR14" i="28"/>
  <c r="AR9" i="20"/>
  <c r="AR10" i="20" s="1"/>
  <c r="AL7" i="47"/>
  <c r="AH12" i="47"/>
  <c r="AN19" i="28"/>
  <c r="AN23" i="34"/>
  <c r="AH62" i="47" s="1"/>
  <c r="AS16" i="19"/>
  <c r="AS17" i="19" s="1"/>
  <c r="AS42" i="15"/>
  <c r="AS20" i="15"/>
  <c r="AS25" i="11"/>
  <c r="AX18" i="34"/>
  <c r="AR57" i="47" s="1"/>
  <c r="AS27" i="13"/>
  <c r="AS29" i="13" s="1"/>
  <c r="AS12" i="13"/>
  <c r="AM27" i="31"/>
  <c r="AG42" i="47" s="1"/>
  <c r="AM16" i="22"/>
  <c r="N27" i="33"/>
  <c r="S27" i="32"/>
  <c r="AN25" i="34"/>
  <c r="AH64" i="47" s="1"/>
  <c r="AQ11" i="34"/>
  <c r="AR17" i="28"/>
  <c r="AL13" i="47" s="1"/>
  <c r="AR15" i="31"/>
  <c r="AL30" i="47" s="1"/>
  <c r="AS28" i="15"/>
  <c r="AN18" i="31"/>
  <c r="AH33" i="47" s="1"/>
  <c r="AO11" i="18"/>
  <c r="AR26" i="20"/>
  <c r="AM11" i="31"/>
  <c r="AN11" i="9"/>
  <c r="AM9" i="8"/>
  <c r="N11" i="33"/>
  <c r="S11" i="32"/>
  <c r="AR47" i="16"/>
  <c r="AR33" i="16"/>
  <c r="AR34" i="16" s="1"/>
  <c r="AR13" i="16" s="1"/>
  <c r="AR15" i="16" s="1"/>
  <c r="AT28" i="16"/>
  <c r="AT14" i="16"/>
  <c r="AL29" i="47"/>
  <c r="AR17" i="31" l="1"/>
  <c r="AL32" i="47" s="1"/>
  <c r="AS11" i="16"/>
  <c r="AS11" i="37"/>
  <c r="AS20" i="18"/>
  <c r="AS22" i="18" s="1"/>
  <c r="AS20" i="17"/>
  <c r="AS22" i="17" s="1"/>
  <c r="AS13" i="15"/>
  <c r="AS14" i="15" s="1"/>
  <c r="AS19" i="13"/>
  <c r="AS21" i="13" s="1"/>
  <c r="AS31" i="12"/>
  <c r="AY32" i="12" s="1"/>
  <c r="AS39" i="12"/>
  <c r="AS41" i="12" s="1"/>
  <c r="AS17" i="9"/>
  <c r="AS18" i="9" s="1"/>
  <c r="U11" i="38"/>
  <c r="AR19" i="31"/>
  <c r="AL34" i="47" s="1"/>
  <c r="AS29" i="19"/>
  <c r="AK50" i="47"/>
  <c r="AQ12" i="34"/>
  <c r="AS13" i="28"/>
  <c r="AM9" i="47" s="1"/>
  <c r="U13" i="29"/>
  <c r="AS21" i="19"/>
  <c r="AS43" i="15"/>
  <c r="AS45" i="15" s="1"/>
  <c r="AS21" i="15"/>
  <c r="AU22" i="15" s="1"/>
  <c r="AR14" i="20"/>
  <c r="AR15" i="20" s="1"/>
  <c r="AR20" i="20"/>
  <c r="AR21" i="20" s="1"/>
  <c r="AR34" i="20" s="1"/>
  <c r="AN26" i="34"/>
  <c r="AS31" i="19"/>
  <c r="AS38" i="19"/>
  <c r="AR24" i="34"/>
  <c r="AL63" i="47" s="1"/>
  <c r="AO27" i="18"/>
  <c r="AO28" i="18" s="1"/>
  <c r="AO40" i="18"/>
  <c r="AO41" i="18" s="1"/>
  <c r="AS30" i="13"/>
  <c r="AT26" i="13"/>
  <c r="AL10" i="47"/>
  <c r="AQ21" i="28"/>
  <c r="AK17" i="47" s="1"/>
  <c r="AS15" i="37"/>
  <c r="AT51" i="12"/>
  <c r="O15" i="39"/>
  <c r="L15" i="26"/>
  <c r="U15" i="38"/>
  <c r="AQ20" i="31"/>
  <c r="AK35" i="47" s="1"/>
  <c r="AR75" i="20"/>
  <c r="AN22" i="28"/>
  <c r="AN82" i="20"/>
  <c r="AH15" i="47"/>
  <c r="AS17" i="37"/>
  <c r="AT61" i="12"/>
  <c r="AS17" i="11"/>
  <c r="AS18" i="11" s="1"/>
  <c r="O17" i="39"/>
  <c r="L17" i="26"/>
  <c r="U17" i="38"/>
  <c r="AO40" i="17"/>
  <c r="AO41" i="17" s="1"/>
  <c r="AG26" i="47"/>
  <c r="AM12" i="31"/>
  <c r="AT20" i="34"/>
  <c r="AN59" i="47" s="1"/>
  <c r="AT25" i="10"/>
  <c r="AH31" i="47"/>
  <c r="AN21" i="31"/>
  <c r="AU8" i="34" l="1"/>
  <c r="AU44" i="15"/>
  <c r="AS10" i="31"/>
  <c r="AM25" i="47" s="1"/>
  <c r="AT41" i="15"/>
  <c r="U10" i="32"/>
  <c r="L10" i="24"/>
  <c r="F25" i="50" s="1"/>
  <c r="O10" i="33"/>
  <c r="AN23" i="9"/>
  <c r="AH36" i="47"/>
  <c r="AO42" i="18"/>
  <c r="AO33" i="18"/>
  <c r="AO46" i="18"/>
  <c r="AO47" i="18" s="1"/>
  <c r="AR39" i="20"/>
  <c r="AR25" i="20"/>
  <c r="AR27" i="20" s="1"/>
  <c r="AS8" i="31"/>
  <c r="AT18" i="13"/>
  <c r="L8" i="24"/>
  <c r="F23" i="50" s="1"/>
  <c r="O8" i="33"/>
  <c r="U8" i="32"/>
  <c r="AM22" i="9"/>
  <c r="AM24" i="9" s="1"/>
  <c r="AG27" i="47"/>
  <c r="S12" i="32"/>
  <c r="N12" i="33"/>
  <c r="AO14" i="18"/>
  <c r="AO29" i="18"/>
  <c r="AS48" i="19"/>
  <c r="AS32" i="15"/>
  <c r="AS15" i="15"/>
  <c r="AS17" i="34"/>
  <c r="AM56" i="47" s="1"/>
  <c r="AS27" i="17"/>
  <c r="AY28" i="17" s="1"/>
  <c r="AS12" i="17"/>
  <c r="U17" i="35"/>
  <c r="AO33" i="17"/>
  <c r="AO46" i="17"/>
  <c r="AO47" i="17" s="1"/>
  <c r="AO42" i="17"/>
  <c r="AS21" i="34"/>
  <c r="AM60" i="47" s="1"/>
  <c r="AS12" i="18"/>
  <c r="U21" i="35"/>
  <c r="AS29" i="15"/>
  <c r="AS10" i="12"/>
  <c r="AS11" i="12" s="1"/>
  <c r="AT24" i="10"/>
  <c r="AT26" i="10" s="1"/>
  <c r="AS10" i="34"/>
  <c r="U10" i="35"/>
  <c r="AN37" i="9"/>
  <c r="AN38" i="9" s="1"/>
  <c r="AH18" i="47"/>
  <c r="AS9" i="31"/>
  <c r="AM24" i="47" s="1"/>
  <c r="L9" i="24"/>
  <c r="F24" i="50" s="1"/>
  <c r="O9" i="33"/>
  <c r="U9" i="32"/>
  <c r="AN29" i="34"/>
  <c r="AH65" i="47"/>
  <c r="AQ15" i="34"/>
  <c r="AK51" i="47"/>
  <c r="AS12" i="37"/>
  <c r="AT38" i="12"/>
  <c r="O12" i="39"/>
  <c r="L12" i="26"/>
  <c r="U12" i="38"/>
  <c r="AS39" i="16"/>
  <c r="AS40" i="16" s="1"/>
  <c r="AS8" i="28"/>
  <c r="AS19" i="16"/>
  <c r="AS21" i="16" s="1"/>
  <c r="AS26" i="11"/>
  <c r="AS27" i="11" s="1"/>
  <c r="U8" i="29"/>
  <c r="AR66" i="20"/>
  <c r="AR68" i="20" s="1"/>
  <c r="AY13" i="37"/>
  <c r="AY52" i="12"/>
  <c r="AY40" i="12"/>
  <c r="W13" i="38"/>
  <c r="AK54" i="47" l="1"/>
  <c r="AO16" i="28"/>
  <c r="AR77" i="20"/>
  <c r="AR69" i="20"/>
  <c r="AT11" i="11"/>
  <c r="AT12" i="11" s="1"/>
  <c r="AT20" i="10"/>
  <c r="AT21" i="10" s="1"/>
  <c r="AT44" i="12"/>
  <c r="AT45" i="12" s="1"/>
  <c r="AO48" i="17"/>
  <c r="AO34" i="17"/>
  <c r="AO35" i="17" s="1"/>
  <c r="AO13" i="17" s="1"/>
  <c r="AO15" i="17" s="1"/>
  <c r="AM23" i="31"/>
  <c r="AG38" i="47" s="1"/>
  <c r="AM15" i="22"/>
  <c r="AM17" i="22" s="1"/>
  <c r="AM21" i="22" s="1"/>
  <c r="S23" i="32"/>
  <c r="N23" i="33"/>
  <c r="AO48" i="18"/>
  <c r="AO34" i="18"/>
  <c r="AO35" i="18" s="1"/>
  <c r="AO13" i="18" s="1"/>
  <c r="AO15" i="18" s="1"/>
  <c r="AS9" i="19"/>
  <c r="AS11" i="19" s="1"/>
  <c r="AS22" i="19" s="1"/>
  <c r="AS23" i="19" s="1"/>
  <c r="AS30" i="15"/>
  <c r="AS14" i="31"/>
  <c r="AT24" i="11"/>
  <c r="L14" i="24"/>
  <c r="F29" i="50" s="1"/>
  <c r="O14" i="33"/>
  <c r="U14" i="32"/>
  <c r="AT25" i="12"/>
  <c r="AS36" i="15"/>
  <c r="AO22" i="34"/>
  <c r="AO18" i="28"/>
  <c r="AI14" i="47" s="1"/>
  <c r="AN25" i="31"/>
  <c r="AH40" i="47" s="1"/>
  <c r="AO36" i="9"/>
  <c r="AN28" i="9"/>
  <c r="AN30" i="9" s="1"/>
  <c r="AS11" i="28"/>
  <c r="AM4" i="47"/>
  <c r="AY29" i="17"/>
  <c r="AY14" i="17"/>
  <c r="AT10" i="13"/>
  <c r="AT11" i="13" s="1"/>
  <c r="AN12" i="9"/>
  <c r="AN13" i="9" s="1"/>
  <c r="AH68" i="47"/>
  <c r="AM23" i="47"/>
  <c r="AS19" i="34"/>
  <c r="AM58" i="47" s="1"/>
  <c r="AS26" i="16"/>
  <c r="AU27" i="16" s="1"/>
  <c r="AS12" i="16"/>
  <c r="U19" i="35"/>
  <c r="AS32" i="16"/>
  <c r="AS45" i="16"/>
  <c r="AS46" i="16" s="1"/>
  <c r="AS41" i="16"/>
  <c r="AM49" i="47"/>
  <c r="AS14" i="34"/>
  <c r="AM53" i="47" s="1"/>
  <c r="U14" i="35"/>
  <c r="AR35" i="20"/>
  <c r="AR36" i="20" s="1"/>
  <c r="AS33" i="20" s="1"/>
  <c r="AR40" i="20"/>
  <c r="AR41" i="20" s="1"/>
  <c r="AR46" i="20" s="1"/>
  <c r="AR47" i="20" s="1"/>
  <c r="AO47" i="47"/>
  <c r="AO18" i="31" l="1"/>
  <c r="AI33" i="47" s="1"/>
  <c r="AP11" i="18"/>
  <c r="AR76" i="20"/>
  <c r="AR78" i="20" s="1"/>
  <c r="AR81" i="20"/>
  <c r="AR48" i="20"/>
  <c r="AO16" i="31"/>
  <c r="AP11" i="17"/>
  <c r="AS17" i="28"/>
  <c r="AM13" i="47" s="1"/>
  <c r="U17" i="29"/>
  <c r="AT12" i="13"/>
  <c r="AT27" i="13"/>
  <c r="AT29" i="13" s="1"/>
  <c r="AO23" i="34"/>
  <c r="AI62" i="47" s="1"/>
  <c r="AT16" i="37"/>
  <c r="AT53" i="12"/>
  <c r="AT56" i="12" s="1"/>
  <c r="AT62" i="12"/>
  <c r="AT64" i="12" s="1"/>
  <c r="AI12" i="47"/>
  <c r="AO19" i="28"/>
  <c r="AS30" i="19"/>
  <c r="AS32" i="19" s="1"/>
  <c r="AS49" i="19"/>
  <c r="AS51" i="19" s="1"/>
  <c r="AS36" i="19" s="1"/>
  <c r="AT37" i="19" s="1"/>
  <c r="AO25" i="34"/>
  <c r="AI64" i="47" s="1"/>
  <c r="AT10" i="37"/>
  <c r="AU17" i="10"/>
  <c r="AT24" i="12"/>
  <c r="AT26" i="12" s="1"/>
  <c r="AT16" i="19"/>
  <c r="AT17" i="19" s="1"/>
  <c r="AT42" i="15"/>
  <c r="AT20" i="15"/>
  <c r="AT25" i="11"/>
  <c r="AS14" i="28"/>
  <c r="AS9" i="20"/>
  <c r="AS10" i="20" s="1"/>
  <c r="AM7" i="47"/>
  <c r="U11" i="29"/>
  <c r="AR11" i="34"/>
  <c r="AS33" i="16"/>
  <c r="AS34" i="16" s="1"/>
  <c r="AS13" i="16" s="1"/>
  <c r="AS15" i="16" s="1"/>
  <c r="AS47" i="16"/>
  <c r="AY18" i="34"/>
  <c r="AS57" i="47" s="1"/>
  <c r="W18" i="35"/>
  <c r="AS26" i="20"/>
  <c r="AU28" i="16"/>
  <c r="AU14" i="16"/>
  <c r="AN11" i="31"/>
  <c r="AO11" i="9"/>
  <c r="AN9" i="8"/>
  <c r="AN27" i="31"/>
  <c r="AH42" i="47" s="1"/>
  <c r="AN16" i="22"/>
  <c r="AI61" i="47"/>
  <c r="AO26" i="34"/>
  <c r="AM29" i="47"/>
  <c r="AS15" i="31"/>
  <c r="AM30" i="47" s="1"/>
  <c r="AT28" i="15"/>
  <c r="O15" i="33"/>
  <c r="L15" i="24"/>
  <c r="F30" i="50" s="1"/>
  <c r="U15" i="32"/>
  <c r="AS17" i="31" l="1"/>
  <c r="AM32" i="47" s="1"/>
  <c r="AT11" i="16"/>
  <c r="O17" i="33"/>
  <c r="L17" i="24"/>
  <c r="F32" i="50" s="1"/>
  <c r="U17" i="32"/>
  <c r="AT15" i="37"/>
  <c r="AU51" i="12"/>
  <c r="AT11" i="37"/>
  <c r="AT20" i="18"/>
  <c r="AT22" i="18" s="1"/>
  <c r="AT20" i="17"/>
  <c r="AT22" i="17" s="1"/>
  <c r="AT13" i="15"/>
  <c r="AT14" i="15" s="1"/>
  <c r="AT19" i="13"/>
  <c r="AT21" i="13" s="1"/>
  <c r="AT31" i="12"/>
  <c r="AZ32" i="12" s="1"/>
  <c r="AT17" i="9"/>
  <c r="AT18" i="9" s="1"/>
  <c r="AT39" i="12"/>
  <c r="AT41" i="12" s="1"/>
  <c r="AS19" i="31"/>
  <c r="AM34" i="47" s="1"/>
  <c r="AT29" i="19"/>
  <c r="O19" i="33"/>
  <c r="L19" i="24"/>
  <c r="F34" i="50" s="1"/>
  <c r="U19" i="32"/>
  <c r="AP40" i="17"/>
  <c r="AP41" i="17" s="1"/>
  <c r="AU25" i="10"/>
  <c r="AO22" i="28"/>
  <c r="AO82" i="20"/>
  <c r="AI15" i="47"/>
  <c r="AI31" i="47"/>
  <c r="AO21" i="31"/>
  <c r="AT31" i="19"/>
  <c r="AT38" i="19"/>
  <c r="AS14" i="20"/>
  <c r="AS15" i="20" s="1"/>
  <c r="AS20" i="20"/>
  <c r="AS21" i="20" s="1"/>
  <c r="AS34" i="20" s="1"/>
  <c r="AR21" i="28"/>
  <c r="AL17" i="47" s="1"/>
  <c r="AM10" i="47"/>
  <c r="U14" i="29"/>
  <c r="AS24" i="34"/>
  <c r="AM63" i="47" s="1"/>
  <c r="U24" i="35"/>
  <c r="AH26" i="47"/>
  <c r="AN12" i="31"/>
  <c r="AT30" i="13"/>
  <c r="AT9" i="31" s="1"/>
  <c r="AN24" i="47" s="1"/>
  <c r="AU26" i="13"/>
  <c r="AR20" i="31"/>
  <c r="AL35" i="47" s="1"/>
  <c r="AS75" i="20"/>
  <c r="AT21" i="19"/>
  <c r="AT43" i="15"/>
  <c r="AT45" i="15" s="1"/>
  <c r="AT21" i="15"/>
  <c r="AV22" i="15" s="1"/>
  <c r="AT13" i="28"/>
  <c r="AN9" i="47" s="1"/>
  <c r="AP27" i="18"/>
  <c r="AP28" i="18" s="1"/>
  <c r="AP40" i="18"/>
  <c r="AP41" i="18" s="1"/>
  <c r="AO29" i="34"/>
  <c r="AI65" i="47"/>
  <c r="AU20" i="34"/>
  <c r="AO59" i="47" s="1"/>
  <c r="AL50" i="47"/>
  <c r="AR12" i="34"/>
  <c r="AT17" i="37"/>
  <c r="AT17" i="11"/>
  <c r="AT18" i="11" s="1"/>
  <c r="AU61" i="12"/>
  <c r="AV8" i="34" l="1"/>
  <c r="AV44" i="15"/>
  <c r="V8" i="35"/>
  <c r="AT10" i="31"/>
  <c r="AN25" i="47" s="1"/>
  <c r="AU41" i="15"/>
  <c r="AP14" i="18"/>
  <c r="AP29" i="18"/>
  <c r="AT12" i="37"/>
  <c r="AU38" i="12"/>
  <c r="AU24" i="10"/>
  <c r="AU26" i="10" s="1"/>
  <c r="AT29" i="15"/>
  <c r="AT10" i="12"/>
  <c r="AT11" i="12" s="1"/>
  <c r="AS66" i="20"/>
  <c r="AS68" i="20" s="1"/>
  <c r="AS25" i="20"/>
  <c r="AS27" i="20" s="1"/>
  <c r="AS39" i="20"/>
  <c r="AZ13" i="37"/>
  <c r="AZ52" i="12"/>
  <c r="AZ40" i="12"/>
  <c r="AP46" i="18"/>
  <c r="AP47" i="18" s="1"/>
  <c r="AP33" i="18"/>
  <c r="AP42" i="18"/>
  <c r="AP46" i="17"/>
  <c r="AP47" i="17" s="1"/>
  <c r="AP42" i="17"/>
  <c r="AP33" i="17"/>
  <c r="AT10" i="34"/>
  <c r="AO37" i="9"/>
  <c r="AO38" i="9" s="1"/>
  <c r="AI18" i="47"/>
  <c r="AT48" i="19"/>
  <c r="AT8" i="31"/>
  <c r="AU18" i="13"/>
  <c r="AR15" i="34"/>
  <c r="AL51" i="47"/>
  <c r="AT32" i="15"/>
  <c r="AT15" i="15"/>
  <c r="AT8" i="28"/>
  <c r="AT19" i="16"/>
  <c r="AT21" i="16" s="1"/>
  <c r="AT26" i="11"/>
  <c r="AT27" i="11" s="1"/>
  <c r="AO12" i="9"/>
  <c r="AO13" i="9" s="1"/>
  <c r="AI68" i="47"/>
  <c r="AO23" i="9"/>
  <c r="AI36" i="47"/>
  <c r="AT17" i="34"/>
  <c r="AN56" i="47" s="1"/>
  <c r="AT27" i="17"/>
  <c r="AZ28" i="17" s="1"/>
  <c r="AT12" i="17"/>
  <c r="AT39" i="16"/>
  <c r="AT40" i="16" s="1"/>
  <c r="AN22" i="9"/>
  <c r="AN24" i="9" s="1"/>
  <c r="AH27" i="47"/>
  <c r="AT21" i="34"/>
  <c r="AN60" i="47" s="1"/>
  <c r="AT12" i="18"/>
  <c r="AT9" i="19" l="1"/>
  <c r="AT11" i="19" s="1"/>
  <c r="AT22" i="19" s="1"/>
  <c r="AT23" i="19" s="1"/>
  <c r="AT30" i="15"/>
  <c r="AP16" i="28"/>
  <c r="T16" i="29"/>
  <c r="AT36" i="15"/>
  <c r="AT32" i="16"/>
  <c r="AT45" i="16"/>
  <c r="AT46" i="16" s="1"/>
  <c r="AT41" i="16"/>
  <c r="AL54" i="47"/>
  <c r="AO25" i="31"/>
  <c r="AI40" i="47" s="1"/>
  <c r="AP36" i="9"/>
  <c r="AO28" i="9"/>
  <c r="AO30" i="9" s="1"/>
  <c r="AP48" i="17"/>
  <c r="AP34" i="17"/>
  <c r="AP35" i="17" s="1"/>
  <c r="AP13" i="17" s="1"/>
  <c r="AP15" i="17" s="1"/>
  <c r="AT14" i="31"/>
  <c r="AU24" i="11"/>
  <c r="AU10" i="13"/>
  <c r="AU11" i="13" s="1"/>
  <c r="AP18" i="28"/>
  <c r="AJ14" i="47" s="1"/>
  <c r="T18" i="29"/>
  <c r="AN23" i="31"/>
  <c r="AH38" i="47" s="1"/>
  <c r="AN15" i="22"/>
  <c r="AN17" i="22" s="1"/>
  <c r="AN21" i="22" s="1"/>
  <c r="AT19" i="34"/>
  <c r="AN58" i="47" s="1"/>
  <c r="AT26" i="16"/>
  <c r="AV27" i="16" s="1"/>
  <c r="AT12" i="16"/>
  <c r="AN23" i="47"/>
  <c r="AS35" i="20"/>
  <c r="AS36" i="20" s="1"/>
  <c r="AT33" i="20" s="1"/>
  <c r="AS40" i="20"/>
  <c r="AS41" i="20" s="1"/>
  <c r="AS46" i="20" s="1"/>
  <c r="AS47" i="20" s="1"/>
  <c r="AU11" i="11"/>
  <c r="AU12" i="11" s="1"/>
  <c r="AU20" i="10"/>
  <c r="AU21" i="10" s="1"/>
  <c r="AU44" i="12"/>
  <c r="AU45" i="12" s="1"/>
  <c r="AT11" i="28"/>
  <c r="AN4" i="47"/>
  <c r="AP48" i="18"/>
  <c r="AP34" i="18"/>
  <c r="AP35" i="18" s="1"/>
  <c r="AP13" i="18" s="1"/>
  <c r="AP15" i="18" s="1"/>
  <c r="AU25" i="12"/>
  <c r="AT14" i="34"/>
  <c r="AN53" i="47" s="1"/>
  <c r="AN49" i="47"/>
  <c r="AS69" i="20"/>
  <c r="AS77" i="20"/>
  <c r="AO11" i="31"/>
  <c r="AP11" i="9"/>
  <c r="AO9" i="8"/>
  <c r="AZ14" i="17"/>
  <c r="AZ29" i="17"/>
  <c r="AP22" i="34"/>
  <c r="T22" i="35"/>
  <c r="AP47" i="47"/>
  <c r="AS76" i="20" l="1"/>
  <c r="AS78" i="20" s="1"/>
  <c r="AS81" i="20"/>
  <c r="AS48" i="20"/>
  <c r="AP16" i="31"/>
  <c r="AQ11" i="17"/>
  <c r="T16" i="32"/>
  <c r="AP18" i="31"/>
  <c r="AJ33" i="47" s="1"/>
  <c r="AQ11" i="18"/>
  <c r="T18" i="32"/>
  <c r="AV28" i="16"/>
  <c r="AV14" i="16"/>
  <c r="AT15" i="31"/>
  <c r="AN30" i="47" s="1"/>
  <c r="AU28" i="15"/>
  <c r="AT26" i="20"/>
  <c r="AP25" i="34"/>
  <c r="AJ64" i="47" s="1"/>
  <c r="T25" i="35"/>
  <c r="AU27" i="13"/>
  <c r="AU29" i="13" s="1"/>
  <c r="AU12" i="13"/>
  <c r="AZ18" i="34"/>
  <c r="AT57" i="47" s="1"/>
  <c r="AT14" i="28"/>
  <c r="AT9" i="20"/>
  <c r="AT10" i="20" s="1"/>
  <c r="AN7" i="47"/>
  <c r="AN29" i="47"/>
  <c r="AJ12" i="47"/>
  <c r="AP19" i="28"/>
  <c r="AJ61" i="47"/>
  <c r="AI26" i="47"/>
  <c r="AO12" i="31"/>
  <c r="AU16" i="37"/>
  <c r="AU62" i="12"/>
  <c r="AU64" i="12" s="1"/>
  <c r="AU53" i="12"/>
  <c r="AU56" i="12" s="1"/>
  <c r="AT17" i="28"/>
  <c r="AN13" i="47" s="1"/>
  <c r="AU10" i="37"/>
  <c r="AU24" i="12"/>
  <c r="AU26" i="12" s="1"/>
  <c r="AV17" i="10"/>
  <c r="AP23" i="34"/>
  <c r="AJ62" i="47" s="1"/>
  <c r="T23" i="35"/>
  <c r="AT33" i="16"/>
  <c r="AT34" i="16" s="1"/>
  <c r="AT13" i="16" s="1"/>
  <c r="AT15" i="16" s="1"/>
  <c r="AT47" i="16"/>
  <c r="AT30" i="19"/>
  <c r="AT32" i="19" s="1"/>
  <c r="AT49" i="19"/>
  <c r="AT51" i="19" s="1"/>
  <c r="AT36" i="19" s="1"/>
  <c r="AU37" i="19" s="1"/>
  <c r="AS11" i="34"/>
  <c r="U11" i="35"/>
  <c r="AU16" i="19"/>
  <c r="AU17" i="19" s="1"/>
  <c r="AU42" i="15"/>
  <c r="AU20" i="15"/>
  <c r="AU25" i="11"/>
  <c r="AO27" i="31"/>
  <c r="AI42" i="47" s="1"/>
  <c r="AO16" i="22"/>
  <c r="AT17" i="31" l="1"/>
  <c r="AN32" i="47" s="1"/>
  <c r="AU11" i="16"/>
  <c r="AQ27" i="18"/>
  <c r="AQ28" i="18" s="1"/>
  <c r="AQ40" i="18"/>
  <c r="AQ41" i="18" s="1"/>
  <c r="AU11" i="37"/>
  <c r="AU20" i="18"/>
  <c r="AU22" i="18" s="1"/>
  <c r="AU20" i="17"/>
  <c r="AU22" i="17" s="1"/>
  <c r="AU13" i="15"/>
  <c r="AU14" i="15" s="1"/>
  <c r="AU19" i="13"/>
  <c r="AU21" i="13" s="1"/>
  <c r="AU31" i="12"/>
  <c r="BA32" i="12" s="1"/>
  <c r="AU39" i="12"/>
  <c r="AU41" i="12" s="1"/>
  <c r="AU17" i="9"/>
  <c r="AU18" i="9" s="1"/>
  <c r="AU30" i="13"/>
  <c r="AU9" i="31" s="1"/>
  <c r="AO24" i="47" s="1"/>
  <c r="AV26" i="13"/>
  <c r="AQ40" i="17"/>
  <c r="AQ41" i="17" s="1"/>
  <c r="AU21" i="19"/>
  <c r="AU43" i="15"/>
  <c r="AU21" i="15"/>
  <c r="AW22" i="15" s="1"/>
  <c r="AU13" i="28"/>
  <c r="AO9" i="47" s="1"/>
  <c r="AU31" i="19"/>
  <c r="AU38" i="19"/>
  <c r="AT19" i="31"/>
  <c r="AN34" i="47" s="1"/>
  <c r="AU29" i="19"/>
  <c r="AU15" i="37"/>
  <c r="AV51" i="12"/>
  <c r="AP22" i="28"/>
  <c r="AP82" i="20"/>
  <c r="AJ15" i="47"/>
  <c r="T19" i="29"/>
  <c r="AT14" i="20"/>
  <c r="AT15" i="20" s="1"/>
  <c r="AT20" i="20"/>
  <c r="AT21" i="20" s="1"/>
  <c r="AT34" i="20" s="1"/>
  <c r="AV20" i="34"/>
  <c r="AP59" i="47" s="1"/>
  <c r="V20" i="35"/>
  <c r="AJ31" i="47"/>
  <c r="AP21" i="31"/>
  <c r="AT24" i="34"/>
  <c r="AN63" i="47" s="1"/>
  <c r="AU17" i="37"/>
  <c r="AU17" i="11"/>
  <c r="AU18" i="11" s="1"/>
  <c r="AV61" i="12"/>
  <c r="AN10" i="47"/>
  <c r="AS21" i="28"/>
  <c r="AM17" i="47" s="1"/>
  <c r="U21" i="29"/>
  <c r="AM50" i="47"/>
  <c r="AS12" i="34"/>
  <c r="AP26" i="34"/>
  <c r="AV25" i="10"/>
  <c r="AU45" i="15"/>
  <c r="AO22" i="9"/>
  <c r="AO24" i="9" s="1"/>
  <c r="AI27" i="47"/>
  <c r="AS20" i="31"/>
  <c r="AM35" i="47" s="1"/>
  <c r="AT75" i="20"/>
  <c r="L20" i="24"/>
  <c r="F35" i="50" s="1"/>
  <c r="U20" i="32"/>
  <c r="O20" i="33"/>
  <c r="AW8" i="34" l="1"/>
  <c r="AW44" i="15"/>
  <c r="AS15" i="34"/>
  <c r="AM51" i="47"/>
  <c r="U12" i="35"/>
  <c r="AP29" i="34"/>
  <c r="AJ65" i="47"/>
  <c r="T26" i="35"/>
  <c r="AU48" i="19"/>
  <c r="AU21" i="34"/>
  <c r="AO60" i="47" s="1"/>
  <c r="AU12" i="18"/>
  <c r="AP23" i="9"/>
  <c r="AJ36" i="47"/>
  <c r="T21" i="32"/>
  <c r="AU10" i="34"/>
  <c r="AU29" i="15"/>
  <c r="AU10" i="12"/>
  <c r="AU11" i="12" s="1"/>
  <c r="AT39" i="20"/>
  <c r="AT25" i="20"/>
  <c r="AT27" i="20" s="1"/>
  <c r="AO23" i="31"/>
  <c r="AI38" i="47" s="1"/>
  <c r="AO15" i="22"/>
  <c r="AO17" i="22" s="1"/>
  <c r="AO21" i="22" s="1"/>
  <c r="AU8" i="28"/>
  <c r="AU19" i="16"/>
  <c r="AU21" i="16" s="1"/>
  <c r="AU26" i="11"/>
  <c r="AU27" i="11" s="1"/>
  <c r="AU12" i="37"/>
  <c r="AV38" i="12"/>
  <c r="AU10" i="31"/>
  <c r="AO25" i="47" s="1"/>
  <c r="AV41" i="15"/>
  <c r="AQ42" i="17"/>
  <c r="AQ46" i="17"/>
  <c r="AQ47" i="17" s="1"/>
  <c r="AQ33" i="17"/>
  <c r="BA13" i="37"/>
  <c r="BA52" i="12"/>
  <c r="BA40" i="12"/>
  <c r="AQ46" i="18"/>
  <c r="AQ47" i="18" s="1"/>
  <c r="AQ33" i="18"/>
  <c r="AQ42" i="18"/>
  <c r="AP37" i="9"/>
  <c r="AP38" i="9" s="1"/>
  <c r="AJ18" i="47"/>
  <c r="T22" i="29"/>
  <c r="AU8" i="31"/>
  <c r="AV18" i="13"/>
  <c r="AQ14" i="18"/>
  <c r="AQ29" i="18"/>
  <c r="AV24" i="10"/>
  <c r="AV26" i="10" s="1"/>
  <c r="AU32" i="15"/>
  <c r="AU15" i="15"/>
  <c r="AU39" i="16"/>
  <c r="AU40" i="16" s="1"/>
  <c r="AT66" i="20"/>
  <c r="AT68" i="20" s="1"/>
  <c r="AU17" i="34"/>
  <c r="AO56" i="47" s="1"/>
  <c r="AU27" i="17"/>
  <c r="BA28" i="17" s="1"/>
  <c r="AU12" i="17"/>
  <c r="AT40" i="20" l="1"/>
  <c r="AT35" i="20"/>
  <c r="AT36" i="20" s="1"/>
  <c r="AU33" i="20" s="1"/>
  <c r="AO49" i="47"/>
  <c r="AQ18" i="28"/>
  <c r="AK14" i="47" s="1"/>
  <c r="AT41" i="20"/>
  <c r="AT46" i="20" s="1"/>
  <c r="AT47" i="20" s="1"/>
  <c r="AV10" i="13"/>
  <c r="AV11" i="13" s="1"/>
  <c r="AQ48" i="17"/>
  <c r="AQ34" i="17"/>
  <c r="AQ35" i="17" s="1"/>
  <c r="AQ13" i="17" s="1"/>
  <c r="AQ15" i="17" s="1"/>
  <c r="AU9" i="19"/>
  <c r="AU11" i="19" s="1"/>
  <c r="AU22" i="19" s="1"/>
  <c r="AU23" i="19" s="1"/>
  <c r="AU30" i="15"/>
  <c r="AM54" i="47"/>
  <c r="U15" i="35"/>
  <c r="AU14" i="31"/>
  <c r="AV24" i="11"/>
  <c r="AU36" i="15"/>
  <c r="AP25" i="31"/>
  <c r="AJ40" i="47" s="1"/>
  <c r="AQ36" i="9"/>
  <c r="AP28" i="9"/>
  <c r="AP30" i="9" s="1"/>
  <c r="T25" i="32"/>
  <c r="AT69" i="20"/>
  <c r="AT77" i="20"/>
  <c r="AQ34" i="18"/>
  <c r="AQ35" i="18" s="1"/>
  <c r="AQ13" i="18" s="1"/>
  <c r="AQ15" i="18" s="1"/>
  <c r="AQ48" i="18"/>
  <c r="AQ16" i="28"/>
  <c r="AU14" i="34"/>
  <c r="AO53" i="47" s="1"/>
  <c r="AU19" i="34"/>
  <c r="AO58" i="47" s="1"/>
  <c r="AU12" i="16"/>
  <c r="AU26" i="16"/>
  <c r="AW27" i="16" s="1"/>
  <c r="AQ22" i="34"/>
  <c r="BA14" i="17"/>
  <c r="BA29" i="17"/>
  <c r="AU11" i="28"/>
  <c r="AO4" i="47"/>
  <c r="AU32" i="16"/>
  <c r="AU45" i="16"/>
  <c r="AU46" i="16" s="1"/>
  <c r="AU41" i="16"/>
  <c r="AO23" i="47"/>
  <c r="AV25" i="12"/>
  <c r="AV11" i="11"/>
  <c r="AV12" i="11" s="1"/>
  <c r="AV20" i="10"/>
  <c r="AV21" i="10" s="1"/>
  <c r="AV44" i="12"/>
  <c r="AV45" i="12" s="1"/>
  <c r="AP12" i="9"/>
  <c r="AP13" i="9" s="1"/>
  <c r="AJ68" i="47"/>
  <c r="T29" i="35"/>
  <c r="AQ47" i="47"/>
  <c r="AQ16" i="31" l="1"/>
  <c r="AR11" i="17"/>
  <c r="AQ18" i="31"/>
  <c r="AK33" i="47" s="1"/>
  <c r="AR11" i="18"/>
  <c r="AK61" i="47"/>
  <c r="AK12" i="47"/>
  <c r="AQ19" i="28"/>
  <c r="AU33" i="16"/>
  <c r="AU34" i="16" s="1"/>
  <c r="AU13" i="16" s="1"/>
  <c r="AU15" i="16" s="1"/>
  <c r="AU47" i="16"/>
  <c r="AP11" i="31"/>
  <c r="AP9" i="8"/>
  <c r="AQ11" i="9"/>
  <c r="T11" i="32"/>
  <c r="AU17" i="28"/>
  <c r="AO13" i="47" s="1"/>
  <c r="AQ25" i="34"/>
  <c r="AK64" i="47" s="1"/>
  <c r="AU30" i="19"/>
  <c r="AU32" i="19" s="1"/>
  <c r="AU49" i="19"/>
  <c r="AU51" i="19" s="1"/>
  <c r="AU36" i="19" s="1"/>
  <c r="AV37" i="19" s="1"/>
  <c r="AV10" i="37"/>
  <c r="AV24" i="12"/>
  <c r="AV26" i="12" s="1"/>
  <c r="AW17" i="10"/>
  <c r="V10" i="38"/>
  <c r="AQ23" i="34"/>
  <c r="AK62" i="47" s="1"/>
  <c r="AT11" i="34"/>
  <c r="AO29" i="47"/>
  <c r="AV16" i="19"/>
  <c r="AV17" i="19" s="1"/>
  <c r="AV42" i="15"/>
  <c r="AV25" i="11"/>
  <c r="AV20" i="15"/>
  <c r="AU14" i="28"/>
  <c r="AU9" i="20"/>
  <c r="AU10" i="20" s="1"/>
  <c r="AO7" i="47"/>
  <c r="AU15" i="31"/>
  <c r="AO30" i="47" s="1"/>
  <c r="AV28" i="15"/>
  <c r="AW28" i="16"/>
  <c r="AW14" i="16"/>
  <c r="AP27" i="31"/>
  <c r="AJ42" i="47" s="1"/>
  <c r="AP16" i="22"/>
  <c r="T27" i="32"/>
  <c r="AV27" i="13"/>
  <c r="AV29" i="13" s="1"/>
  <c r="AV12" i="13"/>
  <c r="AU26" i="20"/>
  <c r="AV16" i="37"/>
  <c r="AV62" i="12"/>
  <c r="AV64" i="12" s="1"/>
  <c r="AV53" i="12"/>
  <c r="AV56" i="12" s="1"/>
  <c r="V16" i="38"/>
  <c r="BA18" i="34"/>
  <c r="AU57" i="47" s="1"/>
  <c r="AT81" i="20"/>
  <c r="AT48" i="20"/>
  <c r="AT76" i="20"/>
  <c r="AT78" i="20" s="1"/>
  <c r="AQ22" i="28" l="1"/>
  <c r="AQ82" i="20"/>
  <c r="AK15" i="47"/>
  <c r="AV21" i="19"/>
  <c r="AV43" i="15"/>
  <c r="AV45" i="15" s="1"/>
  <c r="AV21" i="15"/>
  <c r="AX22" i="15" s="1"/>
  <c r="AV31" i="19"/>
  <c r="AV38" i="19"/>
  <c r="AU19" i="31"/>
  <c r="AO34" i="47" s="1"/>
  <c r="AV29" i="19"/>
  <c r="AQ26" i="34"/>
  <c r="AV15" i="37"/>
  <c r="AW51" i="12"/>
  <c r="V15" i="38"/>
  <c r="AU17" i="31"/>
  <c r="AO32" i="47" s="1"/>
  <c r="AV11" i="16"/>
  <c r="AV17" i="37"/>
  <c r="AV17" i="11"/>
  <c r="AV18" i="11" s="1"/>
  <c r="AW61" i="12"/>
  <c r="V17" i="38"/>
  <c r="AR27" i="18"/>
  <c r="AR28" i="18" s="1"/>
  <c r="AR40" i="18"/>
  <c r="AR41" i="18" s="1"/>
  <c r="AW20" i="34"/>
  <c r="AQ59" i="47" s="1"/>
  <c r="AO10" i="47"/>
  <c r="AJ26" i="47"/>
  <c r="AP12" i="31"/>
  <c r="AW25" i="10"/>
  <c r="AU24" i="34"/>
  <c r="AO63" i="47" s="1"/>
  <c r="AR40" i="17"/>
  <c r="AR41" i="17" s="1"/>
  <c r="AT21" i="28"/>
  <c r="AN17" i="47" s="1"/>
  <c r="AW26" i="13"/>
  <c r="AV30" i="13"/>
  <c r="AU20" i="20"/>
  <c r="AU21" i="20" s="1"/>
  <c r="AU34" i="20" s="1"/>
  <c r="AU14" i="20"/>
  <c r="AU15" i="20" s="1"/>
  <c r="AT20" i="31"/>
  <c r="AN35" i="47" s="1"/>
  <c r="AU75" i="20"/>
  <c r="AV13" i="28"/>
  <c r="AP9" i="47" s="1"/>
  <c r="V13" i="29"/>
  <c r="AN50" i="47"/>
  <c r="AT12" i="34"/>
  <c r="AV11" i="37"/>
  <c r="AV20" i="18"/>
  <c r="AV22" i="18" s="1"/>
  <c r="AV20" i="17"/>
  <c r="AV22" i="17" s="1"/>
  <c r="AV19" i="13"/>
  <c r="AV21" i="13" s="1"/>
  <c r="AV31" i="12"/>
  <c r="BB32" i="12" s="1"/>
  <c r="AV39" i="12"/>
  <c r="AV41" i="12" s="1"/>
  <c r="AV17" i="9"/>
  <c r="AV18" i="9" s="1"/>
  <c r="AV13" i="15"/>
  <c r="AV14" i="15" s="1"/>
  <c r="V11" i="38"/>
  <c r="AK31" i="47"/>
  <c r="AQ21" i="31"/>
  <c r="AV10" i="31" l="1"/>
  <c r="AP25" i="47" s="1"/>
  <c r="AW41" i="15"/>
  <c r="V10" i="32"/>
  <c r="AW24" i="10"/>
  <c r="AW26" i="10" s="1"/>
  <c r="AV29" i="15"/>
  <c r="AV10" i="12"/>
  <c r="AV11" i="12" s="1"/>
  <c r="AR46" i="17"/>
  <c r="AR47" i="17" s="1"/>
  <c r="AR42" i="17"/>
  <c r="AR33" i="17"/>
  <c r="AU39" i="20"/>
  <c r="AU25" i="20"/>
  <c r="AU27" i="20" s="1"/>
  <c r="AQ29" i="34"/>
  <c r="AK65" i="47"/>
  <c r="AV8" i="28"/>
  <c r="AV26" i="11"/>
  <c r="AV27" i="11" s="1"/>
  <c r="AV19" i="16"/>
  <c r="AV21" i="16" s="1"/>
  <c r="V8" i="29"/>
  <c r="AV48" i="19"/>
  <c r="AV32" i="15"/>
  <c r="AV15" i="15"/>
  <c r="AQ23" i="9"/>
  <c r="AK36" i="47"/>
  <c r="AT15" i="34"/>
  <c r="AN51" i="47"/>
  <c r="AP22" i="9"/>
  <c r="AP24" i="9" s="1"/>
  <c r="AJ27" i="47"/>
  <c r="T12" i="32"/>
  <c r="BB13" i="37"/>
  <c r="BB52" i="12"/>
  <c r="BB40" i="12"/>
  <c r="X13" i="38"/>
  <c r="AV8" i="31"/>
  <c r="AW18" i="13"/>
  <c r="V8" i="32"/>
  <c r="AV39" i="16"/>
  <c r="AV40" i="16" s="1"/>
  <c r="AV17" i="34"/>
  <c r="AP56" i="47" s="1"/>
  <c r="AV27" i="17"/>
  <c r="BB28" i="17" s="1"/>
  <c r="AV12" i="17"/>
  <c r="V17" i="35"/>
  <c r="AV21" i="34"/>
  <c r="AP60" i="47" s="1"/>
  <c r="AV12" i="18"/>
  <c r="V21" i="35"/>
  <c r="AU66" i="20"/>
  <c r="AU68" i="20" s="1"/>
  <c r="AR42" i="18"/>
  <c r="AR46" i="18"/>
  <c r="AR47" i="18" s="1"/>
  <c r="AR33" i="18"/>
  <c r="AV10" i="34"/>
  <c r="V10" i="35"/>
  <c r="AX8" i="34"/>
  <c r="AX44" i="15"/>
  <c r="AV12" i="37"/>
  <c r="AW38" i="12"/>
  <c r="V12" i="38"/>
  <c r="AV9" i="31"/>
  <c r="AP24" i="47" s="1"/>
  <c r="V9" i="32"/>
  <c r="AR29" i="18"/>
  <c r="AR14" i="18"/>
  <c r="AQ37" i="9"/>
  <c r="AQ38" i="9" s="1"/>
  <c r="AK18" i="47"/>
  <c r="AR48" i="18" l="1"/>
  <c r="AR34" i="18"/>
  <c r="AV45" i="16"/>
  <c r="AV46" i="16" s="1"/>
  <c r="AV41" i="16"/>
  <c r="AV32" i="16"/>
  <c r="AN54" i="47"/>
  <c r="AR22" i="34"/>
  <c r="AR18" i="28"/>
  <c r="AL14" i="47" s="1"/>
  <c r="AQ12" i="9"/>
  <c r="AQ13" i="9" s="1"/>
  <c r="AK68" i="47"/>
  <c r="AV9" i="19"/>
  <c r="AV11" i="19" s="1"/>
  <c r="AV22" i="19" s="1"/>
  <c r="AV23" i="19" s="1"/>
  <c r="AV30" i="15"/>
  <c r="AV36" i="15" s="1"/>
  <c r="AR47" i="47"/>
  <c r="AW10" i="13"/>
  <c r="AW11" i="13" s="1"/>
  <c r="AV19" i="34"/>
  <c r="AP58" i="47" s="1"/>
  <c r="AV12" i="16"/>
  <c r="AV26" i="16"/>
  <c r="AX27" i="16" s="1"/>
  <c r="V19" i="35"/>
  <c r="AU35" i="20"/>
  <c r="AU36" i="20" s="1"/>
  <c r="AV33" i="20" s="1"/>
  <c r="AU40" i="20"/>
  <c r="AU77" i="20"/>
  <c r="AU69" i="20"/>
  <c r="AP23" i="47"/>
  <c r="AP23" i="31"/>
  <c r="AJ38" i="47" s="1"/>
  <c r="AP15" i="22"/>
  <c r="AP17" i="22" s="1"/>
  <c r="AP21" i="22" s="1"/>
  <c r="T23" i="32"/>
  <c r="AV14" i="34"/>
  <c r="AP53" i="47" s="1"/>
  <c r="V14" i="35"/>
  <c r="AV14" i="31"/>
  <c r="AW24" i="11"/>
  <c r="V14" i="32"/>
  <c r="AU41" i="20"/>
  <c r="AU46" i="20" s="1"/>
  <c r="AU47" i="20" s="1"/>
  <c r="AV11" i="28"/>
  <c r="AP4" i="47"/>
  <c r="AW11" i="11"/>
  <c r="AW12" i="11" s="1"/>
  <c r="AW20" i="10"/>
  <c r="AW21" i="10" s="1"/>
  <c r="AW44" i="12"/>
  <c r="AW45" i="12" s="1"/>
  <c r="BB29" i="17"/>
  <c r="BB14" i="17"/>
  <c r="AP49" i="47"/>
  <c r="AR16" i="28"/>
  <c r="AW25" i="12"/>
  <c r="AQ25" i="31"/>
  <c r="AK40" i="47" s="1"/>
  <c r="AR36" i="9"/>
  <c r="AQ28" i="9"/>
  <c r="AQ30" i="9" s="1"/>
  <c r="AR35" i="18"/>
  <c r="AR13" i="18" s="1"/>
  <c r="AR15" i="18" s="1"/>
  <c r="AR48" i="17"/>
  <c r="AR34" i="17"/>
  <c r="AR35" i="17" s="1"/>
  <c r="AR13" i="17" s="1"/>
  <c r="AR15" i="17" s="1"/>
  <c r="AR16" i="31" l="1"/>
  <c r="AS11" i="17"/>
  <c r="AV15" i="31"/>
  <c r="AP30" i="47" s="1"/>
  <c r="AW28" i="15"/>
  <c r="V15" i="32"/>
  <c r="AR18" i="31"/>
  <c r="AL33" i="47" s="1"/>
  <c r="AS11" i="18"/>
  <c r="AW10" i="37"/>
  <c r="AW24" i="12"/>
  <c r="AW26" i="12" s="1"/>
  <c r="AX17" i="10"/>
  <c r="AU48" i="20"/>
  <c r="AU76" i="20"/>
  <c r="AU78" i="20" s="1"/>
  <c r="AU81" i="20"/>
  <c r="BB18" i="34"/>
  <c r="AV57" i="47" s="1"/>
  <c r="X18" i="35"/>
  <c r="AV26" i="20"/>
  <c r="AW27" i="13"/>
  <c r="AW29" i="13" s="1"/>
  <c r="AW12" i="13"/>
  <c r="AQ11" i="31"/>
  <c r="AR11" i="9"/>
  <c r="AQ9" i="8"/>
  <c r="AW16" i="37"/>
  <c r="AW62" i="12"/>
  <c r="AW64" i="12" s="1"/>
  <c r="AW53" i="12"/>
  <c r="AW56" i="12" s="1"/>
  <c r="AP29" i="47"/>
  <c r="AR23" i="34"/>
  <c r="AL62" i="47" s="1"/>
  <c r="AV17" i="28"/>
  <c r="AP13" i="47" s="1"/>
  <c r="V17" i="29"/>
  <c r="AW16" i="19"/>
  <c r="AW17" i="19" s="1"/>
  <c r="AW42" i="15"/>
  <c r="AW20" i="15"/>
  <c r="AW25" i="11"/>
  <c r="AU11" i="34"/>
  <c r="AX28" i="16"/>
  <c r="AX14" i="16"/>
  <c r="AV30" i="19"/>
  <c r="AV32" i="19" s="1"/>
  <c r="AV49" i="19"/>
  <c r="AV51" i="19" s="1"/>
  <c r="AV36" i="19" s="1"/>
  <c r="AW37" i="19" s="1"/>
  <c r="AL61" i="47"/>
  <c r="AV33" i="16"/>
  <c r="AV34" i="16" s="1"/>
  <c r="AV13" i="16" s="1"/>
  <c r="AV15" i="16" s="1"/>
  <c r="AV47" i="16"/>
  <c r="AL12" i="47"/>
  <c r="AR19" i="28"/>
  <c r="AQ27" i="31"/>
  <c r="AK42" i="47" s="1"/>
  <c r="AQ16" i="22"/>
  <c r="AV14" i="28"/>
  <c r="AV9" i="20"/>
  <c r="AV10" i="20" s="1"/>
  <c r="AP7" i="47"/>
  <c r="V11" i="29"/>
  <c r="AR25" i="34"/>
  <c r="AL64" i="47" s="1"/>
  <c r="AV17" i="31" l="1"/>
  <c r="AP32" i="47" s="1"/>
  <c r="AW11" i="16"/>
  <c r="V17" i="32"/>
  <c r="AR22" i="28"/>
  <c r="AR82" i="20"/>
  <c r="AL15" i="47"/>
  <c r="AS40" i="18"/>
  <c r="AS41" i="18" s="1"/>
  <c r="AS27" i="18"/>
  <c r="AS28" i="18" s="1"/>
  <c r="AK26" i="47"/>
  <c r="AQ12" i="31"/>
  <c r="AV20" i="20"/>
  <c r="AV21" i="20" s="1"/>
  <c r="AV34" i="20" s="1"/>
  <c r="AV14" i="20"/>
  <c r="AV15" i="20" s="1"/>
  <c r="AW13" i="28"/>
  <c r="AQ9" i="47" s="1"/>
  <c r="AU20" i="31"/>
  <c r="AO35" i="47" s="1"/>
  <c r="AV75" i="20"/>
  <c r="AX20" i="34"/>
  <c r="AR59" i="47" s="1"/>
  <c r="AO50" i="47"/>
  <c r="AU12" i="34"/>
  <c r="AX26" i="13"/>
  <c r="AW30" i="13"/>
  <c r="AW9" i="31" s="1"/>
  <c r="AQ24" i="47" s="1"/>
  <c r="AU21" i="28"/>
  <c r="AO17" i="47" s="1"/>
  <c r="AP10" i="47"/>
  <c r="V14" i="29"/>
  <c r="AV24" i="34"/>
  <c r="AP63" i="47" s="1"/>
  <c r="V24" i="35"/>
  <c r="AR26" i="34"/>
  <c r="AW38" i="19"/>
  <c r="AW31" i="19"/>
  <c r="AW15" i="37"/>
  <c r="AX51" i="12"/>
  <c r="AX25" i="10"/>
  <c r="AS40" i="17"/>
  <c r="AS41" i="17" s="1"/>
  <c r="AW21" i="19"/>
  <c r="AW43" i="15"/>
  <c r="AW45" i="15" s="1"/>
  <c r="AW21" i="15"/>
  <c r="AV19" i="31"/>
  <c r="AP34" i="47" s="1"/>
  <c r="AW29" i="19"/>
  <c r="V19" i="32"/>
  <c r="AY22" i="15"/>
  <c r="AW17" i="37"/>
  <c r="AX61" i="12"/>
  <c r="AW17" i="11"/>
  <c r="AW18" i="11" s="1"/>
  <c r="AW11" i="37"/>
  <c r="AW20" i="18"/>
  <c r="AW22" i="18" s="1"/>
  <c r="AW20" i="17"/>
  <c r="AW22" i="17" s="1"/>
  <c r="AW19" i="13"/>
  <c r="AW21" i="13" s="1"/>
  <c r="AW13" i="15"/>
  <c r="AW14" i="15" s="1"/>
  <c r="AW31" i="12"/>
  <c r="BC32" i="12" s="1"/>
  <c r="AW39" i="12"/>
  <c r="AW41" i="12" s="1"/>
  <c r="AW17" i="9"/>
  <c r="AW18" i="9" s="1"/>
  <c r="AL31" i="47"/>
  <c r="AR21" i="31"/>
  <c r="AW10" i="31" l="1"/>
  <c r="AQ25" i="47" s="1"/>
  <c r="AX41" i="15"/>
  <c r="BC13" i="37"/>
  <c r="BC40" i="12"/>
  <c r="BC52" i="12"/>
  <c r="AW48" i="19"/>
  <c r="AS33" i="17"/>
  <c r="AS46" i="17"/>
  <c r="AS47" i="17" s="1"/>
  <c r="AS42" i="17"/>
  <c r="AX24" i="10"/>
  <c r="AX26" i="10" s="1"/>
  <c r="AV25" i="20"/>
  <c r="AV27" i="20" s="1"/>
  <c r="AV39" i="20"/>
  <c r="AR29" i="34"/>
  <c r="AL65" i="47"/>
  <c r="AV66" i="20"/>
  <c r="AV68" i="20" s="1"/>
  <c r="AQ22" i="9"/>
  <c r="AQ24" i="9" s="1"/>
  <c r="AK27" i="47"/>
  <c r="AY8" i="34"/>
  <c r="AY44" i="15"/>
  <c r="W8" i="35"/>
  <c r="AW17" i="34"/>
  <c r="AQ56" i="47" s="1"/>
  <c r="AW27" i="17"/>
  <c r="BC28" i="17" s="1"/>
  <c r="AW12" i="17"/>
  <c r="AW21" i="34"/>
  <c r="AQ60" i="47" s="1"/>
  <c r="AW12" i="18"/>
  <c r="AW29" i="15"/>
  <c r="AW10" i="12"/>
  <c r="AW11" i="12" s="1"/>
  <c r="AW8" i="28"/>
  <c r="AW19" i="16"/>
  <c r="AW21" i="16" s="1"/>
  <c r="AW26" i="11"/>
  <c r="AW27" i="11" s="1"/>
  <c r="AW12" i="37"/>
  <c r="AX38" i="12"/>
  <c r="AW10" i="34"/>
  <c r="AR37" i="9"/>
  <c r="AR38" i="9" s="1"/>
  <c r="AL18" i="47"/>
  <c r="AU15" i="34"/>
  <c r="AO51" i="47"/>
  <c r="AR23" i="9"/>
  <c r="AL36" i="47"/>
  <c r="AS29" i="18"/>
  <c r="AS14" i="18"/>
  <c r="AW39" i="16"/>
  <c r="AW40" i="16" s="1"/>
  <c r="AW32" i="15"/>
  <c r="AW15" i="15"/>
  <c r="AW8" i="31"/>
  <c r="AX18" i="13"/>
  <c r="AS46" i="18"/>
  <c r="AS47" i="18" s="1"/>
  <c r="AS33" i="18"/>
  <c r="AS42" i="18"/>
  <c r="AX10" i="13" l="1"/>
  <c r="AX11" i="13" s="1"/>
  <c r="AR25" i="31"/>
  <c r="AL40" i="47" s="1"/>
  <c r="AR28" i="9"/>
  <c r="AR30" i="9" s="1"/>
  <c r="AS36" i="9"/>
  <c r="AV41" i="20"/>
  <c r="AV46" i="20" s="1"/>
  <c r="AV47" i="20" s="1"/>
  <c r="AQ23" i="31"/>
  <c r="AK38" i="47" s="1"/>
  <c r="AQ15" i="22"/>
  <c r="AQ17" i="22" s="1"/>
  <c r="AQ21" i="22" s="1"/>
  <c r="AV35" i="20"/>
  <c r="AV36" i="20" s="1"/>
  <c r="AW33" i="20" s="1"/>
  <c r="AV40" i="20"/>
  <c r="AW9" i="19"/>
  <c r="AW11" i="19" s="1"/>
  <c r="AW22" i="19" s="1"/>
  <c r="AW23" i="19" s="1"/>
  <c r="AW30" i="15"/>
  <c r="AW36" i="15" s="1"/>
  <c r="BC14" i="17"/>
  <c r="BC29" i="17"/>
  <c r="AV77" i="20"/>
  <c r="AV69" i="20"/>
  <c r="AX44" i="12"/>
  <c r="AX45" i="12" s="1"/>
  <c r="AX20" i="10"/>
  <c r="AX21" i="10" s="1"/>
  <c r="AX11" i="11"/>
  <c r="AX12" i="11" s="1"/>
  <c r="AQ23" i="47"/>
  <c r="AX25" i="12"/>
  <c r="AW14" i="34"/>
  <c r="AQ53" i="47" s="1"/>
  <c r="AW41" i="16"/>
  <c r="AW32" i="16"/>
  <c r="AW45" i="16"/>
  <c r="AW46" i="16" s="1"/>
  <c r="AS16" i="28"/>
  <c r="U16" i="29"/>
  <c r="AS18" i="28"/>
  <c r="AM14" i="47" s="1"/>
  <c r="U18" i="29"/>
  <c r="AQ49" i="47"/>
  <c r="AW14" i="31"/>
  <c r="AX24" i="11"/>
  <c r="AS48" i="17"/>
  <c r="AS34" i="17"/>
  <c r="AO54" i="47"/>
  <c r="AS34" i="18"/>
  <c r="AS35" i="18" s="1"/>
  <c r="AS13" i="18" s="1"/>
  <c r="AS15" i="18" s="1"/>
  <c r="AS48" i="18"/>
  <c r="AS22" i="34"/>
  <c r="U22" i="35"/>
  <c r="AW19" i="34"/>
  <c r="AQ58" i="47" s="1"/>
  <c r="AW26" i="16"/>
  <c r="AY27" i="16" s="1"/>
  <c r="AW12" i="16"/>
  <c r="AR12" i="9"/>
  <c r="AR13" i="9" s="1"/>
  <c r="AL68" i="47"/>
  <c r="AS35" i="17"/>
  <c r="AS13" i="17" s="1"/>
  <c r="AS15" i="17" s="1"/>
  <c r="AW11" i="28"/>
  <c r="AQ4" i="47"/>
  <c r="AS47" i="47"/>
  <c r="AW15" i="31" l="1"/>
  <c r="AQ30" i="47" s="1"/>
  <c r="AX28" i="15"/>
  <c r="AW14" i="28"/>
  <c r="AW9" i="20"/>
  <c r="AW10" i="20" s="1"/>
  <c r="AQ7" i="47"/>
  <c r="BC18" i="34"/>
  <c r="AW57" i="47" s="1"/>
  <c r="AW17" i="28"/>
  <c r="AQ13" i="47" s="1"/>
  <c r="AV48" i="20"/>
  <c r="AV76" i="20"/>
  <c r="AV78" i="20" s="1"/>
  <c r="AV81" i="20"/>
  <c r="AQ29" i="47"/>
  <c r="AW47" i="16"/>
  <c r="AW33" i="16"/>
  <c r="AW34" i="16" s="1"/>
  <c r="AW13" i="16" s="1"/>
  <c r="AW15" i="16" s="1"/>
  <c r="AS16" i="31"/>
  <c r="AT11" i="17"/>
  <c r="L16" i="24"/>
  <c r="F31" i="50" s="1"/>
  <c r="O16" i="33"/>
  <c r="U16" i="32"/>
  <c r="AY28" i="16"/>
  <c r="AY14" i="16"/>
  <c r="AS18" i="31"/>
  <c r="AM33" i="47" s="1"/>
  <c r="AT11" i="18"/>
  <c r="O18" i="33"/>
  <c r="L18" i="24"/>
  <c r="F33" i="50" s="1"/>
  <c r="U18" i="32"/>
  <c r="AX16" i="19"/>
  <c r="AX17" i="19" s="1"/>
  <c r="AX42" i="15"/>
  <c r="AX25" i="11"/>
  <c r="AX20" i="15"/>
  <c r="AW30" i="19"/>
  <c r="AW32" i="19" s="1"/>
  <c r="AW49" i="19"/>
  <c r="AW51" i="19" s="1"/>
  <c r="AW36" i="19" s="1"/>
  <c r="AX37" i="19" s="1"/>
  <c r="AR27" i="31"/>
  <c r="AL42" i="47" s="1"/>
  <c r="AR16" i="22"/>
  <c r="AX10" i="37"/>
  <c r="AX24" i="12"/>
  <c r="AX26" i="12" s="1"/>
  <c r="AY17" i="10"/>
  <c r="AR11" i="31"/>
  <c r="AR9" i="8"/>
  <c r="AS11" i="9"/>
  <c r="AM61" i="47"/>
  <c r="AS25" i="34"/>
  <c r="AM64" i="47" s="1"/>
  <c r="U25" i="35"/>
  <c r="AS23" i="34"/>
  <c r="AM62" i="47" s="1"/>
  <c r="U23" i="35"/>
  <c r="AX16" i="37"/>
  <c r="AX62" i="12"/>
  <c r="AX64" i="12" s="1"/>
  <c r="AX53" i="12"/>
  <c r="AX56" i="12" s="1"/>
  <c r="AW26" i="20"/>
  <c r="AM12" i="47"/>
  <c r="AS19" i="28"/>
  <c r="AV11" i="34"/>
  <c r="V11" i="35"/>
  <c r="AX27" i="13"/>
  <c r="AX29" i="13" s="1"/>
  <c r="AX12" i="13"/>
  <c r="AW17" i="31" l="1"/>
  <c r="AQ32" i="47" s="1"/>
  <c r="AX11" i="16"/>
  <c r="AY25" i="10"/>
  <c r="AX11" i="37"/>
  <c r="AX20" i="18"/>
  <c r="AX22" i="18" s="1"/>
  <c r="AX20" i="17"/>
  <c r="AX22" i="17" s="1"/>
  <c r="AX19" i="13"/>
  <c r="AX21" i="13" s="1"/>
  <c r="AX39" i="12"/>
  <c r="AX41" i="12" s="1"/>
  <c r="AX13" i="15"/>
  <c r="AX14" i="15" s="1"/>
  <c r="AX17" i="9"/>
  <c r="AX18" i="9" s="1"/>
  <c r="AX31" i="12"/>
  <c r="BD32" i="12" s="1"/>
  <c r="AW24" i="34"/>
  <c r="AQ63" i="47" s="1"/>
  <c r="AX21" i="19"/>
  <c r="AX21" i="15"/>
  <c r="AX43" i="15"/>
  <c r="AX45" i="15" s="1"/>
  <c r="AY20" i="34"/>
  <c r="AS59" i="47" s="1"/>
  <c r="W20" i="35"/>
  <c r="AX13" i="28"/>
  <c r="AR9" i="47" s="1"/>
  <c r="AS26" i="34"/>
  <c r="AW20" i="20"/>
  <c r="AW21" i="20" s="1"/>
  <c r="AW34" i="20" s="1"/>
  <c r="AW14" i="20"/>
  <c r="AW15" i="20" s="1"/>
  <c r="AX15" i="37"/>
  <c r="AY51" i="12"/>
  <c r="AP50" i="47"/>
  <c r="AV12" i="34"/>
  <c r="AX38" i="19"/>
  <c r="AX31" i="19"/>
  <c r="AV20" i="31"/>
  <c r="AP35" i="47" s="1"/>
  <c r="AW75" i="20"/>
  <c r="V20" i="32"/>
  <c r="AQ10" i="47"/>
  <c r="AY26" i="13"/>
  <c r="AX30" i="13"/>
  <c r="AX9" i="31" s="1"/>
  <c r="AR24" i="47" s="1"/>
  <c r="AX17" i="37"/>
  <c r="AY61" i="12"/>
  <c r="AX17" i="11"/>
  <c r="AX18" i="11" s="1"/>
  <c r="AW19" i="31"/>
  <c r="AQ34" i="47" s="1"/>
  <c r="AX29" i="19"/>
  <c r="AT40" i="17"/>
  <c r="AT41" i="17" s="1"/>
  <c r="AV21" i="28"/>
  <c r="AP17" i="47" s="1"/>
  <c r="V21" i="29"/>
  <c r="AS22" i="28"/>
  <c r="AS82" i="20"/>
  <c r="AM15" i="47"/>
  <c r="U19" i="29"/>
  <c r="AL26" i="47"/>
  <c r="AR12" i="31"/>
  <c r="AZ22" i="15"/>
  <c r="AT40" i="18"/>
  <c r="AT41" i="18" s="1"/>
  <c r="AT27" i="18"/>
  <c r="AT28" i="18" s="1"/>
  <c r="AM31" i="47"/>
  <c r="AS21" i="31"/>
  <c r="AX10" i="31" l="1"/>
  <c r="AR25" i="47" s="1"/>
  <c r="AY41" i="15"/>
  <c r="AV15" i="34"/>
  <c r="AP51" i="47"/>
  <c r="V12" i="35"/>
  <c r="AX8" i="31"/>
  <c r="AY18" i="13"/>
  <c r="AZ8" i="34"/>
  <c r="AZ44" i="15"/>
  <c r="AR22" i="9"/>
  <c r="AR24" i="9" s="1"/>
  <c r="AL27" i="47"/>
  <c r="AX8" i="28"/>
  <c r="AX19" i="16"/>
  <c r="AX21" i="16" s="1"/>
  <c r="AX26" i="11"/>
  <c r="AX27" i="11" s="1"/>
  <c r="AX17" i="34"/>
  <c r="AR56" i="47" s="1"/>
  <c r="AX27" i="17"/>
  <c r="BD28" i="17" s="1"/>
  <c r="AX12" i="17"/>
  <c r="AY24" i="10"/>
  <c r="AY26" i="10" s="1"/>
  <c r="AX21" i="34"/>
  <c r="AR60" i="47" s="1"/>
  <c r="AX12" i="18"/>
  <c r="AS23" i="9"/>
  <c r="AM36" i="47"/>
  <c r="O21" i="33"/>
  <c r="L21" i="24"/>
  <c r="F36" i="50" s="1"/>
  <c r="U21" i="32"/>
  <c r="AW66" i="20"/>
  <c r="AW68" i="20" s="1"/>
  <c r="AW39" i="20"/>
  <c r="AW25" i="20"/>
  <c r="AW27" i="20" s="1"/>
  <c r="BD13" i="37"/>
  <c r="BD40" i="12"/>
  <c r="BD52" i="12"/>
  <c r="AT46" i="17"/>
  <c r="AT47" i="17" s="1"/>
  <c r="AT42" i="17"/>
  <c r="AT33" i="17"/>
  <c r="AX29" i="15"/>
  <c r="AX10" i="12"/>
  <c r="AX11" i="12" s="1"/>
  <c r="AS37" i="9"/>
  <c r="AS38" i="9" s="1"/>
  <c r="AM18" i="47"/>
  <c r="U22" i="29"/>
  <c r="AX48" i="19"/>
  <c r="AS29" i="34"/>
  <c r="AM65" i="47"/>
  <c r="U26" i="35"/>
  <c r="AX15" i="15"/>
  <c r="AX32" i="15"/>
  <c r="AX39" i="16"/>
  <c r="AX40" i="16" s="1"/>
  <c r="AT29" i="18"/>
  <c r="AT14" i="18"/>
  <c r="AT46" i="18"/>
  <c r="AT47" i="18" s="1"/>
  <c r="AT42" i="18"/>
  <c r="AT33" i="18"/>
  <c r="AX10" i="34"/>
  <c r="AX12" i="37"/>
  <c r="AY38" i="12"/>
  <c r="AX11" i="28" l="1"/>
  <c r="AR4" i="47"/>
  <c r="AR23" i="47"/>
  <c r="AY25" i="12"/>
  <c r="AW35" i="20"/>
  <c r="AW36" i="20" s="1"/>
  <c r="AX33" i="20" s="1"/>
  <c r="AW40" i="20"/>
  <c r="AW41" i="20" s="1"/>
  <c r="AW46" i="20" s="1"/>
  <c r="AW47" i="20" s="1"/>
  <c r="AR23" i="31"/>
  <c r="AL38" i="47" s="1"/>
  <c r="AR15" i="22"/>
  <c r="AR17" i="22" s="1"/>
  <c r="AR21" i="22" s="1"/>
  <c r="BD14" i="17"/>
  <c r="BD29" i="17"/>
  <c r="AS12" i="9"/>
  <c r="AS13" i="9" s="1"/>
  <c r="AM68" i="47"/>
  <c r="U29" i="35"/>
  <c r="AT22" i="34"/>
  <c r="AX45" i="16"/>
  <c r="AX46" i="16" s="1"/>
  <c r="AX41" i="16"/>
  <c r="AX32" i="16"/>
  <c r="AT16" i="28"/>
  <c r="AR49" i="47"/>
  <c r="AX14" i="34"/>
  <c r="AR53" i="47" s="1"/>
  <c r="AT48" i="17"/>
  <c r="AT34" i="17"/>
  <c r="AT35" i="17" s="1"/>
  <c r="AT13" i="17" s="1"/>
  <c r="AT15" i="17" s="1"/>
  <c r="AW77" i="20"/>
  <c r="AW69" i="20"/>
  <c r="AP54" i="47"/>
  <c r="V15" i="35"/>
  <c r="AX14" i="31"/>
  <c r="AY24" i="11"/>
  <c r="AT47" i="47"/>
  <c r="AS25" i="31"/>
  <c r="AM40" i="47" s="1"/>
  <c r="AS28" i="9"/>
  <c r="AS30" i="9" s="1"/>
  <c r="AT36" i="9"/>
  <c r="L25" i="24"/>
  <c r="F40" i="50" s="1"/>
  <c r="O25" i="33"/>
  <c r="U25" i="32"/>
  <c r="AT18" i="28"/>
  <c r="AN14" i="47" s="1"/>
  <c r="AX9" i="19"/>
  <c r="AX11" i="19" s="1"/>
  <c r="AX22" i="19" s="1"/>
  <c r="AX23" i="19" s="1"/>
  <c r="AX30" i="15"/>
  <c r="AX36" i="15" s="1"/>
  <c r="AT34" i="18"/>
  <c r="AT35" i="18" s="1"/>
  <c r="AT13" i="18" s="1"/>
  <c r="AT15" i="18" s="1"/>
  <c r="AT48" i="18"/>
  <c r="AY44" i="12"/>
  <c r="AY45" i="12" s="1"/>
  <c r="AY11" i="11"/>
  <c r="AY12" i="11" s="1"/>
  <c r="AY20" i="10"/>
  <c r="AY21" i="10" s="1"/>
  <c r="AX19" i="34"/>
  <c r="AR58" i="47" s="1"/>
  <c r="AX26" i="16"/>
  <c r="AZ27" i="16" s="1"/>
  <c r="AX12" i="16"/>
  <c r="AY10" i="13"/>
  <c r="AY11" i="13" s="1"/>
  <c r="AT16" i="31" l="1"/>
  <c r="AU11" i="17"/>
  <c r="AW48" i="20"/>
  <c r="AW76" i="20"/>
  <c r="AW78" i="20" s="1"/>
  <c r="AW81" i="20"/>
  <c r="AX15" i="31"/>
  <c r="AR30" i="47" s="1"/>
  <c r="AY28" i="15"/>
  <c r="AX47" i="16"/>
  <c r="AX33" i="16"/>
  <c r="BD18" i="34"/>
  <c r="AX57" i="47" s="1"/>
  <c r="AX26" i="20"/>
  <c r="AT18" i="31"/>
  <c r="AN33" i="47" s="1"/>
  <c r="AU11" i="18"/>
  <c r="AT25" i="34"/>
  <c r="AN64" i="47" s="1"/>
  <c r="AY16" i="37"/>
  <c r="AY62" i="12"/>
  <c r="AY64" i="12" s="1"/>
  <c r="AY53" i="12"/>
  <c r="AY56" i="12" s="1"/>
  <c r="W16" i="38"/>
  <c r="AX17" i="28"/>
  <c r="AR13" i="47" s="1"/>
  <c r="AW11" i="34"/>
  <c r="AZ28" i="16"/>
  <c r="AZ14" i="16"/>
  <c r="AS11" i="31"/>
  <c r="AT11" i="9"/>
  <c r="AS9" i="8"/>
  <c r="U11" i="32"/>
  <c r="O11" i="33"/>
  <c r="L11" i="24"/>
  <c r="F26" i="50" s="1"/>
  <c r="AY27" i="13"/>
  <c r="AY29" i="13" s="1"/>
  <c r="AY12" i="13"/>
  <c r="AX49" i="19"/>
  <c r="AX51" i="19" s="1"/>
  <c r="AX36" i="19" s="1"/>
  <c r="AY37" i="19" s="1"/>
  <c r="AX30" i="19"/>
  <c r="AX32" i="19" s="1"/>
  <c r="AR29" i="47"/>
  <c r="AN61" i="47"/>
  <c r="AT23" i="34"/>
  <c r="AN62" i="47" s="1"/>
  <c r="AN12" i="47"/>
  <c r="AT19" i="28"/>
  <c r="AY10" i="37"/>
  <c r="AY24" i="12"/>
  <c r="AY26" i="12" s="1"/>
  <c r="AZ17" i="10"/>
  <c r="P10" i="39"/>
  <c r="W10" i="38"/>
  <c r="AS27" i="31"/>
  <c r="AM42" i="47" s="1"/>
  <c r="AS16" i="22"/>
  <c r="L27" i="24"/>
  <c r="F42" i="50" s="1"/>
  <c r="O27" i="33"/>
  <c r="U27" i="32"/>
  <c r="AY16" i="19"/>
  <c r="AY17" i="19" s="1"/>
  <c r="AY42" i="15"/>
  <c r="AY20" i="15"/>
  <c r="AY25" i="11"/>
  <c r="AX34" i="16"/>
  <c r="AX13" i="16" s="1"/>
  <c r="AX15" i="16" s="1"/>
  <c r="AX14" i="28"/>
  <c r="AX9" i="20"/>
  <c r="AX10" i="20" s="1"/>
  <c r="AR7" i="47"/>
  <c r="AT26" i="34" l="1"/>
  <c r="AX17" i="31"/>
  <c r="AR32" i="47" s="1"/>
  <c r="AY11" i="16"/>
  <c r="AY11" i="37"/>
  <c r="AY20" i="18"/>
  <c r="AY22" i="18" s="1"/>
  <c r="AY20" i="17"/>
  <c r="AY22" i="17" s="1"/>
  <c r="AY13" i="15"/>
  <c r="AY14" i="15" s="1"/>
  <c r="AY39" i="12"/>
  <c r="AY41" i="12" s="1"/>
  <c r="AY17" i="9"/>
  <c r="AY18" i="9" s="1"/>
  <c r="AY19" i="13"/>
  <c r="AY21" i="13" s="1"/>
  <c r="AY31" i="12"/>
  <c r="BE32" i="12" s="1"/>
  <c r="W11" i="38"/>
  <c r="AY13" i="28"/>
  <c r="AS9" i="47" s="1"/>
  <c r="W13" i="29"/>
  <c r="AX24" i="34"/>
  <c r="AR63" i="47" s="1"/>
  <c r="AT29" i="34"/>
  <c r="AN65" i="47"/>
  <c r="AX14" i="20"/>
  <c r="AX15" i="20" s="1"/>
  <c r="AX20" i="20"/>
  <c r="AX21" i="20" s="1"/>
  <c r="AX34" i="20" s="1"/>
  <c r="AZ26" i="13"/>
  <c r="AY30" i="13"/>
  <c r="AU40" i="18"/>
  <c r="AU41" i="18" s="1"/>
  <c r="AU27" i="18"/>
  <c r="AU28" i="18" s="1"/>
  <c r="AR10" i="47"/>
  <c r="AT22" i="28"/>
  <c r="AT82" i="20"/>
  <c r="AN15" i="47"/>
  <c r="AZ20" i="34"/>
  <c r="AT59" i="47" s="1"/>
  <c r="AY15" i="37"/>
  <c r="AZ51" i="12"/>
  <c r="P15" i="39"/>
  <c r="W15" i="38"/>
  <c r="AY17" i="37"/>
  <c r="AZ61" i="12"/>
  <c r="AY17" i="11"/>
  <c r="AY18" i="11" s="1"/>
  <c r="P17" i="39"/>
  <c r="W17" i="38"/>
  <c r="AW20" i="31"/>
  <c r="AQ35" i="47" s="1"/>
  <c r="AX75" i="20"/>
  <c r="AX19" i="31"/>
  <c r="AR34" i="47" s="1"/>
  <c r="AY29" i="19"/>
  <c r="AW21" i="28"/>
  <c r="AQ17" i="47" s="1"/>
  <c r="AY38" i="19"/>
  <c r="AY31" i="19"/>
  <c r="AQ50" i="47"/>
  <c r="AW12" i="34"/>
  <c r="AU40" i="17"/>
  <c r="AU41" i="17" s="1"/>
  <c r="AY21" i="19"/>
  <c r="AY43" i="15"/>
  <c r="AY45" i="15" s="1"/>
  <c r="AY21" i="15"/>
  <c r="BA22" i="15" s="1"/>
  <c r="AZ25" i="10"/>
  <c r="AM26" i="47"/>
  <c r="AS12" i="31"/>
  <c r="AN31" i="47"/>
  <c r="AT21" i="31"/>
  <c r="AY10" i="31" l="1"/>
  <c r="AS25" i="47" s="1"/>
  <c r="AZ41" i="15"/>
  <c r="P10" i="33"/>
  <c r="W10" i="32"/>
  <c r="BA8" i="34"/>
  <c r="BA44" i="15"/>
  <c r="AY8" i="28"/>
  <c r="AY19" i="16"/>
  <c r="AY21" i="16" s="1"/>
  <c r="AY26" i="11"/>
  <c r="AY27" i="11" s="1"/>
  <c r="W8" i="29"/>
  <c r="AY12" i="37"/>
  <c r="AZ38" i="12"/>
  <c r="P12" i="39"/>
  <c r="W12" i="38"/>
  <c r="AY32" i="15"/>
  <c r="AY15" i="15"/>
  <c r="AX39" i="20"/>
  <c r="AX25" i="20"/>
  <c r="AX27" i="20" s="1"/>
  <c r="AY17" i="34"/>
  <c r="AS56" i="47" s="1"/>
  <c r="AY27" i="17"/>
  <c r="BE28" i="17" s="1"/>
  <c r="AY12" i="17"/>
  <c r="W17" i="35"/>
  <c r="AY21" i="34"/>
  <c r="AS60" i="47" s="1"/>
  <c r="AY12" i="18"/>
  <c r="W21" i="35"/>
  <c r="AY48" i="19"/>
  <c r="AZ24" i="10"/>
  <c r="AZ26" i="10" s="1"/>
  <c r="AU29" i="18"/>
  <c r="AU14" i="18"/>
  <c r="BE13" i="37"/>
  <c r="BE40" i="12"/>
  <c r="BE52" i="12"/>
  <c r="Y13" i="38"/>
  <c r="AY39" i="16"/>
  <c r="AY40" i="16" s="1"/>
  <c r="AT23" i="9"/>
  <c r="AN36" i="47"/>
  <c r="AX66" i="20"/>
  <c r="AX68" i="20" s="1"/>
  <c r="AU42" i="18"/>
  <c r="AU33" i="18"/>
  <c r="AU46" i="18"/>
  <c r="AU47" i="18" s="1"/>
  <c r="AY8" i="31"/>
  <c r="AZ18" i="13"/>
  <c r="P8" i="33"/>
  <c r="W8" i="32"/>
  <c r="AW15" i="34"/>
  <c r="AQ51" i="47"/>
  <c r="AY10" i="34"/>
  <c r="W10" i="35"/>
  <c r="AS22" i="9"/>
  <c r="AS24" i="9" s="1"/>
  <c r="AM27" i="47"/>
  <c r="U12" i="32"/>
  <c r="L12" i="24"/>
  <c r="F27" i="50" s="1"/>
  <c r="O12" i="33"/>
  <c r="AU46" i="17"/>
  <c r="AU47" i="17" s="1"/>
  <c r="AU42" i="17"/>
  <c r="AU33" i="17"/>
  <c r="AT37" i="9"/>
  <c r="AT38" i="9" s="1"/>
  <c r="AN18" i="47"/>
  <c r="AY9" i="31"/>
  <c r="AS24" i="47" s="1"/>
  <c r="W9" i="32"/>
  <c r="P9" i="33"/>
  <c r="AT12" i="9"/>
  <c r="AT13" i="9" s="1"/>
  <c r="AN68" i="47"/>
  <c r="AY29" i="15"/>
  <c r="AY10" i="12"/>
  <c r="AY11" i="12" s="1"/>
  <c r="AQ54" i="47" l="1"/>
  <c r="AX35" i="20"/>
  <c r="AX36" i="20" s="1"/>
  <c r="AY33" i="20" s="1"/>
  <c r="AX40" i="20"/>
  <c r="AX41" i="20" s="1"/>
  <c r="AX46" i="20" s="1"/>
  <c r="AX47" i="20" s="1"/>
  <c r="AZ25" i="12"/>
  <c r="AX77" i="20"/>
  <c r="AX69" i="20"/>
  <c r="AS23" i="31"/>
  <c r="AM38" i="47" s="1"/>
  <c r="AS15" i="22"/>
  <c r="AS17" i="22" s="1"/>
  <c r="AS21" i="22" s="1"/>
  <c r="O23" i="33"/>
  <c r="U23" i="32"/>
  <c r="L23" i="24"/>
  <c r="F38" i="50" s="1"/>
  <c r="AY14" i="34"/>
  <c r="AS53" i="47" s="1"/>
  <c r="W14" i="35"/>
  <c r="AU47" i="47"/>
  <c r="AT11" i="31"/>
  <c r="AU11" i="9"/>
  <c r="AT9" i="8"/>
  <c r="AU16" i="28"/>
  <c r="AS49" i="47"/>
  <c r="AZ10" i="13"/>
  <c r="AZ11" i="13" s="1"/>
  <c r="AU22" i="34"/>
  <c r="AY9" i="19"/>
  <c r="AY11" i="19" s="1"/>
  <c r="AY22" i="19" s="1"/>
  <c r="AY23" i="19" s="1"/>
  <c r="AY30" i="15"/>
  <c r="AY36" i="15" s="1"/>
  <c r="AU48" i="17"/>
  <c r="AU34" i="17"/>
  <c r="AU35" i="17" s="1"/>
  <c r="AU13" i="17" s="1"/>
  <c r="AU15" i="17" s="1"/>
  <c r="AS23" i="47"/>
  <c r="AY14" i="31"/>
  <c r="AZ24" i="11"/>
  <c r="W14" i="32"/>
  <c r="P14" i="33"/>
  <c r="AU48" i="18"/>
  <c r="AU34" i="18"/>
  <c r="AU35" i="18" s="1"/>
  <c r="AU13" i="18" s="1"/>
  <c r="AU15" i="18" s="1"/>
  <c r="AY41" i="16"/>
  <c r="AY45" i="16"/>
  <c r="AY46" i="16" s="1"/>
  <c r="AY32" i="16"/>
  <c r="AZ44" i="12"/>
  <c r="AZ45" i="12" s="1"/>
  <c r="AZ20" i="10"/>
  <c r="AZ21" i="10" s="1"/>
  <c r="AZ11" i="11"/>
  <c r="AZ12" i="11" s="1"/>
  <c r="AY19" i="34"/>
  <c r="AS58" i="47" s="1"/>
  <c r="AY26" i="16"/>
  <c r="BA27" i="16" s="1"/>
  <c r="AY12" i="16"/>
  <c r="W19" i="35"/>
  <c r="AU18" i="28"/>
  <c r="AO14" i="47" s="1"/>
  <c r="AT25" i="31"/>
  <c r="AN40" i="47" s="1"/>
  <c r="AU36" i="9"/>
  <c r="AT28" i="9"/>
  <c r="AT30" i="9" s="1"/>
  <c r="BE29" i="17"/>
  <c r="BE14" i="17"/>
  <c r="AY11" i="28"/>
  <c r="AS4" i="47"/>
  <c r="AY15" i="31" l="1"/>
  <c r="AS30" i="47" s="1"/>
  <c r="AZ28" i="15"/>
  <c r="P15" i="33"/>
  <c r="W15" i="32"/>
  <c r="AX48" i="20"/>
  <c r="AX76" i="20"/>
  <c r="AX78" i="20" s="1"/>
  <c r="AX81" i="20"/>
  <c r="AU16" i="31"/>
  <c r="AV11" i="17"/>
  <c r="AZ16" i="19"/>
  <c r="AZ17" i="19" s="1"/>
  <c r="AZ42" i="15"/>
  <c r="AZ20" i="15"/>
  <c r="AZ25" i="11"/>
  <c r="BE18" i="34"/>
  <c r="AY57" i="47" s="1"/>
  <c r="Y18" i="35"/>
  <c r="AZ10" i="37"/>
  <c r="BA17" i="10"/>
  <c r="AZ24" i="12"/>
  <c r="AZ26" i="12" s="1"/>
  <c r="AY30" i="19"/>
  <c r="AY32" i="19" s="1"/>
  <c r="AY49" i="19"/>
  <c r="AY51" i="19" s="1"/>
  <c r="AY36" i="19" s="1"/>
  <c r="AZ37" i="19" s="1"/>
  <c r="AY26" i="20"/>
  <c r="AU18" i="31"/>
  <c r="AO33" i="47" s="1"/>
  <c r="AV11" i="18"/>
  <c r="AZ16" i="37"/>
  <c r="AZ62" i="12"/>
  <c r="AZ64" i="12" s="1"/>
  <c r="AZ53" i="12"/>
  <c r="AZ56" i="12" s="1"/>
  <c r="AN26" i="47"/>
  <c r="AT12" i="31"/>
  <c r="AS29" i="47"/>
  <c r="AX11" i="34"/>
  <c r="AY17" i="28"/>
  <c r="AS13" i="47" s="1"/>
  <c r="W17" i="29"/>
  <c r="AO61" i="47"/>
  <c r="AO12" i="47"/>
  <c r="AU19" i="28"/>
  <c r="BA28" i="16"/>
  <c r="BA14" i="16"/>
  <c r="AT27" i="31"/>
  <c r="AN42" i="47" s="1"/>
  <c r="AT16" i="22"/>
  <c r="AY47" i="16"/>
  <c r="AY33" i="16"/>
  <c r="AY34" i="16" s="1"/>
  <c r="AY13" i="16" s="1"/>
  <c r="AY15" i="16" s="1"/>
  <c r="AY14" i="28"/>
  <c r="AY9" i="20"/>
  <c r="AY10" i="20" s="1"/>
  <c r="AS7" i="47"/>
  <c r="W11" i="29"/>
  <c r="AU25" i="34"/>
  <c r="AO64" i="47" s="1"/>
  <c r="AU23" i="34"/>
  <c r="AO62" i="47" s="1"/>
  <c r="AZ12" i="13"/>
  <c r="AZ27" i="13"/>
  <c r="AZ29" i="13" s="1"/>
  <c r="AY17" i="31" l="1"/>
  <c r="AS32" i="47" s="1"/>
  <c r="AZ11" i="16"/>
  <c r="P17" i="33"/>
  <c r="W17" i="32"/>
  <c r="AZ13" i="28"/>
  <c r="AT9" i="47" s="1"/>
  <c r="AT22" i="9"/>
  <c r="AT24" i="9" s="1"/>
  <c r="AN27" i="47"/>
  <c r="AV27" i="18"/>
  <c r="AV28" i="18" s="1"/>
  <c r="AV40" i="18"/>
  <c r="AV41" i="18" s="1"/>
  <c r="AO31" i="47"/>
  <c r="AU21" i="31"/>
  <c r="AX20" i="31"/>
  <c r="AR35" i="47" s="1"/>
  <c r="AY75" i="20"/>
  <c r="AY14" i="20"/>
  <c r="AY15" i="20" s="1"/>
  <c r="AY20" i="20"/>
  <c r="AY21" i="20" s="1"/>
  <c r="AY34" i="20" s="1"/>
  <c r="BA20" i="34"/>
  <c r="AU59" i="47" s="1"/>
  <c r="AX21" i="28"/>
  <c r="AR17" i="47" s="1"/>
  <c r="AU22" i="28"/>
  <c r="AU82" i="20"/>
  <c r="AO15" i="47"/>
  <c r="AZ31" i="19"/>
  <c r="AZ38" i="19"/>
  <c r="AR50" i="47"/>
  <c r="AX12" i="34"/>
  <c r="AY19" i="31"/>
  <c r="AS34" i="47" s="1"/>
  <c r="AZ29" i="19"/>
  <c r="P19" i="33"/>
  <c r="W19" i="32"/>
  <c r="AY24" i="34"/>
  <c r="AS63" i="47" s="1"/>
  <c r="W24" i="35"/>
  <c r="AU26" i="34"/>
  <c r="AZ17" i="37"/>
  <c r="BA61" i="12"/>
  <c r="AZ17" i="11"/>
  <c r="AZ18" i="11" s="1"/>
  <c r="AZ11" i="37"/>
  <c r="AZ20" i="18"/>
  <c r="AZ22" i="18" s="1"/>
  <c r="AZ20" i="17"/>
  <c r="AZ22" i="17" s="1"/>
  <c r="AZ13" i="15"/>
  <c r="AZ14" i="15" s="1"/>
  <c r="AZ19" i="13"/>
  <c r="AZ21" i="13" s="1"/>
  <c r="AZ17" i="9"/>
  <c r="AZ18" i="9" s="1"/>
  <c r="AZ39" i="12"/>
  <c r="AZ41" i="12" s="1"/>
  <c r="AZ31" i="12"/>
  <c r="BF32" i="12" s="1"/>
  <c r="AZ21" i="19"/>
  <c r="AZ43" i="15"/>
  <c r="AZ45" i="15" s="1"/>
  <c r="AZ21" i="15"/>
  <c r="BB22" i="15" s="1"/>
  <c r="AS10" i="47"/>
  <c r="W14" i="29"/>
  <c r="AZ15" i="37"/>
  <c r="BA51" i="12"/>
  <c r="AZ30" i="13"/>
  <c r="AZ9" i="31" s="1"/>
  <c r="AT24" i="47" s="1"/>
  <c r="BA26" i="13"/>
  <c r="BA25" i="10"/>
  <c r="AV40" i="17"/>
  <c r="AV41" i="17" s="1"/>
  <c r="AZ17" i="34" l="1"/>
  <c r="AT56" i="47" s="1"/>
  <c r="AZ27" i="17"/>
  <c r="BF28" i="17" s="1"/>
  <c r="AZ12" i="17"/>
  <c r="BB8" i="34"/>
  <c r="BB44" i="15"/>
  <c r="X8" i="35"/>
  <c r="AU37" i="9"/>
  <c r="AU38" i="9" s="1"/>
  <c r="AO18" i="47"/>
  <c r="AY66" i="20"/>
  <c r="AY68" i="20" s="1"/>
  <c r="AT23" i="31"/>
  <c r="AN38" i="47" s="1"/>
  <c r="AT15" i="22"/>
  <c r="AT17" i="22" s="1"/>
  <c r="AT21" i="22" s="1"/>
  <c r="BA24" i="10"/>
  <c r="BA26" i="10" s="1"/>
  <c r="AZ21" i="34"/>
  <c r="AT60" i="47" s="1"/>
  <c r="AZ12" i="18"/>
  <c r="AZ10" i="34"/>
  <c r="AV46" i="17"/>
  <c r="AV47" i="17" s="1"/>
  <c r="AV33" i="17"/>
  <c r="AV42" i="17"/>
  <c r="BF13" i="37"/>
  <c r="BF40" i="12"/>
  <c r="BF52" i="12"/>
  <c r="AZ8" i="28"/>
  <c r="AZ19" i="16"/>
  <c r="AZ21" i="16" s="1"/>
  <c r="AZ26" i="11"/>
  <c r="AZ27" i="11" s="1"/>
  <c r="AZ48" i="19"/>
  <c r="AU23" i="9"/>
  <c r="AO36" i="47"/>
  <c r="AZ12" i="37"/>
  <c r="BA38" i="12"/>
  <c r="AV46" i="18"/>
  <c r="AV47" i="18" s="1"/>
  <c r="AV42" i="18"/>
  <c r="AV33" i="18"/>
  <c r="AZ8" i="31"/>
  <c r="BA18" i="13"/>
  <c r="AU29" i="34"/>
  <c r="AO65" i="47"/>
  <c r="AX15" i="34"/>
  <c r="AR51" i="47"/>
  <c r="AV29" i="18"/>
  <c r="AV14" i="18"/>
  <c r="AZ39" i="16"/>
  <c r="AZ40" i="16" s="1"/>
  <c r="AZ29" i="15"/>
  <c r="AZ10" i="12"/>
  <c r="AZ11" i="12" s="1"/>
  <c r="AZ10" i="31"/>
  <c r="AT25" i="47" s="1"/>
  <c r="BA41" i="15"/>
  <c r="AZ32" i="15"/>
  <c r="AZ15" i="15"/>
  <c r="AY39" i="20"/>
  <c r="AY25" i="20"/>
  <c r="AY27" i="20" s="1"/>
  <c r="BA25" i="12" l="1"/>
  <c r="AY77" i="20"/>
  <c r="AY69" i="20"/>
  <c r="BA10" i="13"/>
  <c r="BA11" i="13" s="1"/>
  <c r="AZ19" i="34"/>
  <c r="AT58" i="47" s="1"/>
  <c r="AZ26" i="16"/>
  <c r="BB27" i="16" s="1"/>
  <c r="AZ12" i="16"/>
  <c r="AV16" i="28"/>
  <c r="V16" i="29"/>
  <c r="AV47" i="47"/>
  <c r="AU12" i="9"/>
  <c r="AU13" i="9" s="1"/>
  <c r="AO68" i="47"/>
  <c r="AZ11" i="28"/>
  <c r="AT4" i="47"/>
  <c r="AZ14" i="31"/>
  <c r="BA24" i="11"/>
  <c r="AZ9" i="19"/>
  <c r="AZ11" i="19" s="1"/>
  <c r="AZ22" i="19" s="1"/>
  <c r="AZ23" i="19" s="1"/>
  <c r="AZ30" i="15"/>
  <c r="AT23" i="47"/>
  <c r="AZ36" i="15"/>
  <c r="AR54" i="47"/>
  <c r="AV34" i="17"/>
  <c r="AV35" i="17" s="1"/>
  <c r="AV13" i="17" s="1"/>
  <c r="AV15" i="17" s="1"/>
  <c r="AV48" i="17"/>
  <c r="BA11" i="11"/>
  <c r="BA12" i="11" s="1"/>
  <c r="BA20" i="10"/>
  <c r="BA21" i="10" s="1"/>
  <c r="BA44" i="12"/>
  <c r="BA45" i="12" s="1"/>
  <c r="AY40" i="20"/>
  <c r="AY41" i="20" s="1"/>
  <c r="AY46" i="20" s="1"/>
  <c r="AY47" i="20" s="1"/>
  <c r="AY35" i="20"/>
  <c r="AY36" i="20" s="1"/>
  <c r="AZ33" i="20" s="1"/>
  <c r="AZ32" i="16"/>
  <c r="AZ45" i="16"/>
  <c r="AZ46" i="16" s="1"/>
  <c r="AZ41" i="16"/>
  <c r="AV18" i="28"/>
  <c r="AP14" i="47" s="1"/>
  <c r="V18" i="29"/>
  <c r="AU25" i="31"/>
  <c r="AO40" i="47" s="1"/>
  <c r="AU28" i="9"/>
  <c r="AU30" i="9" s="1"/>
  <c r="AV36" i="9"/>
  <c r="BF29" i="17"/>
  <c r="BF14" i="17"/>
  <c r="AV48" i="18"/>
  <c r="AV34" i="18"/>
  <c r="AV35" i="18" s="1"/>
  <c r="AV13" i="18" s="1"/>
  <c r="AV15" i="18" s="1"/>
  <c r="AT49" i="47"/>
  <c r="AZ14" i="34"/>
  <c r="AT53" i="47" s="1"/>
  <c r="AV22" i="34"/>
  <c r="V22" i="35"/>
  <c r="AV16" i="31" l="1"/>
  <c r="AW11" i="17"/>
  <c r="V16" i="32"/>
  <c r="BF18" i="34"/>
  <c r="AZ57" i="47" s="1"/>
  <c r="AZ17" i="28"/>
  <c r="AT13" i="47" s="1"/>
  <c r="AV18" i="31"/>
  <c r="AP33" i="47" s="1"/>
  <c r="AW11" i="18"/>
  <c r="V18" i="32"/>
  <c r="AZ14" i="28"/>
  <c r="AZ9" i="20"/>
  <c r="AZ10" i="20" s="1"/>
  <c r="AT7" i="47"/>
  <c r="AU27" i="31"/>
  <c r="AO42" i="47" s="1"/>
  <c r="AU16" i="22"/>
  <c r="BB28" i="16"/>
  <c r="BB14" i="16"/>
  <c r="BA27" i="13"/>
  <c r="BA29" i="13" s="1"/>
  <c r="BA12" i="13"/>
  <c r="BA16" i="19"/>
  <c r="BA17" i="19" s="1"/>
  <c r="BA42" i="15"/>
  <c r="BA20" i="15"/>
  <c r="BA25" i="11"/>
  <c r="AY76" i="20"/>
  <c r="AY78" i="20" s="1"/>
  <c r="AY81" i="20"/>
  <c r="AY48" i="20"/>
  <c r="AV23" i="34"/>
  <c r="AP62" i="47" s="1"/>
  <c r="V23" i="35"/>
  <c r="AZ26" i="20"/>
  <c r="AZ49" i="19"/>
  <c r="AZ51" i="19" s="1"/>
  <c r="AZ36" i="19" s="1"/>
  <c r="BA37" i="19" s="1"/>
  <c r="AZ30" i="19"/>
  <c r="AZ32" i="19" s="1"/>
  <c r="AP12" i="47"/>
  <c r="AV19" i="28"/>
  <c r="AY11" i="34"/>
  <c r="W11" i="35"/>
  <c r="AP61" i="47"/>
  <c r="BA16" i="37"/>
  <c r="BA62" i="12"/>
  <c r="BA64" i="12" s="1"/>
  <c r="BA53" i="12"/>
  <c r="BA56" i="12" s="1"/>
  <c r="AT29" i="47"/>
  <c r="AU11" i="31"/>
  <c r="AV11" i="9"/>
  <c r="AU9" i="8"/>
  <c r="AZ15" i="31"/>
  <c r="AT30" i="47" s="1"/>
  <c r="BA28" i="15"/>
  <c r="AZ47" i="16"/>
  <c r="AZ33" i="16"/>
  <c r="AZ34" i="16" s="1"/>
  <c r="AZ13" i="16" s="1"/>
  <c r="AZ15" i="16" s="1"/>
  <c r="AV25" i="34"/>
  <c r="AP64" i="47" s="1"/>
  <c r="V25" i="35"/>
  <c r="BA10" i="37"/>
  <c r="BA24" i="12"/>
  <c r="BA26" i="12" s="1"/>
  <c r="BB17" i="10"/>
  <c r="AZ17" i="31" l="1"/>
  <c r="AT32" i="47" s="1"/>
  <c r="BA11" i="16"/>
  <c r="BA30" i="13"/>
  <c r="BA9" i="31" s="1"/>
  <c r="AU24" i="47" s="1"/>
  <c r="BB26" i="13"/>
  <c r="AZ14" i="20"/>
  <c r="AZ15" i="20" s="1"/>
  <c r="AZ20" i="20"/>
  <c r="AZ21" i="20" s="1"/>
  <c r="AZ34" i="20" s="1"/>
  <c r="AO26" i="47"/>
  <c r="AU12" i="31"/>
  <c r="AV26" i="34"/>
  <c r="BA31" i="19"/>
  <c r="BA38" i="19"/>
  <c r="AT10" i="47"/>
  <c r="AY20" i="31"/>
  <c r="AS35" i="47" s="1"/>
  <c r="AZ75" i="20"/>
  <c r="P20" i="33"/>
  <c r="W20" i="32"/>
  <c r="BB20" i="34"/>
  <c r="AV59" i="47" s="1"/>
  <c r="X20" i="35"/>
  <c r="AW27" i="18"/>
  <c r="AW28" i="18" s="1"/>
  <c r="AW40" i="18"/>
  <c r="AW41" i="18" s="1"/>
  <c r="AZ19" i="31"/>
  <c r="AT34" i="47" s="1"/>
  <c r="BA29" i="19"/>
  <c r="BA11" i="37"/>
  <c r="BA20" i="18"/>
  <c r="BA22" i="18" s="1"/>
  <c r="BA20" i="17"/>
  <c r="BA22" i="17" s="1"/>
  <c r="BA13" i="15"/>
  <c r="BA14" i="15" s="1"/>
  <c r="BA19" i="13"/>
  <c r="BA21" i="13" s="1"/>
  <c r="BA31" i="12"/>
  <c r="BG32" i="12" s="1"/>
  <c r="BA39" i="12"/>
  <c r="BA41" i="12" s="1"/>
  <c r="BA17" i="9"/>
  <c r="BA18" i="9" s="1"/>
  <c r="AS50" i="47"/>
  <c r="AY12" i="34"/>
  <c r="BB25" i="10"/>
  <c r="AV22" i="28"/>
  <c r="AV82" i="20"/>
  <c r="AP15" i="47"/>
  <c r="V19" i="29"/>
  <c r="BA21" i="19"/>
  <c r="BA43" i="15"/>
  <c r="BA45" i="15" s="1"/>
  <c r="BA21" i="15"/>
  <c r="BC22" i="15" s="1"/>
  <c r="AW40" i="17"/>
  <c r="AW41" i="17" s="1"/>
  <c r="AY21" i="28"/>
  <c r="AS17" i="47" s="1"/>
  <c r="W21" i="29"/>
  <c r="AZ24" i="34"/>
  <c r="AT63" i="47" s="1"/>
  <c r="BA15" i="37"/>
  <c r="BB51" i="12"/>
  <c r="BA17" i="37"/>
  <c r="BB61" i="12"/>
  <c r="BA17" i="11"/>
  <c r="BA18" i="11" s="1"/>
  <c r="BA13" i="28"/>
  <c r="AU9" i="47" s="1"/>
  <c r="AP31" i="47"/>
  <c r="AV21" i="31"/>
  <c r="BC8" i="34" l="1"/>
  <c r="BC44" i="15"/>
  <c r="BA10" i="31"/>
  <c r="AU25" i="47" s="1"/>
  <c r="BB41" i="15"/>
  <c r="BA8" i="31"/>
  <c r="BB18" i="13"/>
  <c r="AW42" i="18"/>
  <c r="AW46" i="18"/>
  <c r="AW47" i="18" s="1"/>
  <c r="AW33" i="18"/>
  <c r="AU22" i="9"/>
  <c r="AU24" i="9" s="1"/>
  <c r="AO27" i="47"/>
  <c r="AV23" i="9"/>
  <c r="AP36" i="47"/>
  <c r="V21" i="32"/>
  <c r="BB24" i="10"/>
  <c r="BB26" i="10" s="1"/>
  <c r="AW33" i="17"/>
  <c r="AW42" i="17"/>
  <c r="AW46" i="17"/>
  <c r="AW47" i="17" s="1"/>
  <c r="BA32" i="15"/>
  <c r="BA15" i="15"/>
  <c r="AW14" i="18"/>
  <c r="AW29" i="18"/>
  <c r="AV37" i="9"/>
  <c r="AV38" i="9" s="1"/>
  <c r="AP18" i="47"/>
  <c r="V22" i="29"/>
  <c r="BA17" i="34"/>
  <c r="AU56" i="47" s="1"/>
  <c r="BA12" i="17"/>
  <c r="BA27" i="17"/>
  <c r="BG28" i="17" s="1"/>
  <c r="BA21" i="34"/>
  <c r="AU60" i="47" s="1"/>
  <c r="BA12" i="18"/>
  <c r="AZ39" i="20"/>
  <c r="AZ25" i="20"/>
  <c r="AZ27" i="20" s="1"/>
  <c r="BA29" i="15"/>
  <c r="BA10" i="12"/>
  <c r="BA11" i="12" s="1"/>
  <c r="BA48" i="19"/>
  <c r="BA10" i="34"/>
  <c r="BA8" i="28"/>
  <c r="BA19" i="16"/>
  <c r="BA21" i="16" s="1"/>
  <c r="BA26" i="11"/>
  <c r="BA27" i="11" s="1"/>
  <c r="BA12" i="37"/>
  <c r="BB38" i="12"/>
  <c r="BA39" i="16"/>
  <c r="BA40" i="16" s="1"/>
  <c r="AY15" i="34"/>
  <c r="AS51" i="47"/>
  <c r="W12" i="35"/>
  <c r="BG13" i="37"/>
  <c r="BG52" i="12"/>
  <c r="BG40" i="12"/>
  <c r="AZ66" i="20"/>
  <c r="AZ68" i="20" s="1"/>
  <c r="AV29" i="34"/>
  <c r="AP65" i="47"/>
  <c r="V26" i="35"/>
  <c r="AU49" i="47" l="1"/>
  <c r="BB10" i="13"/>
  <c r="BB11" i="13" s="1"/>
  <c r="BA14" i="34"/>
  <c r="AU53" i="47" s="1"/>
  <c r="AU23" i="47"/>
  <c r="AS54" i="47"/>
  <c r="W15" i="35"/>
  <c r="BA19" i="34"/>
  <c r="AU58" i="47" s="1"/>
  <c r="BA26" i="16"/>
  <c r="BC27" i="16" s="1"/>
  <c r="BA12" i="16"/>
  <c r="BA9" i="19"/>
  <c r="BA11" i="19" s="1"/>
  <c r="BA22" i="19" s="1"/>
  <c r="BA23" i="19" s="1"/>
  <c r="BA30" i="15"/>
  <c r="BA36" i="15" s="1"/>
  <c r="AW48" i="17"/>
  <c r="AW34" i="17"/>
  <c r="AW35" i="17" s="1"/>
  <c r="AW13" i="17" s="1"/>
  <c r="AW15" i="17" s="1"/>
  <c r="BA11" i="28"/>
  <c r="AU4" i="47"/>
  <c r="AW16" i="28"/>
  <c r="AU23" i="31"/>
  <c r="AO38" i="47" s="1"/>
  <c r="AU15" i="22"/>
  <c r="AU17" i="22" s="1"/>
  <c r="AU21" i="22" s="1"/>
  <c r="BA14" i="31"/>
  <c r="BB24" i="11"/>
  <c r="AZ77" i="20"/>
  <c r="AZ69" i="20"/>
  <c r="BA32" i="16"/>
  <c r="BA45" i="16"/>
  <c r="BA46" i="16" s="1"/>
  <c r="BA41" i="16"/>
  <c r="BB25" i="12"/>
  <c r="AZ35" i="20"/>
  <c r="AZ36" i="20" s="1"/>
  <c r="BA33" i="20" s="1"/>
  <c r="AZ40" i="20"/>
  <c r="AZ41" i="20" s="1"/>
  <c r="AZ46" i="20" s="1"/>
  <c r="AZ47" i="20" s="1"/>
  <c r="AV25" i="31"/>
  <c r="AP40" i="47" s="1"/>
  <c r="AV28" i="9"/>
  <c r="AV30" i="9" s="1"/>
  <c r="AW36" i="9"/>
  <c r="V25" i="32"/>
  <c r="AW48" i="18"/>
  <c r="AW34" i="18"/>
  <c r="AW35" i="18" s="1"/>
  <c r="AW13" i="18" s="1"/>
  <c r="AW15" i="18" s="1"/>
  <c r="AV12" i="9"/>
  <c r="AV13" i="9" s="1"/>
  <c r="AP68" i="47"/>
  <c r="V29" i="35"/>
  <c r="BG29" i="17"/>
  <c r="BG14" i="17"/>
  <c r="AW22" i="34"/>
  <c r="BB11" i="11"/>
  <c r="BB12" i="11" s="1"/>
  <c r="BB20" i="10"/>
  <c r="BB21" i="10" s="1"/>
  <c r="BB44" i="12"/>
  <c r="BB45" i="12" s="1"/>
  <c r="AW18" i="28"/>
  <c r="AQ14" i="47" s="1"/>
  <c r="AW47" i="47"/>
  <c r="AZ76" i="20" l="1"/>
  <c r="AZ78" i="20" s="1"/>
  <c r="AZ81" i="20"/>
  <c r="AZ48" i="20"/>
  <c r="AW16" i="31"/>
  <c r="AX11" i="17"/>
  <c r="BA15" i="31"/>
  <c r="AU30" i="47" s="1"/>
  <c r="BB28" i="15"/>
  <c r="AW18" i="31"/>
  <c r="AQ33" i="47" s="1"/>
  <c r="AX11" i="18"/>
  <c r="BB16" i="19"/>
  <c r="BB17" i="19" s="1"/>
  <c r="BB42" i="15"/>
  <c r="BB20" i="15"/>
  <c r="BB25" i="11"/>
  <c r="BA14" i="28"/>
  <c r="BA9" i="20"/>
  <c r="BA10" i="20" s="1"/>
  <c r="AU7" i="47"/>
  <c r="BC28" i="16"/>
  <c r="BC14" i="16"/>
  <c r="AV27" i="31"/>
  <c r="AP42" i="47" s="1"/>
  <c r="AV16" i="22"/>
  <c r="V27" i="32"/>
  <c r="BA33" i="16"/>
  <c r="BA34" i="16" s="1"/>
  <c r="BA13" i="16" s="1"/>
  <c r="BA15" i="16" s="1"/>
  <c r="BA47" i="16"/>
  <c r="AW23" i="34"/>
  <c r="AQ62" i="47" s="1"/>
  <c r="BA17" i="28"/>
  <c r="AU13" i="47" s="1"/>
  <c r="AZ11" i="34"/>
  <c r="BA30" i="19"/>
  <c r="BA32" i="19" s="1"/>
  <c r="BA49" i="19"/>
  <c r="BA51" i="19" s="1"/>
  <c r="BA36" i="19" s="1"/>
  <c r="BB37" i="19" s="1"/>
  <c r="BA26" i="20"/>
  <c r="AQ12" i="47"/>
  <c r="AW19" i="28"/>
  <c r="BB12" i="13"/>
  <c r="BB27" i="13"/>
  <c r="BB29" i="13" s="1"/>
  <c r="AQ61" i="47"/>
  <c r="AW25" i="34"/>
  <c r="AQ64" i="47" s="1"/>
  <c r="AV11" i="31"/>
  <c r="AW11" i="9"/>
  <c r="AV9" i="8"/>
  <c r="V11" i="32"/>
  <c r="BB16" i="37"/>
  <c r="BB62" i="12"/>
  <c r="BB64" i="12" s="1"/>
  <c r="BB53" i="12"/>
  <c r="BB56" i="12" s="1"/>
  <c r="X16" i="38"/>
  <c r="BG18" i="34"/>
  <c r="BA57" i="47" s="1"/>
  <c r="BB10" i="37"/>
  <c r="BC17" i="10"/>
  <c r="BB24" i="12"/>
  <c r="BB26" i="12" s="1"/>
  <c r="X10" i="38"/>
  <c r="AU29" i="47"/>
  <c r="BA17" i="31" l="1"/>
  <c r="AU32" i="47" s="1"/>
  <c r="BB11" i="16"/>
  <c r="BA14" i="20"/>
  <c r="BA15" i="20" s="1"/>
  <c r="BA20" i="20"/>
  <c r="BA21" i="20" s="1"/>
  <c r="BA34" i="20" s="1"/>
  <c r="AU10" i="47"/>
  <c r="BB30" i="13"/>
  <c r="BC26" i="13"/>
  <c r="BB31" i="19"/>
  <c r="BB38" i="19"/>
  <c r="AX40" i="17"/>
  <c r="AX41" i="17" s="1"/>
  <c r="AW26" i="34"/>
  <c r="BB13" i="28"/>
  <c r="AV9" i="47" s="1"/>
  <c r="X13" i="29"/>
  <c r="BA19" i="31"/>
  <c r="AU34" i="47" s="1"/>
  <c r="BB29" i="19"/>
  <c r="AQ31" i="47"/>
  <c r="AW21" i="31"/>
  <c r="AP26" i="47"/>
  <c r="AV12" i="31"/>
  <c r="BB11" i="37"/>
  <c r="BB20" i="18"/>
  <c r="BB22" i="18" s="1"/>
  <c r="BB20" i="17"/>
  <c r="BB22" i="17" s="1"/>
  <c r="BB13" i="15"/>
  <c r="BB14" i="15" s="1"/>
  <c r="BB19" i="13"/>
  <c r="BB21" i="13" s="1"/>
  <c r="BB31" i="12"/>
  <c r="BH32" i="12" s="1"/>
  <c r="BB39" i="12"/>
  <c r="BB41" i="12" s="1"/>
  <c r="BB17" i="9"/>
  <c r="BB18" i="9" s="1"/>
  <c r="X11" i="38"/>
  <c r="BC25" i="10"/>
  <c r="BB15" i="37"/>
  <c r="BC51" i="12"/>
  <c r="X15" i="38"/>
  <c r="AW22" i="28"/>
  <c r="AW82" i="20"/>
  <c r="AQ15" i="47"/>
  <c r="BC20" i="34"/>
  <c r="AW59" i="47" s="1"/>
  <c r="AZ21" i="28"/>
  <c r="AT17" i="47" s="1"/>
  <c r="BB21" i="19"/>
  <c r="BB43" i="15"/>
  <c r="BB45" i="15" s="1"/>
  <c r="BB21" i="15"/>
  <c r="BD22" i="15" s="1"/>
  <c r="BB17" i="37"/>
  <c r="BB17" i="11"/>
  <c r="BB18" i="11" s="1"/>
  <c r="BC61" i="12"/>
  <c r="X17" i="38"/>
  <c r="AT50" i="47"/>
  <c r="AZ12" i="34"/>
  <c r="BA24" i="34"/>
  <c r="AU63" i="47" s="1"/>
  <c r="AX27" i="18"/>
  <c r="AX28" i="18" s="1"/>
  <c r="AX40" i="18"/>
  <c r="AX41" i="18" s="1"/>
  <c r="AZ20" i="31"/>
  <c r="AT35" i="47" s="1"/>
  <c r="BA75" i="20"/>
  <c r="BB32" i="15" l="1"/>
  <c r="BB15" i="15"/>
  <c r="BD8" i="34"/>
  <c r="BD44" i="15"/>
  <c r="AX46" i="17"/>
  <c r="AX47" i="17" s="1"/>
  <c r="AX33" i="17"/>
  <c r="AX42" i="17"/>
  <c r="BB8" i="31"/>
  <c r="BC18" i="13"/>
  <c r="X8" i="32"/>
  <c r="BB17" i="34"/>
  <c r="AV56" i="47" s="1"/>
  <c r="BB27" i="17"/>
  <c r="BH28" i="17" s="1"/>
  <c r="BB12" i="17"/>
  <c r="X17" i="35"/>
  <c r="BB48" i="19"/>
  <c r="BB10" i="34"/>
  <c r="X10" i="35"/>
  <c r="BA66" i="20"/>
  <c r="BA68" i="20" s="1"/>
  <c r="AX46" i="18"/>
  <c r="AX47" i="18" s="1"/>
  <c r="AX42" i="18"/>
  <c r="AX33" i="18"/>
  <c r="AX14" i="18"/>
  <c r="AX29" i="18"/>
  <c r="AW37" i="9"/>
  <c r="AW38" i="9" s="1"/>
  <c r="AQ18" i="47"/>
  <c r="BB29" i="15"/>
  <c r="BB10" i="12"/>
  <c r="BB11" i="12" s="1"/>
  <c r="AV22" i="9"/>
  <c r="AV24" i="9" s="1"/>
  <c r="AP27" i="47"/>
  <c r="V12" i="32"/>
  <c r="BB9" i="31"/>
  <c r="AV24" i="47" s="1"/>
  <c r="X9" i="32"/>
  <c r="BA39" i="20"/>
  <c r="BA25" i="20"/>
  <c r="BA27" i="20" s="1"/>
  <c r="AZ15" i="34"/>
  <c r="AT51" i="47"/>
  <c r="BB21" i="34"/>
  <c r="AV60" i="47" s="1"/>
  <c r="BB12" i="18"/>
  <c r="X21" i="35"/>
  <c r="BB10" i="31"/>
  <c r="AV25" i="47" s="1"/>
  <c r="BC41" i="15"/>
  <c r="X10" i="32"/>
  <c r="BB12" i="37"/>
  <c r="BC38" i="12"/>
  <c r="X12" i="38"/>
  <c r="BB39" i="16"/>
  <c r="BB40" i="16" s="1"/>
  <c r="BB8" i="28"/>
  <c r="BB19" i="16"/>
  <c r="BB21" i="16" s="1"/>
  <c r="BB26" i="11"/>
  <c r="BB27" i="11" s="1"/>
  <c r="X8" i="29"/>
  <c r="BC24" i="10"/>
  <c r="BC26" i="10" s="1"/>
  <c r="BH13" i="37"/>
  <c r="BH52" i="12"/>
  <c r="BH40" i="12"/>
  <c r="Z13" i="38"/>
  <c r="AW23" i="9"/>
  <c r="AQ36" i="47"/>
  <c r="AW29" i="34"/>
  <c r="AQ65" i="47"/>
  <c r="AT54" i="47" l="1"/>
  <c r="BB9" i="19"/>
  <c r="BB11" i="19" s="1"/>
  <c r="BB22" i="19" s="1"/>
  <c r="BB23" i="19" s="1"/>
  <c r="BB30" i="15"/>
  <c r="AV23" i="31"/>
  <c r="AP38" i="47" s="1"/>
  <c r="AV15" i="22"/>
  <c r="AV17" i="22" s="1"/>
  <c r="AV21" i="22" s="1"/>
  <c r="V23" i="32"/>
  <c r="AX16" i="28"/>
  <c r="BB11" i="28"/>
  <c r="AV4" i="47"/>
  <c r="AW12" i="9"/>
  <c r="AW13" i="9" s="1"/>
  <c r="AQ68" i="47"/>
  <c r="BA35" i="20"/>
  <c r="BA36" i="20" s="1"/>
  <c r="BB33" i="20" s="1"/>
  <c r="BA40" i="20"/>
  <c r="BA41" i="20" s="1"/>
  <c r="BA46" i="20" s="1"/>
  <c r="BA47" i="20" s="1"/>
  <c r="BB36" i="15"/>
  <c r="BA69" i="20"/>
  <c r="BA77" i="20"/>
  <c r="AX48" i="17"/>
  <c r="AX34" i="17"/>
  <c r="AX35" i="17" s="1"/>
  <c r="AX13" i="17" s="1"/>
  <c r="AX15" i="17" s="1"/>
  <c r="AX22" i="34"/>
  <c r="BH29" i="17"/>
  <c r="BH14" i="17"/>
  <c r="BC11" i="11"/>
  <c r="BC12" i="11" s="1"/>
  <c r="BC20" i="10"/>
  <c r="BC21" i="10" s="1"/>
  <c r="BC44" i="12"/>
  <c r="BC45" i="12" s="1"/>
  <c r="BB32" i="16"/>
  <c r="BB45" i="16"/>
  <c r="BB46" i="16" s="1"/>
  <c r="BB41" i="16"/>
  <c r="BC25" i="12"/>
  <c r="AV49" i="47"/>
  <c r="AX47" i="47"/>
  <c r="BB19" i="34"/>
  <c r="AV58" i="47" s="1"/>
  <c r="BB26" i="16"/>
  <c r="BD27" i="16" s="1"/>
  <c r="BB12" i="16"/>
  <c r="X19" i="35"/>
  <c r="AX18" i="28"/>
  <c r="AR14" i="47" s="1"/>
  <c r="BC10" i="13"/>
  <c r="BC11" i="13" s="1"/>
  <c r="BB14" i="34"/>
  <c r="AV53" i="47" s="1"/>
  <c r="X14" i="35"/>
  <c r="BB14" i="31"/>
  <c r="BC24" i="11"/>
  <c r="X14" i="32"/>
  <c r="AW25" i="31"/>
  <c r="AQ40" i="47" s="1"/>
  <c r="AX36" i="9"/>
  <c r="AW28" i="9"/>
  <c r="AW30" i="9" s="1"/>
  <c r="AX48" i="18"/>
  <c r="AX34" i="18"/>
  <c r="AX35" i="18" s="1"/>
  <c r="AX13" i="18" s="1"/>
  <c r="AX15" i="18" s="1"/>
  <c r="AV23" i="47"/>
  <c r="AX18" i="31" l="1"/>
  <c r="AR33" i="47" s="1"/>
  <c r="AY11" i="18"/>
  <c r="AX16" i="31"/>
  <c r="AY11" i="17"/>
  <c r="BA11" i="34"/>
  <c r="AW11" i="31"/>
  <c r="AX11" i="9"/>
  <c r="AW9" i="8"/>
  <c r="BB17" i="28"/>
  <c r="AV13" i="47" s="1"/>
  <c r="X17" i="29"/>
  <c r="BH18" i="34"/>
  <c r="BB57" i="47" s="1"/>
  <c r="Z18" i="35"/>
  <c r="BB15" i="31"/>
  <c r="AV30" i="47" s="1"/>
  <c r="BC28" i="15"/>
  <c r="X15" i="32"/>
  <c r="AX25" i="34"/>
  <c r="AR64" i="47" s="1"/>
  <c r="BC27" i="13"/>
  <c r="BC29" i="13" s="1"/>
  <c r="BC12" i="13"/>
  <c r="BB33" i="16"/>
  <c r="BB47" i="16"/>
  <c r="BB14" i="28"/>
  <c r="BB9" i="20"/>
  <c r="BB10" i="20" s="1"/>
  <c r="AV7" i="47"/>
  <c r="X11" i="29"/>
  <c r="BB30" i="19"/>
  <c r="BB32" i="19" s="1"/>
  <c r="BB49" i="19"/>
  <c r="BB51" i="19" s="1"/>
  <c r="BB36" i="19" s="1"/>
  <c r="BC37" i="19" s="1"/>
  <c r="AW27" i="31"/>
  <c r="AQ42" i="47" s="1"/>
  <c r="AW16" i="22"/>
  <c r="BB34" i="16"/>
  <c r="BB13" i="16" s="1"/>
  <c r="BB15" i="16" s="1"/>
  <c r="AR61" i="47"/>
  <c r="BB26" i="20"/>
  <c r="BD28" i="16"/>
  <c r="BD14" i="16"/>
  <c r="BC16" i="37"/>
  <c r="BC62" i="12"/>
  <c r="BC64" i="12" s="1"/>
  <c r="BC53" i="12"/>
  <c r="BC56" i="12" s="1"/>
  <c r="BA76" i="20"/>
  <c r="BA78" i="20" s="1"/>
  <c r="BA81" i="20"/>
  <c r="BA48" i="20"/>
  <c r="AR12" i="47"/>
  <c r="AX19" i="28"/>
  <c r="AV29" i="47"/>
  <c r="BC10" i="37"/>
  <c r="BC24" i="12"/>
  <c r="BC26" i="12" s="1"/>
  <c r="BD17" i="10"/>
  <c r="BC16" i="19"/>
  <c r="BC17" i="19" s="1"/>
  <c r="BC42" i="15"/>
  <c r="BC20" i="15"/>
  <c r="BC25" i="11"/>
  <c r="AX23" i="34"/>
  <c r="AR62" i="47" s="1"/>
  <c r="BB17" i="31" l="1"/>
  <c r="AV32" i="47" s="1"/>
  <c r="BC11" i="16"/>
  <c r="X17" i="32"/>
  <c r="BC15" i="37"/>
  <c r="BD51" i="12"/>
  <c r="AX26" i="34"/>
  <c r="BC30" i="13"/>
  <c r="BC9" i="31" s="1"/>
  <c r="AW24" i="47" s="1"/>
  <c r="BD26" i="13"/>
  <c r="BC17" i="37"/>
  <c r="BC17" i="11"/>
  <c r="BC18" i="11" s="1"/>
  <c r="BD61" i="12"/>
  <c r="BB14" i="20"/>
  <c r="BB15" i="20" s="1"/>
  <c r="BB20" i="20"/>
  <c r="BB21" i="20" s="1"/>
  <c r="BB34" i="20" s="1"/>
  <c r="AU50" i="47"/>
  <c r="BA12" i="34"/>
  <c r="AQ26" i="47"/>
  <c r="AW12" i="31"/>
  <c r="AX22" i="28"/>
  <c r="AX82" i="20"/>
  <c r="AR15" i="47"/>
  <c r="BA21" i="28"/>
  <c r="AU17" i="47" s="1"/>
  <c r="AV10" i="47"/>
  <c r="X14" i="29"/>
  <c r="AY40" i="17"/>
  <c r="AY41" i="17" s="1"/>
  <c r="BD25" i="10"/>
  <c r="BC11" i="37"/>
  <c r="BC20" i="18"/>
  <c r="BC22" i="18" s="1"/>
  <c r="BC13" i="15"/>
  <c r="BC14" i="15" s="1"/>
  <c r="BC19" i="13"/>
  <c r="BC21" i="13" s="1"/>
  <c r="BC31" i="12"/>
  <c r="BI32" i="12" s="1"/>
  <c r="BC39" i="12"/>
  <c r="BC41" i="12" s="1"/>
  <c r="BC20" i="17"/>
  <c r="BC22" i="17" s="1"/>
  <c r="BC17" i="9"/>
  <c r="BC18" i="9" s="1"/>
  <c r="BD20" i="34"/>
  <c r="AX59" i="47" s="1"/>
  <c r="BB24" i="34"/>
  <c r="AV63" i="47" s="1"/>
  <c r="X24" i="35"/>
  <c r="AR31" i="47"/>
  <c r="AX21" i="31"/>
  <c r="BC21" i="19"/>
  <c r="BC43" i="15"/>
  <c r="BC45" i="15" s="1"/>
  <c r="BC21" i="15"/>
  <c r="BE22" i="15" s="1"/>
  <c r="BC31" i="19"/>
  <c r="BC38" i="19"/>
  <c r="AY27" i="18"/>
  <c r="AY28" i="18" s="1"/>
  <c r="AY40" i="18"/>
  <c r="AY41" i="18" s="1"/>
  <c r="BA20" i="31"/>
  <c r="AU35" i="47" s="1"/>
  <c r="BB75" i="20"/>
  <c r="BB19" i="31"/>
  <c r="AV34" i="47" s="1"/>
  <c r="BC29" i="19"/>
  <c r="X19" i="32"/>
  <c r="BC13" i="28"/>
  <c r="AW9" i="47" s="1"/>
  <c r="BC10" i="31" l="1"/>
  <c r="AW25" i="47" s="1"/>
  <c r="BD41" i="15"/>
  <c r="BE8" i="34"/>
  <c r="BE44" i="15"/>
  <c r="Y8" i="35"/>
  <c r="BB66" i="20"/>
  <c r="BB68" i="20" s="1"/>
  <c r="BC32" i="15"/>
  <c r="BC15" i="15"/>
  <c r="AY42" i="17"/>
  <c r="AY46" i="17"/>
  <c r="AY47" i="17" s="1"/>
  <c r="AY33" i="17"/>
  <c r="BD24" i="10"/>
  <c r="BD26" i="10" s="1"/>
  <c r="BC21" i="34"/>
  <c r="AW60" i="47" s="1"/>
  <c r="BC12" i="18"/>
  <c r="BB39" i="20"/>
  <c r="BB25" i="20"/>
  <c r="BB27" i="20" s="1"/>
  <c r="BC8" i="31"/>
  <c r="BD18" i="13"/>
  <c r="AX23" i="9"/>
  <c r="AR36" i="47"/>
  <c r="AY46" i="18"/>
  <c r="AY47" i="18" s="1"/>
  <c r="AY42" i="18"/>
  <c r="AY33" i="18"/>
  <c r="BC29" i="15"/>
  <c r="BC10" i="12"/>
  <c r="BC11" i="12" s="1"/>
  <c r="AX37" i="9"/>
  <c r="AX38" i="9" s="1"/>
  <c r="AR18" i="47"/>
  <c r="BC8" i="28"/>
  <c r="BC19" i="16"/>
  <c r="BC21" i="16" s="1"/>
  <c r="BC26" i="11"/>
  <c r="BC27" i="11" s="1"/>
  <c r="AX29" i="34"/>
  <c r="AR65" i="47"/>
  <c r="BC17" i="34"/>
  <c r="AW56" i="47" s="1"/>
  <c r="BC27" i="17"/>
  <c r="BI28" i="17" s="1"/>
  <c r="BC12" i="17"/>
  <c r="AW22" i="9"/>
  <c r="AW24" i="9" s="1"/>
  <c r="AQ27" i="47"/>
  <c r="AY29" i="18"/>
  <c r="AY14" i="18"/>
  <c r="BC10" i="34"/>
  <c r="BC12" i="37"/>
  <c r="BD38" i="12"/>
  <c r="BC39" i="16"/>
  <c r="BC40" i="16" s="1"/>
  <c r="BC48" i="19"/>
  <c r="BI13" i="37"/>
  <c r="BI52" i="12"/>
  <c r="BI40" i="12"/>
  <c r="BA15" i="34"/>
  <c r="AU51" i="47"/>
  <c r="BD10" i="13" l="1"/>
  <c r="BD11" i="13" s="1"/>
  <c r="BC14" i="31"/>
  <c r="BD24" i="11"/>
  <c r="AW23" i="47"/>
  <c r="BD11" i="11"/>
  <c r="BD12" i="11" s="1"/>
  <c r="BD20" i="10"/>
  <c r="BD21" i="10" s="1"/>
  <c r="BD44" i="12"/>
  <c r="BD45" i="12" s="1"/>
  <c r="BB69" i="20"/>
  <c r="BB77" i="20"/>
  <c r="BC9" i="19"/>
  <c r="BC11" i="19" s="1"/>
  <c r="BC22" i="19" s="1"/>
  <c r="BC23" i="19" s="1"/>
  <c r="BC30" i="15"/>
  <c r="BC36" i="15" s="1"/>
  <c r="AW49" i="47"/>
  <c r="BI29" i="17"/>
  <c r="BI14" i="17"/>
  <c r="BC19" i="34"/>
  <c r="AW58" i="47" s="1"/>
  <c r="BC26" i="16"/>
  <c r="BE27" i="16" s="1"/>
  <c r="BC12" i="16"/>
  <c r="AY18" i="28"/>
  <c r="AS14" i="47" s="1"/>
  <c r="W18" i="29"/>
  <c r="BB40" i="20"/>
  <c r="BB41" i="20" s="1"/>
  <c r="BB46" i="20" s="1"/>
  <c r="BB47" i="20" s="1"/>
  <c r="BB35" i="20"/>
  <c r="BB36" i="20" s="1"/>
  <c r="BC33" i="20" s="1"/>
  <c r="AU54" i="47"/>
  <c r="BC11" i="28"/>
  <c r="AW4" i="47"/>
  <c r="AY48" i="18"/>
  <c r="AY34" i="18"/>
  <c r="AY35" i="18" s="1"/>
  <c r="AY13" i="18" s="1"/>
  <c r="AY15" i="18" s="1"/>
  <c r="AY48" i="17"/>
  <c r="AY34" i="17"/>
  <c r="AY35" i="17" s="1"/>
  <c r="AY13" i="17" s="1"/>
  <c r="AY15" i="17" s="1"/>
  <c r="AY47" i="47"/>
  <c r="AY16" i="28"/>
  <c r="W16" i="29"/>
  <c r="BC32" i="16"/>
  <c r="BC45" i="16"/>
  <c r="BC46" i="16" s="1"/>
  <c r="BC41" i="16"/>
  <c r="AY22" i="34"/>
  <c r="W22" i="35"/>
  <c r="BD25" i="12"/>
  <c r="AW23" i="31"/>
  <c r="AQ38" i="47" s="1"/>
  <c r="AW15" i="22"/>
  <c r="AW17" i="22" s="1"/>
  <c r="AW21" i="22" s="1"/>
  <c r="AX12" i="9"/>
  <c r="AX13" i="9" s="1"/>
  <c r="AR68" i="47"/>
  <c r="AX25" i="31"/>
  <c r="AR40" i="47" s="1"/>
  <c r="AY36" i="9"/>
  <c r="AX28" i="9"/>
  <c r="AX30" i="9" s="1"/>
  <c r="BC14" i="34"/>
  <c r="AW53" i="47" s="1"/>
  <c r="BC15" i="31" l="1"/>
  <c r="AW30" i="47" s="1"/>
  <c r="BD28" i="15"/>
  <c r="AY18" i="31"/>
  <c r="AS33" i="47" s="1"/>
  <c r="AZ11" i="18"/>
  <c r="P18" i="33"/>
  <c r="W18" i="32"/>
  <c r="AY16" i="31"/>
  <c r="AZ11" i="17"/>
  <c r="P16" i="33"/>
  <c r="W16" i="32"/>
  <c r="BB81" i="20"/>
  <c r="BB76" i="20"/>
  <c r="BB78" i="20" s="1"/>
  <c r="BB48" i="20"/>
  <c r="BE28" i="16"/>
  <c r="BE14" i="16"/>
  <c r="BC30" i="19"/>
  <c r="BC32" i="19" s="1"/>
  <c r="BC49" i="19"/>
  <c r="BC51" i="19" s="1"/>
  <c r="BC36" i="19" s="1"/>
  <c r="BD37" i="19" s="1"/>
  <c r="BC26" i="20"/>
  <c r="AX11" i="31"/>
  <c r="AX9" i="8"/>
  <c r="AY11" i="9"/>
  <c r="AY23" i="34"/>
  <c r="AS62" i="47" s="1"/>
  <c r="W23" i="35"/>
  <c r="AS12" i="47"/>
  <c r="AY19" i="28"/>
  <c r="AY25" i="34"/>
  <c r="AS64" i="47" s="1"/>
  <c r="W25" i="35"/>
  <c r="BB11" i="34"/>
  <c r="X11" i="35"/>
  <c r="AW29" i="47"/>
  <c r="BI18" i="34"/>
  <c r="BC57" i="47" s="1"/>
  <c r="BD16" i="37"/>
  <c r="BD62" i="12"/>
  <c r="BD64" i="12" s="1"/>
  <c r="BD53" i="12"/>
  <c r="BD56" i="12" s="1"/>
  <c r="BC33" i="16"/>
  <c r="BC34" i="16" s="1"/>
  <c r="BC13" i="16" s="1"/>
  <c r="BC15" i="16" s="1"/>
  <c r="BC47" i="16"/>
  <c r="BD10" i="37"/>
  <c r="BD24" i="12"/>
  <c r="BD26" i="12" s="1"/>
  <c r="BE17" i="10"/>
  <c r="BD27" i="13"/>
  <c r="BD29" i="13" s="1"/>
  <c r="BD12" i="13"/>
  <c r="AX27" i="31"/>
  <c r="AR42" i="47" s="1"/>
  <c r="AX16" i="22"/>
  <c r="AS61" i="47"/>
  <c r="BC14" i="28"/>
  <c r="BC9" i="20"/>
  <c r="BC10" i="20" s="1"/>
  <c r="AW7" i="47"/>
  <c r="BC17" i="28"/>
  <c r="AW13" i="47" s="1"/>
  <c r="BD16" i="19"/>
  <c r="BD17" i="19" s="1"/>
  <c r="BD42" i="15"/>
  <c r="BD25" i="11"/>
  <c r="BD20" i="15"/>
  <c r="AY26" i="34" l="1"/>
  <c r="BC17" i="31"/>
  <c r="AW32" i="47" s="1"/>
  <c r="BD11" i="16"/>
  <c r="AS31" i="47"/>
  <c r="AY21" i="31"/>
  <c r="AR26" i="47"/>
  <c r="AX12" i="31"/>
  <c r="BB21" i="28"/>
  <c r="AV17" i="47" s="1"/>
  <c r="X21" i="29"/>
  <c r="BC24" i="34"/>
  <c r="AW63" i="47" s="1"/>
  <c r="AY22" i="28"/>
  <c r="AY82" i="20"/>
  <c r="AS15" i="47"/>
  <c r="W19" i="29"/>
  <c r="BB20" i="31"/>
  <c r="AV35" i="47" s="1"/>
  <c r="BC75" i="20"/>
  <c r="X20" i="32"/>
  <c r="BE20" i="34"/>
  <c r="AY59" i="47" s="1"/>
  <c r="Y20" i="35"/>
  <c r="AY29" i="34"/>
  <c r="AS65" i="47"/>
  <c r="W26" i="35"/>
  <c r="BD13" i="28"/>
  <c r="AX9" i="47" s="1"/>
  <c r="BD15" i="37"/>
  <c r="BE51" i="12"/>
  <c r="AZ27" i="18"/>
  <c r="AZ28" i="18" s="1"/>
  <c r="AZ40" i="18"/>
  <c r="AZ41" i="18" s="1"/>
  <c r="BD17" i="37"/>
  <c r="BD17" i="11"/>
  <c r="BD18" i="11" s="1"/>
  <c r="BE61" i="12"/>
  <c r="BD31" i="19"/>
  <c r="BD38" i="19"/>
  <c r="BC19" i="31"/>
  <c r="AW34" i="47" s="1"/>
  <c r="BD29" i="19"/>
  <c r="BE26" i="13"/>
  <c r="BD30" i="13"/>
  <c r="BD9" i="31" s="1"/>
  <c r="AX24" i="47" s="1"/>
  <c r="BC20" i="20"/>
  <c r="BC21" i="20" s="1"/>
  <c r="BC34" i="20" s="1"/>
  <c r="BC14" i="20"/>
  <c r="BC15" i="20" s="1"/>
  <c r="BE25" i="10"/>
  <c r="BD21" i="19"/>
  <c r="BD43" i="15"/>
  <c r="BD45" i="15" s="1"/>
  <c r="BD21" i="15"/>
  <c r="BF22" i="15" s="1"/>
  <c r="AW10" i="47"/>
  <c r="BD11" i="37"/>
  <c r="BD20" i="17"/>
  <c r="BD22" i="17" s="1"/>
  <c r="BD20" i="18"/>
  <c r="BD22" i="18" s="1"/>
  <c r="BD19" i="13"/>
  <c r="BD21" i="13" s="1"/>
  <c r="BD31" i="12"/>
  <c r="BJ32" i="12" s="1"/>
  <c r="BD13" i="15"/>
  <c r="BD14" i="15" s="1"/>
  <c r="BD39" i="12"/>
  <c r="BD41" i="12" s="1"/>
  <c r="BD17" i="9"/>
  <c r="BD18" i="9" s="1"/>
  <c r="AV50" i="47"/>
  <c r="BB12" i="34"/>
  <c r="AZ40" i="17"/>
  <c r="AZ41" i="17" s="1"/>
  <c r="BF8" i="34" l="1"/>
  <c r="BF44" i="15"/>
  <c r="AZ42" i="18"/>
  <c r="AZ33" i="18"/>
  <c r="AZ46" i="18"/>
  <c r="AZ47" i="18" s="1"/>
  <c r="BD29" i="15"/>
  <c r="BD10" i="12"/>
  <c r="BD11" i="12" s="1"/>
  <c r="BD10" i="31"/>
  <c r="AX25" i="47" s="1"/>
  <c r="BE41" i="15"/>
  <c r="AZ29" i="18"/>
  <c r="AZ14" i="18"/>
  <c r="AY12" i="9"/>
  <c r="AY13" i="9" s="1"/>
  <c r="AS68" i="47"/>
  <c r="W29" i="35"/>
  <c r="AX22" i="9"/>
  <c r="AX24" i="9" s="1"/>
  <c r="AR27" i="47"/>
  <c r="BC39" i="20"/>
  <c r="BC25" i="20"/>
  <c r="BC27" i="20" s="1"/>
  <c r="BD10" i="34"/>
  <c r="BE24" i="10"/>
  <c r="BE26" i="10" s="1"/>
  <c r="AY37" i="9"/>
  <c r="AY38" i="9" s="1"/>
  <c r="AS18" i="47"/>
  <c r="W22" i="29"/>
  <c r="BD32" i="15"/>
  <c r="BD15" i="15"/>
  <c r="AY23" i="9"/>
  <c r="AS36" i="47"/>
  <c r="P21" i="33"/>
  <c r="W21" i="32"/>
  <c r="BD12" i="37"/>
  <c r="BE38" i="12"/>
  <c r="BD8" i="28"/>
  <c r="BD19" i="16"/>
  <c r="BD21" i="16" s="1"/>
  <c r="BD26" i="11"/>
  <c r="BD27" i="11" s="1"/>
  <c r="BC66" i="20"/>
  <c r="BC68" i="20" s="1"/>
  <c r="BD39" i="16"/>
  <c r="BD40" i="16" s="1"/>
  <c r="AZ42" i="17"/>
  <c r="AZ33" i="17"/>
  <c r="AZ46" i="17"/>
  <c r="AZ47" i="17" s="1"/>
  <c r="BD8" i="31"/>
  <c r="BE18" i="13"/>
  <c r="BB15" i="34"/>
  <c r="AV51" i="47"/>
  <c r="X12" i="35"/>
  <c r="BD21" i="34"/>
  <c r="AX60" i="47" s="1"/>
  <c r="BD12" i="18"/>
  <c r="BJ13" i="37"/>
  <c r="BJ52" i="12"/>
  <c r="BJ40" i="12"/>
  <c r="BD17" i="34"/>
  <c r="AX56" i="47" s="1"/>
  <c r="BD27" i="17"/>
  <c r="BJ28" i="17" s="1"/>
  <c r="BD12" i="17"/>
  <c r="BD48" i="19"/>
  <c r="BE11" i="11" l="1"/>
  <c r="BE12" i="11" s="1"/>
  <c r="BE20" i="10"/>
  <c r="BE21" i="10" s="1"/>
  <c r="BE44" i="12"/>
  <c r="BE45" i="12" s="1"/>
  <c r="AZ16" i="28"/>
  <c r="BD11" i="28"/>
  <c r="AX4" i="47"/>
  <c r="AY11" i="31"/>
  <c r="AZ11" i="9"/>
  <c r="AY9" i="8"/>
  <c r="P11" i="33"/>
  <c r="W11" i="32"/>
  <c r="BJ29" i="17"/>
  <c r="BJ14" i="17"/>
  <c r="BD14" i="34"/>
  <c r="AX53" i="47" s="1"/>
  <c r="AX49" i="47"/>
  <c r="AZ18" i="28"/>
  <c r="AT14" i="47" s="1"/>
  <c r="BC35" i="20"/>
  <c r="BC36" i="20" s="1"/>
  <c r="BD33" i="20" s="1"/>
  <c r="BC40" i="20"/>
  <c r="BC41" i="20" s="1"/>
  <c r="BC46" i="20" s="1"/>
  <c r="BC47" i="20" s="1"/>
  <c r="AZ22" i="34"/>
  <c r="BD45" i="16"/>
  <c r="BD46" i="16" s="1"/>
  <c r="BD41" i="16"/>
  <c r="BD32" i="16"/>
  <c r="BE10" i="13"/>
  <c r="BE11" i="13" s="1"/>
  <c r="BC77" i="20"/>
  <c r="BC69" i="20"/>
  <c r="BD19" i="34"/>
  <c r="AX58" i="47" s="1"/>
  <c r="BD26" i="16"/>
  <c r="BF27" i="16" s="1"/>
  <c r="BD12" i="16"/>
  <c r="AZ48" i="18"/>
  <c r="AZ34" i="18"/>
  <c r="AZ35" i="18" s="1"/>
  <c r="AZ13" i="18" s="1"/>
  <c r="AZ15" i="18" s="1"/>
  <c r="AV54" i="47"/>
  <c r="X15" i="35"/>
  <c r="BE25" i="12"/>
  <c r="AX23" i="47"/>
  <c r="AY25" i="31"/>
  <c r="AS40" i="47" s="1"/>
  <c r="AZ36" i="9"/>
  <c r="AY28" i="9"/>
  <c r="AY30" i="9" s="1"/>
  <c r="P25" i="33"/>
  <c r="W25" i="32"/>
  <c r="AX23" i="31"/>
  <c r="AR38" i="47" s="1"/>
  <c r="AX15" i="22"/>
  <c r="AX17" i="22" s="1"/>
  <c r="AX21" i="22" s="1"/>
  <c r="BD9" i="19"/>
  <c r="BD11" i="19" s="1"/>
  <c r="BD22" i="19" s="1"/>
  <c r="BD23" i="19" s="1"/>
  <c r="BD30" i="15"/>
  <c r="BD36" i="15" s="1"/>
  <c r="AZ48" i="17"/>
  <c r="AZ34" i="17"/>
  <c r="AZ35" i="17" s="1"/>
  <c r="AZ13" i="17" s="1"/>
  <c r="AZ15" i="17" s="1"/>
  <c r="BD14" i="31"/>
  <c r="BE24" i="11"/>
  <c r="AZ47" i="47"/>
  <c r="AZ18" i="31" l="1"/>
  <c r="AT33" i="47" s="1"/>
  <c r="BA11" i="18"/>
  <c r="AZ16" i="31"/>
  <c r="BA11" i="17"/>
  <c r="BD15" i="31"/>
  <c r="AX30" i="47" s="1"/>
  <c r="BE28" i="15"/>
  <c r="BD26" i="20"/>
  <c r="AZ23" i="34"/>
  <c r="AT62" i="47" s="1"/>
  <c r="BC11" i="34"/>
  <c r="BJ18" i="34"/>
  <c r="BD57" i="47" s="1"/>
  <c r="BD14" i="28"/>
  <c r="BD9" i="20"/>
  <c r="BD10" i="20" s="1"/>
  <c r="AX7" i="47"/>
  <c r="BC48" i="20"/>
  <c r="BC76" i="20"/>
  <c r="BC78" i="20" s="1"/>
  <c r="BC81" i="20"/>
  <c r="AY27" i="31"/>
  <c r="AS42" i="47" s="1"/>
  <c r="AY16" i="22"/>
  <c r="P27" i="33"/>
  <c r="W27" i="32"/>
  <c r="AZ25" i="34"/>
  <c r="AT64" i="47" s="1"/>
  <c r="BE27" i="13"/>
  <c r="BE29" i="13" s="1"/>
  <c r="BE12" i="13"/>
  <c r="AT12" i="47"/>
  <c r="AZ19" i="28"/>
  <c r="BD30" i="19"/>
  <c r="BD32" i="19" s="1"/>
  <c r="BD49" i="19"/>
  <c r="BD51" i="19" s="1"/>
  <c r="BD36" i="19" s="1"/>
  <c r="BE37" i="19" s="1"/>
  <c r="BE16" i="37"/>
  <c r="BE62" i="12"/>
  <c r="BE64" i="12" s="1"/>
  <c r="BE53" i="12"/>
  <c r="BE56" i="12" s="1"/>
  <c r="Y16" i="38"/>
  <c r="BD17" i="28"/>
  <c r="AX13" i="47" s="1"/>
  <c r="AT61" i="47"/>
  <c r="BE10" i="37"/>
  <c r="BE24" i="12"/>
  <c r="BE26" i="12" s="1"/>
  <c r="BF17" i="10"/>
  <c r="M10" i="26"/>
  <c r="Q10" i="39"/>
  <c r="Y10" i="38"/>
  <c r="AX29" i="47"/>
  <c r="BF28" i="16"/>
  <c r="BF14" i="16"/>
  <c r="BD33" i="16"/>
  <c r="BD34" i="16" s="1"/>
  <c r="BD13" i="16" s="1"/>
  <c r="BD15" i="16" s="1"/>
  <c r="BD47" i="16"/>
  <c r="AS26" i="47"/>
  <c r="AY12" i="31"/>
  <c r="BE16" i="19"/>
  <c r="BE17" i="19" s="1"/>
  <c r="BE42" i="15"/>
  <c r="BE20" i="15"/>
  <c r="BE25" i="11"/>
  <c r="AZ26" i="34" l="1"/>
  <c r="BD17" i="31"/>
  <c r="AX32" i="47" s="1"/>
  <c r="BE11" i="16"/>
  <c r="BC20" i="31"/>
  <c r="AW35" i="47" s="1"/>
  <c r="BD75" i="20"/>
  <c r="BC21" i="28"/>
  <c r="AW17" i="47" s="1"/>
  <c r="BE17" i="37"/>
  <c r="BF61" i="12"/>
  <c r="BE17" i="11"/>
  <c r="BE18" i="11" s="1"/>
  <c r="M17" i="26"/>
  <c r="Q17" i="39"/>
  <c r="Y17" i="38"/>
  <c r="BE38" i="19"/>
  <c r="BE31" i="19"/>
  <c r="AW50" i="47"/>
  <c r="BC12" i="34"/>
  <c r="BF26" i="13"/>
  <c r="BE30" i="13"/>
  <c r="AY22" i="9"/>
  <c r="AY24" i="9" s="1"/>
  <c r="AS27" i="47"/>
  <c r="P12" i="33"/>
  <c r="W12" i="32"/>
  <c r="BD24" i="34"/>
  <c r="AX63" i="47" s="1"/>
  <c r="BF25" i="10"/>
  <c r="BD19" i="31"/>
  <c r="AX34" i="47" s="1"/>
  <c r="BE29" i="19"/>
  <c r="BA40" i="17"/>
  <c r="BA41" i="17" s="1"/>
  <c r="BE11" i="37"/>
  <c r="BE20" i="17"/>
  <c r="BE22" i="17" s="1"/>
  <c r="BE20" i="18"/>
  <c r="BE22" i="18" s="1"/>
  <c r="BE19" i="13"/>
  <c r="BE21" i="13" s="1"/>
  <c r="BE13" i="15"/>
  <c r="BE14" i="15" s="1"/>
  <c r="BE31" i="12"/>
  <c r="BK32" i="12" s="1"/>
  <c r="BE39" i="12"/>
  <c r="BE41" i="12" s="1"/>
  <c r="BE17" i="9"/>
  <c r="BE18" i="9" s="1"/>
  <c r="Y11" i="38"/>
  <c r="AZ22" i="28"/>
  <c r="AZ82" i="20"/>
  <c r="AT15" i="47"/>
  <c r="BD20" i="20"/>
  <c r="BD21" i="20" s="1"/>
  <c r="BD34" i="20" s="1"/>
  <c r="BD14" i="20"/>
  <c r="BD15" i="20" s="1"/>
  <c r="AT31" i="47"/>
  <c r="AZ21" i="31"/>
  <c r="AX10" i="47"/>
  <c r="BA40" i="18"/>
  <c r="BA41" i="18" s="1"/>
  <c r="BA27" i="18"/>
  <c r="BA28" i="18" s="1"/>
  <c r="BE21" i="19"/>
  <c r="BE43" i="15"/>
  <c r="BE45" i="15" s="1"/>
  <c r="BE21" i="15"/>
  <c r="AZ29" i="34"/>
  <c r="AT65" i="47"/>
  <c r="BG22" i="15"/>
  <c r="BF20" i="34"/>
  <c r="AZ59" i="47" s="1"/>
  <c r="BE15" i="37"/>
  <c r="BF51" i="12"/>
  <c r="Q15" i="39"/>
  <c r="M15" i="26"/>
  <c r="Y15" i="38"/>
  <c r="BE13" i="28"/>
  <c r="AY9" i="47" s="1"/>
  <c r="Y13" i="29"/>
  <c r="BF24" i="10" l="1"/>
  <c r="BF26" i="10" s="1"/>
  <c r="BA29" i="18"/>
  <c r="BA14" i="18"/>
  <c r="BE12" i="37"/>
  <c r="BF38" i="12"/>
  <c r="Q12" i="39"/>
  <c r="M12" i="26"/>
  <c r="Y12" i="38"/>
  <c r="BA33" i="17"/>
  <c r="BA42" i="17"/>
  <c r="BA46" i="17"/>
  <c r="BA47" i="17" s="1"/>
  <c r="BE10" i="34"/>
  <c r="Y10" i="35"/>
  <c r="BA46" i="18"/>
  <c r="BA47" i="18" s="1"/>
  <c r="BA42" i="18"/>
  <c r="BA33" i="18"/>
  <c r="BK13" i="37"/>
  <c r="BK40" i="12"/>
  <c r="BK52" i="12"/>
  <c r="AA13" i="38"/>
  <c r="BE48" i="19"/>
  <c r="BE32" i="15"/>
  <c r="BE15" i="15"/>
  <c r="AY23" i="31"/>
  <c r="AS38" i="47" s="1"/>
  <c r="AY15" i="22"/>
  <c r="AY17" i="22" s="1"/>
  <c r="AY21" i="22" s="1"/>
  <c r="P23" i="33"/>
  <c r="W23" i="32"/>
  <c r="AZ12" i="9"/>
  <c r="AZ13" i="9" s="1"/>
  <c r="AT68" i="47"/>
  <c r="BE8" i="31"/>
  <c r="BF18" i="13"/>
  <c r="M8" i="24"/>
  <c r="G23" i="50" s="1"/>
  <c r="Q8" i="33"/>
  <c r="Y8" i="32"/>
  <c r="BE9" i="31"/>
  <c r="AY24" i="47" s="1"/>
  <c r="M9" i="24"/>
  <c r="G24" i="50" s="1"/>
  <c r="Q9" i="33"/>
  <c r="Y9" i="32"/>
  <c r="BD66" i="20"/>
  <c r="BD68" i="20" s="1"/>
  <c r="BE21" i="34"/>
  <c r="AY60" i="47" s="1"/>
  <c r="BE12" i="18"/>
  <c r="Y21" i="35"/>
  <c r="BE8" i="28"/>
  <c r="BE19" i="16"/>
  <c r="BE21" i="16" s="1"/>
  <c r="BE26" i="11"/>
  <c r="BE27" i="11" s="1"/>
  <c r="Y8" i="29"/>
  <c r="BE10" i="31"/>
  <c r="AY25" i="47" s="1"/>
  <c r="BF41" i="15"/>
  <c r="M10" i="24"/>
  <c r="G25" i="50" s="1"/>
  <c r="Q10" i="33"/>
  <c r="Y10" i="32"/>
  <c r="AZ23" i="9"/>
  <c r="AT36" i="47"/>
  <c r="AZ37" i="9"/>
  <c r="AZ38" i="9" s="1"/>
  <c r="AT18" i="47"/>
  <c r="BE17" i="34"/>
  <c r="AY56" i="47" s="1"/>
  <c r="BE27" i="17"/>
  <c r="BK28" i="17" s="1"/>
  <c r="BE12" i="17"/>
  <c r="Y17" i="35"/>
  <c r="BC15" i="34"/>
  <c r="AW51" i="47"/>
  <c r="BE39" i="16"/>
  <c r="BE40" i="16" s="1"/>
  <c r="BG8" i="34"/>
  <c r="BG44" i="15"/>
  <c r="BD39" i="20"/>
  <c r="BD25" i="20"/>
  <c r="BD27" i="20" s="1"/>
  <c r="BE29" i="15"/>
  <c r="BE10" i="12"/>
  <c r="BE11" i="12" s="1"/>
  <c r="AZ11" i="31" l="1"/>
  <c r="AZ9" i="8"/>
  <c r="BA11" i="9"/>
  <c r="BF25" i="12"/>
  <c r="AY49" i="47"/>
  <c r="AW54" i="47"/>
  <c r="AZ25" i="31"/>
  <c r="AT40" i="47" s="1"/>
  <c r="AZ28" i="9"/>
  <c r="AZ30" i="9" s="1"/>
  <c r="BA36" i="9"/>
  <c r="BA48" i="17"/>
  <c r="BA34" i="17"/>
  <c r="BA35" i="17" s="1"/>
  <c r="BA13" i="17" s="1"/>
  <c r="BA15" i="17" s="1"/>
  <c r="BE14" i="31"/>
  <c r="BF24" i="11"/>
  <c r="Q14" i="33"/>
  <c r="M14" i="24"/>
  <c r="G29" i="50" s="1"/>
  <c r="Y14" i="32"/>
  <c r="BD77" i="20"/>
  <c r="BD69" i="20"/>
  <c r="BF10" i="13"/>
  <c r="BF11" i="13" s="1"/>
  <c r="BA16" i="28"/>
  <c r="BE9" i="19"/>
  <c r="BE11" i="19" s="1"/>
  <c r="BE22" i="19" s="1"/>
  <c r="BE23" i="19" s="1"/>
  <c r="BE30" i="15"/>
  <c r="BE36" i="15" s="1"/>
  <c r="BA47" i="47"/>
  <c r="BD35" i="20"/>
  <c r="BD36" i="20" s="1"/>
  <c r="BE33" i="20" s="1"/>
  <c r="BD40" i="20"/>
  <c r="BE41" i="16"/>
  <c r="BE32" i="16"/>
  <c r="BE45" i="16"/>
  <c r="BE46" i="16" s="1"/>
  <c r="BE19" i="34"/>
  <c r="AY58" i="47" s="1"/>
  <c r="BE26" i="16"/>
  <c r="BG27" i="16" s="1"/>
  <c r="BE12" i="16"/>
  <c r="Y19" i="35"/>
  <c r="AY23" i="47"/>
  <c r="BA22" i="34"/>
  <c r="BA48" i="18"/>
  <c r="BA34" i="18"/>
  <c r="BD41" i="20"/>
  <c r="BD46" i="20" s="1"/>
  <c r="BD47" i="20" s="1"/>
  <c r="BK14" i="17"/>
  <c r="BK29" i="17"/>
  <c r="BE11" i="28"/>
  <c r="AY4" i="47"/>
  <c r="BE14" i="34"/>
  <c r="AY53" i="47" s="1"/>
  <c r="Y14" i="35"/>
  <c r="BA35" i="18"/>
  <c r="BA13" i="18" s="1"/>
  <c r="BA15" i="18" s="1"/>
  <c r="BA18" i="28"/>
  <c r="AU14" i="47" s="1"/>
  <c r="BF44" i="12"/>
  <c r="BF45" i="12" s="1"/>
  <c r="BF11" i="11"/>
  <c r="BF12" i="11" s="1"/>
  <c r="BF20" i="10"/>
  <c r="BF21" i="10" s="1"/>
  <c r="BE15" i="31" l="1"/>
  <c r="AY30" i="47" s="1"/>
  <c r="BF28" i="15"/>
  <c r="M15" i="24"/>
  <c r="G30" i="50" s="1"/>
  <c r="Q15" i="33"/>
  <c r="Y15" i="32"/>
  <c r="BE14" i="28"/>
  <c r="BE9" i="20"/>
  <c r="BE10" i="20" s="1"/>
  <c r="AY7" i="47"/>
  <c r="Y11" i="29"/>
  <c r="AU61" i="47"/>
  <c r="BE47" i="16"/>
  <c r="BE33" i="16"/>
  <c r="BE34" i="16" s="1"/>
  <c r="BE13" i="16" s="1"/>
  <c r="BE15" i="16" s="1"/>
  <c r="BE30" i="19"/>
  <c r="BE32" i="19" s="1"/>
  <c r="BE49" i="19"/>
  <c r="BE51" i="19" s="1"/>
  <c r="BE36" i="19" s="1"/>
  <c r="BF37" i="19" s="1"/>
  <c r="BK18" i="34"/>
  <c r="BE57" i="47" s="1"/>
  <c r="AA18" i="35"/>
  <c r="BA16" i="31"/>
  <c r="BB11" i="17"/>
  <c r="AZ27" i="31"/>
  <c r="AT42" i="47" s="1"/>
  <c r="AZ16" i="22"/>
  <c r="BF16" i="37"/>
  <c r="BF62" i="12"/>
  <c r="BF64" i="12" s="1"/>
  <c r="BF53" i="12"/>
  <c r="BF56" i="12" s="1"/>
  <c r="BE17" i="28"/>
  <c r="AY13" i="47" s="1"/>
  <c r="Y17" i="29"/>
  <c r="BD48" i="20"/>
  <c r="BD76" i="20"/>
  <c r="BD78" i="20" s="1"/>
  <c r="BD81" i="20"/>
  <c r="AU12" i="47"/>
  <c r="BA19" i="28"/>
  <c r="BE26" i="20"/>
  <c r="AY29" i="47"/>
  <c r="BF27" i="13"/>
  <c r="BF29" i="13" s="1"/>
  <c r="BF12" i="13"/>
  <c r="BA18" i="31"/>
  <c r="AU33" i="47" s="1"/>
  <c r="BB11" i="18"/>
  <c r="BA25" i="34"/>
  <c r="AU64" i="47" s="1"/>
  <c r="BF10" i="37"/>
  <c r="BF24" i="12"/>
  <c r="BF26" i="12" s="1"/>
  <c r="BG17" i="10"/>
  <c r="BG28" i="16"/>
  <c r="BG14" i="16"/>
  <c r="BD11" i="34"/>
  <c r="AT26" i="47"/>
  <c r="AZ12" i="31"/>
  <c r="BF16" i="19"/>
  <c r="BF17" i="19" s="1"/>
  <c r="BF42" i="15"/>
  <c r="BF25" i="11"/>
  <c r="BF20" i="15"/>
  <c r="BA23" i="34"/>
  <c r="AU62" i="47" s="1"/>
  <c r="AX50" i="47" l="1"/>
  <c r="BD12" i="34"/>
  <c r="BD21" i="28"/>
  <c r="AX17" i="47" s="1"/>
  <c r="BF38" i="19"/>
  <c r="BF31" i="19"/>
  <c r="BE20" i="20"/>
  <c r="BE21" i="20" s="1"/>
  <c r="BE34" i="20" s="1"/>
  <c r="BE14" i="20"/>
  <c r="BE15" i="20" s="1"/>
  <c r="BE19" i="31"/>
  <c r="AY34" i="47" s="1"/>
  <c r="BF29" i="19"/>
  <c r="Q19" i="33"/>
  <c r="M19" i="24"/>
  <c r="G34" i="50" s="1"/>
  <c r="Y19" i="32"/>
  <c r="AY10" i="47"/>
  <c r="Y14" i="29"/>
  <c r="BB27" i="18"/>
  <c r="BB28" i="18" s="1"/>
  <c r="BB40" i="18"/>
  <c r="BB41" i="18" s="1"/>
  <c r="BG25" i="10"/>
  <c r="BF13" i="28"/>
  <c r="AZ9" i="47" s="1"/>
  <c r="BF11" i="37"/>
  <c r="BF20" i="18"/>
  <c r="BF22" i="18" s="1"/>
  <c r="BF20" i="17"/>
  <c r="BF22" i="17" s="1"/>
  <c r="BF19" i="13"/>
  <c r="BF21" i="13" s="1"/>
  <c r="BF39" i="12"/>
  <c r="BF41" i="12" s="1"/>
  <c r="BF13" i="15"/>
  <c r="BF14" i="15" s="1"/>
  <c r="BF31" i="12"/>
  <c r="BL32" i="12" s="1"/>
  <c r="BF17" i="9"/>
  <c r="BF18" i="9" s="1"/>
  <c r="BG26" i="13"/>
  <c r="BF30" i="13"/>
  <c r="BF9" i="31" s="1"/>
  <c r="AZ24" i="47" s="1"/>
  <c r="BA22" i="28"/>
  <c r="BA82" i="20"/>
  <c r="AU15" i="47"/>
  <c r="BB40" i="17"/>
  <c r="BB41" i="17" s="1"/>
  <c r="BE24" i="34"/>
  <c r="AY63" i="47" s="1"/>
  <c r="Y24" i="35"/>
  <c r="BG20" i="34"/>
  <c r="BA59" i="47" s="1"/>
  <c r="BF21" i="19"/>
  <c r="BF43" i="15"/>
  <c r="BF45" i="15" s="1"/>
  <c r="BF21" i="15"/>
  <c r="BH22" i="15" s="1"/>
  <c r="AZ22" i="9"/>
  <c r="AZ24" i="9" s="1"/>
  <c r="AT27" i="47"/>
  <c r="BE17" i="31"/>
  <c r="AY32" i="47" s="1"/>
  <c r="BF11" i="16"/>
  <c r="M17" i="24"/>
  <c r="G32" i="50" s="1"/>
  <c r="Q17" i="33"/>
  <c r="Y17" i="32"/>
  <c r="AU31" i="47"/>
  <c r="BA21" i="31"/>
  <c r="BA26" i="34"/>
  <c r="BF15" i="37"/>
  <c r="BG51" i="12"/>
  <c r="BD20" i="31"/>
  <c r="AX35" i="47" s="1"/>
  <c r="BE75" i="20"/>
  <c r="BF17" i="37"/>
  <c r="BG61" i="12"/>
  <c r="BF17" i="11"/>
  <c r="BF18" i="11" s="1"/>
  <c r="BH8" i="34" l="1"/>
  <c r="BH44" i="15"/>
  <c r="Z8" i="35"/>
  <c r="BF10" i="31"/>
  <c r="AZ25" i="47" s="1"/>
  <c r="BG41" i="15"/>
  <c r="BF8" i="31"/>
  <c r="BG18" i="13"/>
  <c r="BB46" i="17"/>
  <c r="BB47" i="17" s="1"/>
  <c r="BB42" i="17"/>
  <c r="BB33" i="17"/>
  <c r="BF17" i="34"/>
  <c r="AZ56" i="47" s="1"/>
  <c r="BF27" i="17"/>
  <c r="BL28" i="17" s="1"/>
  <c r="BF12" i="17"/>
  <c r="BF21" i="34"/>
  <c r="AZ60" i="47" s="1"/>
  <c r="BF12" i="18"/>
  <c r="BF10" i="34"/>
  <c r="BF29" i="15"/>
  <c r="BF10" i="12"/>
  <c r="BF11" i="12" s="1"/>
  <c r="BF8" i="28"/>
  <c r="BF19" i="16"/>
  <c r="BF21" i="16" s="1"/>
  <c r="BF26" i="11"/>
  <c r="BF27" i="11" s="1"/>
  <c r="BA29" i="34"/>
  <c r="AU65" i="47"/>
  <c r="BL13" i="37"/>
  <c r="BL40" i="12"/>
  <c r="BL52" i="12"/>
  <c r="BB46" i="18"/>
  <c r="BB47" i="18" s="1"/>
  <c r="BB42" i="18"/>
  <c r="BB33" i="18"/>
  <c r="BF48" i="19"/>
  <c r="BD15" i="34"/>
  <c r="AX51" i="47"/>
  <c r="BE66" i="20"/>
  <c r="BE68" i="20" s="1"/>
  <c r="BG24" i="10"/>
  <c r="BG26" i="10" s="1"/>
  <c r="BA23" i="9"/>
  <c r="AU36" i="47"/>
  <c r="BA37" i="9"/>
  <c r="BA38" i="9" s="1"/>
  <c r="AU18" i="47"/>
  <c r="BF32" i="15"/>
  <c r="BF15" i="15"/>
  <c r="BB29" i="18"/>
  <c r="BB14" i="18"/>
  <c r="BF39" i="16"/>
  <c r="BF40" i="16" s="1"/>
  <c r="AZ23" i="31"/>
  <c r="AT38" i="47" s="1"/>
  <c r="AZ15" i="22"/>
  <c r="AZ17" i="22" s="1"/>
  <c r="AZ21" i="22" s="1"/>
  <c r="BF12" i="37"/>
  <c r="BG38" i="12"/>
  <c r="BE39" i="20"/>
  <c r="BE25" i="20"/>
  <c r="BE27" i="20" s="1"/>
  <c r="BB34" i="18" l="1"/>
  <c r="BB48" i="18"/>
  <c r="AZ23" i="47"/>
  <c r="BA12" i="9"/>
  <c r="BA13" i="9" s="1"/>
  <c r="AU68" i="47"/>
  <c r="BF9" i="19"/>
  <c r="BF11" i="19" s="1"/>
  <c r="BF22" i="19" s="1"/>
  <c r="BF23" i="19" s="1"/>
  <c r="BF30" i="15"/>
  <c r="BF36" i="15" s="1"/>
  <c r="BL14" i="17"/>
  <c r="BL29" i="17"/>
  <c r="BE77" i="20"/>
  <c r="BE69" i="20"/>
  <c r="BE35" i="20"/>
  <c r="BE36" i="20" s="1"/>
  <c r="BF33" i="20" s="1"/>
  <c r="BE40" i="20"/>
  <c r="BF45" i="16"/>
  <c r="BF46" i="16" s="1"/>
  <c r="BF32" i="16"/>
  <c r="BF41" i="16"/>
  <c r="BA25" i="31"/>
  <c r="AU40" i="47" s="1"/>
  <c r="BA28" i="9"/>
  <c r="BA30" i="9" s="1"/>
  <c r="BB36" i="9"/>
  <c r="AX54" i="47"/>
  <c r="BB22" i="34"/>
  <c r="X22" i="35"/>
  <c r="BB16" i="28"/>
  <c r="X16" i="29"/>
  <c r="BF14" i="34"/>
  <c r="AZ53" i="47" s="1"/>
  <c r="BF14" i="31"/>
  <c r="BG24" i="11"/>
  <c r="BB48" i="17"/>
  <c r="BB34" i="17"/>
  <c r="BB35" i="17" s="1"/>
  <c r="BB13" i="17" s="1"/>
  <c r="BB15" i="17" s="1"/>
  <c r="BE41" i="20"/>
  <c r="BE46" i="20" s="1"/>
  <c r="BE47" i="20" s="1"/>
  <c r="BG25" i="12"/>
  <c r="BG44" i="12"/>
  <c r="BG45" i="12" s="1"/>
  <c r="BG11" i="11"/>
  <c r="BG12" i="11" s="1"/>
  <c r="BG20" i="10"/>
  <c r="BG21" i="10" s="1"/>
  <c r="BB35" i="18"/>
  <c r="BB13" i="18" s="1"/>
  <c r="BB15" i="18" s="1"/>
  <c r="BF19" i="34"/>
  <c r="AZ58" i="47" s="1"/>
  <c r="BF26" i="16"/>
  <c r="BH27" i="16" s="1"/>
  <c r="BF12" i="16"/>
  <c r="AZ49" i="47"/>
  <c r="BB18" i="28"/>
  <c r="AV14" i="47" s="1"/>
  <c r="X18" i="29"/>
  <c r="BF11" i="28"/>
  <c r="AZ4" i="47"/>
  <c r="BG10" i="13"/>
  <c r="BG11" i="13" s="1"/>
  <c r="BB47" i="47"/>
  <c r="BB16" i="31" l="1"/>
  <c r="BC11" i="17"/>
  <c r="X16" i="32"/>
  <c r="BG16" i="19"/>
  <c r="BG17" i="19" s="1"/>
  <c r="BG20" i="15"/>
  <c r="BG42" i="15"/>
  <c r="BG25" i="11"/>
  <c r="AZ29" i="47"/>
  <c r="AV12" i="47"/>
  <c r="BB19" i="28"/>
  <c r="BF15" i="31"/>
  <c r="AZ30" i="47" s="1"/>
  <c r="BG28" i="15"/>
  <c r="BF26" i="20"/>
  <c r="BG16" i="37"/>
  <c r="BG62" i="12"/>
  <c r="BG64" i="12" s="1"/>
  <c r="BG53" i="12"/>
  <c r="BG56" i="12" s="1"/>
  <c r="BE11" i="34"/>
  <c r="Y11" i="35"/>
  <c r="BA27" i="31"/>
  <c r="AU42" i="47" s="1"/>
  <c r="BA16" i="22"/>
  <c r="BF14" i="28"/>
  <c r="BF9" i="20"/>
  <c r="BF10" i="20" s="1"/>
  <c r="AZ7" i="47"/>
  <c r="BA11" i="31"/>
  <c r="BB11" i="9"/>
  <c r="BA9" i="8"/>
  <c r="AV61" i="47"/>
  <c r="BF17" i="28"/>
  <c r="AZ13" i="47" s="1"/>
  <c r="BL18" i="34"/>
  <c r="BF57" i="47" s="1"/>
  <c r="BH14" i="16"/>
  <c r="BH28" i="16"/>
  <c r="BF34" i="16"/>
  <c r="BF13" i="16" s="1"/>
  <c r="BF15" i="16" s="1"/>
  <c r="BG27" i="13"/>
  <c r="BG29" i="13" s="1"/>
  <c r="BG12" i="13"/>
  <c r="BE48" i="20"/>
  <c r="BE76" i="20"/>
  <c r="BE78" i="20" s="1"/>
  <c r="BE81" i="20"/>
  <c r="BB18" i="31"/>
  <c r="AV33" i="47" s="1"/>
  <c r="BC11" i="18"/>
  <c r="X18" i="32"/>
  <c r="BB23" i="34"/>
  <c r="AV62" i="47" s="1"/>
  <c r="X23" i="35"/>
  <c r="BF47" i="16"/>
  <c r="BF33" i="16"/>
  <c r="BB25" i="34"/>
  <c r="AV64" i="47" s="1"/>
  <c r="X25" i="35"/>
  <c r="BG10" i="37"/>
  <c r="BG24" i="12"/>
  <c r="BG26" i="12" s="1"/>
  <c r="BH17" i="10"/>
  <c r="BF49" i="19"/>
  <c r="BF51" i="19" s="1"/>
  <c r="BF36" i="19" s="1"/>
  <c r="BG37" i="19" s="1"/>
  <c r="BF30" i="19"/>
  <c r="BF32" i="19" s="1"/>
  <c r="BF17" i="31" l="1"/>
  <c r="AZ32" i="47" s="1"/>
  <c r="BG11" i="16"/>
  <c r="BH20" i="34"/>
  <c r="BB59" i="47" s="1"/>
  <c r="Z20" i="35"/>
  <c r="BF19" i="31"/>
  <c r="AZ34" i="47" s="1"/>
  <c r="BG29" i="19"/>
  <c r="BG38" i="19"/>
  <c r="BG31" i="19"/>
  <c r="AY50" i="47"/>
  <c r="BE12" i="34"/>
  <c r="BF14" i="20"/>
  <c r="BF15" i="20" s="1"/>
  <c r="BF20" i="20"/>
  <c r="BF21" i="20" s="1"/>
  <c r="BF34" i="20" s="1"/>
  <c r="BG21" i="19"/>
  <c r="BG43" i="15"/>
  <c r="BG45" i="15" s="1"/>
  <c r="BG21" i="15"/>
  <c r="BI22" i="15" s="1"/>
  <c r="AZ10" i="47"/>
  <c r="BB22" i="28"/>
  <c r="BB82" i="20"/>
  <c r="AV15" i="47"/>
  <c r="X19" i="29"/>
  <c r="BF24" i="34"/>
  <c r="AZ63" i="47" s="1"/>
  <c r="BG15" i="37"/>
  <c r="BH51" i="12"/>
  <c r="BC40" i="17"/>
  <c r="BC41" i="17" s="1"/>
  <c r="BC40" i="18"/>
  <c r="BC41" i="18" s="1"/>
  <c r="BC27" i="18"/>
  <c r="BC28" i="18" s="1"/>
  <c r="BB26" i="34"/>
  <c r="BE20" i="31"/>
  <c r="AY35" i="47" s="1"/>
  <c r="BF75" i="20"/>
  <c r="M20" i="24"/>
  <c r="G35" i="50" s="1"/>
  <c r="Q20" i="33"/>
  <c r="Y20" i="32"/>
  <c r="BH25" i="10"/>
  <c r="BE21" i="28"/>
  <c r="AY17" i="47" s="1"/>
  <c r="Y21" i="29"/>
  <c r="BG11" i="37"/>
  <c r="BG20" i="18"/>
  <c r="BG22" i="18" s="1"/>
  <c r="BG20" i="17"/>
  <c r="BG22" i="17" s="1"/>
  <c r="BG13" i="15"/>
  <c r="BG14" i="15" s="1"/>
  <c r="BG39" i="12"/>
  <c r="BG41" i="12" s="1"/>
  <c r="BG17" i="9"/>
  <c r="BG18" i="9" s="1"/>
  <c r="BG31" i="12"/>
  <c r="BM32" i="12" s="1"/>
  <c r="BG19" i="13"/>
  <c r="BG21" i="13" s="1"/>
  <c r="BG13" i="28"/>
  <c r="BA9" i="47" s="1"/>
  <c r="BH26" i="13"/>
  <c r="BG30" i="13"/>
  <c r="BG9" i="31" s="1"/>
  <c r="BA24" i="47" s="1"/>
  <c r="AU26" i="47"/>
  <c r="BA12" i="31"/>
  <c r="BG17" i="37"/>
  <c r="BH61" i="12"/>
  <c r="BG17" i="11"/>
  <c r="BG18" i="11" s="1"/>
  <c r="AV31" i="47"/>
  <c r="BB21" i="31"/>
  <c r="BA22" i="9" l="1"/>
  <c r="BA24" i="9" s="1"/>
  <c r="AU27" i="47"/>
  <c r="BG17" i="34"/>
  <c r="BA56" i="47" s="1"/>
  <c r="BG27" i="17"/>
  <c r="BM28" i="17" s="1"/>
  <c r="BG12" i="17"/>
  <c r="BE15" i="34"/>
  <c r="AY51" i="47"/>
  <c r="Y12" i="35"/>
  <c r="BG10" i="31"/>
  <c r="BA25" i="47" s="1"/>
  <c r="BH41" i="15"/>
  <c r="BC46" i="17"/>
  <c r="BC47" i="17" s="1"/>
  <c r="BC42" i="17"/>
  <c r="BC33" i="17"/>
  <c r="BF66" i="20"/>
  <c r="BF68" i="20" s="1"/>
  <c r="BH24" i="10"/>
  <c r="BH26" i="10" s="1"/>
  <c r="BI8" i="34"/>
  <c r="BI44" i="15"/>
  <c r="BB23" i="9"/>
  <c r="AV36" i="47"/>
  <c r="X21" i="32"/>
  <c r="BG8" i="31"/>
  <c r="BH18" i="13"/>
  <c r="BM13" i="37"/>
  <c r="BM40" i="12"/>
  <c r="BM52" i="12"/>
  <c r="BB29" i="34"/>
  <c r="AV65" i="47"/>
  <c r="X26" i="35"/>
  <c r="BG29" i="15"/>
  <c r="BG10" i="12"/>
  <c r="BG11" i="12" s="1"/>
  <c r="BB37" i="9"/>
  <c r="BB38" i="9" s="1"/>
  <c r="AV18" i="47"/>
  <c r="X22" i="29"/>
  <c r="BG10" i="34"/>
  <c r="BG21" i="34"/>
  <c r="BA60" i="47" s="1"/>
  <c r="BG12" i="18"/>
  <c r="BG12" i="37"/>
  <c r="BH38" i="12"/>
  <c r="BC29" i="18"/>
  <c r="BC14" i="18"/>
  <c r="BG48" i="19"/>
  <c r="BG39" i="16"/>
  <c r="BG40" i="16" s="1"/>
  <c r="BG8" i="28"/>
  <c r="BG19" i="16"/>
  <c r="BG21" i="16" s="1"/>
  <c r="BG26" i="11"/>
  <c r="BG27" i="11" s="1"/>
  <c r="BG32" i="15"/>
  <c r="BG15" i="15"/>
  <c r="BC42" i="18"/>
  <c r="BC33" i="18"/>
  <c r="BC46" i="18"/>
  <c r="BC47" i="18" s="1"/>
  <c r="BF39" i="20"/>
  <c r="BF25" i="20"/>
  <c r="BF27" i="20" s="1"/>
  <c r="BC16" i="28" l="1"/>
  <c r="BG41" i="16"/>
  <c r="BG45" i="16"/>
  <c r="BG46" i="16" s="1"/>
  <c r="BG32" i="16"/>
  <c r="BF35" i="20"/>
  <c r="BF36" i="20" s="1"/>
  <c r="BG33" i="20" s="1"/>
  <c r="BF40" i="20"/>
  <c r="BF41" i="20" s="1"/>
  <c r="BF46" i="20" s="1"/>
  <c r="BF47" i="20" s="1"/>
  <c r="BH10" i="13"/>
  <c r="BH11" i="13" s="1"/>
  <c r="BC34" i="17"/>
  <c r="BC35" i="17" s="1"/>
  <c r="BC13" i="17" s="1"/>
  <c r="BC15" i="17" s="1"/>
  <c r="BC48" i="17"/>
  <c r="BC48" i="18"/>
  <c r="BC34" i="18"/>
  <c r="BC35" i="18" s="1"/>
  <c r="BC13" i="18" s="1"/>
  <c r="BC15" i="18" s="1"/>
  <c r="BG14" i="31"/>
  <c r="BH24" i="11"/>
  <c r="BA23" i="47"/>
  <c r="BC47" i="47"/>
  <c r="BA49" i="47"/>
  <c r="BG19" i="34"/>
  <c r="BA58" i="47" s="1"/>
  <c r="BG26" i="16"/>
  <c r="BI27" i="16" s="1"/>
  <c r="BG12" i="16"/>
  <c r="BC22" i="34"/>
  <c r="BB12" i="9"/>
  <c r="BB13" i="9" s="1"/>
  <c r="AV68" i="47"/>
  <c r="X29" i="35"/>
  <c r="BM29" i="17"/>
  <c r="BM14" i="17"/>
  <c r="BG11" i="28"/>
  <c r="BA4" i="47"/>
  <c r="BB25" i="31"/>
  <c r="AV40" i="47" s="1"/>
  <c r="BC36" i="9"/>
  <c r="BB28" i="9"/>
  <c r="BB30" i="9" s="1"/>
  <c r="X25" i="32"/>
  <c r="BH44" i="12"/>
  <c r="BH45" i="12" s="1"/>
  <c r="BH11" i="11"/>
  <c r="BH12" i="11" s="1"/>
  <c r="BH20" i="10"/>
  <c r="BH21" i="10" s="1"/>
  <c r="BC18" i="28"/>
  <c r="AW14" i="47" s="1"/>
  <c r="BH25" i="12"/>
  <c r="BG14" i="34"/>
  <c r="BA53" i="47" s="1"/>
  <c r="BG9" i="19"/>
  <c r="BG11" i="19" s="1"/>
  <c r="BG22" i="19" s="1"/>
  <c r="BG23" i="19" s="1"/>
  <c r="BG30" i="15"/>
  <c r="BG36" i="15"/>
  <c r="BF77" i="20"/>
  <c r="BF69" i="20"/>
  <c r="AY54" i="47"/>
  <c r="Y15" i="35"/>
  <c r="BA23" i="31"/>
  <c r="AU38" i="47" s="1"/>
  <c r="BA15" i="22"/>
  <c r="BA17" i="22" s="1"/>
  <c r="BA21" i="22" s="1"/>
  <c r="BC16" i="31" l="1"/>
  <c r="BD11" i="17"/>
  <c r="BC25" i="34"/>
  <c r="AW64" i="47" s="1"/>
  <c r="BG26" i="20"/>
  <c r="BB27" i="31"/>
  <c r="AV42" i="47" s="1"/>
  <c r="BB16" i="22"/>
  <c r="X27" i="32"/>
  <c r="BF48" i="20"/>
  <c r="BF76" i="20"/>
  <c r="BF78" i="20" s="1"/>
  <c r="BF81" i="20"/>
  <c r="BC23" i="34"/>
  <c r="AW62" i="47" s="1"/>
  <c r="BG47" i="16"/>
  <c r="BG33" i="16"/>
  <c r="BG34" i="16" s="1"/>
  <c r="BG13" i="16" s="1"/>
  <c r="BG15" i="16" s="1"/>
  <c r="BG15" i="31"/>
  <c r="BA30" i="47" s="1"/>
  <c r="BH28" i="15"/>
  <c r="BG30" i="19"/>
  <c r="BG32" i="19" s="1"/>
  <c r="BG49" i="19"/>
  <c r="BG51" i="19" s="1"/>
  <c r="BG36" i="19" s="1"/>
  <c r="BH37" i="19" s="1"/>
  <c r="BB11" i="31"/>
  <c r="BC11" i="9"/>
  <c r="BB9" i="8"/>
  <c r="X11" i="32"/>
  <c r="BI28" i="16"/>
  <c r="BI14" i="16"/>
  <c r="BG17" i="28"/>
  <c r="BA13" i="47" s="1"/>
  <c r="BG14" i="28"/>
  <c r="BG9" i="20"/>
  <c r="BG10" i="20" s="1"/>
  <c r="BA7" i="47"/>
  <c r="BC18" i="31"/>
  <c r="AW33" i="47" s="1"/>
  <c r="BD11" i="18"/>
  <c r="BH27" i="13"/>
  <c r="BH29" i="13" s="1"/>
  <c r="BH12" i="13"/>
  <c r="BH16" i="19"/>
  <c r="BH17" i="19" s="1"/>
  <c r="BH42" i="15"/>
  <c r="BH20" i="15"/>
  <c r="BH25" i="11"/>
  <c r="AW61" i="47"/>
  <c r="BC26" i="34"/>
  <c r="BA29" i="47"/>
  <c r="AW12" i="47"/>
  <c r="BC19" i="28"/>
  <c r="BH10" i="37"/>
  <c r="BI17" i="10"/>
  <c r="BH24" i="12"/>
  <c r="BH26" i="12" s="1"/>
  <c r="Z10" i="38"/>
  <c r="BF11" i="34"/>
  <c r="BH16" i="37"/>
  <c r="BH62" i="12"/>
  <c r="BH64" i="12" s="1"/>
  <c r="BH53" i="12"/>
  <c r="BH56" i="12" s="1"/>
  <c r="Z16" i="38"/>
  <c r="BM18" i="34"/>
  <c r="BG57" i="47" s="1"/>
  <c r="BG17" i="31" l="1"/>
  <c r="BA32" i="47" s="1"/>
  <c r="BH11" i="16"/>
  <c r="BH31" i="19"/>
  <c r="BH38" i="19"/>
  <c r="BH21" i="19"/>
  <c r="BH43" i="15"/>
  <c r="BH45" i="15" s="1"/>
  <c r="BH21" i="15"/>
  <c r="BG19" i="31"/>
  <c r="BA34" i="47" s="1"/>
  <c r="BH29" i="19"/>
  <c r="AZ50" i="47"/>
  <c r="BF12" i="34"/>
  <c r="BH13" i="28"/>
  <c r="BB9" i="47" s="1"/>
  <c r="Z13" i="29"/>
  <c r="BC22" i="28"/>
  <c r="BC82" i="20"/>
  <c r="AW15" i="47"/>
  <c r="BH30" i="13"/>
  <c r="BI26" i="13"/>
  <c r="BG14" i="20"/>
  <c r="BG15" i="20" s="1"/>
  <c r="BG20" i="20"/>
  <c r="BG21" i="20" s="1"/>
  <c r="BG34" i="20" s="1"/>
  <c r="BI20" i="34"/>
  <c r="BC59" i="47" s="1"/>
  <c r="BF20" i="31"/>
  <c r="AZ35" i="47" s="1"/>
  <c r="BG75" i="20"/>
  <c r="BJ22" i="15"/>
  <c r="BH15" i="37"/>
  <c r="BI51" i="12"/>
  <c r="Z15" i="38"/>
  <c r="BH11" i="37"/>
  <c r="BH20" i="18"/>
  <c r="BH22" i="18" s="1"/>
  <c r="BH20" i="17"/>
  <c r="BH22" i="17" s="1"/>
  <c r="BH13" i="15"/>
  <c r="BH14" i="15" s="1"/>
  <c r="BH19" i="13"/>
  <c r="BH21" i="13" s="1"/>
  <c r="BH39" i="12"/>
  <c r="BH41" i="12" s="1"/>
  <c r="BH31" i="12"/>
  <c r="BN32" i="12" s="1"/>
  <c r="BH17" i="9"/>
  <c r="BH18" i="9" s="1"/>
  <c r="Z11" i="38"/>
  <c r="BC29" i="34"/>
  <c r="AW65" i="47"/>
  <c r="BA10" i="47"/>
  <c r="BF21" i="28"/>
  <c r="AZ17" i="47" s="1"/>
  <c r="BI25" i="10"/>
  <c r="BD27" i="18"/>
  <c r="BD28" i="18" s="1"/>
  <c r="BD40" i="18"/>
  <c r="BD41" i="18" s="1"/>
  <c r="BG24" i="34"/>
  <c r="BA63" i="47" s="1"/>
  <c r="BD40" i="17"/>
  <c r="BD41" i="17" s="1"/>
  <c r="AV26" i="47"/>
  <c r="BB12" i="31"/>
  <c r="BH17" i="37"/>
  <c r="BI61" i="12"/>
  <c r="BH17" i="11"/>
  <c r="BH18" i="11" s="1"/>
  <c r="Z17" i="38"/>
  <c r="AW31" i="47"/>
  <c r="BC21" i="31"/>
  <c r="BG39" i="20" l="1"/>
  <c r="BG25" i="20"/>
  <c r="BG27" i="20" s="1"/>
  <c r="BD29" i="18"/>
  <c r="BD14" i="18"/>
  <c r="BC12" i="9"/>
  <c r="BC13" i="9" s="1"/>
  <c r="AW68" i="47"/>
  <c r="BH32" i="15"/>
  <c r="BH15" i="15"/>
  <c r="BG66" i="20"/>
  <c r="BG68" i="20" s="1"/>
  <c r="BD46" i="17"/>
  <c r="BD47" i="17" s="1"/>
  <c r="BD42" i="17"/>
  <c r="BD33" i="17"/>
  <c r="BH17" i="34"/>
  <c r="BB56" i="47" s="1"/>
  <c r="BH12" i="17"/>
  <c r="BH27" i="17"/>
  <c r="BN28" i="17" s="1"/>
  <c r="Z17" i="35"/>
  <c r="BH9" i="31"/>
  <c r="BB24" i="47" s="1"/>
  <c r="Z9" i="32"/>
  <c r="BC23" i="9"/>
  <c r="AW36" i="47"/>
  <c r="BH21" i="34"/>
  <c r="BB60" i="47" s="1"/>
  <c r="BH12" i="18"/>
  <c r="Z21" i="35"/>
  <c r="BH8" i="31"/>
  <c r="BI18" i="13"/>
  <c r="Z8" i="32"/>
  <c r="BH8" i="28"/>
  <c r="BH19" i="16"/>
  <c r="BH21" i="16" s="1"/>
  <c r="BH26" i="11"/>
  <c r="BH27" i="11" s="1"/>
  <c r="Z8" i="29"/>
  <c r="BH10" i="31"/>
  <c r="BB25" i="47" s="1"/>
  <c r="BI41" i="15"/>
  <c r="Z10" i="32"/>
  <c r="BH10" i="34"/>
  <c r="Z10" i="35"/>
  <c r="BH29" i="15"/>
  <c r="BH10" i="12"/>
  <c r="BH11" i="12" s="1"/>
  <c r="BF15" i="34"/>
  <c r="AZ51" i="47"/>
  <c r="BJ8" i="34"/>
  <c r="BJ44" i="15"/>
  <c r="BN13" i="37"/>
  <c r="BN40" i="12"/>
  <c r="BN52" i="12"/>
  <c r="AB13" i="38"/>
  <c r="BI24" i="10"/>
  <c r="BI26" i="10" s="1"/>
  <c r="BH39" i="16"/>
  <c r="BH40" i="16" s="1"/>
  <c r="BD46" i="18"/>
  <c r="BD47" i="18" s="1"/>
  <c r="BD42" i="18"/>
  <c r="BD33" i="18"/>
  <c r="BB22" i="9"/>
  <c r="BB24" i="9" s="1"/>
  <c r="AV27" i="47"/>
  <c r="X12" i="32"/>
  <c r="BH12" i="37"/>
  <c r="BI38" i="12"/>
  <c r="Z12" i="38"/>
  <c r="BC37" i="9"/>
  <c r="BC38" i="9" s="1"/>
  <c r="AW18" i="47"/>
  <c r="BH48" i="19"/>
  <c r="BI11" i="11" l="1"/>
  <c r="BI12" i="11" s="1"/>
  <c r="BI20" i="10"/>
  <c r="BI21" i="10" s="1"/>
  <c r="BI44" i="12"/>
  <c r="BI45" i="12" s="1"/>
  <c r="BD16" i="28"/>
  <c r="BC25" i="31"/>
  <c r="AW40" i="47" s="1"/>
  <c r="BC28" i="9"/>
  <c r="BC30" i="9" s="1"/>
  <c r="BD36" i="9"/>
  <c r="BH14" i="31"/>
  <c r="BI24" i="11"/>
  <c r="Z14" i="32"/>
  <c r="BD34" i="17"/>
  <c r="BD48" i="17"/>
  <c r="BB49" i="47"/>
  <c r="BH19" i="34"/>
  <c r="BB58" i="47" s="1"/>
  <c r="BH26" i="16"/>
  <c r="BJ27" i="16" s="1"/>
  <c r="BH12" i="16"/>
  <c r="Z19" i="35"/>
  <c r="BC11" i="31"/>
  <c r="BD11" i="9"/>
  <c r="BC9" i="8"/>
  <c r="BI25" i="12"/>
  <c r="BD48" i="18"/>
  <c r="BD34" i="18"/>
  <c r="BD35" i="18" s="1"/>
  <c r="BD13" i="18" s="1"/>
  <c r="BD15" i="18" s="1"/>
  <c r="BH11" i="28"/>
  <c r="BB4" i="47"/>
  <c r="BB23" i="31"/>
  <c r="AV38" i="47" s="1"/>
  <c r="BB15" i="22"/>
  <c r="BB17" i="22" s="1"/>
  <c r="BB21" i="22" s="1"/>
  <c r="X23" i="32"/>
  <c r="BN29" i="17"/>
  <c r="BN14" i="17"/>
  <c r="BG77" i="20"/>
  <c r="BG69" i="20"/>
  <c r="BD22" i="34"/>
  <c r="BD47" i="47"/>
  <c r="AZ54" i="47"/>
  <c r="BH32" i="16"/>
  <c r="BH45" i="16"/>
  <c r="BH46" i="16" s="1"/>
  <c r="BH41" i="16"/>
  <c r="BH9" i="19"/>
  <c r="BH11" i="19" s="1"/>
  <c r="BH22" i="19" s="1"/>
  <c r="BH23" i="19" s="1"/>
  <c r="BH30" i="15"/>
  <c r="BH36" i="15" s="1"/>
  <c r="BI10" i="13"/>
  <c r="BI11" i="13" s="1"/>
  <c r="BH14" i="34"/>
  <c r="BB53" i="47" s="1"/>
  <c r="Z14" i="35"/>
  <c r="BG40" i="20"/>
  <c r="BG41" i="20" s="1"/>
  <c r="BG46" i="20" s="1"/>
  <c r="BG47" i="20" s="1"/>
  <c r="BG35" i="20"/>
  <c r="BG36" i="20" s="1"/>
  <c r="BH33" i="20" s="1"/>
  <c r="BD35" i="17"/>
  <c r="BD13" i="17" s="1"/>
  <c r="BD15" i="17" s="1"/>
  <c r="BD18" i="28"/>
  <c r="AX14" i="47" s="1"/>
  <c r="BB23" i="47"/>
  <c r="BH15" i="31" l="1"/>
  <c r="BB30" i="47" s="1"/>
  <c r="BI28" i="15"/>
  <c r="Z15" i="32"/>
  <c r="BD18" i="31"/>
  <c r="AX33" i="47" s="1"/>
  <c r="BE11" i="18"/>
  <c r="AX61" i="47"/>
  <c r="BC27" i="31"/>
  <c r="AW42" i="47" s="1"/>
  <c r="BC16" i="22"/>
  <c r="BD16" i="31"/>
  <c r="BE11" i="17"/>
  <c r="BI27" i="13"/>
  <c r="BI29" i="13" s="1"/>
  <c r="BI12" i="13"/>
  <c r="BG11" i="34"/>
  <c r="AW26" i="47"/>
  <c r="BC12" i="31"/>
  <c r="BD23" i="34"/>
  <c r="AX62" i="47" s="1"/>
  <c r="BH14" i="28"/>
  <c r="BH9" i="20"/>
  <c r="BH10" i="20" s="1"/>
  <c r="BB7" i="47"/>
  <c r="Z11" i="29"/>
  <c r="BH49" i="19"/>
  <c r="BH51" i="19" s="1"/>
  <c r="BH36" i="19" s="1"/>
  <c r="BI37" i="19" s="1"/>
  <c r="BH30" i="19"/>
  <c r="BH32" i="19" s="1"/>
  <c r="AX12" i="47"/>
  <c r="BD19" i="28"/>
  <c r="BH17" i="28"/>
  <c r="BB13" i="47" s="1"/>
  <c r="Z17" i="29"/>
  <c r="BD25" i="34"/>
  <c r="AX64" i="47" s="1"/>
  <c r="BI16" i="37"/>
  <c r="BI62" i="12"/>
  <c r="BI64" i="12" s="1"/>
  <c r="BI53" i="12"/>
  <c r="BI56" i="12" s="1"/>
  <c r="BH26" i="20"/>
  <c r="BN18" i="34"/>
  <c r="BH57" i="47" s="1"/>
  <c r="AB18" i="35"/>
  <c r="BH47" i="16"/>
  <c r="BH33" i="16"/>
  <c r="BH34" i="16" s="1"/>
  <c r="BH13" i="16" s="1"/>
  <c r="BH15" i="16" s="1"/>
  <c r="BI10" i="37"/>
  <c r="BI24" i="12"/>
  <c r="BI26" i="12" s="1"/>
  <c r="BJ17" i="10"/>
  <c r="BG76" i="20"/>
  <c r="BG78" i="20" s="1"/>
  <c r="BG81" i="20"/>
  <c r="BG48" i="20"/>
  <c r="BJ28" i="16"/>
  <c r="BJ14" i="16"/>
  <c r="BB29" i="47"/>
  <c r="BI16" i="19"/>
  <c r="BI17" i="19" s="1"/>
  <c r="BI42" i="15"/>
  <c r="BI20" i="15"/>
  <c r="BI25" i="11"/>
  <c r="BH17" i="31" l="1"/>
  <c r="BB32" i="47" s="1"/>
  <c r="BI11" i="16"/>
  <c r="Z17" i="32"/>
  <c r="BI15" i="37"/>
  <c r="BJ51" i="12"/>
  <c r="BJ25" i="10"/>
  <c r="BI11" i="37"/>
  <c r="BI20" i="18"/>
  <c r="BI22" i="18" s="1"/>
  <c r="BI20" i="17"/>
  <c r="BI22" i="17" s="1"/>
  <c r="BI13" i="15"/>
  <c r="BI14" i="15" s="1"/>
  <c r="BI31" i="12"/>
  <c r="BO32" i="12" s="1"/>
  <c r="BI19" i="13"/>
  <c r="BI21" i="13" s="1"/>
  <c r="BI39" i="12"/>
  <c r="BI41" i="12" s="1"/>
  <c r="BI17" i="9"/>
  <c r="BI18" i="9" s="1"/>
  <c r="BB10" i="47"/>
  <c r="Z14" i="29"/>
  <c r="BA50" i="47"/>
  <c r="BG12" i="34"/>
  <c r="BD26" i="34"/>
  <c r="BH19" i="31"/>
  <c r="BB34" i="47" s="1"/>
  <c r="BI29" i="19"/>
  <c r="Z19" i="32"/>
  <c r="BI13" i="28"/>
  <c r="BC9" i="47" s="1"/>
  <c r="BI21" i="19"/>
  <c r="BI43" i="15"/>
  <c r="BI45" i="15" s="1"/>
  <c r="BI21" i="15"/>
  <c r="BG20" i="31"/>
  <c r="BA35" i="47" s="1"/>
  <c r="BH75" i="20"/>
  <c r="BJ20" i="34"/>
  <c r="BD59" i="47" s="1"/>
  <c r="BI31" i="19"/>
  <c r="BI38" i="19"/>
  <c r="BI30" i="13"/>
  <c r="BI9" i="31" s="1"/>
  <c r="BC24" i="47" s="1"/>
  <c r="BJ26" i="13"/>
  <c r="BE27" i="18"/>
  <c r="BE28" i="18" s="1"/>
  <c r="BE40" i="18"/>
  <c r="BE41" i="18" s="1"/>
  <c r="BE40" i="17"/>
  <c r="BE41" i="17" s="1"/>
  <c r="BK22" i="15"/>
  <c r="BG21" i="28"/>
  <c r="BA17" i="47" s="1"/>
  <c r="AX31" i="47"/>
  <c r="BD21" i="31"/>
  <c r="BH24" i="34"/>
  <c r="BB63" i="47" s="1"/>
  <c r="Z24" i="35"/>
  <c r="BC22" i="9"/>
  <c r="BC24" i="9" s="1"/>
  <c r="AW27" i="47"/>
  <c r="BI17" i="37"/>
  <c r="BJ61" i="12"/>
  <c r="BI17" i="11"/>
  <c r="BI18" i="11" s="1"/>
  <c r="BD22" i="28"/>
  <c r="BD82" i="20"/>
  <c r="AX15" i="47"/>
  <c r="BH14" i="20"/>
  <c r="BH15" i="20" s="1"/>
  <c r="BH20" i="20"/>
  <c r="BH21" i="20" s="1"/>
  <c r="BH34" i="20" s="1"/>
  <c r="BI10" i="31" l="1"/>
  <c r="BC25" i="47" s="1"/>
  <c r="BJ41" i="15"/>
  <c r="BI29" i="15"/>
  <c r="BI10" i="12"/>
  <c r="BI11" i="12" s="1"/>
  <c r="BE42" i="18"/>
  <c r="BE46" i="18"/>
  <c r="BE47" i="18" s="1"/>
  <c r="BE33" i="18"/>
  <c r="BH66" i="20"/>
  <c r="BH68" i="20" s="1"/>
  <c r="BI12" i="37"/>
  <c r="BJ38" i="12"/>
  <c r="BI8" i="31"/>
  <c r="BJ18" i="13"/>
  <c r="BJ24" i="10"/>
  <c r="BJ26" i="10" s="1"/>
  <c r="BC23" i="31"/>
  <c r="AW38" i="47" s="1"/>
  <c r="BC15" i="22"/>
  <c r="BC17" i="22" s="1"/>
  <c r="BC21" i="22" s="1"/>
  <c r="BE14" i="18"/>
  <c r="BE29" i="18"/>
  <c r="BD37" i="9"/>
  <c r="BD38" i="9" s="1"/>
  <c r="AX18" i="47"/>
  <c r="BI48" i="19"/>
  <c r="BO13" i="37"/>
  <c r="BO52" i="12"/>
  <c r="BO40" i="12"/>
  <c r="BI32" i="15"/>
  <c r="BI15" i="15"/>
  <c r="BI8" i="28"/>
  <c r="BI19" i="16"/>
  <c r="BI21" i="16" s="1"/>
  <c r="BI26" i="11"/>
  <c r="BI27" i="11" s="1"/>
  <c r="BK8" i="34"/>
  <c r="BK44" i="15"/>
  <c r="AA8" i="35"/>
  <c r="BI10" i="34"/>
  <c r="BD29" i="34"/>
  <c r="AX65" i="47"/>
  <c r="BI17" i="34"/>
  <c r="BC56" i="47" s="1"/>
  <c r="BI27" i="17"/>
  <c r="BO28" i="17" s="1"/>
  <c r="BI12" i="17"/>
  <c r="BG15" i="34"/>
  <c r="BA51" i="47"/>
  <c r="BI21" i="34"/>
  <c r="BC60" i="47" s="1"/>
  <c r="BI12" i="18"/>
  <c r="BI39" i="16"/>
  <c r="BI40" i="16" s="1"/>
  <c r="BH39" i="20"/>
  <c r="BH25" i="20"/>
  <c r="BH27" i="20" s="1"/>
  <c r="BD23" i="9"/>
  <c r="AX36" i="47"/>
  <c r="BE33" i="17"/>
  <c r="BE42" i="17"/>
  <c r="BE46" i="17"/>
  <c r="BE47" i="17" s="1"/>
  <c r="BI14" i="34" l="1"/>
  <c r="BC53" i="47" s="1"/>
  <c r="BH77" i="20"/>
  <c r="BH69" i="20"/>
  <c r="BH35" i="20"/>
  <c r="BH36" i="20" s="1"/>
  <c r="BI33" i="20" s="1"/>
  <c r="BH40" i="20"/>
  <c r="BD12" i="9"/>
  <c r="BD13" i="9" s="1"/>
  <c r="AX68" i="47"/>
  <c r="BE47" i="47"/>
  <c r="BJ11" i="11"/>
  <c r="BJ12" i="11" s="1"/>
  <c r="BJ20" i="10"/>
  <c r="BJ21" i="10" s="1"/>
  <c r="BJ44" i="12"/>
  <c r="BJ45" i="12" s="1"/>
  <c r="BE48" i="18"/>
  <c r="BE34" i="18"/>
  <c r="BE35" i="18" s="1"/>
  <c r="BE13" i="18" s="1"/>
  <c r="BE15" i="18" s="1"/>
  <c r="BH41" i="20"/>
  <c r="BH46" i="20" s="1"/>
  <c r="BH47" i="20" s="1"/>
  <c r="BJ10" i="13"/>
  <c r="BJ11" i="13" s="1"/>
  <c r="BE18" i="28"/>
  <c r="AY14" i="47" s="1"/>
  <c r="Y18" i="29"/>
  <c r="BD25" i="31"/>
  <c r="AX40" i="47" s="1"/>
  <c r="BD28" i="9"/>
  <c r="BD30" i="9" s="1"/>
  <c r="BE36" i="9"/>
  <c r="BC23" i="47"/>
  <c r="BI9" i="19"/>
  <c r="BI11" i="19" s="1"/>
  <c r="BI22" i="19" s="1"/>
  <c r="BI23" i="19" s="1"/>
  <c r="BI30" i="15"/>
  <c r="BI36" i="15" s="1"/>
  <c r="BE16" i="28"/>
  <c r="Y16" i="29"/>
  <c r="BI32" i="16"/>
  <c r="BI45" i="16"/>
  <c r="BI46" i="16" s="1"/>
  <c r="BI41" i="16"/>
  <c r="BO29" i="17"/>
  <c r="BO14" i="17"/>
  <c r="BI14" i="31"/>
  <c r="BJ24" i="11"/>
  <c r="BE22" i="34"/>
  <c r="Y22" i="35"/>
  <c r="BJ25" i="12"/>
  <c r="BC49" i="47"/>
  <c r="BI19" i="34"/>
  <c r="BC58" i="47" s="1"/>
  <c r="BI26" i="16"/>
  <c r="BK27" i="16" s="1"/>
  <c r="BI12" i="16"/>
  <c r="BE34" i="17"/>
  <c r="BE35" i="17" s="1"/>
  <c r="BE13" i="17" s="1"/>
  <c r="BE15" i="17" s="1"/>
  <c r="BE48" i="17"/>
  <c r="BA54" i="47"/>
  <c r="BI11" i="28"/>
  <c r="BC4" i="47"/>
  <c r="BE16" i="31" l="1"/>
  <c r="BF11" i="17"/>
  <c r="M16" i="24"/>
  <c r="G31" i="50" s="1"/>
  <c r="Q16" i="33"/>
  <c r="Y16" i="32"/>
  <c r="BE18" i="31"/>
  <c r="AY33" i="47" s="1"/>
  <c r="BF11" i="18"/>
  <c r="Q18" i="33"/>
  <c r="M18" i="24"/>
  <c r="G33" i="50" s="1"/>
  <c r="Y18" i="32"/>
  <c r="BI15" i="31"/>
  <c r="BC30" i="47" s="1"/>
  <c r="BJ28" i="15"/>
  <c r="BJ16" i="19"/>
  <c r="BJ17" i="19" s="1"/>
  <c r="BJ42" i="15"/>
  <c r="BJ20" i="15"/>
  <c r="BJ25" i="11"/>
  <c r="BI26" i="20"/>
  <c r="BI30" i="19"/>
  <c r="BI32" i="19" s="1"/>
  <c r="BI49" i="19"/>
  <c r="BI51" i="19" s="1"/>
  <c r="BI36" i="19" s="1"/>
  <c r="BJ37" i="19" s="1"/>
  <c r="BH11" i="34"/>
  <c r="Z11" i="35"/>
  <c r="BJ27" i="13"/>
  <c r="BJ29" i="13" s="1"/>
  <c r="BJ12" i="13"/>
  <c r="BI17" i="28"/>
  <c r="BC13" i="47" s="1"/>
  <c r="BH76" i="20"/>
  <c r="BH78" i="20" s="1"/>
  <c r="BH81" i="20"/>
  <c r="BH48" i="20"/>
  <c r="BI33" i="16"/>
  <c r="BI34" i="16" s="1"/>
  <c r="BI13" i="16" s="1"/>
  <c r="BI15" i="16" s="1"/>
  <c r="BI47" i="16"/>
  <c r="BI14" i="28"/>
  <c r="BI9" i="20"/>
  <c r="BI10" i="20" s="1"/>
  <c r="BC7" i="47"/>
  <c r="BC29" i="47"/>
  <c r="BD27" i="31"/>
  <c r="AX42" i="47" s="1"/>
  <c r="BD16" i="22"/>
  <c r="BE25" i="34"/>
  <c r="AY64" i="47" s="1"/>
  <c r="Y25" i="35"/>
  <c r="BO18" i="34"/>
  <c r="BI57" i="47" s="1"/>
  <c r="BK28" i="16"/>
  <c r="BK14" i="16"/>
  <c r="BJ16" i="37"/>
  <c r="BJ53" i="12"/>
  <c r="BJ56" i="12" s="1"/>
  <c r="BJ62" i="12"/>
  <c r="BJ64" i="12" s="1"/>
  <c r="BD11" i="31"/>
  <c r="BE11" i="9"/>
  <c r="BD9" i="8"/>
  <c r="AY61" i="47"/>
  <c r="BE23" i="34"/>
  <c r="AY62" i="47" s="1"/>
  <c r="Y23" i="35"/>
  <c r="AY12" i="47"/>
  <c r="BE19" i="28"/>
  <c r="BJ10" i="37"/>
  <c r="BK17" i="10"/>
  <c r="BJ24" i="12"/>
  <c r="BJ26" i="12" s="1"/>
  <c r="BE26" i="34" l="1"/>
  <c r="BI17" i="31"/>
  <c r="BC32" i="47" s="1"/>
  <c r="BJ11" i="16"/>
  <c r="BE29" i="34"/>
  <c r="AY65" i="47"/>
  <c r="Y26" i="35"/>
  <c r="BK25" i="10"/>
  <c r="BH20" i="31"/>
  <c r="BB35" i="47" s="1"/>
  <c r="BI75" i="20"/>
  <c r="Z20" i="32"/>
  <c r="BF27" i="18"/>
  <c r="BF28" i="18" s="1"/>
  <c r="BF40" i="18"/>
  <c r="BF41" i="18" s="1"/>
  <c r="BK20" i="34"/>
  <c r="BE59" i="47" s="1"/>
  <c r="AA20" i="35"/>
  <c r="BI14" i="20"/>
  <c r="BI15" i="20" s="1"/>
  <c r="BI20" i="20"/>
  <c r="BI21" i="20" s="1"/>
  <c r="BI34" i="20" s="1"/>
  <c r="BC10" i="47"/>
  <c r="BB50" i="47"/>
  <c r="BH12" i="34"/>
  <c r="BJ21" i="19"/>
  <c r="BJ43" i="15"/>
  <c r="BJ45" i="15" s="1"/>
  <c r="BJ21" i="15"/>
  <c r="BL22" i="15" s="1"/>
  <c r="AX26" i="47"/>
  <c r="BD12" i="31"/>
  <c r="BJ31" i="19"/>
  <c r="BJ38" i="19"/>
  <c r="BJ11" i="37"/>
  <c r="BJ20" i="18"/>
  <c r="BJ22" i="18" s="1"/>
  <c r="BJ20" i="17"/>
  <c r="BJ22" i="17" s="1"/>
  <c r="BJ13" i="15"/>
  <c r="BJ14" i="15" s="1"/>
  <c r="BJ19" i="13"/>
  <c r="BJ21" i="13" s="1"/>
  <c r="BJ31" i="12"/>
  <c r="BP32" i="12" s="1"/>
  <c r="BJ39" i="12"/>
  <c r="BJ41" i="12" s="1"/>
  <c r="BJ17" i="9"/>
  <c r="BJ18" i="9" s="1"/>
  <c r="BE22" i="28"/>
  <c r="BE82" i="20"/>
  <c r="AY15" i="47"/>
  <c r="Y19" i="29"/>
  <c r="BI24" i="34"/>
  <c r="BC63" i="47" s="1"/>
  <c r="BI19" i="31"/>
  <c r="BC34" i="47" s="1"/>
  <c r="BJ29" i="19"/>
  <c r="BJ17" i="37"/>
  <c r="BJ17" i="11"/>
  <c r="BJ18" i="11" s="1"/>
  <c r="BK61" i="12"/>
  <c r="BJ13" i="28"/>
  <c r="BD9" i="47" s="1"/>
  <c r="BF40" i="17"/>
  <c r="BF41" i="17" s="1"/>
  <c r="BJ15" i="37"/>
  <c r="BK51" i="12"/>
  <c r="BH21" i="28"/>
  <c r="BB17" i="47" s="1"/>
  <c r="Z21" i="29"/>
  <c r="BJ30" i="13"/>
  <c r="BJ9" i="31" s="1"/>
  <c r="BD24" i="47" s="1"/>
  <c r="BK26" i="13"/>
  <c r="AY31" i="47"/>
  <c r="BE21" i="31"/>
  <c r="BL8" i="34" l="1"/>
  <c r="BL44" i="15"/>
  <c r="BJ10" i="31"/>
  <c r="BD25" i="47" s="1"/>
  <c r="BK41" i="15"/>
  <c r="BJ48" i="19"/>
  <c r="BJ32" i="15"/>
  <c r="BJ15" i="15"/>
  <c r="BJ8" i="31"/>
  <c r="BK18" i="13"/>
  <c r="BJ17" i="34"/>
  <c r="BD56" i="47" s="1"/>
  <c r="BJ12" i="17"/>
  <c r="BJ27" i="17"/>
  <c r="BP28" i="17" s="1"/>
  <c r="BF46" i="18"/>
  <c r="BF47" i="18" s="1"/>
  <c r="BF33" i="18"/>
  <c r="BF42" i="18"/>
  <c r="BK24" i="10"/>
  <c r="BK26" i="10" s="1"/>
  <c r="BD22" i="9"/>
  <c r="BD24" i="9" s="1"/>
  <c r="AX27" i="47"/>
  <c r="BJ21" i="34"/>
  <c r="BD60" i="47" s="1"/>
  <c r="BJ12" i="18"/>
  <c r="BF14" i="18"/>
  <c r="BF29" i="18"/>
  <c r="BE23" i="9"/>
  <c r="AY36" i="47"/>
  <c r="Q21" i="33"/>
  <c r="M21" i="24"/>
  <c r="G36" i="50" s="1"/>
  <c r="Y21" i="32"/>
  <c r="BE12" i="9"/>
  <c r="BE13" i="9" s="1"/>
  <c r="AY68" i="47"/>
  <c r="Y29" i="35"/>
  <c r="BJ29" i="15"/>
  <c r="BJ10" i="12"/>
  <c r="BJ11" i="12" s="1"/>
  <c r="BH15" i="34"/>
  <c r="BB51" i="47"/>
  <c r="Z12" i="35"/>
  <c r="BJ39" i="16"/>
  <c r="BJ40" i="16" s="1"/>
  <c r="BJ12" i="37"/>
  <c r="BK38" i="12"/>
  <c r="BJ10" i="34"/>
  <c r="BI39" i="20"/>
  <c r="BI25" i="20"/>
  <c r="BI27" i="20" s="1"/>
  <c r="BI66" i="20"/>
  <c r="BI68" i="20" s="1"/>
  <c r="BF46" i="17"/>
  <c r="BF47" i="17" s="1"/>
  <c r="BF33" i="17"/>
  <c r="BF42" i="17"/>
  <c r="BE37" i="9"/>
  <c r="BE38" i="9" s="1"/>
  <c r="AY18" i="47"/>
  <c r="Y22" i="29"/>
  <c r="BJ8" i="28"/>
  <c r="BJ19" i="16"/>
  <c r="BJ21" i="16" s="1"/>
  <c r="BJ26" i="11"/>
  <c r="BJ27" i="11" s="1"/>
  <c r="BP13" i="37"/>
  <c r="BP52" i="12"/>
  <c r="BP40" i="12"/>
  <c r="BJ11" i="28" l="1"/>
  <c r="BD4" i="47"/>
  <c r="BB54" i="47"/>
  <c r="Z15" i="35"/>
  <c r="BI69" i="20"/>
  <c r="BI77" i="20"/>
  <c r="BP29" i="17"/>
  <c r="BP14" i="17"/>
  <c r="BI35" i="20"/>
  <c r="BI36" i="20" s="1"/>
  <c r="BJ33" i="20" s="1"/>
  <c r="BI40" i="20"/>
  <c r="BI41" i="20" s="1"/>
  <c r="BI46" i="20" s="1"/>
  <c r="BI47" i="20" s="1"/>
  <c r="BJ32" i="16"/>
  <c r="BJ45" i="16"/>
  <c r="BJ46" i="16" s="1"/>
  <c r="BJ41" i="16"/>
  <c r="BD23" i="31"/>
  <c r="AX38" i="47" s="1"/>
  <c r="BD15" i="22"/>
  <c r="BD17" i="22" s="1"/>
  <c r="BD21" i="22" s="1"/>
  <c r="BK11" i="11"/>
  <c r="BK12" i="11" s="1"/>
  <c r="BK20" i="10"/>
  <c r="BK21" i="10" s="1"/>
  <c r="BK44" i="12"/>
  <c r="BK45" i="12" s="1"/>
  <c r="BK10" i="13"/>
  <c r="BK11" i="13" s="1"/>
  <c r="BF22" i="34"/>
  <c r="BE11" i="31"/>
  <c r="BF11" i="9"/>
  <c r="BE9" i="8"/>
  <c r="M11" i="24"/>
  <c r="G26" i="50" s="1"/>
  <c r="Q11" i="33"/>
  <c r="Y11" i="32"/>
  <c r="BF18" i="28"/>
  <c r="AZ14" i="47" s="1"/>
  <c r="BD23" i="47"/>
  <c r="BD49" i="47"/>
  <c r="BJ14" i="34"/>
  <c r="BD53" i="47" s="1"/>
  <c r="BJ9" i="19"/>
  <c r="BJ11" i="19" s="1"/>
  <c r="BJ22" i="19" s="1"/>
  <c r="BJ23" i="19" s="1"/>
  <c r="BJ30" i="15"/>
  <c r="BJ36" i="15" s="1"/>
  <c r="BE25" i="31"/>
  <c r="AY40" i="47" s="1"/>
  <c r="BF36" i="9"/>
  <c r="BE28" i="9"/>
  <c r="BE30" i="9" s="1"/>
  <c r="Q25" i="33"/>
  <c r="M25" i="24"/>
  <c r="G40" i="50" s="1"/>
  <c r="Y25" i="32"/>
  <c r="BF16" i="28"/>
  <c r="BF35" i="17"/>
  <c r="BF13" i="17" s="1"/>
  <c r="BF15" i="17" s="1"/>
  <c r="BJ14" i="31"/>
  <c r="BK24" i="11"/>
  <c r="BF48" i="17"/>
  <c r="BF34" i="17"/>
  <c r="BK25" i="12"/>
  <c r="BJ19" i="34"/>
  <c r="BD58" i="47" s="1"/>
  <c r="BJ26" i="16"/>
  <c r="BL27" i="16" s="1"/>
  <c r="BJ12" i="16"/>
  <c r="BF48" i="18"/>
  <c r="BF34" i="18"/>
  <c r="BF35" i="18" s="1"/>
  <c r="BF13" i="18" s="1"/>
  <c r="BF15" i="18" s="1"/>
  <c r="BF47" i="47"/>
  <c r="BI76" i="20" l="1"/>
  <c r="BI78" i="20" s="1"/>
  <c r="BI81" i="20"/>
  <c r="BI48" i="20"/>
  <c r="BJ15" i="31"/>
  <c r="BD30" i="47" s="1"/>
  <c r="BK28" i="15"/>
  <c r="BK10" i="37"/>
  <c r="BK24" i="12"/>
  <c r="BK26" i="12" s="1"/>
  <c r="BL17" i="10"/>
  <c r="AA10" i="38"/>
  <c r="R10" i="39"/>
  <c r="BF25" i="34"/>
  <c r="AZ64" i="47" s="1"/>
  <c r="BF18" i="31"/>
  <c r="AZ33" i="47" s="1"/>
  <c r="BG11" i="18"/>
  <c r="BK16" i="19"/>
  <c r="BK17" i="19" s="1"/>
  <c r="BK42" i="15"/>
  <c r="BK20" i="15"/>
  <c r="BK25" i="11"/>
  <c r="BD29" i="47"/>
  <c r="BJ26" i="20"/>
  <c r="BF23" i="34"/>
  <c r="AZ62" i="47" s="1"/>
  <c r="AY26" i="47"/>
  <c r="BE12" i="31"/>
  <c r="AZ61" i="47"/>
  <c r="BF26" i="34"/>
  <c r="BK16" i="37"/>
  <c r="BK62" i="12"/>
  <c r="BK64" i="12" s="1"/>
  <c r="BK53" i="12"/>
  <c r="BK56" i="12" s="1"/>
  <c r="AA16" i="38"/>
  <c r="BI11" i="34"/>
  <c r="BL28" i="16"/>
  <c r="BL14" i="16"/>
  <c r="BE27" i="31"/>
  <c r="AY42" i="47" s="1"/>
  <c r="BE16" i="22"/>
  <c r="M27" i="24"/>
  <c r="G42" i="50" s="1"/>
  <c r="Q27" i="33"/>
  <c r="Y27" i="32"/>
  <c r="BP18" i="34"/>
  <c r="BJ57" i="47" s="1"/>
  <c r="BJ33" i="16"/>
  <c r="BJ34" i="16" s="1"/>
  <c r="BJ13" i="16" s="1"/>
  <c r="BJ15" i="16" s="1"/>
  <c r="BJ47" i="16"/>
  <c r="BF16" i="31"/>
  <c r="BG11" i="17"/>
  <c r="AZ12" i="47"/>
  <c r="BF19" i="28"/>
  <c r="BJ30" i="19"/>
  <c r="BJ32" i="19" s="1"/>
  <c r="BJ49" i="19"/>
  <c r="BJ51" i="19" s="1"/>
  <c r="BJ36" i="19" s="1"/>
  <c r="BK37" i="19" s="1"/>
  <c r="BK27" i="13"/>
  <c r="BK29" i="13" s="1"/>
  <c r="BK12" i="13"/>
  <c r="BJ17" i="28"/>
  <c r="BD13" i="47" s="1"/>
  <c r="BJ14" i="28"/>
  <c r="BJ9" i="20"/>
  <c r="BJ10" i="20" s="1"/>
  <c r="BD7" i="47"/>
  <c r="BJ17" i="31" l="1"/>
  <c r="BD32" i="47" s="1"/>
  <c r="BK11" i="16"/>
  <c r="BL25" i="10"/>
  <c r="BK15" i="37"/>
  <c r="BL51" i="12"/>
  <c r="R15" i="39"/>
  <c r="AA15" i="38"/>
  <c r="BK11" i="37"/>
  <c r="BK20" i="18"/>
  <c r="BK22" i="18" s="1"/>
  <c r="BK13" i="15"/>
  <c r="BK14" i="15" s="1"/>
  <c r="BK19" i="13"/>
  <c r="BK21" i="13" s="1"/>
  <c r="BK20" i="17"/>
  <c r="BK22" i="17" s="1"/>
  <c r="BK31" i="12"/>
  <c r="BQ32" i="12" s="1"/>
  <c r="BK39" i="12"/>
  <c r="BK41" i="12" s="1"/>
  <c r="BK17" i="9"/>
  <c r="BK18" i="9" s="1"/>
  <c r="AA11" i="38"/>
  <c r="BK17" i="37"/>
  <c r="BK17" i="11"/>
  <c r="BK18" i="11" s="1"/>
  <c r="BL61" i="12"/>
  <c r="R17" i="39"/>
  <c r="AA17" i="38"/>
  <c r="AZ31" i="47"/>
  <c r="BF21" i="31"/>
  <c r="BK30" i="13"/>
  <c r="BL26" i="13"/>
  <c r="BE22" i="9"/>
  <c r="BE24" i="9" s="1"/>
  <c r="AY27" i="47"/>
  <c r="M12" i="24"/>
  <c r="G27" i="50" s="1"/>
  <c r="Q12" i="33"/>
  <c r="Y12" i="32"/>
  <c r="BD10" i="47"/>
  <c r="BF29" i="34"/>
  <c r="AZ65" i="47"/>
  <c r="BI21" i="28"/>
  <c r="BC17" i="47" s="1"/>
  <c r="BK13" i="28"/>
  <c r="BE9" i="47" s="1"/>
  <c r="AA13" i="29"/>
  <c r="BJ24" i="34"/>
  <c r="BD63" i="47" s="1"/>
  <c r="BJ14" i="20"/>
  <c r="BJ15" i="20" s="1"/>
  <c r="BJ20" i="20"/>
  <c r="BJ21" i="20" s="1"/>
  <c r="BJ34" i="20" s="1"/>
  <c r="BK21" i="19"/>
  <c r="BK43" i="15"/>
  <c r="BK45" i="15" s="1"/>
  <c r="BK21" i="15"/>
  <c r="BM22" i="15" s="1"/>
  <c r="BK31" i="19"/>
  <c r="BK38" i="19"/>
  <c r="BL20" i="34"/>
  <c r="BF59" i="47" s="1"/>
  <c r="BJ19" i="31"/>
  <c r="BD34" i="47" s="1"/>
  <c r="BK29" i="19"/>
  <c r="BF22" i="28"/>
  <c r="BF82" i="20"/>
  <c r="AZ15" i="47"/>
  <c r="BG40" i="17"/>
  <c r="BG41" i="17" s="1"/>
  <c r="BC50" i="47"/>
  <c r="BI12" i="34"/>
  <c r="BG27" i="18"/>
  <c r="BG28" i="18" s="1"/>
  <c r="BG40" i="18"/>
  <c r="BG41" i="18" s="1"/>
  <c r="BI20" i="31"/>
  <c r="BC35" i="47" s="1"/>
  <c r="BJ75" i="20"/>
  <c r="BM8" i="34" l="1"/>
  <c r="BM44" i="15"/>
  <c r="BK10" i="31"/>
  <c r="BE25" i="47" s="1"/>
  <c r="BL41" i="15"/>
  <c r="R10" i="33"/>
  <c r="AA10" i="32"/>
  <c r="BK12" i="37"/>
  <c r="BL38" i="12"/>
  <c r="R12" i="39"/>
  <c r="AA12" i="38"/>
  <c r="BQ13" i="37"/>
  <c r="BQ52" i="12"/>
  <c r="BQ40" i="12"/>
  <c r="K13" i="39"/>
  <c r="J13" i="26"/>
  <c r="L13" i="38"/>
  <c r="M13" i="38"/>
  <c r="H32" i="12"/>
  <c r="K13" i="26"/>
  <c r="L13" i="39"/>
  <c r="M13" i="39"/>
  <c r="N13" i="39"/>
  <c r="L13" i="26"/>
  <c r="O13" i="39"/>
  <c r="P13" i="39"/>
  <c r="M13" i="26"/>
  <c r="Q13" i="39"/>
  <c r="N13" i="26"/>
  <c r="R13" i="39"/>
  <c r="S13" i="39"/>
  <c r="AC13" i="38"/>
  <c r="BL24" i="10"/>
  <c r="BL26" i="10" s="1"/>
  <c r="BK29" i="15"/>
  <c r="BK10" i="12"/>
  <c r="BK11" i="12" s="1"/>
  <c r="BJ66" i="20"/>
  <c r="BJ68" i="20" s="1"/>
  <c r="BG42" i="17"/>
  <c r="BG46" i="17"/>
  <c r="BG47" i="17" s="1"/>
  <c r="BG33" i="17"/>
  <c r="BF12" i="9"/>
  <c r="BF13" i="9" s="1"/>
  <c r="AZ68" i="47"/>
  <c r="BK17" i="34"/>
  <c r="BE56" i="47" s="1"/>
  <c r="BK12" i="17"/>
  <c r="BK27" i="17"/>
  <c r="BQ28" i="17" s="1"/>
  <c r="AA17" i="35"/>
  <c r="BI15" i="34"/>
  <c r="BC51" i="47"/>
  <c r="BK48" i="19"/>
  <c r="BE23" i="31"/>
  <c r="AY38" i="47" s="1"/>
  <c r="BE15" i="22"/>
  <c r="BE17" i="22" s="1"/>
  <c r="BE21" i="22" s="1"/>
  <c r="M23" i="24"/>
  <c r="G38" i="50" s="1"/>
  <c r="Q23" i="33"/>
  <c r="Y23" i="32"/>
  <c r="BK8" i="31"/>
  <c r="BL18" i="13"/>
  <c r="R8" i="33"/>
  <c r="AA8" i="32"/>
  <c r="BF37" i="9"/>
  <c r="BF38" i="9" s="1"/>
  <c r="AZ18" i="47"/>
  <c r="BJ39" i="20"/>
  <c r="BJ25" i="20"/>
  <c r="BJ27" i="20" s="1"/>
  <c r="BK8" i="28"/>
  <c r="BK19" i="16"/>
  <c r="BK21" i="16" s="1"/>
  <c r="BK26" i="11"/>
  <c r="BK27" i="11" s="1"/>
  <c r="AA8" i="29"/>
  <c r="BK32" i="15"/>
  <c r="BK15" i="15"/>
  <c r="BK9" i="31"/>
  <c r="BE24" i="47" s="1"/>
  <c r="R9" i="33"/>
  <c r="AA9" i="32"/>
  <c r="BK21" i="34"/>
  <c r="BE60" i="47" s="1"/>
  <c r="BK12" i="18"/>
  <c r="AA21" i="35"/>
  <c r="BK39" i="16"/>
  <c r="BK40" i="16" s="1"/>
  <c r="BG46" i="18"/>
  <c r="BG47" i="18" s="1"/>
  <c r="BG33" i="18"/>
  <c r="BG42" i="18"/>
  <c r="BG14" i="18"/>
  <c r="BG29" i="18"/>
  <c r="BK10" i="34"/>
  <c r="AA10" i="35"/>
  <c r="BF23" i="9"/>
  <c r="AZ36" i="47"/>
  <c r="BG16" i="28" l="1"/>
  <c r="BF25" i="31"/>
  <c r="AZ40" i="47" s="1"/>
  <c r="BF28" i="9"/>
  <c r="BF30" i="9" s="1"/>
  <c r="BG36" i="9"/>
  <c r="BK19" i="34"/>
  <c r="BE58" i="47" s="1"/>
  <c r="BK12" i="16"/>
  <c r="BK26" i="16"/>
  <c r="BM27" i="16" s="1"/>
  <c r="AA19" i="35"/>
  <c r="BG18" i="28"/>
  <c r="BA14" i="47" s="1"/>
  <c r="BJ69" i="20"/>
  <c r="BJ77" i="20"/>
  <c r="BJ40" i="20"/>
  <c r="BJ41" i="20" s="1"/>
  <c r="BJ46" i="20" s="1"/>
  <c r="BJ47" i="20" s="1"/>
  <c r="BJ35" i="20"/>
  <c r="BJ36" i="20" s="1"/>
  <c r="BK33" i="20" s="1"/>
  <c r="BC54" i="47"/>
  <c r="BK9" i="19"/>
  <c r="BK11" i="19" s="1"/>
  <c r="BK22" i="19" s="1"/>
  <c r="BK23" i="19" s="1"/>
  <c r="BK30" i="15"/>
  <c r="BK36" i="15" s="1"/>
  <c r="BG34" i="18"/>
  <c r="BG35" i="18" s="1"/>
  <c r="BG13" i="18" s="1"/>
  <c r="BG15" i="18" s="1"/>
  <c r="BG48" i="18"/>
  <c r="BK14" i="34"/>
  <c r="BE53" i="47" s="1"/>
  <c r="AA14" i="35"/>
  <c r="BL10" i="13"/>
  <c r="BL11" i="13" s="1"/>
  <c r="BF11" i="31"/>
  <c r="BF9" i="8"/>
  <c r="BG11" i="9"/>
  <c r="H13" i="38"/>
  <c r="H13" i="37"/>
  <c r="H13" i="39"/>
  <c r="H13" i="26"/>
  <c r="H40" i="12"/>
  <c r="H52" i="12"/>
  <c r="BK32" i="16"/>
  <c r="BK45" i="16"/>
  <c r="BK46" i="16" s="1"/>
  <c r="BK41" i="16"/>
  <c r="BE23" i="47"/>
  <c r="BQ29" i="17"/>
  <c r="BQ14" i="17"/>
  <c r="H28" i="17"/>
  <c r="H14" i="17" s="1"/>
  <c r="BK11" i="28"/>
  <c r="BE4" i="47"/>
  <c r="BE49" i="47"/>
  <c r="BL11" i="11"/>
  <c r="BL12" i="11" s="1"/>
  <c r="BL20" i="10"/>
  <c r="BL21" i="10" s="1"/>
  <c r="BL44" i="12"/>
  <c r="BL45" i="12" s="1"/>
  <c r="BL25" i="12"/>
  <c r="BG22" i="34"/>
  <c r="BK14" i="31"/>
  <c r="BL24" i="11"/>
  <c r="R14" i="33"/>
  <c r="AA14" i="32"/>
  <c r="BG48" i="17"/>
  <c r="BG34" i="17"/>
  <c r="BG35" i="17" s="1"/>
  <c r="BG13" i="17" s="1"/>
  <c r="BG15" i="17" s="1"/>
  <c r="BG47" i="47"/>
  <c r="BJ81" i="20" l="1"/>
  <c r="BJ48" i="20"/>
  <c r="BJ76" i="20"/>
  <c r="BJ78" i="20" s="1"/>
  <c r="BK33" i="16"/>
  <c r="BK34" i="16" s="1"/>
  <c r="BK13" i="16" s="1"/>
  <c r="BK15" i="16" s="1"/>
  <c r="BK47" i="16"/>
  <c r="BK15" i="31"/>
  <c r="BE30" i="47" s="1"/>
  <c r="BL28" i="15"/>
  <c r="R15" i="33"/>
  <c r="AA15" i="32"/>
  <c r="BG18" i="31"/>
  <c r="BA33" i="47" s="1"/>
  <c r="BH11" i="18"/>
  <c r="BL16" i="37"/>
  <c r="BL53" i="12"/>
  <c r="BL56" i="12" s="1"/>
  <c r="BL62" i="12"/>
  <c r="BL64" i="12" s="1"/>
  <c r="BK14" i="28"/>
  <c r="BK9" i="20"/>
  <c r="BK10" i="20" s="1"/>
  <c r="BE7" i="47"/>
  <c r="AA11" i="29"/>
  <c r="BG25" i="34"/>
  <c r="BA64" i="47" s="1"/>
  <c r="BF27" i="31"/>
  <c r="AZ42" i="47" s="1"/>
  <c r="BF16" i="22"/>
  <c r="BK26" i="20"/>
  <c r="BE29" i="47"/>
  <c r="BL16" i="19"/>
  <c r="BL17" i="19" s="1"/>
  <c r="BL42" i="15"/>
  <c r="BL20" i="15"/>
  <c r="BL25" i="11"/>
  <c r="AZ26" i="47"/>
  <c r="BF12" i="31"/>
  <c r="BK17" i="28"/>
  <c r="BE13" i="47" s="1"/>
  <c r="AA17" i="29"/>
  <c r="BQ18" i="34"/>
  <c r="BK57" i="47" s="1"/>
  <c r="J18" i="25"/>
  <c r="D57" i="50" s="1"/>
  <c r="K18" i="35"/>
  <c r="H29" i="17"/>
  <c r="L18" i="35"/>
  <c r="M18" i="35"/>
  <c r="K18" i="36"/>
  <c r="L18" i="36"/>
  <c r="K18" i="25"/>
  <c r="E57" i="50" s="1"/>
  <c r="M18" i="36"/>
  <c r="L18" i="25"/>
  <c r="F57" i="50" s="1"/>
  <c r="N18" i="36"/>
  <c r="O18" i="36"/>
  <c r="M18" i="25"/>
  <c r="G57" i="50" s="1"/>
  <c r="P18" i="36"/>
  <c r="Q18" i="36"/>
  <c r="N18" i="25"/>
  <c r="H57" i="50" s="1"/>
  <c r="R18" i="36"/>
  <c r="S18" i="36"/>
  <c r="AC18" i="35"/>
  <c r="BK30" i="19"/>
  <c r="BK32" i="19" s="1"/>
  <c r="BK49" i="19"/>
  <c r="BK51" i="19" s="1"/>
  <c r="BK36" i="19" s="1"/>
  <c r="BL37" i="19" s="1"/>
  <c r="BL10" i="37"/>
  <c r="BL24" i="12"/>
  <c r="BL26" i="12" s="1"/>
  <c r="BM17" i="10"/>
  <c r="BG16" i="31"/>
  <c r="BH11" i="17"/>
  <c r="BM28" i="16"/>
  <c r="BM14" i="16"/>
  <c r="BL27" i="13"/>
  <c r="BL29" i="13" s="1"/>
  <c r="BL12" i="13"/>
  <c r="BG23" i="34"/>
  <c r="BA62" i="47" s="1"/>
  <c r="BA61" i="47"/>
  <c r="BJ11" i="34"/>
  <c r="BA12" i="47"/>
  <c r="BG19" i="28"/>
  <c r="BL17" i="37" l="1"/>
  <c r="BL17" i="11"/>
  <c r="BL18" i="11" s="1"/>
  <c r="BM61" i="12"/>
  <c r="BG26" i="34"/>
  <c r="BK19" i="31"/>
  <c r="BE34" i="47" s="1"/>
  <c r="BL29" i="19"/>
  <c r="R19" i="33"/>
  <c r="AA19" i="32"/>
  <c r="BL15" i="37"/>
  <c r="BM51" i="12"/>
  <c r="BM20" i="34"/>
  <c r="BG59" i="47" s="1"/>
  <c r="H18" i="36"/>
  <c r="H18" i="35"/>
  <c r="H18" i="34"/>
  <c r="H18" i="25"/>
  <c r="BK24" i="34"/>
  <c r="BE63" i="47" s="1"/>
  <c r="AA24" i="35"/>
  <c r="BD50" i="47"/>
  <c r="BJ12" i="34"/>
  <c r="BA31" i="47"/>
  <c r="BG21" i="31"/>
  <c r="BK20" i="20"/>
  <c r="BK21" i="20" s="1"/>
  <c r="BK34" i="20" s="1"/>
  <c r="BK14" i="20"/>
  <c r="BK15" i="20" s="1"/>
  <c r="BH27" i="18"/>
  <c r="BH28" i="18" s="1"/>
  <c r="BH40" i="18"/>
  <c r="BH41" i="18" s="1"/>
  <c r="BG22" i="28"/>
  <c r="BG82" i="20"/>
  <c r="BA15" i="47"/>
  <c r="BM25" i="10"/>
  <c r="BL21" i="19"/>
  <c r="BL43" i="15"/>
  <c r="BL45" i="15" s="1"/>
  <c r="BL21" i="15"/>
  <c r="BN22" i="15" s="1"/>
  <c r="BE10" i="47"/>
  <c r="AA14" i="29"/>
  <c r="BJ20" i="31"/>
  <c r="BD35" i="47" s="1"/>
  <c r="BK75" i="20"/>
  <c r="BL31" i="19"/>
  <c r="BL38" i="19"/>
  <c r="BF22" i="9"/>
  <c r="BF24" i="9" s="1"/>
  <c r="AZ27" i="47"/>
  <c r="BH40" i="17"/>
  <c r="BH41" i="17" s="1"/>
  <c r="BK17" i="31"/>
  <c r="BE32" i="47" s="1"/>
  <c r="BL11" i="16"/>
  <c r="R17" i="33"/>
  <c r="AA17" i="32"/>
  <c r="BL11" i="37"/>
  <c r="BL20" i="18"/>
  <c r="BL22" i="18" s="1"/>
  <c r="BL20" i="17"/>
  <c r="BL22" i="17" s="1"/>
  <c r="BL19" i="13"/>
  <c r="BL21" i="13" s="1"/>
  <c r="BL13" i="15"/>
  <c r="BL14" i="15" s="1"/>
  <c r="BL31" i="12"/>
  <c r="BL39" i="12"/>
  <c r="BL41" i="12" s="1"/>
  <c r="BL17" i="9"/>
  <c r="BL18" i="9" s="1"/>
  <c r="BJ21" i="28"/>
  <c r="BD17" i="47" s="1"/>
  <c r="BM26" i="13"/>
  <c r="BL30" i="13"/>
  <c r="BL9" i="31" s="1"/>
  <c r="BF24" i="47" s="1"/>
  <c r="BL13" i="28"/>
  <c r="BF9" i="47" s="1"/>
  <c r="BN8" i="34" l="1"/>
  <c r="BN44" i="15"/>
  <c r="AB8" i="35"/>
  <c r="BL10" i="31"/>
  <c r="BF25" i="47" s="1"/>
  <c r="BM41" i="15"/>
  <c r="BL39" i="16"/>
  <c r="BL40" i="16" s="1"/>
  <c r="BK66" i="20"/>
  <c r="BK68" i="20" s="1"/>
  <c r="BJ15" i="34"/>
  <c r="BD51" i="47"/>
  <c r="BL48" i="19"/>
  <c r="BL32" i="15"/>
  <c r="BL15" i="15"/>
  <c r="BL17" i="34"/>
  <c r="BF56" i="47" s="1"/>
  <c r="BL12" i="17"/>
  <c r="BL27" i="17"/>
  <c r="BH46" i="17"/>
  <c r="BH47" i="17" s="1"/>
  <c r="BH42" i="17"/>
  <c r="BH33" i="17"/>
  <c r="BK39" i="20"/>
  <c r="BK25" i="20"/>
  <c r="BK27" i="20" s="1"/>
  <c r="BG29" i="34"/>
  <c r="BA65" i="47"/>
  <c r="BH29" i="18"/>
  <c r="BH14" i="18"/>
  <c r="BL21" i="34"/>
  <c r="BF60" i="47" s="1"/>
  <c r="BL12" i="18"/>
  <c r="BF23" i="31"/>
  <c r="AZ38" i="47" s="1"/>
  <c r="BF15" i="22"/>
  <c r="BF17" i="22" s="1"/>
  <c r="BF21" i="22" s="1"/>
  <c r="BM24" i="10"/>
  <c r="BM26" i="10" s="1"/>
  <c r="BL8" i="28"/>
  <c r="BL19" i="16"/>
  <c r="BL21" i="16" s="1"/>
  <c r="BL26" i="11"/>
  <c r="BL27" i="11" s="1"/>
  <c r="BL8" i="31"/>
  <c r="BM18" i="13"/>
  <c r="BL29" i="15"/>
  <c r="BL10" i="12"/>
  <c r="BL11" i="12" s="1"/>
  <c r="BL10" i="34"/>
  <c r="BG23" i="9"/>
  <c r="BA36" i="47"/>
  <c r="BH42" i="18"/>
  <c r="BH46" i="18"/>
  <c r="BH47" i="18" s="1"/>
  <c r="BH33" i="18"/>
  <c r="BL12" i="37"/>
  <c r="BM38" i="12"/>
  <c r="BG37" i="9"/>
  <c r="BG38" i="9" s="1"/>
  <c r="BA18" i="47"/>
  <c r="BM25" i="12" l="1"/>
  <c r="BH16" i="28"/>
  <c r="Z16" i="29"/>
  <c r="BL14" i="31"/>
  <c r="BM24" i="11"/>
  <c r="BH48" i="17"/>
  <c r="BH34" i="17"/>
  <c r="BL45" i="16"/>
  <c r="BL46" i="16" s="1"/>
  <c r="BL41" i="16"/>
  <c r="BL32" i="16"/>
  <c r="BH35" i="18"/>
  <c r="BH13" i="18" s="1"/>
  <c r="BH15" i="18" s="1"/>
  <c r="BF49" i="47"/>
  <c r="BL19" i="34"/>
  <c r="BF58" i="47" s="1"/>
  <c r="BL12" i="16"/>
  <c r="BL26" i="16"/>
  <c r="BN27" i="16" s="1"/>
  <c r="BH48" i="18"/>
  <c r="BH34" i="18"/>
  <c r="BL9" i="19"/>
  <c r="BL11" i="19" s="1"/>
  <c r="BL22" i="19" s="1"/>
  <c r="BL23" i="19" s="1"/>
  <c r="BL30" i="15"/>
  <c r="BL11" i="28"/>
  <c r="BF4" i="47"/>
  <c r="BH18" i="28"/>
  <c r="BB14" i="47" s="1"/>
  <c r="Z18" i="29"/>
  <c r="BL36" i="15"/>
  <c r="BG12" i="9"/>
  <c r="BG13" i="9" s="1"/>
  <c r="BA68" i="47"/>
  <c r="BM10" i="13"/>
  <c r="BM11" i="13" s="1"/>
  <c r="BM11" i="11"/>
  <c r="BM12" i="11" s="1"/>
  <c r="BM20" i="10"/>
  <c r="BM21" i="10" s="1"/>
  <c r="BM44" i="12"/>
  <c r="BM45" i="12" s="1"/>
  <c r="BK35" i="20"/>
  <c r="BK36" i="20" s="1"/>
  <c r="BL33" i="20" s="1"/>
  <c r="BK40" i="20"/>
  <c r="BK41" i="20" s="1"/>
  <c r="BK46" i="20" s="1"/>
  <c r="BK47" i="20" s="1"/>
  <c r="BD54" i="47"/>
  <c r="BG25" i="31"/>
  <c r="BA40" i="47" s="1"/>
  <c r="BH36" i="9"/>
  <c r="BG28" i="9"/>
  <c r="BG30" i="9" s="1"/>
  <c r="BF23" i="47"/>
  <c r="BH22" i="34"/>
  <c r="Z22" i="35"/>
  <c r="BH35" i="17"/>
  <c r="BH13" i="17" s="1"/>
  <c r="BH15" i="17" s="1"/>
  <c r="BL14" i="34"/>
  <c r="BF53" i="47" s="1"/>
  <c r="BK77" i="20"/>
  <c r="BK69" i="20"/>
  <c r="BH47" i="47"/>
  <c r="BK48" i="20" l="1"/>
  <c r="BK81" i="20"/>
  <c r="BK76" i="20"/>
  <c r="BK78" i="20" s="1"/>
  <c r="BB61" i="47"/>
  <c r="BH25" i="34"/>
  <c r="BB64" i="47" s="1"/>
  <c r="Z25" i="35"/>
  <c r="BF29" i="47"/>
  <c r="BH18" i="31"/>
  <c r="BB33" i="47" s="1"/>
  <c r="BI11" i="18"/>
  <c r="Z18" i="32"/>
  <c r="BG27" i="31"/>
  <c r="BA42" i="47" s="1"/>
  <c r="BG16" i="22"/>
  <c r="BL26" i="20"/>
  <c r="BM16" i="37"/>
  <c r="BM62" i="12"/>
  <c r="BM64" i="12" s="1"/>
  <c r="BM53" i="12"/>
  <c r="BM56" i="12" s="1"/>
  <c r="BL14" i="28"/>
  <c r="BL9" i="20"/>
  <c r="BL10" i="20" s="1"/>
  <c r="BF7" i="47"/>
  <c r="BL17" i="28"/>
  <c r="BF13" i="47" s="1"/>
  <c r="BH16" i="31"/>
  <c r="BI11" i="17"/>
  <c r="Z16" i="32"/>
  <c r="BM10" i="37"/>
  <c r="BM24" i="12"/>
  <c r="BM26" i="12" s="1"/>
  <c r="BN17" i="10"/>
  <c r="BG11" i="31"/>
  <c r="BH11" i="9"/>
  <c r="BG9" i="8"/>
  <c r="BN28" i="16"/>
  <c r="BN14" i="16"/>
  <c r="BL33" i="16"/>
  <c r="BL34" i="16" s="1"/>
  <c r="BL13" i="16" s="1"/>
  <c r="BL15" i="16" s="1"/>
  <c r="BL47" i="16"/>
  <c r="BB12" i="47"/>
  <c r="BH19" i="28"/>
  <c r="BM16" i="19"/>
  <c r="BM17" i="19" s="1"/>
  <c r="BM42" i="15"/>
  <c r="BM20" i="15"/>
  <c r="BM25" i="11"/>
  <c r="BL15" i="31"/>
  <c r="BF30" i="47" s="1"/>
  <c r="BM28" i="15"/>
  <c r="BL30" i="19"/>
  <c r="BL32" i="19" s="1"/>
  <c r="BL49" i="19"/>
  <c r="BL51" i="19" s="1"/>
  <c r="BL36" i="19" s="1"/>
  <c r="BM37" i="19" s="1"/>
  <c r="BM27" i="13"/>
  <c r="BM29" i="13" s="1"/>
  <c r="BM12" i="13"/>
  <c r="BK11" i="34"/>
  <c r="AA11" i="35"/>
  <c r="BH23" i="34"/>
  <c r="BB62" i="47" s="1"/>
  <c r="Z23" i="35"/>
  <c r="BL17" i="31" l="1"/>
  <c r="BF32" i="47" s="1"/>
  <c r="BM11" i="16"/>
  <c r="BL24" i="34"/>
  <c r="BF63" i="47" s="1"/>
  <c r="BM11" i="37"/>
  <c r="BM20" i="18"/>
  <c r="BM22" i="18" s="1"/>
  <c r="BM20" i="17"/>
  <c r="BM22" i="17" s="1"/>
  <c r="BM19" i="13"/>
  <c r="BM21" i="13" s="1"/>
  <c r="BM13" i="15"/>
  <c r="BM14" i="15" s="1"/>
  <c r="BM31" i="12"/>
  <c r="BM39" i="12"/>
  <c r="BM41" i="12" s="1"/>
  <c r="BM17" i="9"/>
  <c r="BM18" i="9" s="1"/>
  <c r="BM17" i="37"/>
  <c r="BN61" i="12"/>
  <c r="BM17" i="11"/>
  <c r="BM18" i="11" s="1"/>
  <c r="BL19" i="31"/>
  <c r="BF34" i="47" s="1"/>
  <c r="BM29" i="19"/>
  <c r="BM15" i="37"/>
  <c r="BN51" i="12"/>
  <c r="BI40" i="18"/>
  <c r="BI41" i="18" s="1"/>
  <c r="BI27" i="18"/>
  <c r="BI28" i="18" s="1"/>
  <c r="BH26" i="34"/>
  <c r="BM13" i="28"/>
  <c r="BG9" i="47" s="1"/>
  <c r="BN20" i="34"/>
  <c r="BH59" i="47" s="1"/>
  <c r="AB20" i="35"/>
  <c r="BI40" i="17"/>
  <c r="BI41" i="17" s="1"/>
  <c r="BL20" i="20"/>
  <c r="BL21" i="20" s="1"/>
  <c r="BL34" i="20" s="1"/>
  <c r="BL14" i="20"/>
  <c r="BL15" i="20" s="1"/>
  <c r="BN25" i="10"/>
  <c r="BE50" i="47"/>
  <c r="BK12" i="34"/>
  <c r="BN26" i="13"/>
  <c r="BM30" i="13"/>
  <c r="BM9" i="31" s="1"/>
  <c r="BG24" i="47" s="1"/>
  <c r="BB31" i="47"/>
  <c r="BH21" i="31"/>
  <c r="BF10" i="47"/>
  <c r="BK20" i="31"/>
  <c r="BE35" i="47" s="1"/>
  <c r="BL75" i="20"/>
  <c r="R20" i="33"/>
  <c r="AA20" i="32"/>
  <c r="BM21" i="19"/>
  <c r="BM43" i="15"/>
  <c r="BM45" i="15" s="1"/>
  <c r="BM21" i="15"/>
  <c r="BO22" i="15" s="1"/>
  <c r="BM38" i="19"/>
  <c r="BM31" i="19"/>
  <c r="BH22" i="28"/>
  <c r="BH82" i="20"/>
  <c r="BB15" i="47"/>
  <c r="Z19" i="29"/>
  <c r="BA26" i="47"/>
  <c r="BG12" i="31"/>
  <c r="BK21" i="28"/>
  <c r="BE17" i="47" s="1"/>
  <c r="AA21" i="29"/>
  <c r="BO8" i="34" l="1"/>
  <c r="BO44" i="15"/>
  <c r="BI46" i="18"/>
  <c r="BI47" i="18" s="1"/>
  <c r="BI33" i="18"/>
  <c r="BI42" i="18"/>
  <c r="BM21" i="34"/>
  <c r="BG60" i="47" s="1"/>
  <c r="BM12" i="18"/>
  <c r="BH37" i="9"/>
  <c r="BH38" i="9" s="1"/>
  <c r="BB18" i="47"/>
  <c r="Z22" i="29"/>
  <c r="BH23" i="9"/>
  <c r="BB36" i="47"/>
  <c r="Z21" i="32"/>
  <c r="BN24" i="10"/>
  <c r="BN26" i="10" s="1"/>
  <c r="BM29" i="15"/>
  <c r="BM10" i="12"/>
  <c r="BM11" i="12" s="1"/>
  <c r="BM10" i="34"/>
  <c r="BM48" i="19"/>
  <c r="BM12" i="37"/>
  <c r="BN38" i="12"/>
  <c r="BM10" i="31"/>
  <c r="BG25" i="47" s="1"/>
  <c r="BN41" i="15"/>
  <c r="BG22" i="9"/>
  <c r="BG24" i="9" s="1"/>
  <c r="BA27" i="47"/>
  <c r="BL39" i="20"/>
  <c r="BL25" i="20"/>
  <c r="BL27" i="20" s="1"/>
  <c r="BL66" i="20"/>
  <c r="BL68" i="20" s="1"/>
  <c r="BI33" i="17"/>
  <c r="BI46" i="17"/>
  <c r="BI47" i="17" s="1"/>
  <c r="BI42" i="17"/>
  <c r="BH29" i="34"/>
  <c r="BB65" i="47"/>
  <c r="Z26" i="35"/>
  <c r="BM8" i="28"/>
  <c r="BM19" i="16"/>
  <c r="BM21" i="16" s="1"/>
  <c r="BM26" i="11"/>
  <c r="BM27" i="11" s="1"/>
  <c r="BM32" i="15"/>
  <c r="BM15" i="15"/>
  <c r="BM8" i="31"/>
  <c r="BN18" i="13"/>
  <c r="BM39" i="16"/>
  <c r="BM40" i="16" s="1"/>
  <c r="BK15" i="34"/>
  <c r="BE51" i="47"/>
  <c r="AA12" i="35"/>
  <c r="BI29" i="18"/>
  <c r="BI14" i="18"/>
  <c r="BM17" i="34"/>
  <c r="BG56" i="47" s="1"/>
  <c r="BM12" i="17"/>
  <c r="BM27" i="17"/>
  <c r="BG49" i="47" l="1"/>
  <c r="BM14" i="34"/>
  <c r="BG53" i="47" s="1"/>
  <c r="BN25" i="12"/>
  <c r="BM9" i="19"/>
  <c r="BM11" i="19" s="1"/>
  <c r="BM22" i="19" s="1"/>
  <c r="BM23" i="19" s="1"/>
  <c r="BM30" i="15"/>
  <c r="BI18" i="28"/>
  <c r="BC14" i="47" s="1"/>
  <c r="BE54" i="47"/>
  <c r="AA15" i="35"/>
  <c r="BL35" i="20"/>
  <c r="BL36" i="20" s="1"/>
  <c r="BM33" i="20" s="1"/>
  <c r="BL40" i="20"/>
  <c r="BL41" i="20" s="1"/>
  <c r="BL46" i="20" s="1"/>
  <c r="BL47" i="20" s="1"/>
  <c r="BI34" i="18"/>
  <c r="BI35" i="18" s="1"/>
  <c r="BI13" i="18" s="1"/>
  <c r="BI15" i="18" s="1"/>
  <c r="BI48" i="18"/>
  <c r="BN44" i="12"/>
  <c r="BN45" i="12" s="1"/>
  <c r="BN11" i="11"/>
  <c r="BN12" i="11" s="1"/>
  <c r="BN20" i="10"/>
  <c r="BN21" i="10" s="1"/>
  <c r="BH25" i="31"/>
  <c r="BB40" i="47" s="1"/>
  <c r="BH28" i="9"/>
  <c r="BH30" i="9" s="1"/>
  <c r="BI36" i="9"/>
  <c r="Z25" i="32"/>
  <c r="BL77" i="20"/>
  <c r="BL69" i="20"/>
  <c r="BM41" i="16"/>
  <c r="BM32" i="16"/>
  <c r="BM45" i="16"/>
  <c r="BM46" i="16" s="1"/>
  <c r="BM14" i="31"/>
  <c r="BN24" i="11"/>
  <c r="BI16" i="28"/>
  <c r="BI48" i="17"/>
  <c r="BI34" i="17"/>
  <c r="BI35" i="17" s="1"/>
  <c r="BI13" i="17" s="1"/>
  <c r="BI15" i="17" s="1"/>
  <c r="BG23" i="31"/>
  <c r="BA38" i="47" s="1"/>
  <c r="BG15" i="22"/>
  <c r="BG17" i="22" s="1"/>
  <c r="BG21" i="22" s="1"/>
  <c r="BM36" i="15"/>
  <c r="BH12" i="9"/>
  <c r="BH13" i="9" s="1"/>
  <c r="BB68" i="47"/>
  <c r="Z29" i="35"/>
  <c r="BN10" i="13"/>
  <c r="BN11" i="13" s="1"/>
  <c r="BG23" i="47"/>
  <c r="BM19" i="34"/>
  <c r="BG58" i="47" s="1"/>
  <c r="BM26" i="16"/>
  <c r="BO27" i="16" s="1"/>
  <c r="BM12" i="16"/>
  <c r="BI22" i="34"/>
  <c r="BM11" i="28"/>
  <c r="BG4" i="47"/>
  <c r="BI47" i="47"/>
  <c r="BL48" i="20" l="1"/>
  <c r="BL76" i="20"/>
  <c r="BL78" i="20" s="1"/>
  <c r="BL81" i="20"/>
  <c r="BI18" i="31"/>
  <c r="BC33" i="47" s="1"/>
  <c r="BJ11" i="18"/>
  <c r="BN10" i="37"/>
  <c r="BN24" i="12"/>
  <c r="BN26" i="12" s="1"/>
  <c r="BO17" i="10"/>
  <c r="AB10" i="38"/>
  <c r="BM30" i="19"/>
  <c r="BM32" i="19" s="1"/>
  <c r="BM49" i="19"/>
  <c r="BM51" i="19" s="1"/>
  <c r="BM36" i="19" s="1"/>
  <c r="BN37" i="19" s="1"/>
  <c r="BM17" i="28"/>
  <c r="BG13" i="47" s="1"/>
  <c r="BN16" i="19"/>
  <c r="BN17" i="19" s="1"/>
  <c r="BN42" i="15"/>
  <c r="BN25" i="11"/>
  <c r="BN20" i="15"/>
  <c r="BN16" i="37"/>
  <c r="BN62" i="12"/>
  <c r="BN64" i="12" s="1"/>
  <c r="BN53" i="12"/>
  <c r="BN56" i="12" s="1"/>
  <c r="AB16" i="38"/>
  <c r="BH11" i="31"/>
  <c r="BH9" i="8"/>
  <c r="BI11" i="9"/>
  <c r="Z11" i="32"/>
  <c r="BC12" i="47"/>
  <c r="BI19" i="28"/>
  <c r="BI25" i="34"/>
  <c r="BC64" i="47" s="1"/>
  <c r="BL11" i="34"/>
  <c r="BM15" i="31"/>
  <c r="BG30" i="47" s="1"/>
  <c r="BN28" i="15"/>
  <c r="BC61" i="47"/>
  <c r="BG29" i="47"/>
  <c r="BH27" i="31"/>
  <c r="BB42" i="47" s="1"/>
  <c r="BH16" i="22"/>
  <c r="Z27" i="32"/>
  <c r="BM26" i="20"/>
  <c r="BN27" i="13"/>
  <c r="BN29" i="13" s="1"/>
  <c r="BN12" i="13"/>
  <c r="BI16" i="31"/>
  <c r="BJ11" i="17"/>
  <c r="BM14" i="28"/>
  <c r="BM9" i="20"/>
  <c r="BM10" i="20" s="1"/>
  <c r="BG7" i="47"/>
  <c r="BO14" i="16"/>
  <c r="BO28" i="16"/>
  <c r="BI23" i="34"/>
  <c r="BC62" i="47" s="1"/>
  <c r="BM47" i="16"/>
  <c r="BM33" i="16"/>
  <c r="BM34" i="16" s="1"/>
  <c r="BM13" i="16" s="1"/>
  <c r="BM15" i="16" s="1"/>
  <c r="BM17" i="31" l="1"/>
  <c r="BG32" i="47" s="1"/>
  <c r="BN11" i="16"/>
  <c r="BN21" i="19"/>
  <c r="BN43" i="15"/>
  <c r="BN21" i="15"/>
  <c r="BP22" i="15" s="1"/>
  <c r="BN11" i="37"/>
  <c r="BN20" i="18"/>
  <c r="BN22" i="18" s="1"/>
  <c r="BN20" i="17"/>
  <c r="BN22" i="17" s="1"/>
  <c r="BN19" i="13"/>
  <c r="BN21" i="13" s="1"/>
  <c r="BN13" i="15"/>
  <c r="BN14" i="15" s="1"/>
  <c r="BN39" i="12"/>
  <c r="BN41" i="12" s="1"/>
  <c r="BN17" i="9"/>
  <c r="BN18" i="9" s="1"/>
  <c r="BN31" i="12"/>
  <c r="AB11" i="38"/>
  <c r="BI22" i="28"/>
  <c r="BI82" i="20"/>
  <c r="BC15" i="47"/>
  <c r="BN15" i="37"/>
  <c r="BO51" i="12"/>
  <c r="AB15" i="38"/>
  <c r="BN17" i="37"/>
  <c r="BO61" i="12"/>
  <c r="BN17" i="11"/>
  <c r="BN18" i="11" s="1"/>
  <c r="AB17" i="38"/>
  <c r="BJ27" i="18"/>
  <c r="BJ28" i="18" s="1"/>
  <c r="BJ40" i="18"/>
  <c r="BJ41" i="18" s="1"/>
  <c r="BN13" i="28"/>
  <c r="BH9" i="47" s="1"/>
  <c r="AB13" i="29"/>
  <c r="BN38" i="19"/>
  <c r="BN31" i="19"/>
  <c r="BG10" i="47"/>
  <c r="BJ40" i="17"/>
  <c r="BJ41" i="17" s="1"/>
  <c r="BO20" i="34"/>
  <c r="BI59" i="47" s="1"/>
  <c r="BC31" i="47"/>
  <c r="BI21" i="31"/>
  <c r="BM24" i="34"/>
  <c r="BG63" i="47" s="1"/>
  <c r="BO26" i="13"/>
  <c r="BN30" i="13"/>
  <c r="BF50" i="47"/>
  <c r="BL12" i="34"/>
  <c r="BM19" i="31"/>
  <c r="BG34" i="47" s="1"/>
  <c r="BN29" i="19"/>
  <c r="BL20" i="31"/>
  <c r="BF35" i="47" s="1"/>
  <c r="BM75" i="20"/>
  <c r="BM14" i="20"/>
  <c r="BM15" i="20" s="1"/>
  <c r="BM20" i="20"/>
  <c r="BM21" i="20" s="1"/>
  <c r="BM34" i="20" s="1"/>
  <c r="BI26" i="34"/>
  <c r="BB26" i="47"/>
  <c r="BH12" i="31"/>
  <c r="BN45" i="15"/>
  <c r="BO25" i="10"/>
  <c r="BL21" i="28"/>
  <c r="BF17" i="47" s="1"/>
  <c r="BO24" i="10" l="1"/>
  <c r="BO26" i="10" s="1"/>
  <c r="BN17" i="34"/>
  <c r="BH56" i="47" s="1"/>
  <c r="BN27" i="17"/>
  <c r="BN12" i="17"/>
  <c r="AB17" i="35"/>
  <c r="BI23" i="9"/>
  <c r="BC36" i="47"/>
  <c r="BM39" i="20"/>
  <c r="BM25" i="20"/>
  <c r="BM27" i="20" s="1"/>
  <c r="BL15" i="34"/>
  <c r="BF51" i="47"/>
  <c r="BJ46" i="18"/>
  <c r="BJ47" i="18" s="1"/>
  <c r="BJ42" i="18"/>
  <c r="BJ33" i="18"/>
  <c r="BN21" i="34"/>
  <c r="BH60" i="47" s="1"/>
  <c r="BN12" i="18"/>
  <c r="AB21" i="35"/>
  <c r="BJ29" i="18"/>
  <c r="BJ14" i="18"/>
  <c r="BN9" i="31"/>
  <c r="BH24" i="47" s="1"/>
  <c r="AB9" i="32"/>
  <c r="BM66" i="20"/>
  <c r="BM68" i="20" s="1"/>
  <c r="BN10" i="31"/>
  <c r="BH25" i="47" s="1"/>
  <c r="BO41" i="15"/>
  <c r="AB10" i="32"/>
  <c r="BN10" i="34"/>
  <c r="AB10" i="35"/>
  <c r="BN8" i="28"/>
  <c r="BN19" i="16"/>
  <c r="BN21" i="16" s="1"/>
  <c r="BN26" i="11"/>
  <c r="BN27" i="11" s="1"/>
  <c r="AB8" i="29"/>
  <c r="BN29" i="15"/>
  <c r="BN10" i="12"/>
  <c r="BN11" i="12" s="1"/>
  <c r="BH22" i="9"/>
  <c r="BH24" i="9" s="1"/>
  <c r="BB27" i="47"/>
  <c r="Z12" i="32"/>
  <c r="BN48" i="19"/>
  <c r="BN12" i="37"/>
  <c r="BO38" i="12"/>
  <c r="AB12" i="38"/>
  <c r="BJ46" i="17"/>
  <c r="BJ47" i="17" s="1"/>
  <c r="BJ42" i="17"/>
  <c r="BJ33" i="17"/>
  <c r="BN15" i="15"/>
  <c r="BN32" i="15"/>
  <c r="BN39" i="16"/>
  <c r="BN40" i="16" s="1"/>
  <c r="BI29" i="34"/>
  <c r="BC65" i="47"/>
  <c r="BP8" i="34"/>
  <c r="BP44" i="15"/>
  <c r="BI37" i="9"/>
  <c r="BI38" i="9" s="1"/>
  <c r="BC18" i="47"/>
  <c r="BN8" i="31"/>
  <c r="BO18" i="13"/>
  <c r="AB8" i="32"/>
  <c r="BJ16" i="28" l="1"/>
  <c r="BN14" i="31"/>
  <c r="BO24" i="11"/>
  <c r="AB14" i="32"/>
  <c r="BJ48" i="17"/>
  <c r="BJ34" i="17"/>
  <c r="BJ35" i="17" s="1"/>
  <c r="BJ13" i="17" s="1"/>
  <c r="BJ15" i="17" s="1"/>
  <c r="BN19" i="34"/>
  <c r="BH58" i="47" s="1"/>
  <c r="BN26" i="16"/>
  <c r="BP27" i="16" s="1"/>
  <c r="BN12" i="16"/>
  <c r="AB19" i="35"/>
  <c r="BJ22" i="34"/>
  <c r="BI25" i="31"/>
  <c r="BC40" i="47" s="1"/>
  <c r="BI28" i="9"/>
  <c r="BI30" i="9" s="1"/>
  <c r="BJ36" i="9"/>
  <c r="BI12" i="9"/>
  <c r="BI13" i="9" s="1"/>
  <c r="BC68" i="47"/>
  <c r="BN11" i="28"/>
  <c r="BH4" i="47"/>
  <c r="BF54" i="47"/>
  <c r="BM77" i="20"/>
  <c r="BM69" i="20"/>
  <c r="BM35" i="20"/>
  <c r="BM36" i="20" s="1"/>
  <c r="BN33" i="20" s="1"/>
  <c r="BM40" i="20"/>
  <c r="BM41" i="20"/>
  <c r="BM46" i="20" s="1"/>
  <c r="BM47" i="20" s="1"/>
  <c r="BH23" i="31"/>
  <c r="BB38" i="47" s="1"/>
  <c r="BH15" i="22"/>
  <c r="BH17" i="22" s="1"/>
  <c r="BH21" i="22" s="1"/>
  <c r="Z23" i="32"/>
  <c r="BO10" i="13"/>
  <c r="BO11" i="13" s="1"/>
  <c r="BN45" i="16"/>
  <c r="BN46" i="16" s="1"/>
  <c r="BN32" i="16"/>
  <c r="BN41" i="16"/>
  <c r="BO25" i="12"/>
  <c r="BN9" i="19"/>
  <c r="BN11" i="19" s="1"/>
  <c r="BN22" i="19" s="1"/>
  <c r="BN23" i="19" s="1"/>
  <c r="BN30" i="15"/>
  <c r="BH23" i="47"/>
  <c r="BJ47" i="47"/>
  <c r="BN36" i="15"/>
  <c r="BH49" i="47"/>
  <c r="BJ18" i="28"/>
  <c r="BD14" i="47" s="1"/>
  <c r="BN14" i="34"/>
  <c r="BH53" i="47" s="1"/>
  <c r="AB14" i="35"/>
  <c r="BJ34" i="18"/>
  <c r="BJ35" i="18" s="1"/>
  <c r="BJ13" i="18" s="1"/>
  <c r="BJ15" i="18" s="1"/>
  <c r="BJ48" i="18"/>
  <c r="BO44" i="12"/>
  <c r="BO45" i="12" s="1"/>
  <c r="BO11" i="11"/>
  <c r="BO12" i="11" s="1"/>
  <c r="BO20" i="10"/>
  <c r="BO21" i="10" s="1"/>
  <c r="BJ16" i="31" l="1"/>
  <c r="BK11" i="17"/>
  <c r="BJ18" i="31"/>
  <c r="BD33" i="47" s="1"/>
  <c r="BK11" i="18"/>
  <c r="BJ25" i="34"/>
  <c r="BD64" i="47" s="1"/>
  <c r="BD61" i="47"/>
  <c r="BO16" i="37"/>
  <c r="BO62" i="12"/>
  <c r="BO64" i="12" s="1"/>
  <c r="BO53" i="12"/>
  <c r="BO56" i="12" s="1"/>
  <c r="BH29" i="47"/>
  <c r="BN49" i="19"/>
  <c r="BN51" i="19" s="1"/>
  <c r="BN36" i="19" s="1"/>
  <c r="BO37" i="19" s="1"/>
  <c r="BN30" i="19"/>
  <c r="BN32" i="19" s="1"/>
  <c r="BJ23" i="34"/>
  <c r="BD62" i="47" s="1"/>
  <c r="BN47" i="16"/>
  <c r="BN33" i="16"/>
  <c r="BN34" i="16" s="1"/>
  <c r="BN13" i="16" s="1"/>
  <c r="BN15" i="16" s="1"/>
  <c r="BI27" i="31"/>
  <c r="BC42" i="47" s="1"/>
  <c r="BI16" i="22"/>
  <c r="BP28" i="16"/>
  <c r="BP14" i="16"/>
  <c r="BN17" i="28"/>
  <c r="BH13" i="47" s="1"/>
  <c r="AB17" i="29"/>
  <c r="BI11" i="31"/>
  <c r="BJ11" i="9"/>
  <c r="BI9" i="8"/>
  <c r="BO10" i="37"/>
  <c r="BO24" i="12"/>
  <c r="BO26" i="12" s="1"/>
  <c r="BP17" i="10"/>
  <c r="BN26" i="20"/>
  <c r="BN14" i="28"/>
  <c r="BN9" i="20"/>
  <c r="BN10" i="20" s="1"/>
  <c r="BH7" i="47"/>
  <c r="AB11" i="29"/>
  <c r="BD12" i="47"/>
  <c r="BJ19" i="28"/>
  <c r="BN15" i="31"/>
  <c r="BH30" i="47" s="1"/>
  <c r="BO28" i="15"/>
  <c r="AB15" i="32"/>
  <c r="BM48" i="20"/>
  <c r="BM76" i="20"/>
  <c r="BM78" i="20" s="1"/>
  <c r="BM81" i="20"/>
  <c r="BO16" i="19"/>
  <c r="BO17" i="19" s="1"/>
  <c r="BO20" i="15"/>
  <c r="BO42" i="15"/>
  <c r="BO25" i="11"/>
  <c r="BO27" i="13"/>
  <c r="BO29" i="13" s="1"/>
  <c r="BO12" i="13"/>
  <c r="BM11" i="34"/>
  <c r="BJ26" i="34" l="1"/>
  <c r="BN17" i="31"/>
  <c r="BH32" i="47" s="1"/>
  <c r="BO11" i="16"/>
  <c r="AB17" i="32"/>
  <c r="BN24" i="34"/>
  <c r="BH63" i="47" s="1"/>
  <c r="AB24" i="35"/>
  <c r="BJ29" i="34"/>
  <c r="BD65" i="47"/>
  <c r="BJ22" i="28"/>
  <c r="BJ82" i="20"/>
  <c r="BD15" i="47"/>
  <c r="BP25" i="10"/>
  <c r="BO11" i="37"/>
  <c r="BO20" i="18"/>
  <c r="BO22" i="18" s="1"/>
  <c r="BO20" i="17"/>
  <c r="BO22" i="17" s="1"/>
  <c r="BO13" i="15"/>
  <c r="BO14" i="15" s="1"/>
  <c r="BO39" i="12"/>
  <c r="BO41" i="12" s="1"/>
  <c r="BO17" i="9"/>
  <c r="BO18" i="9" s="1"/>
  <c r="BO31" i="12"/>
  <c r="BO19" i="13"/>
  <c r="BO21" i="13" s="1"/>
  <c r="BO15" i="37"/>
  <c r="BP51" i="12"/>
  <c r="BK40" i="18"/>
  <c r="BK41" i="18" s="1"/>
  <c r="BK27" i="18"/>
  <c r="BK28" i="18" s="1"/>
  <c r="BO21" i="19"/>
  <c r="BO43" i="15"/>
  <c r="BO45" i="15" s="1"/>
  <c r="BO21" i="15"/>
  <c r="BQ22" i="15" s="1"/>
  <c r="BG50" i="47"/>
  <c r="BM12" i="34"/>
  <c r="BM20" i="31"/>
  <c r="BG35" i="47" s="1"/>
  <c r="BN75" i="20"/>
  <c r="BP20" i="34"/>
  <c r="BJ59" i="47" s="1"/>
  <c r="BM21" i="28"/>
  <c r="BG17" i="47" s="1"/>
  <c r="BO17" i="37"/>
  <c r="BP61" i="12"/>
  <c r="BO17" i="11"/>
  <c r="BO18" i="11" s="1"/>
  <c r="BN14" i="20"/>
  <c r="BN15" i="20" s="1"/>
  <c r="BN20" i="20"/>
  <c r="BN21" i="20" s="1"/>
  <c r="BN34" i="20" s="1"/>
  <c r="BN19" i="31"/>
  <c r="BH34" i="47" s="1"/>
  <c r="BO29" i="19"/>
  <c r="AB19" i="32"/>
  <c r="BK40" i="17"/>
  <c r="BK41" i="17" s="1"/>
  <c r="BO13" i="28"/>
  <c r="BI9" i="47" s="1"/>
  <c r="BP26" i="13"/>
  <c r="BO30" i="13"/>
  <c r="BO9" i="31" s="1"/>
  <c r="BI24" i="47" s="1"/>
  <c r="BH10" i="47"/>
  <c r="AB14" i="29"/>
  <c r="BC26" i="47"/>
  <c r="BI12" i="31"/>
  <c r="BO38" i="19"/>
  <c r="BO31" i="19"/>
  <c r="BD31" i="47"/>
  <c r="BJ21" i="31"/>
  <c r="BQ8" i="34" l="1"/>
  <c r="BQ44" i="15"/>
  <c r="J8" i="25"/>
  <c r="D47" i="50" s="1"/>
  <c r="J8" i="35"/>
  <c r="K8" i="36"/>
  <c r="L8" i="35"/>
  <c r="K8" i="35"/>
  <c r="H22" i="15"/>
  <c r="J8" i="36"/>
  <c r="K8" i="25"/>
  <c r="E47" i="50" s="1"/>
  <c r="L8" i="36"/>
  <c r="M8" i="36"/>
  <c r="L8" i="25"/>
  <c r="F47" i="50" s="1"/>
  <c r="N8" i="36"/>
  <c r="O8" i="36"/>
  <c r="M8" i="25"/>
  <c r="G47" i="50" s="1"/>
  <c r="P8" i="36"/>
  <c r="Q8" i="36"/>
  <c r="N8" i="25"/>
  <c r="H47" i="50" s="1"/>
  <c r="R8" i="36"/>
  <c r="S8" i="36"/>
  <c r="AC8" i="35"/>
  <c r="BO10" i="31"/>
  <c r="BI25" i="47" s="1"/>
  <c r="BP41" i="15"/>
  <c r="BO12" i="37"/>
  <c r="BP38" i="12"/>
  <c r="BO10" i="34"/>
  <c r="BO48" i="19"/>
  <c r="BO17" i="34"/>
  <c r="BI56" i="47" s="1"/>
  <c r="BO27" i="17"/>
  <c r="BO12" i="17"/>
  <c r="BO21" i="34"/>
  <c r="BI60" i="47" s="1"/>
  <c r="BO12" i="18"/>
  <c r="BJ37" i="9"/>
  <c r="BJ38" i="9" s="1"/>
  <c r="BD18" i="47"/>
  <c r="BP24" i="10"/>
  <c r="BP26" i="10" s="1"/>
  <c r="BO32" i="15"/>
  <c r="BO15" i="15"/>
  <c r="BO8" i="31"/>
  <c r="BP18" i="13"/>
  <c r="BK46" i="17"/>
  <c r="BK47" i="17" s="1"/>
  <c r="BK42" i="17"/>
  <c r="BK33" i="17"/>
  <c r="BK42" i="18"/>
  <c r="BK33" i="18"/>
  <c r="BK46" i="18"/>
  <c r="BK47" i="18" s="1"/>
  <c r="BO39" i="16"/>
  <c r="BO40" i="16" s="1"/>
  <c r="BM15" i="34"/>
  <c r="BG51" i="47"/>
  <c r="BI22" i="9"/>
  <c r="BI24" i="9" s="1"/>
  <c r="BC27" i="47"/>
  <c r="BN39" i="20"/>
  <c r="BN25" i="20"/>
  <c r="BN27" i="20" s="1"/>
  <c r="BJ23" i="9"/>
  <c r="BD36" i="47"/>
  <c r="BO8" i="28"/>
  <c r="BO19" i="16"/>
  <c r="BO21" i="16" s="1"/>
  <c r="BO26" i="11"/>
  <c r="BO27" i="11" s="1"/>
  <c r="BN66" i="20"/>
  <c r="BN68" i="20" s="1"/>
  <c r="BK29" i="18"/>
  <c r="BK14" i="18"/>
  <c r="BO29" i="15"/>
  <c r="BO10" i="12"/>
  <c r="BO11" i="12" s="1"/>
  <c r="BJ12" i="9"/>
  <c r="BJ13" i="9" s="1"/>
  <c r="BD68" i="47"/>
  <c r="BO11" i="28" l="1"/>
  <c r="BI4" i="47"/>
  <c r="BO14" i="34"/>
  <c r="BI53" i="47" s="1"/>
  <c r="H8" i="36"/>
  <c r="H8" i="35"/>
  <c r="H8" i="34"/>
  <c r="H8" i="25"/>
  <c r="H44" i="15"/>
  <c r="BK22" i="34"/>
  <c r="AA22" i="35"/>
  <c r="BK16" i="28"/>
  <c r="AA16" i="29"/>
  <c r="BN77" i="20"/>
  <c r="BN69" i="20"/>
  <c r="BN35" i="20"/>
  <c r="BN36" i="20" s="1"/>
  <c r="BO33" i="20" s="1"/>
  <c r="BN40" i="20"/>
  <c r="BN41" i="20" s="1"/>
  <c r="BN46" i="20" s="1"/>
  <c r="BN47" i="20" s="1"/>
  <c r="BP10" i="13"/>
  <c r="BP11" i="13" s="1"/>
  <c r="BP44" i="12"/>
  <c r="BP45" i="12" s="1"/>
  <c r="BP20" i="10"/>
  <c r="BP21" i="10" s="1"/>
  <c r="BP11" i="11"/>
  <c r="BP12" i="11" s="1"/>
  <c r="BI23" i="47"/>
  <c r="BK48" i="17"/>
  <c r="BK34" i="17"/>
  <c r="BK35" i="17" s="1"/>
  <c r="BK13" i="17" s="1"/>
  <c r="BK15" i="17" s="1"/>
  <c r="BJ11" i="31"/>
  <c r="BK11" i="9"/>
  <c r="BJ9" i="8"/>
  <c r="BK48" i="18"/>
  <c r="BK34" i="18"/>
  <c r="BK35" i="18" s="1"/>
  <c r="BK13" i="18" s="1"/>
  <c r="BK15" i="18" s="1"/>
  <c r="BI49" i="47"/>
  <c r="BO41" i="16"/>
  <c r="BO32" i="16"/>
  <c r="BO45" i="16"/>
  <c r="BO46" i="16" s="1"/>
  <c r="BO9" i="19"/>
  <c r="BO11" i="19" s="1"/>
  <c r="BO22" i="19" s="1"/>
  <c r="BO23" i="19" s="1"/>
  <c r="BO30" i="15"/>
  <c r="BO14" i="31"/>
  <c r="BP24" i="11"/>
  <c r="BI23" i="31"/>
  <c r="BC38" i="47" s="1"/>
  <c r="BI15" i="22"/>
  <c r="BI17" i="22" s="1"/>
  <c r="BI21" i="22" s="1"/>
  <c r="BJ25" i="31"/>
  <c r="BD40" i="47" s="1"/>
  <c r="BK36" i="9"/>
  <c r="BJ28" i="9"/>
  <c r="BJ30" i="9" s="1"/>
  <c r="BP25" i="12"/>
  <c r="BG54" i="47"/>
  <c r="BO36" i="15"/>
  <c r="BO19" i="34"/>
  <c r="BI58" i="47" s="1"/>
  <c r="BO26" i="16"/>
  <c r="BQ27" i="16" s="1"/>
  <c r="BO12" i="16"/>
  <c r="BK18" i="28"/>
  <c r="BE14" i="47" s="1"/>
  <c r="AA18" i="29"/>
  <c r="BK47" i="47"/>
  <c r="BN48" i="20" l="1"/>
  <c r="BN76" i="20"/>
  <c r="BN78" i="20" s="1"/>
  <c r="BN81" i="20"/>
  <c r="BK16" i="31"/>
  <c r="BL11" i="17"/>
  <c r="R16" i="33"/>
  <c r="AA16" i="32"/>
  <c r="BK18" i="31"/>
  <c r="BE33" i="47" s="1"/>
  <c r="BL11" i="18"/>
  <c r="R18" i="33"/>
  <c r="AA18" i="32"/>
  <c r="BD26" i="47"/>
  <c r="BJ12" i="31"/>
  <c r="BE12" i="47"/>
  <c r="BK19" i="28"/>
  <c r="BP16" i="37"/>
  <c r="BP62" i="12"/>
  <c r="BP64" i="12" s="1"/>
  <c r="BP53" i="12"/>
  <c r="BP56" i="12" s="1"/>
  <c r="BK23" i="34"/>
  <c r="BE62" i="47" s="1"/>
  <c r="AA23" i="35"/>
  <c r="BE61" i="47"/>
  <c r="BO17" i="28"/>
  <c r="BI13" i="47" s="1"/>
  <c r="BO26" i="20"/>
  <c r="BQ28" i="16"/>
  <c r="BQ14" i="16"/>
  <c r="H27" i="16"/>
  <c r="H14" i="16" s="1"/>
  <c r="BI29" i="47"/>
  <c r="BN11" i="34"/>
  <c r="AB11" i="35"/>
  <c r="BO15" i="31"/>
  <c r="BI30" i="47" s="1"/>
  <c r="BP28" i="15"/>
  <c r="BJ27" i="31"/>
  <c r="BD42" i="47" s="1"/>
  <c r="BJ16" i="22"/>
  <c r="BK25" i="34"/>
  <c r="BE64" i="47" s="1"/>
  <c r="AA25" i="35"/>
  <c r="BP16" i="19"/>
  <c r="BP17" i="19" s="1"/>
  <c r="BP42" i="15"/>
  <c r="BP20" i="15"/>
  <c r="BP25" i="11"/>
  <c r="BO47" i="16"/>
  <c r="BO33" i="16"/>
  <c r="BO34" i="16" s="1"/>
  <c r="BO13" i="16" s="1"/>
  <c r="BO15" i="16" s="1"/>
  <c r="BP27" i="13"/>
  <c r="BP29" i="13" s="1"/>
  <c r="BP12" i="13"/>
  <c r="BO30" i="19"/>
  <c r="BO32" i="19" s="1"/>
  <c r="BO49" i="19"/>
  <c r="BO51" i="19" s="1"/>
  <c r="BO36" i="19" s="1"/>
  <c r="BP37" i="19" s="1"/>
  <c r="BP10" i="37"/>
  <c r="BP24" i="12"/>
  <c r="BP26" i="12" s="1"/>
  <c r="BQ17" i="10"/>
  <c r="BO14" i="28"/>
  <c r="BO9" i="20"/>
  <c r="BO10" i="20" s="1"/>
  <c r="BI7" i="47"/>
  <c r="BO17" i="31" l="1"/>
  <c r="BI32" i="47" s="1"/>
  <c r="BP11" i="16"/>
  <c r="BO14" i="20"/>
  <c r="BO15" i="20" s="1"/>
  <c r="BO20" i="20"/>
  <c r="BO21" i="20" s="1"/>
  <c r="BO34" i="20" s="1"/>
  <c r="BP13" i="28"/>
  <c r="BJ9" i="47" s="1"/>
  <c r="BH50" i="47"/>
  <c r="BN12" i="34"/>
  <c r="BJ22" i="9"/>
  <c r="BJ24" i="9" s="1"/>
  <c r="BD27" i="47"/>
  <c r="BP21" i="19"/>
  <c r="BP43" i="15"/>
  <c r="BP21" i="15"/>
  <c r="BL40" i="17"/>
  <c r="BL41" i="17" s="1"/>
  <c r="BO19" i="31"/>
  <c r="BI34" i="47" s="1"/>
  <c r="BP29" i="19"/>
  <c r="BQ20" i="34"/>
  <c r="BK59" i="47" s="1"/>
  <c r="J20" i="25"/>
  <c r="D59" i="50" s="1"/>
  <c r="L20" i="35"/>
  <c r="K20" i="36"/>
  <c r="J20" i="36"/>
  <c r="K20" i="35"/>
  <c r="H28" i="16"/>
  <c r="K20" i="25"/>
  <c r="E59" i="50" s="1"/>
  <c r="L20" i="36"/>
  <c r="M20" i="36"/>
  <c r="N20" i="36"/>
  <c r="L20" i="25"/>
  <c r="F59" i="50" s="1"/>
  <c r="O20" i="36"/>
  <c r="P20" i="36"/>
  <c r="M20" i="25"/>
  <c r="G59" i="50" s="1"/>
  <c r="Q20" i="36"/>
  <c r="R20" i="36"/>
  <c r="N20" i="25"/>
  <c r="H59" i="50" s="1"/>
  <c r="S20" i="36"/>
  <c r="AC20" i="35"/>
  <c r="BI10" i="47"/>
  <c r="BP30" i="13"/>
  <c r="BP9" i="31" s="1"/>
  <c r="BJ24" i="47" s="1"/>
  <c r="BQ26" i="13"/>
  <c r="BQ25" i="10"/>
  <c r="BP15" i="37"/>
  <c r="BQ51" i="12"/>
  <c r="BE31" i="47"/>
  <c r="BK21" i="31"/>
  <c r="BP17" i="37"/>
  <c r="BQ61" i="12"/>
  <c r="BP17" i="11"/>
  <c r="BP18" i="11" s="1"/>
  <c r="BO24" i="34"/>
  <c r="BI63" i="47" s="1"/>
  <c r="BN20" i="31"/>
  <c r="BH35" i="47" s="1"/>
  <c r="BO75" i="20"/>
  <c r="AB20" i="32"/>
  <c r="BP45" i="15"/>
  <c r="BK22" i="28"/>
  <c r="BK82" i="20"/>
  <c r="BE15" i="47"/>
  <c r="AA19" i="29"/>
  <c r="BP11" i="37"/>
  <c r="BP20" i="18"/>
  <c r="BP22" i="18" s="1"/>
  <c r="BP20" i="17"/>
  <c r="BP22" i="17" s="1"/>
  <c r="BP13" i="15"/>
  <c r="BP14" i="15" s="1"/>
  <c r="BP19" i="13"/>
  <c r="BP21" i="13" s="1"/>
  <c r="BP17" i="9"/>
  <c r="BP18" i="9" s="1"/>
  <c r="BP39" i="12"/>
  <c r="BP41" i="12" s="1"/>
  <c r="BP31" i="12"/>
  <c r="BP31" i="19"/>
  <c r="BP38" i="19"/>
  <c r="BK26" i="34"/>
  <c r="BL27" i="18"/>
  <c r="BL28" i="18" s="1"/>
  <c r="BL40" i="18"/>
  <c r="BL41" i="18" s="1"/>
  <c r="BN21" i="28"/>
  <c r="BH17" i="47" s="1"/>
  <c r="AB21" i="29"/>
  <c r="BN15" i="34" l="1"/>
  <c r="BH51" i="47"/>
  <c r="AB12" i="35"/>
  <c r="BP12" i="37"/>
  <c r="BQ38" i="12"/>
  <c r="BQ24" i="10"/>
  <c r="BQ26" i="10" s="1"/>
  <c r="H20" i="36"/>
  <c r="H20" i="35"/>
  <c r="H20" i="34"/>
  <c r="H20" i="25"/>
  <c r="BL46" i="17"/>
  <c r="BL47" i="17" s="1"/>
  <c r="BL42" i="17"/>
  <c r="BL33" i="17"/>
  <c r="BL46" i="18"/>
  <c r="BL47" i="18" s="1"/>
  <c r="BL42" i="18"/>
  <c r="BL33" i="18"/>
  <c r="BK37" i="9"/>
  <c r="BK38" i="9" s="1"/>
  <c r="BE18" i="47"/>
  <c r="AA22" i="29"/>
  <c r="BP8" i="31"/>
  <c r="BQ18" i="13"/>
  <c r="BP32" i="15"/>
  <c r="BP15" i="15"/>
  <c r="BP10" i="31"/>
  <c r="BJ25" i="47" s="1"/>
  <c r="BQ41" i="15"/>
  <c r="BP8" i="28"/>
  <c r="BP19" i="16"/>
  <c r="BP21" i="16" s="1"/>
  <c r="BP26" i="11"/>
  <c r="BP27" i="11" s="1"/>
  <c r="BO39" i="20"/>
  <c r="BO25" i="20"/>
  <c r="BO27" i="20" s="1"/>
  <c r="BP29" i="15"/>
  <c r="BP10" i="12"/>
  <c r="BP11" i="12" s="1"/>
  <c r="BK29" i="34"/>
  <c r="BE65" i="47"/>
  <c r="AA26" i="35"/>
  <c r="BP10" i="34"/>
  <c r="BP17" i="34"/>
  <c r="BJ56" i="47" s="1"/>
  <c r="BP27" i="17"/>
  <c r="BP12" i="17"/>
  <c r="BP21" i="34"/>
  <c r="BJ60" i="47" s="1"/>
  <c r="BP12" i="18"/>
  <c r="BO66" i="20"/>
  <c r="BO68" i="20" s="1"/>
  <c r="BP39" i="16"/>
  <c r="BP40" i="16" s="1"/>
  <c r="BL29" i="18"/>
  <c r="BL14" i="18"/>
  <c r="BK23" i="9"/>
  <c r="BE36" i="47"/>
  <c r="R21" i="33"/>
  <c r="AA21" i="32"/>
  <c r="BP48" i="19"/>
  <c r="BJ23" i="31"/>
  <c r="BD38" i="47" s="1"/>
  <c r="BJ15" i="22"/>
  <c r="BJ17" i="22" s="1"/>
  <c r="BJ21" i="22" s="1"/>
  <c r="BQ10" i="13" l="1"/>
  <c r="BQ11" i="13" s="1"/>
  <c r="BQ11" i="11"/>
  <c r="BQ12" i="11" s="1"/>
  <c r="BQ20" i="10"/>
  <c r="BQ21" i="10" s="1"/>
  <c r="BQ44" i="12"/>
  <c r="BQ45" i="12" s="1"/>
  <c r="H26" i="10"/>
  <c r="BP32" i="16"/>
  <c r="BP41" i="16"/>
  <c r="BP45" i="16"/>
  <c r="BP46" i="16" s="1"/>
  <c r="BP9" i="19"/>
  <c r="BP11" i="19" s="1"/>
  <c r="BP22" i="19" s="1"/>
  <c r="BP23" i="19" s="1"/>
  <c r="BP30" i="15"/>
  <c r="BP36" i="15" s="1"/>
  <c r="BP14" i="31"/>
  <c r="BQ24" i="11"/>
  <c r="BJ23" i="47"/>
  <c r="BL16" i="28"/>
  <c r="BQ25" i="12"/>
  <c r="BL22" i="34"/>
  <c r="BP19" i="34"/>
  <c r="BJ58" i="47" s="1"/>
  <c r="BP26" i="16"/>
  <c r="BP12" i="16"/>
  <c r="BL34" i="17"/>
  <c r="BL35" i="17" s="1"/>
  <c r="BL13" i="17" s="1"/>
  <c r="BL15" i="17" s="1"/>
  <c r="BL48" i="17"/>
  <c r="BK25" i="31"/>
  <c r="BE40" i="47" s="1"/>
  <c r="BK28" i="9"/>
  <c r="BK30" i="9" s="1"/>
  <c r="BL36" i="9"/>
  <c r="R25" i="33"/>
  <c r="AA25" i="32"/>
  <c r="BO40" i="20"/>
  <c r="BO41" i="20" s="1"/>
  <c r="BO46" i="20" s="1"/>
  <c r="BO47" i="20" s="1"/>
  <c r="BO35" i="20"/>
  <c r="BO36" i="20" s="1"/>
  <c r="BP33" i="20" s="1"/>
  <c r="BP11" i="28"/>
  <c r="BJ4" i="47"/>
  <c r="BL48" i="18"/>
  <c r="BL34" i="18"/>
  <c r="BL35" i="18" s="1"/>
  <c r="BL13" i="18" s="1"/>
  <c r="BL15" i="18" s="1"/>
  <c r="BK12" i="9"/>
  <c r="BK13" i="9" s="1"/>
  <c r="BE68" i="47"/>
  <c r="AA29" i="35"/>
  <c r="BO77" i="20"/>
  <c r="BO69" i="20"/>
  <c r="BJ49" i="47"/>
  <c r="BP14" i="34"/>
  <c r="BJ53" i="47" s="1"/>
  <c r="BL18" i="28"/>
  <c r="BF14" i="47" s="1"/>
  <c r="BH54" i="47"/>
  <c r="AB15" i="35"/>
  <c r="BL16" i="31" l="1"/>
  <c r="BM11" i="17"/>
  <c r="BL18" i="31"/>
  <c r="BF33" i="47" s="1"/>
  <c r="BM11" i="18"/>
  <c r="BO76" i="20"/>
  <c r="BO78" i="20" s="1"/>
  <c r="BO81" i="20"/>
  <c r="BO48" i="20"/>
  <c r="BP15" i="31"/>
  <c r="BJ30" i="47" s="1"/>
  <c r="BQ28" i="15"/>
  <c r="BF61" i="47"/>
  <c r="BJ29" i="47"/>
  <c r="BQ16" i="37"/>
  <c r="BQ62" i="12"/>
  <c r="BQ64" i="12" s="1"/>
  <c r="BQ53" i="12"/>
  <c r="BQ56" i="12" s="1"/>
  <c r="L16" i="38"/>
  <c r="K16" i="39"/>
  <c r="J16" i="26"/>
  <c r="J16" i="39"/>
  <c r="K16" i="38"/>
  <c r="H45" i="12"/>
  <c r="L16" i="39"/>
  <c r="K16" i="26"/>
  <c r="M16" i="39"/>
  <c r="N16" i="39"/>
  <c r="L16" i="26"/>
  <c r="O16" i="39"/>
  <c r="M16" i="26"/>
  <c r="P16" i="39"/>
  <c r="Q16" i="39"/>
  <c r="R16" i="39"/>
  <c r="N16" i="26"/>
  <c r="S16" i="39"/>
  <c r="AC16" i="38"/>
  <c r="H11" i="11"/>
  <c r="H20" i="10"/>
  <c r="H44" i="12"/>
  <c r="BL25" i="34"/>
  <c r="BF64" i="47" s="1"/>
  <c r="BQ10" i="37"/>
  <c r="BQ24" i="12"/>
  <c r="BQ26" i="12" s="1"/>
  <c r="S10" i="39"/>
  <c r="N10" i="26"/>
  <c r="AC10" i="38"/>
  <c r="BK27" i="31"/>
  <c r="BE42" i="47" s="1"/>
  <c r="BK16" i="22"/>
  <c r="R27" i="33"/>
  <c r="AA27" i="32"/>
  <c r="BP49" i="19"/>
  <c r="BP51" i="19" s="1"/>
  <c r="BP36" i="19" s="1"/>
  <c r="BQ37" i="19" s="1"/>
  <c r="BP30" i="19"/>
  <c r="BP32" i="19" s="1"/>
  <c r="BQ16" i="19"/>
  <c r="BQ17" i="19" s="1"/>
  <c r="BQ42" i="15"/>
  <c r="BQ20" i="15"/>
  <c r="BQ25" i="11"/>
  <c r="H12" i="11"/>
  <c r="BL23" i="34"/>
  <c r="BF62" i="47" s="1"/>
  <c r="BK11" i="31"/>
  <c r="BL11" i="9"/>
  <c r="BK9" i="8"/>
  <c r="R11" i="33"/>
  <c r="AA11" i="32"/>
  <c r="BP47" i="16"/>
  <c r="BP33" i="16"/>
  <c r="BP34" i="16" s="1"/>
  <c r="BP13" i="16" s="1"/>
  <c r="BP15" i="16" s="1"/>
  <c r="BO11" i="34"/>
  <c r="BP14" i="28"/>
  <c r="BP9" i="20"/>
  <c r="BP10" i="20" s="1"/>
  <c r="BJ7" i="47"/>
  <c r="BF12" i="47"/>
  <c r="BL19" i="28"/>
  <c r="BP17" i="28"/>
  <c r="BJ13" i="47" s="1"/>
  <c r="BP26" i="20"/>
  <c r="BQ27" i="13"/>
  <c r="BQ29" i="13" s="1"/>
  <c r="BQ30" i="13" s="1"/>
  <c r="BQ12" i="13"/>
  <c r="H11" i="13"/>
  <c r="H27" i="13" s="1"/>
  <c r="BP17" i="31" l="1"/>
  <c r="BJ32" i="47" s="1"/>
  <c r="BQ11" i="16"/>
  <c r="BP19" i="31"/>
  <c r="BJ34" i="47" s="1"/>
  <c r="BQ29" i="19"/>
  <c r="BQ17" i="37"/>
  <c r="BQ17" i="11"/>
  <c r="BQ18" i="11" s="1"/>
  <c r="K17" i="38"/>
  <c r="S17" i="39"/>
  <c r="N17" i="26"/>
  <c r="AC17" i="38"/>
  <c r="BO21" i="28"/>
  <c r="BI17" i="47" s="1"/>
  <c r="BQ31" i="19"/>
  <c r="BQ38" i="19"/>
  <c r="H37" i="19"/>
  <c r="H31" i="19" s="1"/>
  <c r="H16" i="39"/>
  <c r="H16" i="38"/>
  <c r="H16" i="37"/>
  <c r="H16" i="26"/>
  <c r="H53" i="12"/>
  <c r="H62" i="12"/>
  <c r="BP24" i="34"/>
  <c r="BJ63" i="47" s="1"/>
  <c r="BQ11" i="37"/>
  <c r="BQ20" i="18"/>
  <c r="BQ22" i="18" s="1"/>
  <c r="BQ20" i="17"/>
  <c r="BQ22" i="17" s="1"/>
  <c r="BQ13" i="15"/>
  <c r="BQ14" i="15" s="1"/>
  <c r="BQ19" i="13"/>
  <c r="BQ21" i="13" s="1"/>
  <c r="BQ31" i="12"/>
  <c r="BQ39" i="12"/>
  <c r="BQ41" i="12" s="1"/>
  <c r="BQ17" i="9"/>
  <c r="BQ18" i="9" s="1"/>
  <c r="L11" i="38"/>
  <c r="K11" i="39"/>
  <c r="J11" i="26"/>
  <c r="J11" i="39"/>
  <c r="K11" i="38"/>
  <c r="H26" i="12"/>
  <c r="K11" i="26"/>
  <c r="L11" i="39"/>
  <c r="M11" i="39"/>
  <c r="L11" i="26"/>
  <c r="N11" i="39"/>
  <c r="O11" i="39"/>
  <c r="M11" i="26"/>
  <c r="P11" i="39"/>
  <c r="Q11" i="39"/>
  <c r="R11" i="39"/>
  <c r="N11" i="26"/>
  <c r="S11" i="39"/>
  <c r="AC11" i="38"/>
  <c r="BO20" i="31"/>
  <c r="BI35" i="47" s="1"/>
  <c r="BP75" i="20"/>
  <c r="BL22" i="28"/>
  <c r="BL82" i="20"/>
  <c r="BF15" i="47"/>
  <c r="BQ9" i="31"/>
  <c r="BK24" i="47" s="1"/>
  <c r="N9" i="24"/>
  <c r="H24" i="50" s="1"/>
  <c r="S9" i="33"/>
  <c r="AC9" i="32"/>
  <c r="H16" i="19"/>
  <c r="H42" i="15"/>
  <c r="H20" i="15"/>
  <c r="H25" i="11"/>
  <c r="BM27" i="18"/>
  <c r="BM28" i="18" s="1"/>
  <c r="BM40" i="18"/>
  <c r="BM41" i="18" s="1"/>
  <c r="BE26" i="47"/>
  <c r="BK12" i="31"/>
  <c r="BP14" i="20"/>
  <c r="BP15" i="20" s="1"/>
  <c r="BP20" i="20"/>
  <c r="BP21" i="20" s="1"/>
  <c r="BP34" i="20" s="1"/>
  <c r="BL26" i="34"/>
  <c r="BQ21" i="19"/>
  <c r="BQ43" i="15"/>
  <c r="BQ21" i="15"/>
  <c r="H17" i="19"/>
  <c r="BQ13" i="28"/>
  <c r="BK9" i="47" s="1"/>
  <c r="K13" i="30"/>
  <c r="L13" i="29"/>
  <c r="J13" i="23"/>
  <c r="D9" i="50" s="1"/>
  <c r="J13" i="30"/>
  <c r="K13" i="29"/>
  <c r="H12" i="13"/>
  <c r="K13" i="23"/>
  <c r="E9" i="50" s="1"/>
  <c r="L13" i="30"/>
  <c r="M13" i="30"/>
  <c r="N13" i="30"/>
  <c r="L13" i="23"/>
  <c r="F9" i="50" s="1"/>
  <c r="O13" i="30"/>
  <c r="P13" i="30"/>
  <c r="M13" i="23"/>
  <c r="G9" i="50" s="1"/>
  <c r="Q13" i="30"/>
  <c r="N13" i="23"/>
  <c r="H9" i="50" s="1"/>
  <c r="R13" i="30"/>
  <c r="S13" i="30"/>
  <c r="AC13" i="29"/>
  <c r="BJ10" i="47"/>
  <c r="BM40" i="17"/>
  <c r="BM41" i="17" s="1"/>
  <c r="BQ15" i="37"/>
  <c r="J15" i="39"/>
  <c r="S15" i="39"/>
  <c r="N15" i="26"/>
  <c r="AC15" i="38"/>
  <c r="BI50" i="47"/>
  <c r="BO12" i="34"/>
  <c r="BQ45" i="15"/>
  <c r="BF31" i="47"/>
  <c r="BL21" i="31"/>
  <c r="BM33" i="17" l="1"/>
  <c r="BM46" i="17"/>
  <c r="BM47" i="17" s="1"/>
  <c r="BM42" i="17"/>
  <c r="H13" i="30"/>
  <c r="H13" i="29"/>
  <c r="H13" i="28"/>
  <c r="H13" i="23"/>
  <c r="BL37" i="9"/>
  <c r="BL38" i="9" s="1"/>
  <c r="BF18" i="47"/>
  <c r="H11" i="39"/>
  <c r="H11" i="38"/>
  <c r="H11" i="37"/>
  <c r="H11" i="26"/>
  <c r="H20" i="18"/>
  <c r="H20" i="17"/>
  <c r="H19" i="13"/>
  <c r="H13" i="15"/>
  <c r="H31" i="12"/>
  <c r="H39" i="12"/>
  <c r="H17" i="9"/>
  <c r="BQ8" i="28"/>
  <c r="BQ19" i="16"/>
  <c r="BQ21" i="16" s="1"/>
  <c r="BQ26" i="11"/>
  <c r="BQ27" i="11" s="1"/>
  <c r="K8" i="30"/>
  <c r="L8" i="29"/>
  <c r="M8" i="29"/>
  <c r="J8" i="30"/>
  <c r="J8" i="23"/>
  <c r="D4" i="50" s="1"/>
  <c r="H18" i="11"/>
  <c r="K8" i="29"/>
  <c r="L8" i="30"/>
  <c r="K8" i="23"/>
  <c r="E4" i="50" s="1"/>
  <c r="M8" i="30"/>
  <c r="N8" i="30"/>
  <c r="L8" i="23"/>
  <c r="F4" i="50" s="1"/>
  <c r="O8" i="30"/>
  <c r="P8" i="30"/>
  <c r="M8" i="23"/>
  <c r="G4" i="50" s="1"/>
  <c r="Q8" i="30"/>
  <c r="R8" i="30"/>
  <c r="N8" i="23"/>
  <c r="H4" i="50" s="1"/>
  <c r="S8" i="30"/>
  <c r="AC8" i="29"/>
  <c r="BM42" i="18"/>
  <c r="BM46" i="18"/>
  <c r="BM47" i="18" s="1"/>
  <c r="BM33" i="18"/>
  <c r="BP66" i="20"/>
  <c r="BP68" i="20" s="1"/>
  <c r="BQ8" i="31"/>
  <c r="K8" i="32"/>
  <c r="L8" i="32"/>
  <c r="S8" i="33"/>
  <c r="N8" i="24"/>
  <c r="H23" i="50" s="1"/>
  <c r="AC8" i="32"/>
  <c r="BL23" i="9"/>
  <c r="BF36" i="47"/>
  <c r="BM14" i="18"/>
  <c r="BM29" i="18"/>
  <c r="BQ32" i="15"/>
  <c r="BQ15" i="15"/>
  <c r="H14" i="15"/>
  <c r="H32" i="15" s="1"/>
  <c r="BQ48" i="19"/>
  <c r="BQ10" i="34"/>
  <c r="K10" i="36"/>
  <c r="L10" i="35"/>
  <c r="J10" i="35"/>
  <c r="J10" i="36"/>
  <c r="J10" i="25"/>
  <c r="D49" i="50" s="1"/>
  <c r="K10" i="35"/>
  <c r="H38" i="19"/>
  <c r="K10" i="25"/>
  <c r="E49" i="50" s="1"/>
  <c r="L10" i="36"/>
  <c r="M10" i="36"/>
  <c r="L10" i="25"/>
  <c r="F49" i="50" s="1"/>
  <c r="N10" i="36"/>
  <c r="O10" i="36"/>
  <c r="M10" i="25"/>
  <c r="G49" i="50" s="1"/>
  <c r="P10" i="36"/>
  <c r="Q10" i="36"/>
  <c r="N10" i="25"/>
  <c r="H49" i="50" s="1"/>
  <c r="R10" i="36"/>
  <c r="S10" i="36"/>
  <c r="AC10" i="35"/>
  <c r="BL29" i="34"/>
  <c r="BF65" i="47"/>
  <c r="BQ17" i="34"/>
  <c r="BK56" i="47" s="1"/>
  <c r="BQ12" i="17"/>
  <c r="BQ27" i="17"/>
  <c r="J17" i="36"/>
  <c r="K17" i="35"/>
  <c r="J17" i="25"/>
  <c r="D56" i="50" s="1"/>
  <c r="H22" i="17"/>
  <c r="L17" i="35"/>
  <c r="K17" i="36"/>
  <c r="K17" i="25"/>
  <c r="E56" i="50" s="1"/>
  <c r="L17" i="36"/>
  <c r="M17" i="36"/>
  <c r="L17" i="25"/>
  <c r="F56" i="50" s="1"/>
  <c r="N17" i="36"/>
  <c r="O17" i="36"/>
  <c r="P17" i="36"/>
  <c r="M17" i="25"/>
  <c r="G56" i="50" s="1"/>
  <c r="Q17" i="36"/>
  <c r="R17" i="36"/>
  <c r="N17" i="25"/>
  <c r="H56" i="50" s="1"/>
  <c r="S17" i="36"/>
  <c r="AC17" i="35"/>
  <c r="BO15" i="34"/>
  <c r="BI51" i="47"/>
  <c r="H21" i="19"/>
  <c r="H43" i="15"/>
  <c r="H21" i="15"/>
  <c r="BQ12" i="37"/>
  <c r="J12" i="39"/>
  <c r="K12" i="38"/>
  <c r="L12" i="38"/>
  <c r="S12" i="39"/>
  <c r="N12" i="26"/>
  <c r="AC12" i="38"/>
  <c r="BQ21" i="34"/>
  <c r="BK60" i="47" s="1"/>
  <c r="BQ12" i="18"/>
  <c r="L21" i="35"/>
  <c r="M21" i="35"/>
  <c r="J21" i="25"/>
  <c r="D60" i="50" s="1"/>
  <c r="J21" i="36"/>
  <c r="K21" i="35"/>
  <c r="H22" i="18"/>
  <c r="K21" i="36"/>
  <c r="K21" i="25"/>
  <c r="E60" i="50" s="1"/>
  <c r="L21" i="36"/>
  <c r="M21" i="36"/>
  <c r="N21" i="36"/>
  <c r="L21" i="25"/>
  <c r="F60" i="50" s="1"/>
  <c r="O21" i="36"/>
  <c r="M21" i="25"/>
  <c r="G60" i="50" s="1"/>
  <c r="P21" i="36"/>
  <c r="Q21" i="36"/>
  <c r="R21" i="36"/>
  <c r="N21" i="25"/>
  <c r="H60" i="50" s="1"/>
  <c r="S21" i="36"/>
  <c r="AC21" i="35"/>
  <c r="BP39" i="20"/>
  <c r="BP25" i="20"/>
  <c r="BP27" i="20" s="1"/>
  <c r="BQ39" i="16"/>
  <c r="BQ40" i="16" s="1"/>
  <c r="BQ10" i="31"/>
  <c r="BK25" i="47" s="1"/>
  <c r="K10" i="32"/>
  <c r="J10" i="33"/>
  <c r="N10" i="24"/>
  <c r="H25" i="50" s="1"/>
  <c r="S10" i="33"/>
  <c r="AC10" i="32"/>
  <c r="BK22" i="9"/>
  <c r="BK24" i="9" s="1"/>
  <c r="BE27" i="47"/>
  <c r="R12" i="33"/>
  <c r="AA12" i="32"/>
  <c r="BQ29" i="15"/>
  <c r="BQ10" i="12"/>
  <c r="BQ11" i="12" s="1"/>
  <c r="H18" i="9"/>
  <c r="BL12" i="9" l="1"/>
  <c r="BL13" i="9" s="1"/>
  <c r="BF68" i="47"/>
  <c r="BQ14" i="34"/>
  <c r="BK53" i="47" s="1"/>
  <c r="L14" i="35"/>
  <c r="M14" i="35"/>
  <c r="J14" i="36"/>
  <c r="J14" i="25"/>
  <c r="D53" i="50" s="1"/>
  <c r="K14" i="35"/>
  <c r="H15" i="15"/>
  <c r="K14" i="36"/>
  <c r="K14" i="25"/>
  <c r="E53" i="50" s="1"/>
  <c r="L14" i="36"/>
  <c r="M14" i="36"/>
  <c r="N14" i="36"/>
  <c r="L14" i="25"/>
  <c r="F53" i="50" s="1"/>
  <c r="O14" i="36"/>
  <c r="P14" i="36"/>
  <c r="M14" i="25"/>
  <c r="G53" i="50" s="1"/>
  <c r="Q14" i="36"/>
  <c r="R14" i="36"/>
  <c r="N14" i="25"/>
  <c r="H53" i="50" s="1"/>
  <c r="S14" i="36"/>
  <c r="AC14" i="35"/>
  <c r="H8" i="30"/>
  <c r="H8" i="29"/>
  <c r="H8" i="28"/>
  <c r="H8" i="23"/>
  <c r="H19" i="16"/>
  <c r="H26" i="11"/>
  <c r="BQ9" i="19"/>
  <c r="BQ11" i="19" s="1"/>
  <c r="BQ30" i="15"/>
  <c r="BQ36" i="15" s="1"/>
  <c r="H11" i="12"/>
  <c r="BM18" i="28"/>
  <c r="BG14" i="47" s="1"/>
  <c r="H21" i="35"/>
  <c r="H21" i="36"/>
  <c r="H21" i="34"/>
  <c r="H21" i="25"/>
  <c r="H12" i="18"/>
  <c r="BQ19" i="34"/>
  <c r="BK58" i="47" s="1"/>
  <c r="BQ26" i="16"/>
  <c r="BQ12" i="16"/>
  <c r="K19" i="36"/>
  <c r="M19" i="35"/>
  <c r="J19" i="25"/>
  <c r="D58" i="50" s="1"/>
  <c r="J19" i="36"/>
  <c r="H21" i="16"/>
  <c r="K19" i="35"/>
  <c r="L19" i="35"/>
  <c r="L19" i="36"/>
  <c r="K19" i="25"/>
  <c r="E58" i="50" s="1"/>
  <c r="M19" i="36"/>
  <c r="L19" i="25"/>
  <c r="F58" i="50" s="1"/>
  <c r="N19" i="36"/>
  <c r="O19" i="36"/>
  <c r="P19" i="36"/>
  <c r="M19" i="25"/>
  <c r="G58" i="50" s="1"/>
  <c r="Q19" i="36"/>
  <c r="N19" i="25"/>
  <c r="H58" i="50" s="1"/>
  <c r="R19" i="36"/>
  <c r="S19" i="36"/>
  <c r="AC19" i="35"/>
  <c r="BM22" i="34"/>
  <c r="H29" i="15"/>
  <c r="H10" i="12"/>
  <c r="BQ11" i="28"/>
  <c r="BK4" i="47"/>
  <c r="BK49" i="47"/>
  <c r="BK23" i="47"/>
  <c r="BM16" i="28"/>
  <c r="BL25" i="31"/>
  <c r="BF40" i="47" s="1"/>
  <c r="BM36" i="9"/>
  <c r="BL28" i="9"/>
  <c r="BL30" i="9" s="1"/>
  <c r="BI54" i="47"/>
  <c r="H17" i="35"/>
  <c r="H17" i="36"/>
  <c r="H17" i="34"/>
  <c r="H17" i="25"/>
  <c r="H27" i="17"/>
  <c r="H12" i="17"/>
  <c r="H10" i="35"/>
  <c r="H10" i="36"/>
  <c r="H10" i="34"/>
  <c r="H10" i="25"/>
  <c r="BM48" i="17"/>
  <c r="BM34" i="17"/>
  <c r="BM35" i="17" s="1"/>
  <c r="BM13" i="17" s="1"/>
  <c r="BM15" i="17" s="1"/>
  <c r="BP35" i="20"/>
  <c r="BP36" i="20" s="1"/>
  <c r="BQ33" i="20" s="1"/>
  <c r="BP40" i="20"/>
  <c r="BP41" i="20" s="1"/>
  <c r="BP46" i="20" s="1"/>
  <c r="BP47" i="20" s="1"/>
  <c r="BM35" i="18"/>
  <c r="BM13" i="18" s="1"/>
  <c r="BM15" i="18" s="1"/>
  <c r="BM48" i="18"/>
  <c r="BM34" i="18"/>
  <c r="BK23" i="31"/>
  <c r="BE38" i="47" s="1"/>
  <c r="BK15" i="22"/>
  <c r="BK17" i="22" s="1"/>
  <c r="BK21" i="22" s="1"/>
  <c r="R23" i="33"/>
  <c r="AA23" i="32"/>
  <c r="BQ32" i="16"/>
  <c r="BQ45" i="16"/>
  <c r="BQ46" i="16" s="1"/>
  <c r="BQ41" i="16"/>
  <c r="H40" i="16"/>
  <c r="BP77" i="20"/>
  <c r="BP69" i="20"/>
  <c r="BQ14" i="31"/>
  <c r="L14" i="32"/>
  <c r="S14" i="33"/>
  <c r="N14" i="24"/>
  <c r="H29" i="50" s="1"/>
  <c r="AC14" i="32"/>
  <c r="BM16" i="31" l="1"/>
  <c r="BN11" i="17"/>
  <c r="BQ22" i="19"/>
  <c r="BQ23" i="19" s="1"/>
  <c r="H11" i="19"/>
  <c r="H22" i="19" s="1"/>
  <c r="BQ15" i="31"/>
  <c r="BK30" i="47" s="1"/>
  <c r="K15" i="32"/>
  <c r="S15" i="33"/>
  <c r="N15" i="24"/>
  <c r="H30" i="50" s="1"/>
  <c r="AC15" i="32"/>
  <c r="BM25" i="34"/>
  <c r="BG64" i="47" s="1"/>
  <c r="BQ33" i="16"/>
  <c r="BQ34" i="16" s="1"/>
  <c r="BQ47" i="16"/>
  <c r="H46" i="16"/>
  <c r="H33" i="16" s="1"/>
  <c r="BQ17" i="28"/>
  <c r="BK13" i="47" s="1"/>
  <c r="K17" i="30"/>
  <c r="L17" i="29"/>
  <c r="J17" i="23"/>
  <c r="D13" i="50" s="1"/>
  <c r="J17" i="30"/>
  <c r="K17" i="29"/>
  <c r="H41" i="16"/>
  <c r="K17" i="23"/>
  <c r="E13" i="50" s="1"/>
  <c r="L17" i="30"/>
  <c r="M17" i="30"/>
  <c r="N17" i="30"/>
  <c r="L17" i="23"/>
  <c r="F13" i="50" s="1"/>
  <c r="O17" i="30"/>
  <c r="P17" i="30"/>
  <c r="M17" i="23"/>
  <c r="G13" i="50" s="1"/>
  <c r="Q17" i="30"/>
  <c r="R17" i="30"/>
  <c r="N17" i="23"/>
  <c r="H13" i="50" s="1"/>
  <c r="S17" i="30"/>
  <c r="AC17" i="29"/>
  <c r="BM18" i="31"/>
  <c r="BG33" i="47" s="1"/>
  <c r="BN11" i="18"/>
  <c r="BQ26" i="20"/>
  <c r="BL27" i="31"/>
  <c r="BF42" i="47" s="1"/>
  <c r="BL16" i="22"/>
  <c r="BM23" i="34"/>
  <c r="BG62" i="47" s="1"/>
  <c r="H14" i="36"/>
  <c r="H14" i="35"/>
  <c r="H14" i="34"/>
  <c r="H14" i="25"/>
  <c r="BP76" i="20"/>
  <c r="BP78" i="20" s="1"/>
  <c r="BP81" i="20"/>
  <c r="BP48" i="20"/>
  <c r="BP11" i="34"/>
  <c r="BG61" i="47"/>
  <c r="H19" i="36"/>
  <c r="H19" i="34"/>
  <c r="H19" i="35"/>
  <c r="H19" i="25"/>
  <c r="H12" i="16"/>
  <c r="H26" i="16"/>
  <c r="H9" i="19"/>
  <c r="H30" i="15"/>
  <c r="BG12" i="47"/>
  <c r="BM19" i="28"/>
  <c r="BK29" i="47"/>
  <c r="H45" i="16"/>
  <c r="H32" i="16"/>
  <c r="BQ14" i="28"/>
  <c r="BQ9" i="20"/>
  <c r="BQ10" i="20" s="1"/>
  <c r="BK7" i="47"/>
  <c r="J11" i="23"/>
  <c r="K11" i="30"/>
  <c r="H11" i="28"/>
  <c r="H9" i="20" s="1"/>
  <c r="K11" i="23"/>
  <c r="E7" i="50" s="1"/>
  <c r="L11" i="30"/>
  <c r="M11" i="30"/>
  <c r="L11" i="23"/>
  <c r="F7" i="50" s="1"/>
  <c r="N11" i="30"/>
  <c r="O11" i="30"/>
  <c r="P11" i="30"/>
  <c r="M11" i="23"/>
  <c r="G7" i="50" s="1"/>
  <c r="Q11" i="30"/>
  <c r="N11" i="23"/>
  <c r="H7" i="50" s="1"/>
  <c r="R11" i="30"/>
  <c r="S11" i="30"/>
  <c r="AC11" i="29"/>
  <c r="H11" i="29" s="1"/>
  <c r="BL11" i="31"/>
  <c r="BM11" i="9"/>
  <c r="BL9" i="8"/>
  <c r="BQ13" i="16" l="1"/>
  <c r="BQ15" i="16" s="1"/>
  <c r="H34" i="16"/>
  <c r="H13" i="16" s="1"/>
  <c r="H17" i="30"/>
  <c r="H17" i="29"/>
  <c r="H17" i="28"/>
  <c r="H17" i="23"/>
  <c r="BQ24" i="34"/>
  <c r="BK63" i="47" s="1"/>
  <c r="K24" i="36"/>
  <c r="L24" i="35"/>
  <c r="J24" i="25"/>
  <c r="D63" i="50" s="1"/>
  <c r="J24" i="36"/>
  <c r="K24" i="35"/>
  <c r="H47" i="16"/>
  <c r="L24" i="36"/>
  <c r="K24" i="25"/>
  <c r="E63" i="50" s="1"/>
  <c r="M24" i="36"/>
  <c r="L24" i="25"/>
  <c r="F63" i="50" s="1"/>
  <c r="N24" i="36"/>
  <c r="O24" i="36"/>
  <c r="M24" i="25"/>
  <c r="G63" i="50" s="1"/>
  <c r="P24" i="36"/>
  <c r="Q24" i="36"/>
  <c r="R24" i="36"/>
  <c r="N24" i="25"/>
  <c r="H63" i="50" s="1"/>
  <c r="S24" i="36"/>
  <c r="AC24" i="35"/>
  <c r="BJ50" i="47"/>
  <c r="BP12" i="34"/>
  <c r="BN27" i="18"/>
  <c r="BN28" i="18" s="1"/>
  <c r="BN40" i="18"/>
  <c r="BN41" i="18" s="1"/>
  <c r="BP21" i="28"/>
  <c r="BJ17" i="47" s="1"/>
  <c r="H11" i="30"/>
  <c r="BF26" i="47"/>
  <c r="BL12" i="31"/>
  <c r="H11" i="23"/>
  <c r="D7" i="50"/>
  <c r="BM22" i="28"/>
  <c r="BM82" i="20"/>
  <c r="BG15" i="47"/>
  <c r="BP20" i="31"/>
  <c r="BJ35" i="47" s="1"/>
  <c r="BQ75" i="20"/>
  <c r="BQ30" i="19"/>
  <c r="BQ32" i="19" s="1"/>
  <c r="BQ49" i="19"/>
  <c r="BQ51" i="19" s="1"/>
  <c r="H23" i="19"/>
  <c r="BQ14" i="20"/>
  <c r="BQ15" i="20" s="1"/>
  <c r="BQ20" i="20"/>
  <c r="BQ21" i="20" s="1"/>
  <c r="H10" i="20"/>
  <c r="BM26" i="34"/>
  <c r="BN40" i="17"/>
  <c r="BN41" i="17" s="1"/>
  <c r="BK10" i="47"/>
  <c r="L14" i="29"/>
  <c r="K14" i="30"/>
  <c r="M14" i="29"/>
  <c r="J14" i="30"/>
  <c r="J14" i="23"/>
  <c r="K14" i="29"/>
  <c r="H14" i="28"/>
  <c r="K14" i="23"/>
  <c r="E10" i="50" s="1"/>
  <c r="L14" i="30"/>
  <c r="M14" i="30"/>
  <c r="L14" i="23"/>
  <c r="F10" i="50" s="1"/>
  <c r="N14" i="30"/>
  <c r="O14" i="30"/>
  <c r="P14" i="30"/>
  <c r="M14" i="23"/>
  <c r="G10" i="50" s="1"/>
  <c r="Q14" i="30"/>
  <c r="R14" i="30"/>
  <c r="N14" i="23"/>
  <c r="H10" i="50" s="1"/>
  <c r="S14" i="30"/>
  <c r="AC14" i="29"/>
  <c r="BG31" i="47"/>
  <c r="BM21" i="31"/>
  <c r="BM37" i="9" l="1"/>
  <c r="BM38" i="9" s="1"/>
  <c r="BG18" i="47"/>
  <c r="H14" i="29"/>
  <c r="BQ19" i="31"/>
  <c r="BK34" i="47" s="1"/>
  <c r="K19" i="32"/>
  <c r="S19" i="33"/>
  <c r="N19" i="24"/>
  <c r="H34" i="50" s="1"/>
  <c r="AC19" i="32"/>
  <c r="H14" i="23"/>
  <c r="D10" i="50"/>
  <c r="BN46" i="17"/>
  <c r="BN47" i="17" s="1"/>
  <c r="BN42" i="17"/>
  <c r="BN33" i="17"/>
  <c r="BQ66" i="20"/>
  <c r="BQ68" i="20" s="1"/>
  <c r="BN46" i="18"/>
  <c r="BN47" i="18" s="1"/>
  <c r="BN42" i="18"/>
  <c r="BN33" i="18"/>
  <c r="BM23" i="9"/>
  <c r="BG36" i="47"/>
  <c r="H14" i="30"/>
  <c r="BM29" i="34"/>
  <c r="BG65" i="47"/>
  <c r="BL22" i="9"/>
  <c r="BL24" i="9" s="1"/>
  <c r="BF27" i="47"/>
  <c r="BN14" i="18"/>
  <c r="BN29" i="18"/>
  <c r="H24" i="36"/>
  <c r="H24" i="35"/>
  <c r="H24" i="34"/>
  <c r="H24" i="25"/>
  <c r="H20" i="20"/>
  <c r="H14" i="20"/>
  <c r="BP15" i="34"/>
  <c r="BJ51" i="47"/>
  <c r="BQ36" i="19"/>
  <c r="H51" i="19"/>
  <c r="H36" i="19" s="1"/>
  <c r="BQ34" i="20"/>
  <c r="H21" i="20"/>
  <c r="H34" i="20" s="1"/>
  <c r="BQ39" i="20"/>
  <c r="BQ25" i="20"/>
  <c r="BQ27" i="20" s="1"/>
  <c r="H15" i="20"/>
  <c r="H30" i="19"/>
  <c r="H49" i="19"/>
  <c r="BQ17" i="31"/>
  <c r="BK32" i="47" s="1"/>
  <c r="J17" i="33"/>
  <c r="S17" i="33"/>
  <c r="N17" i="24"/>
  <c r="H32" i="50" s="1"/>
  <c r="AC17" i="32"/>
  <c r="BM12" i="9" l="1"/>
  <c r="BM13" i="9" s="1"/>
  <c r="BG68" i="47"/>
  <c r="H25" i="20"/>
  <c r="H39" i="20"/>
  <c r="BN22" i="34"/>
  <c r="AB22" i="35"/>
  <c r="BN48" i="17"/>
  <c r="BN34" i="17"/>
  <c r="BN35" i="17" s="1"/>
  <c r="BN13" i="17" s="1"/>
  <c r="BN15" i="17" s="1"/>
  <c r="BJ54" i="47"/>
  <c r="BN16" i="28"/>
  <c r="AB16" i="29"/>
  <c r="BL23" i="31"/>
  <c r="BF38" i="47" s="1"/>
  <c r="BL15" i="22"/>
  <c r="BL17" i="22" s="1"/>
  <c r="BL21" i="22" s="1"/>
  <c r="BN18" i="28"/>
  <c r="BH14" i="47" s="1"/>
  <c r="AB18" i="29"/>
  <c r="BQ69" i="20"/>
  <c r="BQ77" i="20"/>
  <c r="H68" i="20"/>
  <c r="H77" i="20" s="1"/>
  <c r="BN48" i="18"/>
  <c r="BN34" i="18"/>
  <c r="BN35" i="18" s="1"/>
  <c r="BN13" i="18" s="1"/>
  <c r="BN15" i="18" s="1"/>
  <c r="BQ35" i="20"/>
  <c r="BQ36" i="20" s="1"/>
  <c r="BQ40" i="20"/>
  <c r="BQ41" i="20" s="1"/>
  <c r="H27" i="20"/>
  <c r="BM25" i="31"/>
  <c r="BG40" i="47" s="1"/>
  <c r="BN36" i="9"/>
  <c r="BM28" i="9"/>
  <c r="BM30" i="9" s="1"/>
  <c r="BN16" i="31" l="1"/>
  <c r="BO11" i="17"/>
  <c r="AB16" i="32"/>
  <c r="BQ46" i="20"/>
  <c r="BQ47" i="20" s="1"/>
  <c r="H41" i="20"/>
  <c r="H46" i="20" s="1"/>
  <c r="BN18" i="31"/>
  <c r="BH33" i="47" s="1"/>
  <c r="BO11" i="18"/>
  <c r="AB18" i="32"/>
  <c r="BH61" i="47"/>
  <c r="BM27" i="31"/>
  <c r="BG42" i="47" s="1"/>
  <c r="BM16" i="22"/>
  <c r="BN25" i="34"/>
  <c r="BH64" i="47" s="1"/>
  <c r="AB25" i="35"/>
  <c r="BH12" i="47"/>
  <c r="BN19" i="28"/>
  <c r="BN23" i="34"/>
  <c r="BH62" i="47" s="1"/>
  <c r="AB23" i="35"/>
  <c r="H35" i="20"/>
  <c r="H40" i="20"/>
  <c r="BQ11" i="34"/>
  <c r="K11" i="36"/>
  <c r="J11" i="36"/>
  <c r="K11" i="35"/>
  <c r="J11" i="25"/>
  <c r="D50" i="50" s="1"/>
  <c r="H69" i="20"/>
  <c r="L11" i="35"/>
  <c r="L11" i="36"/>
  <c r="K11" i="25"/>
  <c r="E50" i="50" s="1"/>
  <c r="M11" i="36"/>
  <c r="N11" i="36"/>
  <c r="L11" i="25"/>
  <c r="F50" i="50" s="1"/>
  <c r="O11" i="36"/>
  <c r="M11" i="25"/>
  <c r="G50" i="50" s="1"/>
  <c r="P11" i="36"/>
  <c r="Q11" i="36"/>
  <c r="R11" i="36"/>
  <c r="N11" i="25"/>
  <c r="H50" i="50" s="1"/>
  <c r="S11" i="36"/>
  <c r="AC11" i="35"/>
  <c r="BM11" i="31"/>
  <c r="BN11" i="9"/>
  <c r="BM9" i="8"/>
  <c r="BO27" i="18" l="1"/>
  <c r="BO28" i="18" s="1"/>
  <c r="BO40" i="18"/>
  <c r="BO41" i="18" s="1"/>
  <c r="BK50" i="47"/>
  <c r="BQ12" i="34"/>
  <c r="H11" i="36"/>
  <c r="H11" i="35"/>
  <c r="H11" i="34"/>
  <c r="H11" i="25"/>
  <c r="BQ76" i="20"/>
  <c r="BQ78" i="20" s="1"/>
  <c r="BQ81" i="20"/>
  <c r="BQ48" i="20"/>
  <c r="H47" i="20"/>
  <c r="BG26" i="47"/>
  <c r="BM12" i="31"/>
  <c r="BN26" i="34"/>
  <c r="BO40" i="17"/>
  <c r="BO41" i="17" s="1"/>
  <c r="BN22" i="28"/>
  <c r="BN82" i="20"/>
  <c r="BH15" i="47"/>
  <c r="AB19" i="29"/>
  <c r="BH31" i="47"/>
  <c r="BN21" i="31"/>
  <c r="BM22" i="9" l="1"/>
  <c r="BM24" i="9" s="1"/>
  <c r="BG27" i="47"/>
  <c r="BQ15" i="34"/>
  <c r="BK51" i="47"/>
  <c r="L12" i="35"/>
  <c r="M12" i="35"/>
  <c r="J12" i="25"/>
  <c r="J12" i="36"/>
  <c r="K12" i="35"/>
  <c r="H12" i="34"/>
  <c r="K12" i="36"/>
  <c r="K12" i="25"/>
  <c r="E51" i="50" s="1"/>
  <c r="L12" i="36"/>
  <c r="M12" i="36"/>
  <c r="N12" i="36"/>
  <c r="L12" i="25"/>
  <c r="F51" i="50" s="1"/>
  <c r="O12" i="36"/>
  <c r="P12" i="36"/>
  <c r="M12" i="25"/>
  <c r="G51" i="50" s="1"/>
  <c r="Q12" i="36"/>
  <c r="R12" i="36"/>
  <c r="N12" i="25"/>
  <c r="H51" i="50" s="1"/>
  <c r="S12" i="36"/>
  <c r="AC12" i="35"/>
  <c r="BN37" i="9"/>
  <c r="BN38" i="9" s="1"/>
  <c r="BH18" i="47"/>
  <c r="AB22" i="29"/>
  <c r="H76" i="20"/>
  <c r="H81" i="20"/>
  <c r="BQ21" i="28"/>
  <c r="BK17" i="47" s="1"/>
  <c r="K21" i="30"/>
  <c r="J21" i="30"/>
  <c r="J21" i="23"/>
  <c r="D17" i="50" s="1"/>
  <c r="K21" i="29"/>
  <c r="H48" i="20"/>
  <c r="L21" i="29"/>
  <c r="K21" i="23"/>
  <c r="E17" i="50" s="1"/>
  <c r="L21" i="30"/>
  <c r="M21" i="30"/>
  <c r="L21" i="23"/>
  <c r="F17" i="50" s="1"/>
  <c r="N21" i="30"/>
  <c r="O21" i="30"/>
  <c r="P21" i="30"/>
  <c r="M21" i="23"/>
  <c r="G17" i="50" s="1"/>
  <c r="Q21" i="30"/>
  <c r="R21" i="30"/>
  <c r="N21" i="23"/>
  <c r="H17" i="50" s="1"/>
  <c r="S21" i="30"/>
  <c r="AC21" i="29"/>
  <c r="BN23" i="9"/>
  <c r="BH36" i="47"/>
  <c r="AB21" i="32"/>
  <c r="BQ20" i="31"/>
  <c r="BK35" i="47" s="1"/>
  <c r="J20" i="33"/>
  <c r="S20" i="33"/>
  <c r="N20" i="24"/>
  <c r="H35" i="50" s="1"/>
  <c r="AC20" i="32"/>
  <c r="BO46" i="18"/>
  <c r="BO47" i="18" s="1"/>
  <c r="BO42" i="18"/>
  <c r="BO33" i="18"/>
  <c r="BO42" i="17"/>
  <c r="BO33" i="17"/>
  <c r="BO46" i="17"/>
  <c r="BO47" i="17" s="1"/>
  <c r="BN29" i="34"/>
  <c r="BH65" i="47"/>
  <c r="AB26" i="35"/>
  <c r="BO14" i="18"/>
  <c r="BO29" i="18"/>
  <c r="H12" i="36" l="1"/>
  <c r="H12" i="25"/>
  <c r="D51" i="50"/>
  <c r="BO22" i="34"/>
  <c r="BO18" i="28"/>
  <c r="BI14" i="47" s="1"/>
  <c r="H21" i="29"/>
  <c r="H21" i="30"/>
  <c r="H21" i="28"/>
  <c r="H21" i="23"/>
  <c r="BO16" i="28"/>
  <c r="BO48" i="18"/>
  <c r="BO34" i="18"/>
  <c r="BO35" i="18" s="1"/>
  <c r="BO13" i="18" s="1"/>
  <c r="BO15" i="18" s="1"/>
  <c r="BK54" i="47"/>
  <c r="K15" i="35"/>
  <c r="K15" i="36"/>
  <c r="L15" i="35"/>
  <c r="J15" i="36"/>
  <c r="J15" i="25"/>
  <c r="H15" i="34"/>
  <c r="K15" i="25"/>
  <c r="E54" i="50" s="1"/>
  <c r="L15" i="36"/>
  <c r="M15" i="36"/>
  <c r="L15" i="25"/>
  <c r="F54" i="50" s="1"/>
  <c r="N15" i="36"/>
  <c r="O15" i="36"/>
  <c r="P15" i="36"/>
  <c r="M15" i="25"/>
  <c r="G54" i="50" s="1"/>
  <c r="Q15" i="36"/>
  <c r="R15" i="36"/>
  <c r="N15" i="25"/>
  <c r="H54" i="50" s="1"/>
  <c r="S15" i="36"/>
  <c r="AC15" i="35"/>
  <c r="BN12" i="9"/>
  <c r="BN13" i="9" s="1"/>
  <c r="BH68" i="47"/>
  <c r="AB29" i="35"/>
  <c r="BO48" i="17"/>
  <c r="BO34" i="17"/>
  <c r="BO35" i="17" s="1"/>
  <c r="BO13" i="17" s="1"/>
  <c r="BO15" i="17" s="1"/>
  <c r="BN25" i="31"/>
  <c r="BH40" i="47" s="1"/>
  <c r="BO36" i="9"/>
  <c r="BN28" i="9"/>
  <c r="BN30" i="9" s="1"/>
  <c r="AB25" i="32"/>
  <c r="H12" i="35"/>
  <c r="BM23" i="31"/>
  <c r="BG38" i="47" s="1"/>
  <c r="BM15" i="22"/>
  <c r="BM17" i="22" s="1"/>
  <c r="BM21" i="22" s="1"/>
  <c r="BO16" i="31" l="1"/>
  <c r="BP11" i="17"/>
  <c r="BI12" i="47"/>
  <c r="BO19" i="28"/>
  <c r="BO18" i="31"/>
  <c r="BI33" i="47" s="1"/>
  <c r="BP11" i="18"/>
  <c r="H15" i="35"/>
  <c r="BO23" i="34"/>
  <c r="BI62" i="47" s="1"/>
  <c r="BI61" i="47"/>
  <c r="H15" i="25"/>
  <c r="D54" i="50"/>
  <c r="BO25" i="34"/>
  <c r="BI64" i="47" s="1"/>
  <c r="BN11" i="31"/>
  <c r="BN9" i="8"/>
  <c r="BO11" i="9"/>
  <c r="AB11" i="32"/>
  <c r="H15" i="36"/>
  <c r="BN27" i="31"/>
  <c r="BH42" i="47" s="1"/>
  <c r="BN16" i="22"/>
  <c r="AB27" i="32"/>
  <c r="BP27" i="18" l="1"/>
  <c r="BP28" i="18" s="1"/>
  <c r="BP40" i="18"/>
  <c r="BP41" i="18" s="1"/>
  <c r="BO22" i="28"/>
  <c r="BO82" i="20"/>
  <c r="BI15" i="47"/>
  <c r="BO26" i="34"/>
  <c r="BH26" i="47"/>
  <c r="BN12" i="31"/>
  <c r="BP40" i="17"/>
  <c r="BP41" i="17" s="1"/>
  <c r="BI31" i="47"/>
  <c r="BO21" i="31"/>
  <c r="BO37" i="9" l="1"/>
  <c r="BO38" i="9" s="1"/>
  <c r="BI18" i="47"/>
  <c r="BN22" i="9"/>
  <c r="BN24" i="9" s="1"/>
  <c r="BH27" i="47"/>
  <c r="AB12" i="32"/>
  <c r="BO29" i="34"/>
  <c r="BI65" i="47"/>
  <c r="BP42" i="18"/>
  <c r="BP33" i="18"/>
  <c r="BP46" i="18"/>
  <c r="BP47" i="18" s="1"/>
  <c r="BO23" i="9"/>
  <c r="BI36" i="47"/>
  <c r="BP42" i="17"/>
  <c r="BP33" i="17"/>
  <c r="BP46" i="17"/>
  <c r="BP47" i="17" s="1"/>
  <c r="BP29" i="18"/>
  <c r="BP14" i="18"/>
  <c r="BP48" i="18" l="1"/>
  <c r="BP34" i="18"/>
  <c r="BN23" i="31"/>
  <c r="BH38" i="47" s="1"/>
  <c r="BN15" i="22"/>
  <c r="BN17" i="22" s="1"/>
  <c r="BN21" i="22" s="1"/>
  <c r="AB23" i="32"/>
  <c r="BP18" i="28"/>
  <c r="BJ14" i="47" s="1"/>
  <c r="BP48" i="17"/>
  <c r="BP34" i="17"/>
  <c r="BP35" i="17" s="1"/>
  <c r="BP13" i="17" s="1"/>
  <c r="BP15" i="17" s="1"/>
  <c r="BP16" i="28"/>
  <c r="BO25" i="31"/>
  <c r="BI40" i="47" s="1"/>
  <c r="BP36" i="9"/>
  <c r="BO28" i="9"/>
  <c r="BO30" i="9" s="1"/>
  <c r="BP35" i="18"/>
  <c r="BP13" i="18" s="1"/>
  <c r="BP15" i="18" s="1"/>
  <c r="BP22" i="34"/>
  <c r="BO12" i="9"/>
  <c r="BO13" i="9" s="1"/>
  <c r="BI68" i="47"/>
  <c r="BP18" i="31" l="1"/>
  <c r="BJ33" i="47" s="1"/>
  <c r="BQ11" i="18"/>
  <c r="BP23" i="34"/>
  <c r="BJ62" i="47" s="1"/>
  <c r="BO11" i="31"/>
  <c r="BP11" i="9"/>
  <c r="BO9" i="8"/>
  <c r="BJ12" i="47"/>
  <c r="BP19" i="28"/>
  <c r="BP16" i="31"/>
  <c r="BQ11" i="17"/>
  <c r="BO27" i="31"/>
  <c r="BI42" i="47" s="1"/>
  <c r="BO16" i="22"/>
  <c r="BJ61" i="47"/>
  <c r="BP25" i="34"/>
  <c r="BJ64" i="47" s="1"/>
  <c r="BP26" i="34" l="1"/>
  <c r="BP29" i="34" s="1"/>
  <c r="BI26" i="47"/>
  <c r="BO12" i="31"/>
  <c r="BQ40" i="18"/>
  <c r="BQ41" i="18" s="1"/>
  <c r="BQ27" i="18"/>
  <c r="BQ28" i="18" s="1"/>
  <c r="BQ40" i="17"/>
  <c r="BQ41" i="17" s="1"/>
  <c r="BJ31" i="47"/>
  <c r="BP21" i="31"/>
  <c r="BP22" i="28"/>
  <c r="BP82" i="20"/>
  <c r="BJ15" i="47"/>
  <c r="BJ65" i="47" l="1"/>
  <c r="BO22" i="9"/>
  <c r="BO24" i="9" s="1"/>
  <c r="BI27" i="47"/>
  <c r="BQ46" i="18"/>
  <c r="BQ47" i="18" s="1"/>
  <c r="BQ42" i="18"/>
  <c r="BQ33" i="18"/>
  <c r="H41" i="18"/>
  <c r="BP23" i="9"/>
  <c r="BJ36" i="47"/>
  <c r="BQ33" i="17"/>
  <c r="BQ42" i="17"/>
  <c r="BQ46" i="17"/>
  <c r="BQ47" i="17" s="1"/>
  <c r="H41" i="17"/>
  <c r="BP12" i="9"/>
  <c r="BP13" i="9" s="1"/>
  <c r="BJ68" i="47"/>
  <c r="BQ29" i="18"/>
  <c r="BQ14" i="18"/>
  <c r="H28" i="18"/>
  <c r="H14" i="18" s="1"/>
  <c r="BP37" i="9"/>
  <c r="BP38" i="9" s="1"/>
  <c r="BJ18" i="47"/>
  <c r="H46" i="17" l="1"/>
  <c r="H33" i="17"/>
  <c r="BQ18" i="28"/>
  <c r="BK14" i="47" s="1"/>
  <c r="K18" i="30"/>
  <c r="M18" i="29"/>
  <c r="J18" i="30"/>
  <c r="J18" i="23"/>
  <c r="D14" i="50" s="1"/>
  <c r="K18" i="29"/>
  <c r="H42" i="18"/>
  <c r="L18" i="29"/>
  <c r="L18" i="30"/>
  <c r="K18" i="23"/>
  <c r="E14" i="50" s="1"/>
  <c r="M18" i="30"/>
  <c r="L18" i="23"/>
  <c r="F14" i="50" s="1"/>
  <c r="N18" i="30"/>
  <c r="O18" i="30"/>
  <c r="P18" i="30"/>
  <c r="M18" i="23"/>
  <c r="G14" i="50" s="1"/>
  <c r="Q18" i="30"/>
  <c r="N18" i="23"/>
  <c r="H14" i="50" s="1"/>
  <c r="R18" i="30"/>
  <c r="S18" i="30"/>
  <c r="AC18" i="29"/>
  <c r="BP11" i="31"/>
  <c r="BP9" i="8"/>
  <c r="BQ11" i="9"/>
  <c r="BQ48" i="17"/>
  <c r="BQ34" i="17"/>
  <c r="BQ35" i="17" s="1"/>
  <c r="H47" i="17"/>
  <c r="H34" i="17" s="1"/>
  <c r="H46" i="18"/>
  <c r="H33" i="18"/>
  <c r="BP25" i="31"/>
  <c r="BJ40" i="47" s="1"/>
  <c r="BP28" i="9"/>
  <c r="BP30" i="9" s="1"/>
  <c r="BQ36" i="9"/>
  <c r="BQ16" i="28"/>
  <c r="K16" i="30"/>
  <c r="L16" i="29"/>
  <c r="J16" i="30"/>
  <c r="J16" i="23"/>
  <c r="D12" i="50" s="1"/>
  <c r="K16" i="29"/>
  <c r="H42" i="17"/>
  <c r="K16" i="23"/>
  <c r="E12" i="50" s="1"/>
  <c r="L16" i="30"/>
  <c r="M16" i="30"/>
  <c r="L16" i="23"/>
  <c r="F12" i="50" s="1"/>
  <c r="N16" i="30"/>
  <c r="O16" i="30"/>
  <c r="P16" i="30"/>
  <c r="M16" i="23"/>
  <c r="G12" i="50" s="1"/>
  <c r="Q16" i="30"/>
  <c r="N16" i="23"/>
  <c r="H12" i="50" s="1"/>
  <c r="R16" i="30"/>
  <c r="S16" i="30"/>
  <c r="AC16" i="29"/>
  <c r="BQ48" i="18"/>
  <c r="BQ34" i="18"/>
  <c r="BQ35" i="18" s="1"/>
  <c r="H47" i="18"/>
  <c r="H34" i="18" s="1"/>
  <c r="BQ22" i="34"/>
  <c r="K22" i="35"/>
  <c r="L22" i="35"/>
  <c r="K22" i="36"/>
  <c r="J22" i="36"/>
  <c r="J22" i="25"/>
  <c r="D61" i="50" s="1"/>
  <c r="H29" i="18"/>
  <c r="L22" i="36"/>
  <c r="K22" i="25"/>
  <c r="E61" i="50" s="1"/>
  <c r="M22" i="36"/>
  <c r="N22" i="36"/>
  <c r="L22" i="25"/>
  <c r="F61" i="50" s="1"/>
  <c r="O22" i="36"/>
  <c r="M22" i="25"/>
  <c r="G61" i="50" s="1"/>
  <c r="P22" i="36"/>
  <c r="Q22" i="36"/>
  <c r="R22" i="36"/>
  <c r="N22" i="25"/>
  <c r="H61" i="50" s="1"/>
  <c r="S22" i="36"/>
  <c r="AC22" i="35"/>
  <c r="BO23" i="31"/>
  <c r="BI38" i="47" s="1"/>
  <c r="BO15" i="22"/>
  <c r="BO17" i="22" s="1"/>
  <c r="BO21" i="22" s="1"/>
  <c r="BQ13" i="18" l="1"/>
  <c r="BQ15" i="18" s="1"/>
  <c r="H35" i="18"/>
  <c r="H13" i="18" s="1"/>
  <c r="BQ13" i="17"/>
  <c r="BQ15" i="17" s="1"/>
  <c r="H35" i="17"/>
  <c r="H13" i="17" s="1"/>
  <c r="BK12" i="47"/>
  <c r="BQ19" i="28"/>
  <c r="BK61" i="47"/>
  <c r="BQ26" i="34"/>
  <c r="BQ23" i="34"/>
  <c r="BK62" i="47" s="1"/>
  <c r="L23" i="35"/>
  <c r="J23" i="25"/>
  <c r="D62" i="50" s="1"/>
  <c r="J23" i="36"/>
  <c r="K23" i="35"/>
  <c r="H48" i="17"/>
  <c r="K23" i="36"/>
  <c r="L23" i="36"/>
  <c r="K23" i="25"/>
  <c r="E62" i="50" s="1"/>
  <c r="M23" i="36"/>
  <c r="L23" i="25"/>
  <c r="F62" i="50" s="1"/>
  <c r="N23" i="36"/>
  <c r="O23" i="36"/>
  <c r="M23" i="25"/>
  <c r="G62" i="50" s="1"/>
  <c r="P23" i="36"/>
  <c r="Q23" i="36"/>
  <c r="N23" i="25"/>
  <c r="H62" i="50" s="1"/>
  <c r="R23" i="36"/>
  <c r="S23" i="36"/>
  <c r="AC23" i="35"/>
  <c r="H16" i="29"/>
  <c r="H16" i="30"/>
  <c r="H16" i="28"/>
  <c r="H16" i="23"/>
  <c r="BP27" i="31"/>
  <c r="BJ42" i="47" s="1"/>
  <c r="BP16" i="22"/>
  <c r="H22" i="35"/>
  <c r="H22" i="34"/>
  <c r="H22" i="36"/>
  <c r="H22" i="25"/>
  <c r="BJ26" i="47"/>
  <c r="BP12" i="31"/>
  <c r="BQ25" i="34"/>
  <c r="BK64" i="47" s="1"/>
  <c r="K25" i="36"/>
  <c r="L25" i="35"/>
  <c r="J25" i="25"/>
  <c r="D64" i="50" s="1"/>
  <c r="J25" i="36"/>
  <c r="K25" i="35"/>
  <c r="H48" i="18"/>
  <c r="L25" i="36"/>
  <c r="K25" i="25"/>
  <c r="E64" i="50" s="1"/>
  <c r="M25" i="36"/>
  <c r="L25" i="25"/>
  <c r="F64" i="50" s="1"/>
  <c r="N25" i="36"/>
  <c r="O25" i="36"/>
  <c r="P25" i="36"/>
  <c r="M25" i="25"/>
  <c r="G64" i="50" s="1"/>
  <c r="Q25" i="36"/>
  <c r="N25" i="25"/>
  <c r="H64" i="50" s="1"/>
  <c r="R25" i="36"/>
  <c r="S25" i="36"/>
  <c r="AC25" i="35"/>
  <c r="H18" i="30"/>
  <c r="H18" i="29"/>
  <c r="H18" i="28"/>
  <c r="H18" i="23"/>
  <c r="H23" i="36" l="1"/>
  <c r="H23" i="35"/>
  <c r="H23" i="34"/>
  <c r="H23" i="25"/>
  <c r="BQ29" i="34"/>
  <c r="BK65" i="47"/>
  <c r="K26" i="36"/>
  <c r="J26" i="36"/>
  <c r="J26" i="25"/>
  <c r="K26" i="35"/>
  <c r="H26" i="34"/>
  <c r="L26" i="35"/>
  <c r="L26" i="36"/>
  <c r="K26" i="25"/>
  <c r="E65" i="50" s="1"/>
  <c r="M26" i="36"/>
  <c r="N26" i="36"/>
  <c r="L26" i="25"/>
  <c r="F65" i="50" s="1"/>
  <c r="O26" i="36"/>
  <c r="M26" i="25"/>
  <c r="G65" i="50" s="1"/>
  <c r="P26" i="36"/>
  <c r="Q26" i="36"/>
  <c r="N26" i="25"/>
  <c r="H65" i="50" s="1"/>
  <c r="R26" i="36"/>
  <c r="S26" i="36"/>
  <c r="AC26" i="35"/>
  <c r="BQ22" i="28"/>
  <c r="BQ82" i="20"/>
  <c r="F83" i="20" s="1"/>
  <c r="BK15" i="47"/>
  <c r="L19" i="29"/>
  <c r="J19" i="30"/>
  <c r="J19" i="23"/>
  <c r="K19" i="29"/>
  <c r="H19" i="29" s="1"/>
  <c r="H19" i="28"/>
  <c r="H82" i="20" s="1"/>
  <c r="K19" i="30"/>
  <c r="L19" i="30"/>
  <c r="K19" i="23"/>
  <c r="E15" i="50" s="1"/>
  <c r="M19" i="30"/>
  <c r="L19" i="23"/>
  <c r="F15" i="50" s="1"/>
  <c r="N19" i="30"/>
  <c r="O19" i="30"/>
  <c r="M19" i="23"/>
  <c r="G15" i="50" s="1"/>
  <c r="P19" i="30"/>
  <c r="Q19" i="30"/>
  <c r="R19" i="30"/>
  <c r="N19" i="23"/>
  <c r="H15" i="50" s="1"/>
  <c r="S19" i="30"/>
  <c r="AC19" i="29"/>
  <c r="BQ16" i="31"/>
  <c r="S16" i="33"/>
  <c r="N16" i="24"/>
  <c r="H31" i="50" s="1"/>
  <c r="AC16" i="32"/>
  <c r="BP22" i="9"/>
  <c r="BP24" i="9" s="1"/>
  <c r="BJ27" i="47"/>
  <c r="H25" i="35"/>
  <c r="H25" i="36"/>
  <c r="H25" i="34"/>
  <c r="H25" i="25"/>
  <c r="BQ18" i="31"/>
  <c r="BK33" i="47" s="1"/>
  <c r="J18" i="33"/>
  <c r="K18" i="32"/>
  <c r="S18" i="33"/>
  <c r="N18" i="24"/>
  <c r="H33" i="50" s="1"/>
  <c r="AC18" i="32"/>
  <c r="H26" i="36" l="1"/>
  <c r="H19" i="23"/>
  <c r="D15" i="50"/>
  <c r="H19" i="30"/>
  <c r="BQ12" i="9"/>
  <c r="BQ13" i="9" s="1"/>
  <c r="BK68" i="47"/>
  <c r="K29" i="36"/>
  <c r="J29" i="25"/>
  <c r="K29" i="35"/>
  <c r="J29" i="36"/>
  <c r="H29" i="34"/>
  <c r="H12" i="9" s="1"/>
  <c r="L29" i="35"/>
  <c r="K29" i="25"/>
  <c r="E68" i="50" s="1"/>
  <c r="L29" i="36"/>
  <c r="M29" i="36"/>
  <c r="N29" i="36"/>
  <c r="L29" i="25"/>
  <c r="F68" i="50" s="1"/>
  <c r="O29" i="36"/>
  <c r="M29" i="25"/>
  <c r="G68" i="50" s="1"/>
  <c r="P29" i="36"/>
  <c r="Q29" i="36"/>
  <c r="R29" i="36"/>
  <c r="N29" i="25"/>
  <c r="H68" i="50" s="1"/>
  <c r="S29" i="36"/>
  <c r="AC29" i="35"/>
  <c r="BP23" i="31"/>
  <c r="BJ38" i="47" s="1"/>
  <c r="BP15" i="22"/>
  <c r="BP17" i="22" s="1"/>
  <c r="BP21" i="22" s="1"/>
  <c r="BQ37" i="9"/>
  <c r="BQ38" i="9" s="1"/>
  <c r="BK18" i="47"/>
  <c r="L22" i="29"/>
  <c r="K22" i="30"/>
  <c r="K22" i="29"/>
  <c r="J22" i="23"/>
  <c r="J22" i="30"/>
  <c r="H22" i="28"/>
  <c r="H37" i="9" s="1"/>
  <c r="K22" i="23"/>
  <c r="E18" i="50" s="1"/>
  <c r="L22" i="30"/>
  <c r="M22" i="30"/>
  <c r="L22" i="23"/>
  <c r="F18" i="50" s="1"/>
  <c r="N22" i="30"/>
  <c r="O22" i="30"/>
  <c r="M22" i="23"/>
  <c r="G18" i="50" s="1"/>
  <c r="P22" i="30"/>
  <c r="Q22" i="30"/>
  <c r="N22" i="23"/>
  <c r="H18" i="50" s="1"/>
  <c r="R22" i="30"/>
  <c r="S22" i="30"/>
  <c r="AC22" i="29"/>
  <c r="H26" i="35"/>
  <c r="BK31" i="47"/>
  <c r="BQ21" i="31"/>
  <c r="H26" i="25"/>
  <c r="D65" i="50"/>
  <c r="H29" i="25" l="1"/>
  <c r="D68" i="50"/>
  <c r="BQ11" i="31"/>
  <c r="BQ9" i="8"/>
  <c r="F10" i="8" s="1"/>
  <c r="S11" i="33"/>
  <c r="N11" i="24"/>
  <c r="H26" i="50" s="1"/>
  <c r="AC11" i="32"/>
  <c r="BQ25" i="31"/>
  <c r="BK40" i="47" s="1"/>
  <c r="BQ28" i="9"/>
  <c r="BQ30" i="9" s="1"/>
  <c r="S25" i="33"/>
  <c r="N25" i="24"/>
  <c r="H40" i="50" s="1"/>
  <c r="AC25" i="32"/>
  <c r="H22" i="29"/>
  <c r="BQ23" i="9"/>
  <c r="BK36" i="47"/>
  <c r="L21" i="32"/>
  <c r="N21" i="24"/>
  <c r="H36" i="50" s="1"/>
  <c r="S21" i="33"/>
  <c r="AC21" i="32"/>
  <c r="H22" i="30"/>
  <c r="H29" i="36"/>
  <c r="H22" i="23"/>
  <c r="D18" i="50"/>
  <c r="H29" i="35"/>
  <c r="F8" i="42" l="1"/>
  <c r="F8" i="41"/>
  <c r="F8" i="40"/>
  <c r="F8" i="27"/>
  <c r="BK26" i="47"/>
  <c r="BQ12" i="31"/>
  <c r="BQ27" i="31"/>
  <c r="BK42" i="47" s="1"/>
  <c r="BQ16" i="22"/>
  <c r="L27" i="32"/>
  <c r="N27" i="24"/>
  <c r="H42" i="50" s="1"/>
  <c r="S27" i="33"/>
  <c r="AC27" i="32"/>
  <c r="BQ22" i="9" l="1"/>
  <c r="BQ24" i="9" s="1"/>
  <c r="BK27" i="47"/>
  <c r="J12" i="33"/>
  <c r="S12" i="33"/>
  <c r="N12" i="24"/>
  <c r="H27" i="50" s="1"/>
  <c r="AC12" i="32"/>
  <c r="BQ23" i="31" l="1"/>
  <c r="BK38" i="47" s="1"/>
  <c r="BQ15" i="22"/>
  <c r="BQ17" i="22" s="1"/>
  <c r="BQ21" i="22" s="1"/>
  <c r="F22" i="22" s="1"/>
  <c r="F10" i="22" s="1"/>
  <c r="F11" i="22" s="1"/>
  <c r="J23" i="33"/>
  <c r="M23" i="32"/>
  <c r="N23" i="24"/>
  <c r="H38" i="50" s="1"/>
  <c r="S23" i="33"/>
  <c r="AC23" i="32"/>
  <c r="F2" i="42" l="1"/>
  <c r="F2" i="41"/>
  <c r="F2" i="39"/>
  <c r="F2" i="40"/>
  <c r="F2" i="38"/>
  <c r="F2" i="43"/>
  <c r="F2" i="35"/>
  <c r="F2" i="36"/>
  <c r="F2" i="37"/>
  <c r="F2" i="33"/>
  <c r="F2" i="32"/>
  <c r="F2" i="34"/>
  <c r="F2" i="30"/>
  <c r="F2" i="31"/>
  <c r="F2" i="27"/>
  <c r="F2" i="28"/>
  <c r="F2" i="26"/>
  <c r="F2" i="25"/>
  <c r="F2" i="24"/>
  <c r="F2" i="23"/>
  <c r="F2" i="21"/>
  <c r="F2" i="29"/>
  <c r="F2" i="22"/>
  <c r="F2" i="19"/>
  <c r="F2" i="20"/>
  <c r="F2" i="18"/>
  <c r="F2" i="17"/>
  <c r="F2" i="16"/>
  <c r="F2" i="13"/>
  <c r="F2" i="15"/>
  <c r="F2" i="14"/>
  <c r="F2" i="12"/>
  <c r="F2" i="10"/>
  <c r="F2" i="9"/>
  <c r="F2" i="7"/>
  <c r="F2" i="8"/>
  <c r="F2" i="11"/>
  <c r="F2" i="6"/>
  <c r="F2" i="5"/>
  <c r="F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<sst xmlns="http://schemas.openxmlformats.org/spreadsheetml/2006/main" count="1426" uniqueCount="481">
  <si>
    <t>Percentage Calculation</t>
  </si>
  <si>
    <t>Raised by</t>
  </si>
  <si>
    <t>Report SubTotal</t>
  </si>
  <si>
    <t>Invoice Term</t>
  </si>
  <si>
    <t>Opening Depreciation</t>
  </si>
  <si>
    <t>Opening Inventory</t>
  </si>
  <si>
    <t>INVOICE FINANCE</t>
  </si>
  <si>
    <t>[Contract year]</t>
  </si>
  <si>
    <t>Timeline label: Month to Year : period end flag</t>
  </si>
  <si>
    <t>Supply Chain Finance enabled flag</t>
  </si>
  <si>
    <t>Invoice Finance Enabled flag</t>
  </si>
  <si>
    <t>Month to Year : first timeline date</t>
  </si>
  <si>
    <t>Retained Earnings</t>
  </si>
  <si>
    <t>New customers orders</t>
  </si>
  <si>
    <t>Invoice finance drawdown</t>
  </si>
  <si>
    <t>Supply Chain Finance drawdown</t>
  </si>
  <si>
    <t>Asset Finance drawdown</t>
  </si>
  <si>
    <t>Taxable income</t>
  </si>
  <si>
    <t>Share Capital</t>
  </si>
  <si>
    <t>Model Checks</t>
  </si>
  <si>
    <t>CF after capex</t>
  </si>
  <si>
    <t>flag</t>
  </si>
  <si>
    <t>Depreciation this period POS</t>
  </si>
  <si>
    <t>Asset Finance interest POS</t>
  </si>
  <si>
    <t>Date Result</t>
  </si>
  <si>
    <t>[Modelling contact email address]</t>
  </si>
  <si>
    <t>Report Total</t>
  </si>
  <si>
    <t>SUPPLIER ORDERS</t>
  </si>
  <si>
    <t>All in Invoice Finance annual interest rate</t>
  </si>
  <si>
    <t>VAT return this period beginning date</t>
  </si>
  <si>
    <t>MODEL CONSTANTS</t>
  </si>
  <si>
    <t>Model period start</t>
  </si>
  <si>
    <t>Model period end: Month to Year : period end flag</t>
  </si>
  <si>
    <t>VAT return this period first period number</t>
  </si>
  <si>
    <t>Month to Quarter : period end flag</t>
  </si>
  <si>
    <t>Shareholder Equity</t>
  </si>
  <si>
    <t>Invoice finance period interest rate</t>
  </si>
  <si>
    <t>Corporation tax paid this period</t>
  </si>
  <si>
    <t>Retained Earnings this period</t>
  </si>
  <si>
    <t>index</t>
  </si>
  <si>
    <t>Retained Earnings BEG</t>
  </si>
  <si>
    <t>Share Capital BEG</t>
  </si>
  <si>
    <t>[PROJECT NAME] FINANCIAL MODEL</t>
  </si>
  <si>
    <t>Scenario 2</t>
  </si>
  <si>
    <t>Case</t>
  </si>
  <si>
    <t>ID</t>
  </si>
  <si>
    <t>Date raised</t>
  </si>
  <si>
    <t>Supplier order deposit</t>
  </si>
  <si>
    <t>Order lead time (months)</t>
  </si>
  <si>
    <t>Invoice Finance Enabled end date</t>
  </si>
  <si>
    <t>ASSET FINANCE</t>
  </si>
  <si>
    <t>All in Trade finance annual interest rate</t>
  </si>
  <si>
    <t>Asset Finance Advance %</t>
  </si>
  <si>
    <t>HEADERS</t>
  </si>
  <si>
    <t>Period number: Month to Year (financial year) : period end flag</t>
  </si>
  <si>
    <t>Fixed Operating Cost Growth Rate escalation indexation factor</t>
  </si>
  <si>
    <t>Debts flags</t>
  </si>
  <si>
    <t>Use short term forecast flag</t>
  </si>
  <si>
    <t>Month to Year period number counter</t>
  </si>
  <si>
    <t>Cash Low</t>
  </si>
  <si>
    <t>Depreciation</t>
  </si>
  <si>
    <t>Cash in from Sales</t>
  </si>
  <si>
    <t>VAT due</t>
  </si>
  <si>
    <t>EBIT</t>
  </si>
  <si>
    <t>Debtors BEG</t>
  </si>
  <si>
    <t>Corporation tax POS</t>
  </si>
  <si>
    <t>Check</t>
  </si>
  <si>
    <t>range end</t>
  </si>
  <si>
    <t>Input differences</t>
  </si>
  <si>
    <t>Base case 3</t>
  </si>
  <si>
    <t>Customer Order Growth annual start escalation rate</t>
  </si>
  <si>
    <t>Months</t>
  </si>
  <si>
    <t>Minimum quantity before reorder</t>
  </si>
  <si>
    <t>Opening Retained Earnings</t>
  </si>
  <si>
    <t>Supply Chain Finance enabled end date</t>
  </si>
  <si>
    <t>VAT rate</t>
  </si>
  <si>
    <t>Months in year</t>
  </si>
  <si>
    <t>New share capital issued</t>
  </si>
  <si>
    <t>VAT return this period first period number constant</t>
  </si>
  <si>
    <t>Month to Quarter : first timeline date</t>
  </si>
  <si>
    <t>Variable Operating expense</t>
  </si>
  <si>
    <t>Invoice finance principal repayment</t>
  </si>
  <si>
    <t>Asset Finance interest paid</t>
  </si>
  <si>
    <t>Tax losses carried forward balance</t>
  </si>
  <si>
    <t>Balance Sheet Balances overall</t>
  </si>
  <si>
    <t>Assets</t>
  </si>
  <si>
    <t>Deferred Income BEG</t>
  </si>
  <si>
    <t>Fixed operating expense POS</t>
  </si>
  <si>
    <t>Variable Operating expense POS</t>
  </si>
  <si>
    <t>Invoice finance principal repayment POS</t>
  </si>
  <si>
    <t>counter</t>
  </si>
  <si>
    <t>Section</t>
  </si>
  <si>
    <t>Output - Base case 1</t>
  </si>
  <si>
    <t>Source</t>
  </si>
  <si>
    <t>REPORTS</t>
  </si>
  <si>
    <t>Resolved by</t>
  </si>
  <si>
    <t>Comments</t>
  </si>
  <si>
    <t>Alerts</t>
  </si>
  <si>
    <t>Fixed operating cost base</t>
  </si>
  <si>
    <t>OPENING BALANCES</t>
  </si>
  <si>
    <t>Asset Finance Period</t>
  </si>
  <si>
    <t>EQUITY</t>
  </si>
  <si>
    <t>First Customer Order Growth escalation period</t>
  </si>
  <si>
    <t>Period of first Customer Order Growth escalation</t>
  </si>
  <si>
    <t>Day in period Customer Order Growth escalation occurs</t>
  </si>
  <si>
    <t>years since Customer Order Growth base date</t>
  </si>
  <si>
    <t>Fixed Operating Cost Growth Rate escalation duration flag</t>
  </si>
  <si>
    <t>Asset Finance Enabled flag</t>
  </si>
  <si>
    <t>VAT return this period mod of period number</t>
  </si>
  <si>
    <t>Inventory</t>
  </si>
  <si>
    <t>Cash out on Operating Expense</t>
  </si>
  <si>
    <t>Supply Chain Finance principal repayment</t>
  </si>
  <si>
    <t>Supply Chain Finance interest</t>
  </si>
  <si>
    <t>Operating Cashflow</t>
  </si>
  <si>
    <t>Net Cashflow</t>
  </si>
  <si>
    <t>Invoice finance interest paid POS</t>
  </si>
  <si>
    <t>KEY</t>
  </si>
  <si>
    <t>Percentage Input</t>
  </si>
  <si>
    <t>For enquiries please contact:</t>
  </si>
  <si>
    <t>Diff Pct</t>
  </si>
  <si>
    <t>Active scenario</t>
  </si>
  <si>
    <t>Sub-section</t>
  </si>
  <si>
    <t>Units</t>
  </si>
  <si>
    <t>Opening Debtors</t>
  </si>
  <si>
    <t>day</t>
  </si>
  <si>
    <t>Opening Supply Chain Finance balance</t>
  </si>
  <si>
    <t>Percentage of expense subject to VAT</t>
  </si>
  <si>
    <t>Model period end: Month to Year (financial year) : period end flag</t>
  </si>
  <si>
    <t>Fixed Operating Cost Growth Rate escalation step up frequency flag</t>
  </si>
  <si>
    <t>Units ordered</t>
  </si>
  <si>
    <t>Units in stock</t>
  </si>
  <si>
    <t>Invoice finance interest</t>
  </si>
  <si>
    <t>Invoice finance interest paid</t>
  </si>
  <si>
    <t>Supply Chain Finance balance</t>
  </si>
  <si>
    <t>Asset Finance balance</t>
  </si>
  <si>
    <t>Asset Finance interest</t>
  </si>
  <si>
    <t>Taxable income net of tax losses utilised</t>
  </si>
  <si>
    <t>Checks breached any period</t>
  </si>
  <si>
    <t>Units in stock BEG</t>
  </si>
  <si>
    <t>Depreciation POS</t>
  </si>
  <si>
    <t>Percentage Result</t>
  </si>
  <si>
    <t>Comparison scenario</t>
  </si>
  <si>
    <t>Scenario 3</t>
  </si>
  <si>
    <t>Error chks</t>
  </si>
  <si>
    <t>Time</t>
  </si>
  <si>
    <t>Resolved?</t>
  </si>
  <si>
    <t>DEBT</t>
  </si>
  <si>
    <t>Financial year end month</t>
  </si>
  <si>
    <t>Customer Order Growth index</t>
  </si>
  <si>
    <t>Month to Quarter period number counter</t>
  </si>
  <si>
    <t>New Deferred Income from customer orders</t>
  </si>
  <si>
    <t>Supply Chain Finance unpaid interest</t>
  </si>
  <si>
    <t>Cash out on Operating Expense POS</t>
  </si>
  <si>
    <t>Corporation tax creditor BEG</t>
  </si>
  <si>
    <t>Date Calculation</t>
  </si>
  <si>
    <t>&lt;INSERT LOGO HERE&gt;</t>
  </si>
  <si>
    <t>vw</t>
  </si>
  <si>
    <t>Base case</t>
  </si>
  <si>
    <t>Where</t>
  </si>
  <si>
    <t>EXPENSE</t>
  </si>
  <si>
    <t>Depreciation Term</t>
  </si>
  <si>
    <t>Opening Units in use</t>
  </si>
  <si>
    <t>Opening Cash</t>
  </si>
  <si>
    <t>SUPPLY CHAIN FINANCE</t>
  </si>
  <si>
    <t>Headers</t>
  </si>
  <si>
    <t>Timeline label: Month to Quarter : period end flag</t>
  </si>
  <si>
    <t>Timeline label: Month to SemiAnnual : period end flag</t>
  </si>
  <si>
    <t>Customer Order Growth escalation indexation factor</t>
  </si>
  <si>
    <t>Month to Year (financial year) : period end flag</t>
  </si>
  <si>
    <t>Sales</t>
  </si>
  <si>
    <t>Income</t>
  </si>
  <si>
    <t>Units on order</t>
  </si>
  <si>
    <t>Depreciation this period</t>
  </si>
  <si>
    <t>VAT balance</t>
  </si>
  <si>
    <t>VAT payment delay</t>
  </si>
  <si>
    <t>Corporation tax paid</t>
  </si>
  <si>
    <t>EBITDA</t>
  </si>
  <si>
    <t>Profit before tax</t>
  </si>
  <si>
    <t>CF after financing</t>
  </si>
  <si>
    <t>Customer Orders Awaiting Fullfilment BEG</t>
  </si>
  <si>
    <t>Supply Chain Finance principal repayment POS</t>
  </si>
  <si>
    <t>[do not delete row]</t>
  </si>
  <si>
    <t>Customer base order number</t>
  </si>
  <si>
    <t>Opening Customer Orders Awaiting Fullfilment</t>
  </si>
  <si>
    <t>Opening Deferred Income</t>
  </si>
  <si>
    <t>All in Supply Chain Finance annual interest rate</t>
  </si>
  <si>
    <t>Opening Asset Finance balance</t>
  </si>
  <si>
    <t>VAT</t>
  </si>
  <si>
    <t>Months per period (Primary)</t>
  </si>
  <si>
    <t>Timeline label: Month to Year (financial year) : period end flag</t>
  </si>
  <si>
    <t>Model period end: Month to Quarter : period end flag</t>
  </si>
  <si>
    <t>Model period end: Month to SemiAnnual : period end flag</t>
  </si>
  <si>
    <t>Customer Order Growth escalation step up frequency flag</t>
  </si>
  <si>
    <t>Period of first Fixed Operating Cost Growth Rate escalation</t>
  </si>
  <si>
    <t>VAT on inventory</t>
  </si>
  <si>
    <t>Units delivered</t>
  </si>
  <si>
    <t>Invoice finance unpaid interest</t>
  </si>
  <si>
    <t>Supply Chain Finance interest paid</t>
  </si>
  <si>
    <t>VAT quarterly return</t>
  </si>
  <si>
    <t>Inventory BEG</t>
  </si>
  <si>
    <t>Creditors BEG</t>
  </si>
  <si>
    <t>Currency Calculation</t>
  </si>
  <si>
    <t>Total</t>
  </si>
  <si>
    <t>Timeline label</t>
  </si>
  <si>
    <t>Difference</t>
  </si>
  <si>
    <t>%</t>
  </si>
  <si>
    <t>Customer Order Growth escalation frequency</t>
  </si>
  <si>
    <t>Supplier price per unit</t>
  </si>
  <si>
    <t>INVENTORY</t>
  </si>
  <si>
    <t>Opening VAT balance</t>
  </si>
  <si>
    <t>date</t>
  </si>
  <si>
    <t>Opening Invoice finance balance</t>
  </si>
  <si>
    <t>VAT payment delay in months</t>
  </si>
  <si>
    <t>Day in period Fixed Operating Cost Growth Rate escalation occurs</t>
  </si>
  <si>
    <t>Model timelines</t>
  </si>
  <si>
    <t>Month to Year (financial year) : first timeline date</t>
  </si>
  <si>
    <t>plus</t>
  </si>
  <si>
    <t>Customer orders fullfilled</t>
  </si>
  <si>
    <t>Units in use</t>
  </si>
  <si>
    <t>Supply Chain Finance period interest rate</t>
  </si>
  <si>
    <t>Date corporation tax paid this year</t>
  </si>
  <si>
    <t>Corporation tax creditor</t>
  </si>
  <si>
    <t>Liabilities</t>
  </si>
  <si>
    <t>Units on order BEG</t>
  </si>
  <si>
    <t>Unit</t>
  </si>
  <si>
    <t>Comparison column label</t>
  </si>
  <si>
    <t>Base case 1</t>
  </si>
  <si>
    <t>Scenario 4</t>
  </si>
  <si>
    <t>Description</t>
  </si>
  <si>
    <t>Opening Creditors</t>
  </si>
  <si>
    <t>VAT return this period every x periods</t>
  </si>
  <si>
    <t>Tax losses carried forward - initial balance</t>
  </si>
  <si>
    <t>INPUTS</t>
  </si>
  <si>
    <t>Period number: Month to Year : period end flag</t>
  </si>
  <si>
    <t>Period number: Month to SemiAnnual : period end flag</t>
  </si>
  <si>
    <t>Customer Order Growth escalation duration flag</t>
  </si>
  <si>
    <t>Fixed Operating Cost Growth Rate index</t>
  </si>
  <si>
    <t>years since Fixed Operating Cost Growth Rate base date</t>
  </si>
  <si>
    <t>VAT return this period first period flag</t>
  </si>
  <si>
    <t>Deployed units returned</t>
  </si>
  <si>
    <t>Units deployed</t>
  </si>
  <si>
    <t>Asset Finance period interest rate</t>
  </si>
  <si>
    <t>Tax losses arising</t>
  </si>
  <si>
    <t>Depreciation BEG</t>
  </si>
  <si>
    <t>Invoice finance interest POS</t>
  </si>
  <si>
    <t>Asset Finance principal repayment POS</t>
  </si>
  <si>
    <t>Asset Finance interest paid POS</t>
  </si>
  <si>
    <t>period</t>
  </si>
  <si>
    <t>Constant</t>
  </si>
  <si>
    <t>KEY OUTPUTS</t>
  </si>
  <si>
    <t>Sheet</t>
  </si>
  <si>
    <t>Customer Retention</t>
  </si>
  <si>
    <t>GBP</t>
  </si>
  <si>
    <t>Invoice Finance Enabled beginning date</t>
  </si>
  <si>
    <t>CORPORATION TAX</t>
  </si>
  <si>
    <t>Month to SemiAnnual : period end flag</t>
  </si>
  <si>
    <t>Month to SemiAnnual : first timeline date</t>
  </si>
  <si>
    <t>Fixed operating expense</t>
  </si>
  <si>
    <t>Cash out on Inventory</t>
  </si>
  <si>
    <t>Asset Finance principal repayment</t>
  </si>
  <si>
    <t>Output VAT</t>
  </si>
  <si>
    <t>VAT paid</t>
  </si>
  <si>
    <t>Taxable income / (Tax losses arising)</t>
  </si>
  <si>
    <t>Corporation tax</t>
  </si>
  <si>
    <t>VAT paid POS</t>
  </si>
  <si>
    <t>END</t>
  </si>
  <si>
    <t>Standard Input</t>
  </si>
  <si>
    <t>Currency Input</t>
  </si>
  <si>
    <t>Filename</t>
  </si>
  <si>
    <t>Sales Price Unit</t>
  </si>
  <si>
    <t>Contract Length</t>
  </si>
  <si>
    <t>Days in period</t>
  </si>
  <si>
    <t>Supply Chain Finance enabled beginning date</t>
  </si>
  <si>
    <t>Asset Finance Enabled beginning date</t>
  </si>
  <si>
    <t>Opening Corporation tax creditor</t>
  </si>
  <si>
    <t>TIME</t>
  </si>
  <si>
    <t>First Fixed Operating Cost Growth Rate escalation period</t>
  </si>
  <si>
    <t>Month to Year (financial year) period number counter</t>
  </si>
  <si>
    <t>Net Assets</t>
  </si>
  <si>
    <t>Counter</t>
  </si>
  <si>
    <t>Supply Chain Finance interest POS</t>
  </si>
  <si>
    <t>Supply Chain Finance interest paid POS</t>
  </si>
  <si>
    <t>VAT balance BEG</t>
  </si>
  <si>
    <t>Currency Result</t>
  </si>
  <si>
    <t>[Modelling contact]</t>
  </si>
  <si>
    <t>Date</t>
  </si>
  <si>
    <t>Minimum supplier order quantity</t>
  </si>
  <si>
    <t>Opening Units in stock</t>
  </si>
  <si>
    <t>debt day count convention</t>
  </si>
  <si>
    <t>Supply Chain Finance Advance %</t>
  </si>
  <si>
    <t>Asset Finance Enabled end date</t>
  </si>
  <si>
    <t>First Customer Order Growth escalation flag</t>
  </si>
  <si>
    <t>First Fixed Operating Cost Growth Rate escalation flag</t>
  </si>
  <si>
    <t>less</t>
  </si>
  <si>
    <t>Units retired</t>
  </si>
  <si>
    <t>Creditors</t>
  </si>
  <si>
    <t>Debtors</t>
  </si>
  <si>
    <t>Invoice finance balance</t>
  </si>
  <si>
    <t>Effective tax rate</t>
  </si>
  <si>
    <t>Balance Sheet Balances</t>
  </si>
  <si>
    <t>Cash BEG</t>
  </si>
  <si>
    <t>Cash out on Inventory POS</t>
  </si>
  <si>
    <t>Standard Result</t>
  </si>
  <si>
    <t>Scenario 1</t>
  </si>
  <si>
    <t>Base case 2</t>
  </si>
  <si>
    <t>Period number</t>
  </si>
  <si>
    <t>Customer payment terms (months)</t>
  </si>
  <si>
    <t>Fixed Operating Cost Growth Rate escalation frequency</t>
  </si>
  <si>
    <t>Variable Operating Costs as a % of sales</t>
  </si>
  <si>
    <t>Invoice Finance Advance %</t>
  </si>
  <si>
    <t>Start date</t>
  </si>
  <si>
    <t>VAT return this period flag</t>
  </si>
  <si>
    <t>Month to SemiAnnual period number counter</t>
  </si>
  <si>
    <t>Cash</t>
  </si>
  <si>
    <t>Supplier Invoices</t>
  </si>
  <si>
    <t>Customer Orders Awaiting Fullfilment</t>
  </si>
  <si>
    <t>VAT on operating expense</t>
  </si>
  <si>
    <t>Asset Finance unpaid interest</t>
  </si>
  <si>
    <t>Tax losses</t>
  </si>
  <si>
    <t>Tax losses utilised</t>
  </si>
  <si>
    <t>Corporation tax paid POS</t>
  </si>
  <si>
    <t>Standard Calculation</t>
  </si>
  <si>
    <t>Date Input</t>
  </si>
  <si>
    <t>MODEL RUN INFO</t>
  </si>
  <si>
    <t>Model period end</t>
  </si>
  <si>
    <t>Financial year ending</t>
  </si>
  <si>
    <t>CUSTOMER ORDERS</t>
  </si>
  <si>
    <t>Fixed Operating Cost Growth Rate annual start escalation rate</t>
  </si>
  <si>
    <t>Opening Units on order</t>
  </si>
  <si>
    <t>Opening Share Capital</t>
  </si>
  <si>
    <t>Corporation tax rate</t>
  </si>
  <si>
    <t>Month corporation tax paid</t>
  </si>
  <si>
    <t>SHORT TERM FORECAST</t>
  </si>
  <si>
    <t>Use short term forecast flag end date</t>
  </si>
  <si>
    <t>Period number: Month to Quarter : period end flag</t>
  </si>
  <si>
    <t>Month to Year : period end flag</t>
  </si>
  <si>
    <t>Renewing Customer Orders</t>
  </si>
  <si>
    <t>Deferred Income</t>
  </si>
  <si>
    <t>Input VAT</t>
  </si>
  <si>
    <t>Units in use BEG</t>
  </si>
  <si>
    <t>Invoice finance balance BEG</t>
  </si>
  <si>
    <t>Supply Chain Finance balance BEG</t>
  </si>
  <si>
    <t>Asset Finance balance BEG</t>
  </si>
  <si>
    <t>Tax losses carried forward balance BEG</t>
  </si>
  <si>
    <t>Cashflow</t>
  </si>
  <si>
    <t>Balance Sheet</t>
  </si>
  <si>
    <t>Income Statement</t>
  </si>
  <si>
    <t>Export</t>
  </si>
  <si>
    <t>Export to excel</t>
  </si>
  <si>
    <t>Export to excel functionalisty</t>
  </si>
  <si>
    <t>Actual</t>
  </si>
  <si>
    <t>Base</t>
  </si>
  <si>
    <t>Buffer</t>
  </si>
  <si>
    <t>height</t>
  </si>
  <si>
    <t>width</t>
  </si>
  <si>
    <t>y</t>
  </si>
  <si>
    <t>X</t>
  </si>
  <si>
    <t>Canvas</t>
  </si>
  <si>
    <t>show</t>
  </si>
  <si>
    <t>Annual</t>
  </si>
  <si>
    <t>Hide</t>
  </si>
  <si>
    <t>Show Charts</t>
  </si>
  <si>
    <t>Monthly</t>
  </si>
  <si>
    <t>Show</t>
  </si>
  <si>
    <t>visible</t>
  </si>
  <si>
    <t>Show Annual/Monthly</t>
  </si>
  <si>
    <t>Show Reports Button</t>
  </si>
  <si>
    <t>Reports</t>
  </si>
  <si>
    <t>Show Charts Button</t>
  </si>
  <si>
    <t>Charts</t>
  </si>
  <si>
    <t>Show Drivers Button</t>
  </si>
  <si>
    <t>Drivers</t>
  </si>
  <si>
    <t>This sheet enables navigation</t>
  </si>
  <si>
    <t>Units in Use</t>
  </si>
  <si>
    <t>Customer orders waiting</t>
  </si>
  <si>
    <t>Trade Finance</t>
  </si>
  <si>
    <t>Invoice Finance</t>
  </si>
  <si>
    <t>Fixed Expense</t>
  </si>
  <si>
    <t>Variable Expense</t>
  </si>
  <si>
    <t>Trade Finance Balance</t>
  </si>
  <si>
    <t>Invoice Finance Balance</t>
  </si>
  <si>
    <t>Cash Balance</t>
  </si>
  <si>
    <t>Dates</t>
  </si>
  <si>
    <t>Year 1 / 2</t>
  </si>
  <si>
    <t>Chart offsets</t>
  </si>
  <si>
    <t>offset</t>
  </si>
  <si>
    <t>AF Drawdown</t>
  </si>
  <si>
    <t>Trade finance Advance %</t>
  </si>
  <si>
    <t>AF Interest Rate</t>
  </si>
  <si>
    <t>Opening Trade finance balance</t>
  </si>
  <si>
    <t>TF Drawdown</t>
  </si>
  <si>
    <t>Trade finance enabled beginning date</t>
  </si>
  <si>
    <t>TF Interest Rate</t>
  </si>
  <si>
    <t>Trade finance enabled end date</t>
  </si>
  <si>
    <t>IF Drawdown</t>
  </si>
  <si>
    <t>IF Interest Rate</t>
  </si>
  <si>
    <t>AF End Year</t>
  </si>
  <si>
    <t>AF End Month</t>
  </si>
  <si>
    <t>Year 4 / 5</t>
  </si>
  <si>
    <t>End Date</t>
  </si>
  <si>
    <t>AF Start Year</t>
  </si>
  <si>
    <t>Year 3 / 4</t>
  </si>
  <si>
    <t>AF Start Month</t>
  </si>
  <si>
    <t>Year 2 / 3</t>
  </si>
  <si>
    <t>unchecked</t>
  </si>
  <si>
    <t>AF Enabled</t>
  </si>
  <si>
    <t>Start Date</t>
  </si>
  <si>
    <t>TF End Year</t>
  </si>
  <si>
    <t>Charts Drop Down</t>
  </si>
  <si>
    <t>TF End Month</t>
  </si>
  <si>
    <t>TF Start Year</t>
  </si>
  <si>
    <t>TF Start Month</t>
  </si>
  <si>
    <t>TF Enabled</t>
  </si>
  <si>
    <t>IF End Year</t>
  </si>
  <si>
    <t>IF End Month</t>
  </si>
  <si>
    <t>IF Start Year</t>
  </si>
  <si>
    <t>IF Start Month</t>
  </si>
  <si>
    <t>IF Enabled</t>
  </si>
  <si>
    <t>Dec</t>
  </si>
  <si>
    <t>Variable operating costs as a % of sales</t>
  </si>
  <si>
    <t>Nov</t>
  </si>
  <si>
    <t>FOC annual growth rate</t>
  </si>
  <si>
    <t>Oct</t>
  </si>
  <si>
    <t>fixed operating cost (FOC)</t>
  </si>
  <si>
    <t>Sep</t>
  </si>
  <si>
    <t>Expense:</t>
  </si>
  <si>
    <t>Aug</t>
  </si>
  <si>
    <t>Jul</t>
  </si>
  <si>
    <t>Customer Retention:</t>
  </si>
  <si>
    <t>Jun</t>
  </si>
  <si>
    <t>Annual Growth Rate:</t>
  </si>
  <si>
    <t>May</t>
  </si>
  <si>
    <t>customer contract length (months):</t>
  </si>
  <si>
    <t>Apr</t>
  </si>
  <si>
    <t>sales price (per unit):</t>
  </si>
  <si>
    <t>Mar</t>
  </si>
  <si>
    <t>Customer payment terms (months):</t>
  </si>
  <si>
    <t>Feb</t>
  </si>
  <si>
    <t>Customer base monthly order:</t>
  </si>
  <si>
    <t>Jan</t>
  </si>
  <si>
    <t>Customer Orders:</t>
  </si>
  <si>
    <t>Years</t>
  </si>
  <si>
    <t>minimum stock:</t>
  </si>
  <si>
    <t>Finance</t>
  </si>
  <si>
    <t>minimum order:</t>
  </si>
  <si>
    <t>cost per unit:</t>
  </si>
  <si>
    <t>Lead time (months):</t>
  </si>
  <si>
    <t>Supplier Deposit:</t>
  </si>
  <si>
    <t>(link INC directly to each of these</t>
  </si>
  <si>
    <t>(for model drivers</t>
  </si>
  <si>
    <t>(saved in scenarios</t>
  </si>
  <si>
    <t>Supplier Orders:</t>
  </si>
  <si>
    <t>Dropdown lists and labels</t>
  </si>
  <si>
    <t>Model Drivers</t>
  </si>
  <si>
    <t>Calculations from Inputs</t>
  </si>
  <si>
    <t>Dashbboard Inputs</t>
  </si>
  <si>
    <t>Dashboard Labels</t>
  </si>
  <si>
    <t>SQRMonthly</t>
  </si>
  <si>
    <t>SQRMonthly!D2</t>
  </si>
  <si>
    <t>Asset Finance Balance</t>
  </si>
  <si>
    <t>Profit before Tax</t>
  </si>
  <si>
    <t>Retained Earning this period</t>
  </si>
  <si>
    <t>Asset Finance</t>
  </si>
  <si>
    <t>Corporation Tax</t>
  </si>
  <si>
    <t>Inventory Report</t>
  </si>
  <si>
    <t>Panel 1 Name</t>
  </si>
  <si>
    <t>Panel 2 Name</t>
  </si>
  <si>
    <t>Panel 3 Name</t>
  </si>
  <si>
    <t>Panel 4 Name</t>
  </si>
  <si>
    <t>Hide height</t>
  </si>
  <si>
    <t>Supplier</t>
  </si>
  <si>
    <t>Customers</t>
  </si>
  <si>
    <t>Expense</t>
  </si>
  <si>
    <t>Financing</t>
  </si>
  <si>
    <t>Show Panel 1</t>
  </si>
  <si>
    <t>Show Panel 2</t>
  </si>
  <si>
    <t>Show Panel 3</t>
  </si>
  <si>
    <t>Show Panel 4</t>
  </si>
  <si>
    <t>Open height</t>
  </si>
  <si>
    <t>Panel Colour</t>
  </si>
  <si>
    <t>Panel to Show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</si>
</sst>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dd/mm/yyyy;@"/>
    <numFmt numFmtId="165" formatCode="#,##0_);\(#,##0\);&quot;-  &quot;;&quot; &quot;@&quot; &quot;"/>
    <numFmt numFmtId="166" formatCode="#,##0_);\(#,##0\);&quot;-  &quot;;&quot; &quot;@"/>
    <numFmt numFmtId="167" formatCode="dd\ mmm\ yy_);\(###0\);&quot;-  &quot;;&quot; &quot;@&quot; &quot;"/>
    <numFmt numFmtId="168" formatCode="#,##0.0000_);\(#,##0.0000\);&quot;-  &quot;;&quot; &quot;@&quot; &quot;"/>
    <numFmt numFmtId="169" formatCode="0.00%_);\-0.00%_);&quot;-  &quot;;&quot; &quot;@&quot; &quot;"/>
    <numFmt numFmtId="170" formatCode="dd\ mmm\ yyyy_);\(###0\);&quot;-  &quot;;&quot; &quot;@&quot; &quot;"/>
    <numFmt numFmtId="171" formatCode="###0_);\(###0\);&quot;-  &quot;;&quot; &quot;@&quot; &quot;"/>
    <numFmt numFmtId="172" formatCode="[$-F400]h:mm:ss\ AM/PM"/>
    <numFmt numFmtId="173" formatCode="dd/mmm/yy_);;&quot;-  &quot;;&quot; &quot;@"/>
    <numFmt numFmtId="174" formatCode="&quot;tu&quot;;;&quot;vw&quot;"/>
    <numFmt numFmtId="175" formatCode="#,##0.000_);\(#,##0.000\);&quot;-  &quot;;&quot; &quot;@"/>
    <numFmt numFmtId="176" formatCode="0%_);\-0%_);&quot;-  &quot;;&quot; &quot;@&quot; &quot;"/>
    <numFmt numFmtId="177" formatCode="0;0;&quot;-&quot;"/>
    <numFmt numFmtId="178" formatCode="mmm\-yyyy"/>
    <numFmt numFmtId="179" formatCode="0.0"/>
  </numFmts>
  <fonts count="62">
    <font>
      <sz val="11"/>
      <color theme="1"/>
      <name val="Calibri"/>
    </font>
    <font>
      <sz val="11"/>
      <color theme="1"/>
      <name val="Calibri"/>
    </font>
    <font>
      <sz val="10"/>
      <name val="Arial"/>
    </font>
    <font>
      <sz val="11"/>
      <color theme="1"/>
      <name val="Calibri"/>
    </font>
    <font>
      <sz val="10"/>
      <color rgb="FF000000"/>
      <name val="Arial"/>
    </font>
    <font>
      <sz val="10"/>
      <color rgb="FFFF0000"/>
      <name val="Arial"/>
    </font>
    <font>
      <sz val="10"/>
      <color rgb="FF0000FF"/>
      <name val="Arial"/>
    </font>
    <font>
      <b/>
      <sz val="10"/>
      <name val="Arial"/>
    </font>
    <font>
      <sz val="10"/>
      <color theme="1"/>
      <name val="Arial"/>
    </font>
    <font>
      <b/>
      <sz val="10"/>
      <color rgb="FF0000FF"/>
      <name val="Arial"/>
    </font>
    <font>
      <b/>
      <sz val="14"/>
      <name val="Arial"/>
    </font>
    <font>
      <u/>
      <sz val="10"/>
      <color rgb="FF0000FF"/>
      <name val="Arial"/>
    </font>
    <font>
      <b/>
      <sz val="10"/>
      <color rgb="FFFF0000"/>
      <name val="Arial"/>
    </font>
    <font>
      <b/>
      <sz val="20"/>
      <name val="Arial"/>
    </font>
    <font>
      <sz val="16"/>
      <color indexed="12"/>
      <name val="Arial"/>
    </font>
    <font>
      <b/>
      <sz val="10"/>
      <color rgb="FF000000"/>
      <name val="Arial"/>
    </font>
    <font>
      <u/>
      <sz val="10"/>
      <name val="Arial"/>
    </font>
    <font>
      <u/>
      <sz val="12"/>
      <color theme="10"/>
      <name val="Tahoma"/>
    </font>
    <font>
      <i/>
      <sz val="10"/>
      <name val="Arial"/>
    </font>
    <font>
      <u/>
      <sz val="10"/>
      <color rgb="FFFF0000"/>
      <name val="Arial"/>
    </font>
    <font>
      <sz val="20"/>
      <name val="Arial"/>
    </font>
    <font>
      <u/>
      <sz val="10"/>
      <color rgb="FF000000"/>
      <name val="Arial"/>
    </font>
    <font>
      <u/>
      <sz val="20"/>
      <name val="Arial"/>
    </font>
    <font>
      <sz val="10"/>
      <color theme="0"/>
      <name val="Wingdings 3"/>
    </font>
    <font>
      <sz val="8"/>
      <color theme="1"/>
      <name val="Times New Roman"/>
    </font>
    <font>
      <u/>
      <sz val="10"/>
      <color rgb="FF00B050"/>
      <name val="Arial"/>
    </font>
    <font>
      <sz val="8"/>
      <color theme="1"/>
      <name val="Arial"/>
    </font>
    <font>
      <sz val="10"/>
      <color theme="0"/>
      <name val="Arial"/>
    </font>
    <font>
      <sz val="36"/>
      <color theme="0"/>
      <name val="Wingdings 3"/>
    </font>
    <font>
      <b/>
      <sz val="11"/>
      <color theme="1"/>
      <name val="Arial"/>
    </font>
    <font>
      <sz val="11"/>
      <color theme="1"/>
      <name val="Arial"/>
    </font>
    <font>
      <sz val="10"/>
      <color indexed="12"/>
      <name val="Arial"/>
    </font>
    <font>
      <b/>
      <sz val="18"/>
      <name val="Circular Pro Black"/>
    </font>
    <font>
      <b/>
      <u/>
      <sz val="12"/>
      <color rgb="FF00B050"/>
      <name val="Arial"/>
    </font>
    <font>
      <sz val="12"/>
      <color theme="1"/>
      <name val="Times New Roman"/>
    </font>
    <font>
      <sz val="10"/>
      <color rgb="FF00B050"/>
      <name val="Arial"/>
    </font>
    <font>
      <sz val="10"/>
      <color theme="0"/>
      <name val="Wingdings 3"/>
    </font>
    <font>
      <b/>
      <sz val="12"/>
      <name val="Arial"/>
    </font>
    <font>
      <sz val="8"/>
      <name val="Arial"/>
    </font>
    <font>
      <sz val="10"/>
      <name val="Circular Pro Bold"/>
    </font>
    <font>
      <sz val="10"/>
      <color theme="0"/>
      <name val="Arial"/>
    </font>
    <font>
      <sz val="16"/>
      <color theme="0"/>
      <name val="Arial"/>
    </font>
    <font>
      <u/>
      <sz val="12"/>
      <color rgb="FF0000FF"/>
      <name val="Arial"/>
    </font>
    <font>
      <sz val="11"/>
      <name val="Calibri"/>
    </font>
    <font>
      <sz val="18"/>
      <name val="Arial"/>
    </font>
    <font>
      <sz val="10"/>
      <color indexed="10"/>
      <name val="Arial"/>
    </font>
    <font>
      <b/>
      <sz val="10"/>
      <color theme="1"/>
      <name val="Arial"/>
    </font>
    <font>
      <sz val="10"/>
      <color theme="1"/>
      <name val="Times New Roman"/>
    </font>
    <font>
      <u/>
      <sz val="10"/>
      <color theme="0"/>
      <name val="Arial"/>
    </font>
    <font>
      <b/>
      <u/>
      <sz val="14"/>
      <color theme="1"/>
      <name val="Times New Roman"/>
    </font>
    <font>
      <u/>
      <sz val="12"/>
      <color rgb="FF00B050"/>
      <name val="Arial"/>
    </font>
    <font>
      <b/>
      <sz val="11"/>
      <color theme="1"/>
      <name val="Calibri"/>
    </font>
    <font>
      <sz val="11"/>
      <color theme="1"/>
      <name val="Calibri"/>
    </font>
    <font>
      <sz val="10"/>
      <color rgb="FF000000"/>
      <name val="Open Sans"/>
    </font>
    <font>
      <b/>
      <sz val="10"/>
      <color theme="1"/>
      <name val="Tahoma"/>
    </font>
    <font>
      <b/>
      <sz val="12"/>
      <color rgb="FF000000"/>
      <name val="Open Sans"/>
    </font>
    <font>
      <sz val="10"/>
      <name val="Arial"/>
    </font>
    <font>
      <sz val="10"/>
      <color theme="1"/>
      <name val="Arial"/>
    </font>
    <font>
      <sz val="10"/>
      <color rgb="FF000000"/>
      <name val="Arial"/>
    </font>
    <font>
      <sz val="10"/>
      <color theme="1"/>
      <name val="Calibri"/>
    </font>
    <font>
      <sz val="10"/>
      <color rgb="FF000000"/>
      <name val="Calibri"/>
    </font>
    <font>
      <sz val="10"/>
      <color theme="1"/>
      <name val="Calibri"/>
    </font>
  </fonts>
  <fills count="16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A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E9F5DB"/>
        <bgColor indexed="64"/>
      </patternFill>
    </fill>
    <fill>
      <patternFill patternType="solid">
        <bgColor rgb="FF999999"/>
      </patternFill>
    </fill>
    <fill>
      <patternFill patternType="solid">
        <fgColor rgb="FFFFFF00"/>
        <bgColor rgb="FFFEFF03"/>
      </patternFill>
    </fill>
    <fill>
      <patternFill patternType="solid">
        <fgColor rgb="FF92D050"/>
        <bgColor rgb="FFFFFFFF"/>
      </patternFill>
    </fill>
    <fill>
      <patternFill patternType="solid">
        <fgColor rgb="FF92D050"/>
        <bgColor rgb="FF00FF00"/>
      </patternFill>
    </fill>
  </fills>
  <borders count="15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double">
        <color auto="1"/>
      </bottom>
      <diagonal/>
    </border>
    <border>
      <left/>
      <right/>
      <top/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theme="0"/>
      </left>
      <right style="hair">
        <color indexed="64"/>
      </right>
      <top style="hair">
        <color theme="0"/>
      </top>
      <bottom style="hair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hair">
        <color theme="0"/>
      </left>
      <right style="hair">
        <color indexed="64"/>
      </right>
      <top style="hair">
        <color theme="0"/>
      </top>
      <bottom style="hair">
        <color theme="0"/>
      </bottom>
      <diagonal/>
    </border>
  </borders>
  <cellStyleXfs count="1">
    <xf numFmtId="0" fontId="0" fillId="0" borderId="0"/>
  </cellStyleXfs>
  <cellXfs count="249">
    <xf numFmtId="0" fontId="0" fillId="0" borderId="0" xfId="0"/>
    <xf numFmtId="165" fontId="0" fillId="0" borderId="3" xfId="0" applyNumberFormat="1" applyBorder="1" applyAlignment="1">
      <alignment vertical="top"/>
    </xf>
    <xf numFmtId="165" fontId="2" fillId="0" borderId="0" xfId="0" applyNumberFormat="1" applyFont="1" applyAlignment="1">
      <alignment vertical="top"/>
    </xf>
    <xf numFmtId="165" fontId="5" fillId="0" borderId="0" xfId="0" applyNumberFormat="1" applyFont="1" applyAlignment="1">
      <alignment vertical="top"/>
    </xf>
    <xf numFmtId="165" fontId="6" fillId="0" borderId="0" xfId="0" applyNumberFormat="1" applyFont="1" applyAlignment="1">
      <alignment vertical="top"/>
    </xf>
    <xf numFmtId="171" fontId="2" fillId="0" borderId="0" xfId="0" applyNumberFormat="1" applyFont="1" applyAlignment="1">
      <alignment vertical="top"/>
    </xf>
    <xf numFmtId="167" fontId="7" fillId="0" borderId="0" xfId="0" applyNumberFormat="1" applyFont="1" applyAlignment="1">
      <alignment vertical="top"/>
    </xf>
    <xf numFmtId="166" fontId="2" fillId="2" borderId="0" xfId="0" applyNumberFormat="1" applyFont="1" applyFill="1" applyAlignment="1">
      <alignment horizontal="right" vertical="top"/>
    </xf>
    <xf numFmtId="167" fontId="2" fillId="0" borderId="0" xfId="0" applyNumberFormat="1" applyFont="1" applyAlignment="1">
      <alignment vertical="top"/>
    </xf>
    <xf numFmtId="166" fontId="2" fillId="0" borderId="0" xfId="0" applyNumberFormat="1" applyFont="1" applyAlignment="1">
      <alignment vertical="top"/>
    </xf>
    <xf numFmtId="171" fontId="6" fillId="0" borderId="0" xfId="0" applyNumberFormat="1" applyFont="1" applyAlignment="1">
      <alignment vertical="top"/>
    </xf>
    <xf numFmtId="165" fontId="5" fillId="0" borderId="4" xfId="0" applyNumberFormat="1" applyFont="1" applyBorder="1" applyAlignment="1">
      <alignment vertical="top"/>
    </xf>
    <xf numFmtId="166" fontId="2" fillId="0" borderId="5" xfId="0" applyNumberFormat="1" applyFont="1" applyBorder="1" applyAlignment="1">
      <alignment vertical="top"/>
    </xf>
    <xf numFmtId="167" fontId="5" fillId="0" borderId="0" xfId="0" applyNumberFormat="1" applyFont="1" applyAlignment="1">
      <alignment vertical="top"/>
    </xf>
    <xf numFmtId="171" fontId="5" fillId="0" borderId="0" xfId="0" applyNumberFormat="1" applyFont="1" applyAlignment="1">
      <alignment vertical="top"/>
    </xf>
    <xf numFmtId="166" fontId="8" fillId="0" borderId="0" xfId="0" applyNumberFormat="1" applyFont="1" applyAlignment="1">
      <alignment vertical="top"/>
    </xf>
    <xf numFmtId="166" fontId="2" fillId="0" borderId="3" xfId="0" applyNumberFormat="1" applyFont="1" applyBorder="1" applyAlignment="1">
      <alignment vertical="top"/>
    </xf>
    <xf numFmtId="165" fontId="9" fillId="0" borderId="0" xfId="0" applyNumberFormat="1" applyFont="1" applyAlignment="1">
      <alignment vertical="top"/>
    </xf>
    <xf numFmtId="167" fontId="6" fillId="0" borderId="0" xfId="0" applyNumberFormat="1" applyFont="1" applyAlignment="1">
      <alignment vertical="top"/>
    </xf>
    <xf numFmtId="165" fontId="4" fillId="3" borderId="1" xfId="0" applyNumberFormat="1" applyFont="1" applyFill="1" applyBorder="1" applyAlignment="1">
      <alignment vertical="top"/>
    </xf>
    <xf numFmtId="165" fontId="4" fillId="0" borderId="0" xfId="0" applyNumberFormat="1" applyFont="1" applyAlignment="1">
      <alignment vertical="top"/>
    </xf>
    <xf numFmtId="168" fontId="6" fillId="0" borderId="0" xfId="0" applyNumberFormat="1" applyFont="1" applyAlignment="1">
      <alignment vertical="top"/>
    </xf>
    <xf numFmtId="165" fontId="7" fillId="0" borderId="0" xfId="0" applyNumberFormat="1" applyFont="1" applyAlignment="1">
      <alignment vertical="top"/>
    </xf>
    <xf numFmtId="168" fontId="5" fillId="0" borderId="0" xfId="0" applyNumberFormat="1" applyFont="1" applyAlignment="1">
      <alignment vertical="top"/>
    </xf>
    <xf numFmtId="165" fontId="10" fillId="4" borderId="0" xfId="0" applyNumberFormat="1" applyFont="1" applyFill="1" applyAlignment="1">
      <alignment vertical="center"/>
    </xf>
    <xf numFmtId="165" fontId="2" fillId="4" borderId="0" xfId="0" applyNumberFormat="1" applyFont="1" applyFill="1" applyAlignment="1">
      <alignment vertical="top"/>
    </xf>
    <xf numFmtId="165" fontId="11" fillId="0" borderId="0" xfId="0" applyNumberFormat="1" applyFont="1" applyAlignment="1">
      <alignment vertical="top"/>
    </xf>
    <xf numFmtId="165" fontId="6" fillId="0" borderId="0" xfId="0" applyNumberFormat="1" applyFont="1" applyAlignment="1">
      <alignment horizontal="right" vertical="top"/>
    </xf>
    <xf numFmtId="166" fontId="8" fillId="0" borderId="5" xfId="0" applyNumberFormat="1" applyFont="1" applyBorder="1" applyAlignment="1">
      <alignment vertical="top"/>
    </xf>
    <xf numFmtId="169" fontId="4" fillId="3" borderId="1" xfId="0" applyNumberFormat="1" applyFont="1" applyFill="1" applyBorder="1" applyAlignment="1">
      <alignment vertical="top"/>
    </xf>
    <xf numFmtId="171" fontId="4" fillId="0" borderId="0" xfId="0" applyNumberFormat="1" applyFont="1" applyAlignment="1">
      <alignment vertical="top"/>
    </xf>
    <xf numFmtId="165" fontId="12" fillId="0" borderId="0" xfId="0" applyNumberFormat="1" applyFont="1" applyAlignment="1">
      <alignment vertical="top"/>
    </xf>
    <xf numFmtId="165" fontId="2" fillId="0" borderId="4" xfId="0" applyNumberFormat="1" applyFont="1" applyBorder="1" applyAlignment="1">
      <alignment vertical="top"/>
    </xf>
    <xf numFmtId="167" fontId="5" fillId="5" borderId="1" xfId="0" applyNumberFormat="1" applyFont="1" applyFill="1" applyBorder="1" applyAlignment="1">
      <alignment vertical="top"/>
    </xf>
    <xf numFmtId="165" fontId="6" fillId="0" borderId="6" xfId="0" applyNumberFormat="1" applyFont="1" applyBorder="1" applyAlignment="1">
      <alignment vertical="top"/>
    </xf>
    <xf numFmtId="170" fontId="2" fillId="6" borderId="7" xfId="0" applyNumberFormat="1" applyFont="1" applyFill="1" applyBorder="1" applyAlignment="1">
      <alignment vertical="top"/>
    </xf>
    <xf numFmtId="169" fontId="6" fillId="0" borderId="0" xfId="0" applyNumberFormat="1" applyFont="1" applyAlignment="1">
      <alignment vertical="top"/>
    </xf>
    <xf numFmtId="165" fontId="13" fillId="0" borderId="0" xfId="0" applyNumberFormat="1" applyFont="1" applyAlignment="1">
      <alignment vertical="top"/>
    </xf>
    <xf numFmtId="165" fontId="14" fillId="0" borderId="0" xfId="0" applyNumberFormat="1" applyFont="1" applyAlignment="1">
      <alignment horizontal="left" vertical="top"/>
    </xf>
    <xf numFmtId="165" fontId="15" fillId="0" borderId="0" xfId="0" applyNumberFormat="1" applyFont="1" applyAlignment="1">
      <alignment vertical="top"/>
    </xf>
    <xf numFmtId="165" fontId="16" fillId="0" borderId="0" xfId="0" applyNumberFormat="1" applyFont="1" applyAlignment="1">
      <alignment vertical="top"/>
    </xf>
    <xf numFmtId="177" fontId="2" fillId="7" borderId="0" xfId="0" applyNumberFormat="1" applyFont="1" applyFill="1" applyAlignment="1">
      <alignment horizontal="center" vertical="top"/>
    </xf>
    <xf numFmtId="165" fontId="17" fillId="0" borderId="0" xfId="0" applyNumberFormat="1" applyFont="1" applyAlignment="1">
      <alignment vertical="top"/>
    </xf>
    <xf numFmtId="167" fontId="4" fillId="0" borderId="0" xfId="0" applyNumberFormat="1" applyFont="1" applyAlignment="1">
      <alignment vertical="top"/>
    </xf>
    <xf numFmtId="167" fontId="18" fillId="0" borderId="0" xfId="0" applyNumberFormat="1" applyFont="1" applyAlignment="1">
      <alignment vertical="top"/>
    </xf>
    <xf numFmtId="169" fontId="2" fillId="0" borderId="0" xfId="0" applyNumberFormat="1" applyFont="1" applyAlignment="1">
      <alignment vertical="top"/>
    </xf>
    <xf numFmtId="165" fontId="9" fillId="0" borderId="6" xfId="0" applyNumberFormat="1" applyFont="1" applyBorder="1" applyAlignment="1">
      <alignment vertical="top"/>
    </xf>
    <xf numFmtId="167" fontId="4" fillId="3" borderId="1" xfId="0" applyNumberFormat="1" applyFont="1" applyFill="1" applyBorder="1" applyAlignment="1">
      <alignment vertical="top"/>
    </xf>
    <xf numFmtId="165" fontId="12" fillId="0" borderId="4" xfId="0" applyNumberFormat="1" applyFont="1" applyBorder="1" applyAlignment="1">
      <alignment vertical="top"/>
    </xf>
    <xf numFmtId="165" fontId="8" fillId="0" borderId="0" xfId="0" applyNumberFormat="1" applyFont="1" applyAlignment="1">
      <alignment vertical="top"/>
    </xf>
    <xf numFmtId="165" fontId="5" fillId="0" borderId="0" xfId="0" applyNumberFormat="1" applyFont="1" applyAlignment="1">
      <alignment horizontal="right" vertical="top"/>
    </xf>
    <xf numFmtId="165" fontId="19" fillId="0" borderId="0" xfId="0" applyNumberFormat="1" applyFont="1" applyAlignment="1">
      <alignment vertical="top"/>
    </xf>
    <xf numFmtId="165" fontId="3" fillId="8" borderId="0" xfId="0" applyNumberFormat="1" applyFont="1" applyFill="1" applyAlignment="1">
      <alignment vertical="top"/>
    </xf>
    <xf numFmtId="165" fontId="20" fillId="0" borderId="0" xfId="0" applyNumberFormat="1" applyFont="1" applyAlignment="1">
      <alignment vertical="top"/>
    </xf>
    <xf numFmtId="165" fontId="2" fillId="0" borderId="0" xfId="0" applyNumberFormat="1" applyFont="1" applyAlignment="1">
      <alignment horizontal="left" vertical="top"/>
    </xf>
    <xf numFmtId="165" fontId="20" fillId="0" borderId="0" xfId="0" applyNumberFormat="1" applyFont="1" applyAlignment="1">
      <alignment horizontal="left" vertical="top"/>
    </xf>
    <xf numFmtId="165" fontId="21" fillId="0" borderId="0" xfId="0" applyNumberFormat="1" applyFont="1" applyAlignment="1">
      <alignment vertical="top"/>
    </xf>
    <xf numFmtId="165" fontId="4" fillId="0" borderId="0" xfId="0" applyNumberFormat="1" applyFont="1" applyAlignment="1">
      <alignment horizontal="left" vertical="top"/>
    </xf>
    <xf numFmtId="165" fontId="22" fillId="0" borderId="0" xfId="0" applyNumberFormat="1" applyFont="1" applyAlignment="1">
      <alignment vertical="top"/>
    </xf>
    <xf numFmtId="165" fontId="0" fillId="0" borderId="0" xfId="0" applyNumberFormat="1" applyAlignment="1">
      <alignment horizontal="left" vertical="top"/>
    </xf>
    <xf numFmtId="169" fontId="3" fillId="8" borderId="0" xfId="0" applyNumberFormat="1" applyFont="1" applyFill="1" applyAlignment="1">
      <alignment vertical="top"/>
    </xf>
    <xf numFmtId="169" fontId="8" fillId="0" borderId="0" xfId="0" applyNumberFormat="1" applyFont="1" applyAlignment="1">
      <alignment vertical="top"/>
    </xf>
    <xf numFmtId="165" fontId="4" fillId="0" borderId="0" xfId="0" applyNumberFormat="1" applyFont="1" applyAlignment="1">
      <alignment horizontal="right" vertical="top"/>
    </xf>
    <xf numFmtId="165" fontId="6" fillId="0" borderId="6" xfId="0" applyNumberFormat="1" applyFont="1" applyBorder="1" applyAlignment="1">
      <alignment horizontal="right" vertical="top"/>
    </xf>
    <xf numFmtId="165" fontId="2" fillId="0" borderId="6" xfId="0" applyNumberFormat="1" applyFont="1" applyBorder="1" applyAlignment="1">
      <alignment vertical="top"/>
    </xf>
    <xf numFmtId="165" fontId="11" fillId="0" borderId="6" xfId="0" applyNumberFormat="1" applyFont="1" applyBorder="1" applyAlignment="1">
      <alignment vertical="top"/>
    </xf>
    <xf numFmtId="165" fontId="2" fillId="0" borderId="0" xfId="0" applyNumberFormat="1" applyFont="1" applyAlignment="1">
      <alignment horizontal="right" vertical="top"/>
    </xf>
    <xf numFmtId="165" fontId="20" fillId="0" borderId="0" xfId="0" applyNumberFormat="1" applyFont="1" applyAlignment="1">
      <alignment horizontal="right" vertical="top"/>
    </xf>
    <xf numFmtId="165" fontId="19" fillId="0" borderId="4" xfId="0" applyNumberFormat="1" applyFont="1" applyBorder="1" applyAlignment="1">
      <alignment vertical="top"/>
    </xf>
    <xf numFmtId="165" fontId="5" fillId="0" borderId="4" xfId="0" applyNumberFormat="1" applyFont="1" applyBorder="1" applyAlignment="1">
      <alignment horizontal="right" vertical="top"/>
    </xf>
    <xf numFmtId="165" fontId="2" fillId="0" borderId="8" xfId="0" applyNumberFormat="1" applyFont="1" applyBorder="1" applyAlignment="1">
      <alignment vertical="top"/>
    </xf>
    <xf numFmtId="165" fontId="3" fillId="0" borderId="0" xfId="0" applyNumberFormat="1" applyFont="1" applyAlignment="1">
      <alignment vertical="top"/>
    </xf>
    <xf numFmtId="171" fontId="23" fillId="0" borderId="0" xfId="0" applyNumberFormat="1" applyFont="1" applyAlignment="1">
      <alignment horizontal="center" vertical="top"/>
    </xf>
    <xf numFmtId="167" fontId="8" fillId="0" borderId="0" xfId="0" applyNumberFormat="1" applyFont="1" applyAlignment="1">
      <alignment vertical="top"/>
    </xf>
    <xf numFmtId="169" fontId="2" fillId="0" borderId="8" xfId="0" applyNumberFormat="1" applyFont="1" applyBorder="1" applyAlignment="1">
      <alignment vertical="top"/>
    </xf>
    <xf numFmtId="169" fontId="3" fillId="0" borderId="0" xfId="0" applyNumberFormat="1" applyFont="1" applyAlignment="1">
      <alignment vertical="top"/>
    </xf>
    <xf numFmtId="167" fontId="3" fillId="8" borderId="0" xfId="0" applyNumberFormat="1" applyFont="1" applyFill="1" applyAlignment="1">
      <alignment vertical="top"/>
    </xf>
    <xf numFmtId="165" fontId="24" fillId="0" borderId="0" xfId="0" applyNumberFormat="1" applyFont="1" applyAlignment="1">
      <alignment vertical="top"/>
    </xf>
    <xf numFmtId="166" fontId="2" fillId="6" borderId="7" xfId="0" applyNumberFormat="1" applyFont="1" applyFill="1" applyBorder="1" applyAlignment="1">
      <alignment horizontal="center" vertical="top"/>
    </xf>
    <xf numFmtId="167" fontId="7" fillId="6" borderId="7" xfId="0" applyNumberFormat="1" applyFont="1" applyFill="1" applyBorder="1" applyAlignment="1">
      <alignment horizontal="center" vertical="center"/>
    </xf>
    <xf numFmtId="165" fontId="25" fillId="0" borderId="0" xfId="0" applyNumberFormat="1" applyFont="1" applyAlignment="1">
      <alignment vertical="top"/>
    </xf>
    <xf numFmtId="165" fontId="2" fillId="8" borderId="0" xfId="0" applyNumberFormat="1" applyFont="1" applyFill="1" applyAlignment="1">
      <alignment vertical="top"/>
    </xf>
    <xf numFmtId="169" fontId="2" fillId="9" borderId="0" xfId="0" applyNumberFormat="1" applyFont="1" applyFill="1" applyAlignment="1">
      <alignment vertical="top"/>
    </xf>
    <xf numFmtId="166" fontId="2" fillId="8" borderId="0" xfId="0" applyNumberFormat="1" applyFont="1" applyFill="1" applyAlignment="1">
      <alignment vertical="top"/>
    </xf>
    <xf numFmtId="165" fontId="2" fillId="9" borderId="0" xfId="0" applyNumberFormat="1" applyFont="1" applyFill="1" applyAlignment="1">
      <alignment vertical="top"/>
    </xf>
    <xf numFmtId="169" fontId="2" fillId="8" borderId="0" xfId="0" applyNumberFormat="1" applyFont="1" applyFill="1" applyAlignment="1">
      <alignment vertical="top"/>
    </xf>
    <xf numFmtId="167" fontId="5" fillId="5" borderId="0" xfId="0" applyNumberFormat="1" applyFont="1" applyFill="1" applyAlignment="1">
      <alignment vertical="top"/>
    </xf>
    <xf numFmtId="167" fontId="3" fillId="0" borderId="0" xfId="0" applyNumberFormat="1" applyFont="1" applyAlignment="1">
      <alignment vertical="top"/>
    </xf>
    <xf numFmtId="167" fontId="2" fillId="0" borderId="8" xfId="0" applyNumberFormat="1" applyFont="1" applyBorder="1" applyAlignment="1">
      <alignment vertical="top"/>
    </xf>
    <xf numFmtId="166" fontId="2" fillId="6" borderId="9" xfId="0" applyNumberFormat="1" applyFont="1" applyFill="1" applyBorder="1" applyAlignment="1">
      <alignment horizontal="center" vertical="top"/>
    </xf>
    <xf numFmtId="165" fontId="26" fillId="0" borderId="0" xfId="0" applyNumberFormat="1" applyFont="1" applyAlignment="1">
      <alignment vertical="top"/>
    </xf>
    <xf numFmtId="169" fontId="7" fillId="0" borderId="0" xfId="0" applyNumberFormat="1" applyFont="1" applyAlignment="1">
      <alignment vertical="top"/>
    </xf>
    <xf numFmtId="165" fontId="27" fillId="0" borderId="0" xfId="0" applyNumberFormat="1" applyFont="1" applyAlignment="1">
      <alignment vertical="top"/>
    </xf>
    <xf numFmtId="169" fontId="0" fillId="0" borderId="0" xfId="0" applyNumberFormat="1" applyAlignment="1">
      <alignment vertical="top"/>
    </xf>
    <xf numFmtId="0" fontId="28" fillId="0" borderId="0" xfId="0" applyFont="1" applyAlignment="1">
      <alignment horizontal="center" vertical="center"/>
    </xf>
    <xf numFmtId="173" fontId="2" fillId="10" borderId="7" xfId="0" applyNumberFormat="1" applyFont="1" applyFill="1" applyBorder="1" applyAlignment="1">
      <alignment horizontal="center" vertical="top"/>
    </xf>
    <xf numFmtId="165" fontId="4" fillId="9" borderId="0" xfId="0" applyNumberFormat="1" applyFont="1" applyFill="1" applyAlignment="1">
      <alignment vertical="top"/>
    </xf>
    <xf numFmtId="166" fontId="4" fillId="8" borderId="0" xfId="0" applyNumberFormat="1" applyFont="1" applyFill="1" applyAlignment="1">
      <alignment vertical="top"/>
    </xf>
    <xf numFmtId="166" fontId="2" fillId="0" borderId="9" xfId="0" applyNumberFormat="1" applyFont="1" applyBorder="1" applyAlignment="1">
      <alignment horizontal="center" vertical="top"/>
    </xf>
    <xf numFmtId="165" fontId="2" fillId="6" borderId="7" xfId="0" applyNumberFormat="1" applyFont="1" applyFill="1" applyBorder="1" applyAlignment="1">
      <alignment horizontal="center" vertical="top"/>
    </xf>
    <xf numFmtId="167" fontId="2" fillId="10" borderId="7" xfId="0" applyNumberFormat="1" applyFont="1" applyFill="1" applyBorder="1" applyAlignment="1">
      <alignment horizontal="center" vertical="top"/>
    </xf>
    <xf numFmtId="165" fontId="29" fillId="0" borderId="0" xfId="0" applyNumberFormat="1" applyFont="1" applyAlignment="1">
      <alignment vertical="top"/>
    </xf>
    <xf numFmtId="168" fontId="2" fillId="9" borderId="0" xfId="0" applyNumberFormat="1" applyFont="1" applyFill="1" applyAlignment="1">
      <alignment vertical="top"/>
    </xf>
    <xf numFmtId="168" fontId="2" fillId="0" borderId="0" xfId="0" applyNumberFormat="1" applyFont="1" applyAlignment="1">
      <alignment vertical="top"/>
    </xf>
    <xf numFmtId="165" fontId="4" fillId="10" borderId="0" xfId="0" applyNumberFormat="1" applyFont="1" applyFill="1" applyAlignment="1">
      <alignment vertical="top"/>
    </xf>
    <xf numFmtId="172" fontId="2" fillId="0" borderId="0" xfId="0" applyNumberFormat="1" applyFont="1" applyAlignment="1">
      <alignment vertical="top" wrapText="1"/>
    </xf>
    <xf numFmtId="172" fontId="4" fillId="9" borderId="0" xfId="0" applyNumberFormat="1" applyFont="1" applyFill="1" applyAlignment="1">
      <alignment vertical="top"/>
    </xf>
    <xf numFmtId="166" fontId="7" fillId="0" borderId="0" xfId="0" applyNumberFormat="1" applyFont="1" applyAlignment="1">
      <alignment vertical="top"/>
    </xf>
    <xf numFmtId="165" fontId="30" fillId="0" borderId="0" xfId="0" applyNumberFormat="1" applyFont="1" applyAlignment="1">
      <alignment vertical="top"/>
    </xf>
    <xf numFmtId="169" fontId="31" fillId="0" borderId="0" xfId="0" applyNumberFormat="1" applyFont="1" applyAlignment="1">
      <alignment vertical="top"/>
    </xf>
    <xf numFmtId="165" fontId="32" fillId="4" borderId="0" xfId="0" applyNumberFormat="1" applyFont="1" applyFill="1" applyAlignment="1">
      <alignment vertical="top"/>
    </xf>
    <xf numFmtId="165" fontId="4" fillId="6" borderId="1" xfId="0" applyNumberFormat="1" applyFont="1" applyFill="1" applyBorder="1" applyAlignment="1">
      <alignment vertical="top"/>
    </xf>
    <xf numFmtId="165" fontId="7" fillId="0" borderId="0" xfId="0" applyNumberFormat="1" applyFont="1" applyAlignment="1">
      <alignment vertical="top" wrapText="1"/>
    </xf>
    <xf numFmtId="165" fontId="33" fillId="0" borderId="0" xfId="0" applyNumberFormat="1" applyFont="1" applyAlignment="1">
      <alignment vertical="top"/>
    </xf>
    <xf numFmtId="168" fontId="7" fillId="0" borderId="0" xfId="0" applyNumberFormat="1" applyFont="1" applyAlignment="1">
      <alignment vertical="top"/>
    </xf>
    <xf numFmtId="165" fontId="7" fillId="0" borderId="4" xfId="0" applyNumberFormat="1" applyFont="1" applyBorder="1" applyAlignment="1">
      <alignment vertical="top"/>
    </xf>
    <xf numFmtId="165" fontId="8" fillId="8" borderId="0" xfId="0" applyNumberFormat="1" applyFont="1" applyFill="1" applyAlignment="1">
      <alignment vertical="top"/>
    </xf>
    <xf numFmtId="171" fontId="2" fillId="8" borderId="0" xfId="0" applyNumberFormat="1" applyFont="1" applyFill="1" applyAlignment="1">
      <alignment vertical="top"/>
    </xf>
    <xf numFmtId="169" fontId="16" fillId="0" borderId="0" xfId="0" applyNumberFormat="1" applyFont="1" applyAlignment="1">
      <alignment vertical="top"/>
    </xf>
    <xf numFmtId="165" fontId="34" fillId="0" borderId="0" xfId="0" applyNumberFormat="1" applyFont="1" applyAlignment="1">
      <alignment vertical="top"/>
    </xf>
    <xf numFmtId="170" fontId="2" fillId="8" borderId="0" xfId="0" applyNumberFormat="1" applyFont="1" applyFill="1" applyAlignment="1">
      <alignment vertical="top"/>
    </xf>
    <xf numFmtId="165" fontId="7" fillId="8" borderId="0" xfId="0" applyNumberFormat="1" applyFont="1" applyFill="1" applyAlignment="1">
      <alignment vertical="top"/>
    </xf>
    <xf numFmtId="168" fontId="2" fillId="8" borderId="0" xfId="0" applyNumberFormat="1" applyFont="1" applyFill="1" applyAlignment="1">
      <alignment vertical="top"/>
    </xf>
    <xf numFmtId="165" fontId="12" fillId="5" borderId="0" xfId="0" applyNumberFormat="1" applyFont="1" applyFill="1" applyAlignment="1">
      <alignment vertical="top"/>
    </xf>
    <xf numFmtId="165" fontId="35" fillId="0" borderId="0" xfId="0" applyNumberFormat="1" applyFont="1" applyAlignment="1">
      <alignment vertical="top"/>
    </xf>
    <xf numFmtId="164" fontId="4" fillId="6" borderId="1" xfId="0" applyNumberFormat="1" applyFont="1" applyFill="1" applyBorder="1" applyAlignment="1">
      <alignment vertical="top"/>
    </xf>
    <xf numFmtId="9" fontId="2" fillId="0" borderId="0" xfId="0" applyNumberFormat="1" applyFont="1" applyAlignment="1">
      <alignment vertical="top"/>
    </xf>
    <xf numFmtId="169" fontId="4" fillId="0" borderId="0" xfId="0" applyNumberFormat="1" applyFont="1" applyAlignment="1">
      <alignment vertical="top"/>
    </xf>
    <xf numFmtId="172" fontId="7" fillId="0" borderId="0" xfId="0" applyNumberFormat="1" applyFont="1" applyAlignment="1">
      <alignment vertical="top"/>
    </xf>
    <xf numFmtId="174" fontId="36" fillId="0" borderId="0" xfId="0" applyNumberFormat="1" applyFont="1" applyAlignment="1">
      <alignment horizontal="center" vertical="center"/>
    </xf>
    <xf numFmtId="167" fontId="2" fillId="8" borderId="0" xfId="0" applyNumberFormat="1" applyFont="1" applyFill="1" applyAlignment="1">
      <alignment vertical="top"/>
    </xf>
    <xf numFmtId="166" fontId="7" fillId="8" borderId="0" xfId="0" applyNumberFormat="1" applyFont="1" applyFill="1" applyAlignment="1">
      <alignment vertical="top"/>
    </xf>
    <xf numFmtId="165" fontId="37" fillId="4" borderId="0" xfId="0" applyNumberFormat="1" applyFont="1" applyFill="1" applyAlignment="1">
      <alignment vertical="center"/>
    </xf>
    <xf numFmtId="167" fontId="7" fillId="8" borderId="0" xfId="0" applyNumberFormat="1" applyFont="1" applyFill="1" applyAlignment="1">
      <alignment vertical="top"/>
    </xf>
    <xf numFmtId="165" fontId="38" fillId="0" borderId="0" xfId="0" applyNumberFormat="1" applyFont="1" applyAlignment="1">
      <alignment vertical="top"/>
    </xf>
    <xf numFmtId="165" fontId="27" fillId="8" borderId="0" xfId="0" applyNumberFormat="1" applyFont="1" applyFill="1" applyAlignment="1">
      <alignment vertical="top"/>
    </xf>
    <xf numFmtId="166" fontId="4" fillId="8" borderId="0" xfId="0" applyNumberFormat="1" applyFont="1" applyFill="1" applyAlignment="1">
      <alignment horizontal="left"/>
    </xf>
    <xf numFmtId="169" fontId="4" fillId="6" borderId="1" xfId="0" applyNumberFormat="1" applyFont="1" applyFill="1" applyBorder="1" applyAlignment="1">
      <alignment vertical="top"/>
    </xf>
    <xf numFmtId="168" fontId="0" fillId="0" borderId="0" xfId="0" applyNumberFormat="1" applyAlignment="1">
      <alignment vertical="top"/>
    </xf>
    <xf numFmtId="165" fontId="39" fillId="4" borderId="0" xfId="0" applyNumberFormat="1" applyFont="1" applyFill="1" applyAlignment="1">
      <alignment vertical="top"/>
    </xf>
    <xf numFmtId="165" fontId="16" fillId="0" borderId="0" xfId="0" applyNumberFormat="1" applyFont="1" applyAlignment="1">
      <alignment vertical="top" wrapText="1"/>
    </xf>
    <xf numFmtId="171" fontId="40" fillId="0" borderId="7" xfId="0" applyNumberFormat="1" applyFont="1" applyBorder="1" applyAlignment="1">
      <alignment horizontal="center" vertical="top"/>
    </xf>
    <xf numFmtId="165" fontId="16" fillId="0" borderId="4" xfId="0" applyNumberFormat="1" applyFont="1" applyBorder="1" applyAlignment="1">
      <alignment vertical="top"/>
    </xf>
    <xf numFmtId="165" fontId="4" fillId="11" borderId="7" xfId="0" applyNumberFormat="1" applyFont="1" applyFill="1" applyBorder="1" applyAlignment="1">
      <alignment horizontal="center" vertical="top"/>
    </xf>
    <xf numFmtId="166" fontId="16" fillId="8" borderId="0" xfId="0" applyNumberFormat="1" applyFont="1" applyFill="1" applyAlignment="1">
      <alignment vertical="top"/>
    </xf>
    <xf numFmtId="165" fontId="41" fillId="0" borderId="0" xfId="0" applyNumberFormat="1" applyFont="1" applyAlignment="1">
      <alignment vertical="top"/>
    </xf>
    <xf numFmtId="175" fontId="31" fillId="0" borderId="0" xfId="0" applyNumberFormat="1" applyFont="1" applyAlignment="1">
      <alignment vertical="top"/>
    </xf>
    <xf numFmtId="165" fontId="7" fillId="6" borderId="9" xfId="0" applyNumberFormat="1" applyFont="1" applyFill="1" applyBorder="1" applyAlignment="1">
      <alignment horizontal="center" vertical="top"/>
    </xf>
    <xf numFmtId="172" fontId="16" fillId="0" borderId="0" xfId="0" applyNumberFormat="1" applyFont="1" applyAlignment="1">
      <alignment vertical="top"/>
    </xf>
    <xf numFmtId="165" fontId="2" fillId="8" borderId="0" xfId="0" applyNumberFormat="1" applyFont="1" applyFill="1" applyAlignment="1">
      <alignment horizontal="right" vertical="top"/>
    </xf>
    <xf numFmtId="165" fontId="16" fillId="8" borderId="0" xfId="0" applyNumberFormat="1" applyFont="1" applyFill="1" applyAlignment="1">
      <alignment vertical="top"/>
    </xf>
    <xf numFmtId="167" fontId="2" fillId="0" borderId="10" xfId="0" applyNumberFormat="1" applyFont="1" applyBorder="1" applyAlignment="1">
      <alignment horizontal="center" vertical="top"/>
    </xf>
    <xf numFmtId="165" fontId="15" fillId="8" borderId="0" xfId="0" applyNumberFormat="1" applyFont="1" applyFill="1" applyAlignment="1">
      <alignment vertical="top"/>
    </xf>
    <xf numFmtId="171" fontId="2" fillId="0" borderId="0" xfId="0" applyNumberFormat="1" applyFont="1" applyAlignment="1">
      <alignment horizontal="center" vertical="top"/>
    </xf>
    <xf numFmtId="165" fontId="7" fillId="0" borderId="11" xfId="0" applyNumberFormat="1" applyFont="1" applyBorder="1" applyAlignment="1">
      <alignment vertical="top"/>
    </xf>
    <xf numFmtId="165" fontId="5" fillId="5" borderId="0" xfId="0" applyNumberFormat="1" applyFont="1" applyFill="1" applyAlignment="1">
      <alignment horizontal="left" vertical="top"/>
    </xf>
    <xf numFmtId="166" fontId="4" fillId="8" borderId="0" xfId="0" applyNumberFormat="1" applyFont="1" applyFill="1" applyAlignment="1">
      <alignment horizontal="right"/>
    </xf>
    <xf numFmtId="164" fontId="2" fillId="0" borderId="0" xfId="0" applyNumberFormat="1" applyFont="1" applyAlignment="1">
      <alignment vertical="top"/>
    </xf>
    <xf numFmtId="165" fontId="8" fillId="0" borderId="10" xfId="0" applyNumberFormat="1" applyFont="1" applyBorder="1" applyAlignment="1">
      <alignment horizontal="center" vertical="top"/>
    </xf>
    <xf numFmtId="172" fontId="4" fillId="0" borderId="0" xfId="0" applyNumberFormat="1" applyFont="1" applyAlignment="1">
      <alignment vertical="top"/>
    </xf>
    <xf numFmtId="172" fontId="4" fillId="0" borderId="7" xfId="0" applyNumberFormat="1" applyFont="1" applyBorder="1" applyAlignment="1">
      <alignment horizontal="right" vertical="top"/>
    </xf>
    <xf numFmtId="165" fontId="30" fillId="0" borderId="0" xfId="0" applyNumberFormat="1" applyFont="1" applyAlignment="1">
      <alignment horizontal="left" vertical="top"/>
    </xf>
    <xf numFmtId="167" fontId="16" fillId="0" borderId="0" xfId="0" applyNumberFormat="1" applyFont="1" applyAlignment="1">
      <alignment vertical="top"/>
    </xf>
    <xf numFmtId="166" fontId="42" fillId="0" borderId="0" xfId="0" applyNumberFormat="1" applyFont="1" applyAlignment="1">
      <alignment vertical="top"/>
    </xf>
    <xf numFmtId="168" fontId="31" fillId="0" borderId="0" xfId="0" applyNumberFormat="1" applyFont="1" applyAlignment="1">
      <alignment vertical="top"/>
    </xf>
    <xf numFmtId="166" fontId="18" fillId="0" borderId="0" xfId="0" applyNumberFormat="1" applyFont="1" applyAlignment="1">
      <alignment horizontal="left" vertical="top"/>
    </xf>
    <xf numFmtId="165" fontId="27" fillId="11" borderId="7" xfId="0" applyNumberFormat="1" applyFont="1" applyFill="1" applyBorder="1" applyAlignment="1">
      <alignment vertical="top"/>
    </xf>
    <xf numFmtId="173" fontId="2" fillId="0" borderId="7" xfId="0" applyNumberFormat="1" applyFont="1" applyBorder="1" applyAlignment="1">
      <alignment horizontal="center" vertical="top"/>
    </xf>
    <xf numFmtId="172" fontId="2" fillId="0" borderId="0" xfId="0" applyNumberFormat="1" applyFont="1" applyAlignment="1">
      <alignment vertical="top"/>
    </xf>
    <xf numFmtId="165" fontId="19" fillId="5" borderId="0" xfId="0" applyNumberFormat="1" applyFont="1" applyFill="1" applyAlignment="1">
      <alignment vertical="top"/>
    </xf>
    <xf numFmtId="165" fontId="43" fillId="0" borderId="0" xfId="0" applyNumberFormat="1" applyFont="1" applyAlignment="1">
      <alignment vertical="top"/>
    </xf>
    <xf numFmtId="166" fontId="2" fillId="0" borderId="0" xfId="0" applyNumberFormat="1" applyFont="1" applyAlignment="1">
      <alignment horizontal="right" vertical="top"/>
    </xf>
    <xf numFmtId="165" fontId="4" fillId="0" borderId="7" xfId="0" applyNumberFormat="1" applyFont="1" applyBorder="1" applyAlignment="1">
      <alignment horizontal="right" vertical="top"/>
    </xf>
    <xf numFmtId="165" fontId="7" fillId="0" borderId="10" xfId="0" applyNumberFormat="1" applyFont="1" applyBorder="1" applyAlignment="1">
      <alignment horizontal="center" vertical="center"/>
    </xf>
    <xf numFmtId="165" fontId="44" fillId="4" borderId="0" xfId="0" applyNumberFormat="1" applyFont="1" applyFill="1" applyAlignment="1">
      <alignment vertical="top"/>
    </xf>
    <xf numFmtId="165" fontId="5" fillId="5" borderId="0" xfId="0" applyNumberFormat="1" applyFont="1" applyFill="1" applyAlignment="1">
      <alignment vertical="top"/>
    </xf>
    <xf numFmtId="167" fontId="2" fillId="0" borderId="0" xfId="0" applyNumberFormat="1" applyFont="1" applyAlignment="1">
      <alignment horizontal="left" vertical="top"/>
    </xf>
    <xf numFmtId="166" fontId="13" fillId="0" borderId="0" xfId="0" applyNumberFormat="1" applyFont="1" applyAlignment="1">
      <alignment vertical="top"/>
    </xf>
    <xf numFmtId="165" fontId="45" fillId="0" borderId="0" xfId="0" applyNumberFormat="1" applyFont="1" applyAlignment="1">
      <alignment vertical="top"/>
    </xf>
    <xf numFmtId="165" fontId="7" fillId="6" borderId="7" xfId="0" applyNumberFormat="1" applyFont="1" applyFill="1" applyBorder="1" applyAlignment="1">
      <alignment horizontal="center" vertical="top"/>
    </xf>
    <xf numFmtId="165" fontId="46" fillId="0" borderId="0" xfId="0" applyNumberFormat="1" applyFont="1" applyAlignment="1">
      <alignment vertical="top"/>
    </xf>
    <xf numFmtId="166" fontId="16" fillId="0" borderId="0" xfId="0" applyNumberFormat="1" applyFont="1" applyAlignment="1">
      <alignment vertical="top"/>
    </xf>
    <xf numFmtId="169" fontId="4" fillId="8" borderId="0" xfId="0" applyNumberFormat="1" applyFont="1" applyFill="1" applyAlignment="1">
      <alignment vertical="top"/>
    </xf>
    <xf numFmtId="165" fontId="4" fillId="8" borderId="0" xfId="0" applyNumberFormat="1" applyFont="1" applyFill="1" applyAlignment="1">
      <alignment vertical="top"/>
    </xf>
    <xf numFmtId="169" fontId="20" fillId="0" borderId="0" xfId="0" applyNumberFormat="1" applyFont="1" applyAlignment="1">
      <alignment vertical="top"/>
    </xf>
    <xf numFmtId="165" fontId="2" fillId="0" borderId="0" xfId="0" applyNumberFormat="1" applyFont="1" applyAlignment="1">
      <alignment horizontal="left" vertical="top" wrapText="1"/>
    </xf>
    <xf numFmtId="165" fontId="47" fillId="0" borderId="0" xfId="0" applyNumberFormat="1" applyFont="1" applyAlignment="1">
      <alignment vertical="top"/>
    </xf>
    <xf numFmtId="165" fontId="2" fillId="6" borderId="7" xfId="0" applyNumberFormat="1" applyFont="1" applyFill="1" applyBorder="1" applyAlignment="1">
      <alignment horizontal="center" vertical="top" wrapText="1"/>
    </xf>
    <xf numFmtId="165" fontId="48" fillId="0" borderId="0" xfId="0" applyNumberFormat="1" applyFont="1" applyAlignment="1">
      <alignment vertical="top"/>
    </xf>
    <xf numFmtId="165" fontId="49" fillId="0" borderId="0" xfId="0" applyNumberFormat="1" applyFont="1" applyAlignment="1">
      <alignment vertical="top"/>
    </xf>
    <xf numFmtId="165" fontId="2" fillId="0" borderId="4" xfId="0" applyNumberFormat="1" applyFont="1" applyBorder="1" applyAlignment="1">
      <alignment horizontal="right" vertical="top"/>
    </xf>
    <xf numFmtId="165" fontId="50" fillId="0" borderId="0" xfId="0" applyNumberFormat="1" applyFont="1" applyAlignment="1">
      <alignment vertical="top"/>
    </xf>
    <xf numFmtId="176" fontId="2" fillId="0" borderId="0" xfId="0" applyNumberFormat="1" applyFont="1" applyAlignment="1">
      <alignment vertical="top"/>
    </xf>
    <xf numFmtId="166" fontId="2" fillId="8" borderId="0" xfId="0" applyNumberFormat="1" applyFont="1" applyFill="1" applyAlignment="1">
      <alignment horizontal="right" vertical="top"/>
    </xf>
    <xf numFmtId="165" fontId="0" fillId="0" borderId="2" xfId="0" applyNumberFormat="1" applyBorder="1" applyAlignment="1">
      <alignment vertical="top"/>
    </xf>
    <xf numFmtId="0" fontId="52" fillId="0" borderId="0" xfId="0" applyFont="1"/>
    <xf numFmtId="165" fontId="52" fillId="0" borderId="0" xfId="0" applyNumberFormat="1" applyFont="1"/>
    <xf numFmtId="165" fontId="53" fillId="0" borderId="0" xfId="0" applyNumberFormat="1" applyFont="1"/>
    <xf numFmtId="165" fontId="54" fillId="0" borderId="0" xfId="0" applyNumberFormat="1" applyFont="1"/>
    <xf numFmtId="0" fontId="52" fillId="12" borderId="0" xfId="0" applyFont="1" applyFill="1"/>
    <xf numFmtId="165" fontId="55" fillId="0" borderId="0" xfId="0" applyNumberFormat="1" applyFont="1" applyAlignment="1">
      <alignment vertical="top"/>
    </xf>
    <xf numFmtId="166" fontId="56" fillId="0" borderId="0" xfId="0" applyNumberFormat="1" applyFont="1" applyAlignment="1">
      <alignment vertical="top"/>
    </xf>
    <xf numFmtId="166" fontId="57" fillId="0" borderId="0" xfId="0" applyNumberFormat="1" applyFont="1" applyAlignment="1">
      <alignment vertical="top"/>
    </xf>
    <xf numFmtId="165" fontId="55" fillId="0" borderId="0" xfId="0" applyNumberFormat="1" applyFont="1"/>
    <xf numFmtId="165" fontId="57" fillId="0" borderId="0" xfId="0" applyNumberFormat="1" applyFont="1" applyAlignment="1">
      <alignment vertical="top"/>
    </xf>
    <xf numFmtId="167" fontId="57" fillId="0" borderId="0" xfId="0" applyNumberFormat="1" applyFont="1" applyAlignment="1">
      <alignment vertical="top"/>
    </xf>
    <xf numFmtId="165" fontId="52" fillId="13" borderId="0" xfId="0" applyNumberFormat="1" applyFont="1" applyFill="1"/>
    <xf numFmtId="169" fontId="57" fillId="0" borderId="0" xfId="0" applyNumberFormat="1" applyFont="1" applyAlignment="1">
      <alignment vertical="top"/>
    </xf>
    <xf numFmtId="169" fontId="56" fillId="0" borderId="14" xfId="0" applyNumberFormat="1" applyFont="1" applyBorder="1" applyAlignment="1">
      <alignment vertical="top"/>
    </xf>
    <xf numFmtId="165" fontId="56" fillId="0" borderId="14" xfId="0" applyNumberFormat="1" applyFont="1" applyBorder="1" applyAlignment="1">
      <alignment vertical="top"/>
    </xf>
    <xf numFmtId="165" fontId="52" fillId="14" borderId="0" xfId="0" applyNumberFormat="1" applyFont="1" applyFill="1"/>
    <xf numFmtId="10" fontId="56" fillId="0" borderId="14" xfId="0" applyNumberFormat="1" applyFont="1" applyBorder="1" applyAlignment="1">
      <alignment vertical="top"/>
    </xf>
    <xf numFmtId="165" fontId="52" fillId="15" borderId="0" xfId="0" applyNumberFormat="1" applyFont="1" applyFill="1"/>
    <xf numFmtId="0" fontId="52" fillId="5" borderId="0" xfId="0" applyFont="1" applyFill="1"/>
    <xf numFmtId="169" fontId="56" fillId="0" borderId="0" xfId="0" applyNumberFormat="1" applyFont="1" applyAlignment="1">
      <alignment vertical="top"/>
    </xf>
    <xf numFmtId="0" fontId="59" fillId="0" borderId="0" xfId="0" applyFont="1"/>
    <xf numFmtId="165" fontId="54" fillId="0" borderId="0" xfId="0" applyNumberFormat="1" applyFont="1" applyAlignment="1">
      <alignment vertical="top"/>
    </xf>
    <xf numFmtId="3" fontId="59" fillId="0" borderId="12" xfId="0" applyNumberFormat="1" applyFont="1" applyBorder="1" applyAlignment="1">
      <alignment horizontal="right"/>
    </xf>
    <xf numFmtId="3" fontId="59" fillId="0" borderId="0" xfId="0" applyNumberFormat="1" applyFont="1" applyAlignment="1">
      <alignment horizontal="right"/>
    </xf>
    <xf numFmtId="165" fontId="59" fillId="0" borderId="0" xfId="0" applyNumberFormat="1" applyFont="1" applyAlignment="1">
      <alignment horizontal="right"/>
    </xf>
    <xf numFmtId="1" fontId="59" fillId="0" borderId="12" xfId="0" applyNumberFormat="1" applyFont="1" applyBorder="1"/>
    <xf numFmtId="1" fontId="59" fillId="0" borderId="0" xfId="0" applyNumberFormat="1" applyFont="1"/>
    <xf numFmtId="0" fontId="52" fillId="0" borderId="12" xfId="0" applyFont="1" applyBorder="1"/>
    <xf numFmtId="0" fontId="59" fillId="0" borderId="12" xfId="0" applyFont="1" applyBorder="1"/>
    <xf numFmtId="165" fontId="60" fillId="0" borderId="0" xfId="0" applyNumberFormat="1" applyFont="1"/>
    <xf numFmtId="0" fontId="1" fillId="0" borderId="0" xfId="0" applyFont="1"/>
    <xf numFmtId="165" fontId="1" fillId="0" borderId="0" xfId="0" applyNumberFormat="1" applyFont="1" applyAlignment="1">
      <alignment vertical="top"/>
    </xf>
    <xf numFmtId="165" fontId="51" fillId="0" borderId="0" xfId="0" applyNumberFormat="1" applyFont="1" applyAlignment="1">
      <alignment vertical="top"/>
    </xf>
    <xf numFmtId="165" fontId="61" fillId="0" borderId="0" xfId="0" applyNumberFormat="1" applyFont="1"/>
    <xf numFmtId="3" fontId="61" fillId="0" borderId="0" xfId="0" applyNumberFormat="1" applyFont="1"/>
    <xf numFmtId="165" fontId="61" fillId="0" borderId="12" xfId="0" applyNumberFormat="1" applyFont="1" applyBorder="1"/>
    <xf numFmtId="0" fontId="1" fillId="0" borderId="12" xfId="0" applyFont="1" applyBorder="1"/>
    <xf numFmtId="3" fontId="61" fillId="0" borderId="12" xfId="0" applyNumberFormat="1" applyFont="1" applyBorder="1"/>
    <xf numFmtId="165" fontId="1" fillId="0" borderId="12" xfId="0" applyNumberFormat="1" applyFont="1" applyBorder="1" applyAlignment="1">
      <alignment vertical="top"/>
    </xf>
    <xf numFmtId="3" fontId="60" fillId="0" borderId="0" xfId="0" applyNumberFormat="1" applyFont="1"/>
    <xf numFmtId="165" fontId="1" fillId="0" borderId="0" xfId="0" applyNumberFormat="1" applyFont="1"/>
    <xf numFmtId="0" fontId="1" fillId="0" borderId="0" xfId="0" applyFont="1" applyAlignment="1">
      <alignment horizontal="right"/>
    </xf>
    <xf numFmtId="165" fontId="51" fillId="0" borderId="0" xfId="0" applyNumberFormat="1" applyFont="1" applyAlignment="1">
      <alignment horizontal="left"/>
    </xf>
    <xf numFmtId="178" fontId="51" fillId="0" borderId="0" xfId="0" applyNumberFormat="1" applyFont="1" applyAlignment="1">
      <alignment horizontal="right"/>
    </xf>
    <xf numFmtId="165" fontId="51" fillId="0" borderId="0" xfId="0" applyNumberFormat="1" applyFont="1"/>
    <xf numFmtId="178" fontId="51" fillId="0" borderId="0" xfId="0" applyNumberFormat="1" applyFont="1"/>
    <xf numFmtId="1" fontId="52" fillId="0" borderId="0" xfId="0" applyNumberFormat="1" applyFont="1"/>
    <xf numFmtId="167" fontId="58" fillId="0" borderId="13" xfId="0" applyNumberFormat="1" applyFont="1" applyBorder="1" applyAlignment="1">
      <alignment vertical="top"/>
    </xf>
    <xf numFmtId="10" fontId="52" fillId="13" borderId="0" xfId="0" applyNumberFormat="1" applyFont="1" applyFill="1"/>
    <xf numFmtId="10" fontId="52" fillId="0" borderId="0" xfId="0" applyNumberFormat="1" applyFont="1"/>
    <xf numFmtId="10" fontId="2" fillId="0" borderId="8" xfId="0" applyNumberFormat="1" applyFont="1" applyBorder="1" applyAlignment="1">
      <alignment vertical="top"/>
    </xf>
    <xf numFmtId="179" fontId="2" fillId="0" borderId="0" xfId="0" applyNumberFormat="1" applyFont="1" applyAlignment="1">
      <alignment vertical="top"/>
    </xf>
    <xf numFmtId="179" fontId="2" fillId="0" borderId="5" xfId="0" applyNumberFormat="1" applyFont="1" applyBorder="1" applyAlignment="1">
      <alignment vertical="top"/>
    </xf>
    <xf numFmtId="179" fontId="0" fillId="0" borderId="0" xfId="0" applyNumberForma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31"/>
  <sheetViews>
    <sheetView workbookViewId="0">
      <selection activeCell="G7" sqref="G7"/>
    </sheetView>
  </sheetViews>
  <sheetFormatPr defaultRowHeight="14.5"/>
  <cols>
    <col min="1" max="3" width="21.7265625" style="195" customWidth="1"/>
    <col min="4" max="4" width="32.7265625" style="195" customWidth="1"/>
    <col min="5" max="5" width="21.7265625" style="195" customWidth="1"/>
    <col min="6" max="6" width="41.7265625" style="195" customWidth="1"/>
    <col min="7" max="7" width="31.7265625" style="195" customWidth="1"/>
    <col min="8" max="8" width="30.7265625" style="195" customWidth="1"/>
    <col min="9" max="21" width="21.7265625" style="195" customWidth="1"/>
    <col min="22" max="16384" width="9.1796875" style="195"/>
  </cols>
  <sheetData>
    <row r="1" spans="1:12" ht="18">
      <c r="A1" s="195" t="s">
        <v>372</v>
      </c>
      <c r="B1" s="200"/>
      <c r="I1" t="s">
        <v>465</v>
      </c>
      <c r="J1" t="s">
        <v>466</v>
      </c>
      <c r="K1" t="s">
        <v>467</v>
      </c>
      <c r="L1" t="s">
        <v>468</v>
      </c>
    </row>
    <row r="2" spans="1:12" ht="18">
      <c r="B2" s="200"/>
      <c r="E2" t="s">
        <v>469</v>
      </c>
      <c r="I2" t="s">
        <v>470</v>
      </c>
      <c r="J2" t="s">
        <v>471</v>
      </c>
      <c r="K2" t="s">
        <v>472</v>
      </c>
      <c r="L2" t="s">
        <v>473</v>
      </c>
    </row>
    <row r="3" spans="1:12">
      <c r="B3" s="195" t="s">
        <v>371</v>
      </c>
      <c r="E3">
        <v>55</v>
      </c>
      <c r="G3" s="195" t="s">
        <v>370</v>
      </c>
      <c r="I3" t="s">
        <v>474</v>
      </c>
      <c r="J3" t="s">
        <v>475</v>
      </c>
      <c r="K3" t="s">
        <v>476</v>
      </c>
      <c r="L3" t="s">
        <v>477</v>
      </c>
    </row>
    <row r="4" spans="1:12">
      <c r="B4" s="195" t="s">
        <v>356</v>
      </c>
      <c r="C4" s="195" t="s">
        <v>355</v>
      </c>
      <c r="D4" s="195" t="s">
        <v>354</v>
      </c>
      <c r="E4" s="195" t="s">
        <v>478</v>
      </c>
      <c r="F4" s="195" t="s">
        <v>364</v>
      </c>
      <c r="G4" s="195" t="s">
        <v>363</v>
      </c>
      <c r="H4" s="195" t="s">
        <v>360</v>
      </c>
      <c r="I4">
        <v>1</v>
      </c>
      <c r="J4">
        <v>2</v>
      </c>
      <c r="K4">
        <v>3</v>
      </c>
      <c r="L4">
        <v>4</v>
      </c>
    </row>
    <row r="5" spans="1:12">
      <c r="A5" s="195" t="s">
        <v>351</v>
      </c>
      <c r="B5" s="195">
        <v>30</v>
      </c>
      <c r="C5" s="195">
        <v>110</v>
      </c>
      <c r="D5" s="195">
        <v>1340</v>
      </c>
      <c r="E5" s="195">
        <v>160</v>
      </c>
      <c r="F5" s="195" t="s">
        <v>358</v>
      </c>
      <c r="H5" t="s">
        <v>479</v>
      </c>
      <c r="I5" t="str">
        <f>IF($I$6=I4,"EEEEEE","FFFFFF")</f>
        <v>EEEEEE</v>
      </c>
      <c r="J5" t="str">
        <f>IF($I$6=J4,"EEEEEE","FFFFFF")</f>
        <v>FFFFFF</v>
      </c>
      <c r="K5" t="str">
        <f>IF($I$6=K4,"EEEEEE","FFFFFF")</f>
        <v>FFFFFF</v>
      </c>
      <c r="L5" t="str">
        <f>IF($I$6=L4,"EEEEEE","FFFFFF")</f>
        <v>FFFFFF</v>
      </c>
    </row>
    <row r="6" spans="1:12">
      <c r="A6" s="195" t="s">
        <v>350</v>
      </c>
      <c r="B6" s="195">
        <f>B5</f>
        <v>30</v>
      </c>
      <c r="C6" s="195">
        <f>C5</f>
        <v>110</v>
      </c>
      <c r="D6" s="195">
        <f>D5</f>
        <v>1340</v>
      </c>
      <c r="E6" s="195">
        <f>IF(G6="Show",E5,E3)</f>
        <v>55</v>
      </c>
      <c r="F6" s="195" t="s">
        <v>358</v>
      </c>
      <c r="G6" s="195" t="s">
        <v>360</v>
      </c>
      <c r="H6" t="s">
        <v>480</v>
      </c>
      <c r="I6">
        <v>1</v>
      </c>
      <c r="J6"/>
      <c r="K6"/>
      <c r="L6"/>
    </row>
    <row r="7" spans="1:12" s="199" customFormat="1">
      <c r="E7"/>
    </row>
    <row r="8" spans="1:12">
      <c r="B8" s="195" t="s">
        <v>369</v>
      </c>
      <c r="G8" s="195" t="s">
        <v>368</v>
      </c>
    </row>
    <row r="9" spans="1:12">
      <c r="B9" s="195" t="s">
        <v>356</v>
      </c>
      <c r="C9" s="195" t="s">
        <v>355</v>
      </c>
      <c r="D9" s="195" t="s">
        <v>354</v>
      </c>
      <c r="E9" s="195" t="s">
        <v>353</v>
      </c>
      <c r="F9" s="195" t="s">
        <v>364</v>
      </c>
      <c r="G9" s="195" t="s">
        <v>363</v>
      </c>
      <c r="H9" s="195" t="s">
        <v>360</v>
      </c>
    </row>
    <row r="10" spans="1:12">
      <c r="A10" s="195" t="s">
        <v>352</v>
      </c>
      <c r="C10" s="195">
        <v>20</v>
      </c>
      <c r="E10">
        <v>30</v>
      </c>
    </row>
    <row r="11" spans="1:12">
      <c r="A11" s="195" t="s">
        <v>351</v>
      </c>
      <c r="B11" s="195">
        <v>30</v>
      </c>
      <c r="C11" s="195">
        <f>C6+E6+C10</f>
        <v>185</v>
      </c>
      <c r="D11" s="195">
        <v>1340</v>
      </c>
      <c r="E11" s="195">
        <v>1080</v>
      </c>
      <c r="F11" s="195" t="s">
        <v>361</v>
      </c>
      <c r="G11" s="195" t="s">
        <v>363</v>
      </c>
    </row>
    <row r="12" spans="1:12">
      <c r="A12" s="195" t="s">
        <v>350</v>
      </c>
      <c r="B12" s="195">
        <f>B11</f>
        <v>30</v>
      </c>
      <c r="C12" s="195">
        <f>C11</f>
        <v>185</v>
      </c>
      <c r="D12" s="195">
        <f>D11</f>
        <v>1340</v>
      </c>
      <c r="E12" s="195">
        <f>IF(G11="Show",E11,E10)</f>
        <v>1080</v>
      </c>
      <c r="F12" s="195" t="s">
        <v>358</v>
      </c>
    </row>
    <row r="13" spans="1:12" s="199" customFormat="1"/>
    <row r="14" spans="1:12">
      <c r="B14" s="195" t="s">
        <v>367</v>
      </c>
      <c r="G14" s="195" t="s">
        <v>366</v>
      </c>
      <c r="I14" s="195" t="s">
        <v>365</v>
      </c>
    </row>
    <row r="15" spans="1:12">
      <c r="B15" s="195" t="s">
        <v>356</v>
      </c>
      <c r="C15" s="195" t="s">
        <v>355</v>
      </c>
      <c r="D15" s="195" t="s">
        <v>354</v>
      </c>
      <c r="E15" s="195" t="s">
        <v>353</v>
      </c>
      <c r="F15" s="195" t="s">
        <v>364</v>
      </c>
      <c r="G15" s="195" t="s">
        <v>363</v>
      </c>
      <c r="H15" s="195" t="s">
        <v>360</v>
      </c>
      <c r="I15" s="195" t="s">
        <v>359</v>
      </c>
      <c r="J15" s="195" t="s">
        <v>362</v>
      </c>
    </row>
    <row r="16" spans="1:12">
      <c r="A16" s="195" t="s">
        <v>352</v>
      </c>
      <c r="C16" s="195">
        <v>20</v>
      </c>
    </row>
    <row r="17" spans="1:9">
      <c r="A17" s="195" t="s">
        <v>351</v>
      </c>
      <c r="B17" s="195">
        <v>30</v>
      </c>
      <c r="C17" s="195">
        <f>C12+E12+C16</f>
        <v>1285</v>
      </c>
      <c r="D17" s="195">
        <v>1340</v>
      </c>
      <c r="E17" s="195">
        <v>1200</v>
      </c>
      <c r="F17" s="195" t="s">
        <v>361</v>
      </c>
      <c r="G17" s="195" t="s">
        <v>360</v>
      </c>
      <c r="I17" s="195" t="s">
        <v>359</v>
      </c>
    </row>
    <row r="18" spans="1:9">
      <c r="A18" s="195" t="s">
        <v>350</v>
      </c>
      <c r="B18" s="195">
        <f>B17</f>
        <v>30</v>
      </c>
      <c r="C18" s="195">
        <f>C17</f>
        <v>1285</v>
      </c>
      <c r="D18" s="195">
        <f>D17</f>
        <v>1340</v>
      </c>
      <c r="E18" s="195">
        <f>IF(G17="Hide",30,E17)</f>
        <v>30</v>
      </c>
      <c r="F18" s="195" t="s">
        <v>358</v>
      </c>
    </row>
    <row r="19" spans="1:9" s="199" customFormat="1"/>
    <row r="20" spans="1:9">
      <c r="B20" s="195" t="s">
        <v>357</v>
      </c>
    </row>
    <row r="21" spans="1:9">
      <c r="B21" s="195" t="s">
        <v>356</v>
      </c>
      <c r="C21" s="195" t="s">
        <v>355</v>
      </c>
      <c r="D21" s="195" t="s">
        <v>354</v>
      </c>
      <c r="E21" s="195" t="s">
        <v>353</v>
      </c>
    </row>
    <row r="22" spans="1:9">
      <c r="A22" s="195" t="s">
        <v>352</v>
      </c>
      <c r="C22" s="195">
        <v>50</v>
      </c>
    </row>
    <row r="23" spans="1:9">
      <c r="A23" s="195" t="s">
        <v>351</v>
      </c>
      <c r="B23" s="195">
        <v>1440</v>
      </c>
      <c r="C23" s="195">
        <f>C18+E18+C22</f>
        <v>1365</v>
      </c>
    </row>
    <row r="24" spans="1:9">
      <c r="A24" s="195" t="s">
        <v>350</v>
      </c>
    </row>
    <row r="29" spans="1:9">
      <c r="A29" s="195" t="s">
        <v>349</v>
      </c>
    </row>
    <row r="30" spans="1:9">
      <c r="B30" s="195" t="s">
        <v>348</v>
      </c>
    </row>
    <row r="31" spans="1:9">
      <c r="A31" s="195" t="s">
        <v>347</v>
      </c>
      <c r="B3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Q81"/>
  <sheetViews>
    <sheetView tabSelected="1" topLeftCell="A26" workbookViewId="0">
      <selection activeCell="G48" sqref="G48"/>
    </sheetView>
  </sheetViews>
  <sheetFormatPr defaultRowHeight="14.5"/>
  <cols>
    <col min="1" max="1" width="9.1796875" style="196"/>
    <col min="2" max="2" width="19.7265625" style="196" customWidth="1"/>
    <col min="3" max="3" width="32.7265625" style="196" customWidth="1"/>
    <col min="4" max="4" width="25.7265625" style="196" customWidth="1"/>
    <col min="5" max="5" width="20.7265625" style="196" customWidth="1"/>
    <col min="6" max="6" width="9.1796875" style="196"/>
    <col min="7" max="7" width="37.7265625" style="196" customWidth="1"/>
    <col min="8" max="8" width="42.7265625" style="196" customWidth="1"/>
    <col min="9" max="9" width="14.7265625" style="196" customWidth="1"/>
    <col min="10" max="11" width="9.1796875" style="196"/>
    <col min="12" max="12" width="27.7265625" style="196" customWidth="1"/>
    <col min="13" max="16" width="9.1796875" style="196"/>
    <col min="17" max="18" width="8.7265625" style="196" customWidth="1"/>
    <col min="19" max="19" width="15.7265625" style="196" customWidth="1"/>
    <col min="20" max="251" width="9.1796875" style="196"/>
    <col min="252" max="16384" width="9.1796875" style="195"/>
  </cols>
  <sheetData>
    <row r="1" spans="3:23" ht="18">
      <c r="C1" s="203" t="s">
        <v>456</v>
      </c>
      <c r="D1" s="203" t="s">
        <v>455</v>
      </c>
      <c r="E1" s="203" t="s">
        <v>454</v>
      </c>
      <c r="H1" s="203" t="s">
        <v>453</v>
      </c>
      <c r="L1" s="203" t="s">
        <v>452</v>
      </c>
    </row>
    <row r="2" spans="3:23" ht="17" customHeight="1">
      <c r="C2" s="195" t="s">
        <v>451</v>
      </c>
      <c r="D2" s="195" t="s">
        <v>450</v>
      </c>
      <c r="E2" s="195" t="s">
        <v>449</v>
      </c>
      <c r="H2" s="195" t="s">
        <v>448</v>
      </c>
    </row>
    <row r="3" spans="3:23">
      <c r="C3" s="195" t="s">
        <v>447</v>
      </c>
      <c r="D3" s="213">
        <v>0.3</v>
      </c>
      <c r="H3" s="214" t="s">
        <v>251</v>
      </c>
      <c r="I3" s="208">
        <f>D15</f>
        <v>0.9</v>
      </c>
      <c r="J3" s="214" t="s">
        <v>205</v>
      </c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195"/>
      <c r="W3" s="195"/>
    </row>
    <row r="4" spans="3:23">
      <c r="C4" s="195" t="s">
        <v>446</v>
      </c>
      <c r="D4" s="213">
        <v>6</v>
      </c>
      <c r="H4" s="204" t="s">
        <v>182</v>
      </c>
      <c r="I4" s="209">
        <f>D10</f>
        <v>500</v>
      </c>
      <c r="J4" s="204" t="s">
        <v>122</v>
      </c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</row>
    <row r="5" spans="3:23">
      <c r="C5" s="195" t="s">
        <v>445</v>
      </c>
      <c r="D5" s="213">
        <v>35</v>
      </c>
      <c r="H5" s="207" t="s">
        <v>70</v>
      </c>
      <c r="I5" s="208">
        <f>D14</f>
        <v>1</v>
      </c>
      <c r="J5" s="207" t="s">
        <v>205</v>
      </c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195"/>
      <c r="W5" s="195"/>
    </row>
    <row r="6" spans="3:23" ht="18">
      <c r="C6" s="195" t="s">
        <v>444</v>
      </c>
      <c r="D6" s="213">
        <v>5000</v>
      </c>
      <c r="H6" s="204" t="s">
        <v>206</v>
      </c>
      <c r="I6" s="209">
        <v>1</v>
      </c>
      <c r="J6" s="204"/>
      <c r="K6" s="195"/>
      <c r="L6" s="203" t="s">
        <v>443</v>
      </c>
      <c r="M6" s="195"/>
      <c r="N6" s="195"/>
      <c r="O6" s="195"/>
      <c r="P6" s="195"/>
      <c r="Q6" s="195"/>
      <c r="R6" s="195"/>
      <c r="S6" s="195"/>
      <c r="T6" s="195"/>
      <c r="U6" s="195"/>
      <c r="V6" s="195"/>
      <c r="W6" s="195"/>
    </row>
    <row r="7" spans="3:23">
      <c r="C7" s="195" t="s">
        <v>442</v>
      </c>
      <c r="D7" s="213">
        <v>1000</v>
      </c>
      <c r="H7" s="204" t="s">
        <v>183</v>
      </c>
      <c r="I7" s="209"/>
      <c r="J7" s="204" t="s">
        <v>122</v>
      </c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</row>
    <row r="8" spans="3:23" ht="18">
      <c r="D8" s="195"/>
      <c r="H8" s="204" t="s">
        <v>306</v>
      </c>
      <c r="I8" s="209">
        <f>D11</f>
        <v>2</v>
      </c>
      <c r="J8" s="204" t="s">
        <v>71</v>
      </c>
      <c r="K8" s="195"/>
      <c r="L8" s="203" t="s">
        <v>71</v>
      </c>
      <c r="M8" s="203" t="s">
        <v>441</v>
      </c>
      <c r="N8" s="195"/>
      <c r="O8" s="195"/>
      <c r="P8" s="195"/>
      <c r="Q8" s="195"/>
      <c r="R8" s="195"/>
      <c r="S8" s="195"/>
      <c r="T8" s="195"/>
      <c r="U8" s="195"/>
      <c r="V8" s="195"/>
      <c r="W8" s="195"/>
    </row>
    <row r="9" spans="3:23">
      <c r="C9" s="195" t="s">
        <v>440</v>
      </c>
      <c r="D9" s="213"/>
      <c r="H9" s="204" t="s">
        <v>269</v>
      </c>
      <c r="I9" s="209">
        <f>D12</f>
        <v>35</v>
      </c>
      <c r="J9" s="204" t="s">
        <v>252</v>
      </c>
      <c r="K9" s="195"/>
      <c r="L9" s="195" t="s">
        <v>439</v>
      </c>
      <c r="M9" s="195">
        <v>2023</v>
      </c>
      <c r="N9" s="195"/>
      <c r="O9" s="195"/>
      <c r="P9" s="195"/>
      <c r="Q9" s="195"/>
      <c r="R9" s="195"/>
      <c r="S9" s="195"/>
      <c r="T9" s="195"/>
      <c r="U9" s="195"/>
      <c r="V9" s="195"/>
      <c r="W9" s="195"/>
    </row>
    <row r="10" spans="3:23">
      <c r="C10" s="195" t="s">
        <v>438</v>
      </c>
      <c r="D10" s="213">
        <v>500</v>
      </c>
      <c r="H10" s="204" t="s">
        <v>270</v>
      </c>
      <c r="I10" s="209">
        <f>D13</f>
        <v>24</v>
      </c>
      <c r="J10" s="204" t="s">
        <v>71</v>
      </c>
      <c r="K10" s="195"/>
      <c r="L10" s="195" t="s">
        <v>437</v>
      </c>
      <c r="M10" s="195">
        <v>2024</v>
      </c>
      <c r="N10" s="195"/>
      <c r="O10" s="195"/>
      <c r="P10" s="195"/>
      <c r="Q10" s="195"/>
      <c r="R10" s="195"/>
      <c r="S10" s="195"/>
      <c r="T10" s="195"/>
      <c r="U10" s="195"/>
      <c r="V10" s="195"/>
      <c r="W10" s="195"/>
    </row>
    <row r="11" spans="3:23" ht="15" customHeight="1">
      <c r="C11" s="195" t="s">
        <v>436</v>
      </c>
      <c r="D11" s="213">
        <v>2</v>
      </c>
      <c r="H11" s="204" t="s">
        <v>3</v>
      </c>
      <c r="I11" s="209">
        <v>12</v>
      </c>
      <c r="J11" s="204" t="s">
        <v>71</v>
      </c>
      <c r="K11" s="195"/>
      <c r="L11" s="195" t="s">
        <v>435</v>
      </c>
      <c r="M11" s="195">
        <v>2025</v>
      </c>
      <c r="N11" s="195"/>
      <c r="O11" s="195"/>
      <c r="P11" s="195"/>
      <c r="Q11" s="195"/>
      <c r="R11" s="195"/>
      <c r="S11" s="195"/>
      <c r="T11" s="195"/>
      <c r="U11" s="195"/>
      <c r="V11" s="195"/>
      <c r="W11" s="195"/>
    </row>
    <row r="12" spans="3:23" ht="19" customHeight="1">
      <c r="C12" s="195" t="s">
        <v>434</v>
      </c>
      <c r="D12" s="213">
        <v>35</v>
      </c>
      <c r="I12" s="195"/>
      <c r="L12" s="195" t="s">
        <v>433</v>
      </c>
      <c r="M12" s="195">
        <v>2026</v>
      </c>
      <c r="P12" s="195"/>
      <c r="Q12" s="195"/>
      <c r="T12" s="195"/>
    </row>
    <row r="13" spans="3:23">
      <c r="C13" s="195" t="s">
        <v>432</v>
      </c>
      <c r="D13" s="213">
        <v>24</v>
      </c>
      <c r="I13" s="195"/>
      <c r="L13" s="195" t="s">
        <v>431</v>
      </c>
      <c r="M13" s="195">
        <v>2027</v>
      </c>
      <c r="P13" s="195"/>
      <c r="Q13" s="195"/>
      <c r="U13" s="195"/>
    </row>
    <row r="14" spans="3:23">
      <c r="C14" s="195" t="s">
        <v>430</v>
      </c>
      <c r="D14" s="213">
        <v>1</v>
      </c>
      <c r="H14" s="204" t="s">
        <v>98</v>
      </c>
      <c r="I14" s="209">
        <f>D18</f>
        <v>25000</v>
      </c>
      <c r="J14" s="204" t="s">
        <v>252</v>
      </c>
      <c r="K14" s="195"/>
      <c r="L14" s="195" t="s">
        <v>429</v>
      </c>
      <c r="M14" s="195">
        <v>2028</v>
      </c>
      <c r="N14" s="195"/>
      <c r="O14" s="195"/>
      <c r="P14" s="195"/>
      <c r="Q14" s="195"/>
      <c r="R14" s="195"/>
      <c r="S14" s="195"/>
      <c r="T14" s="195"/>
      <c r="U14" s="195"/>
      <c r="V14" s="195"/>
      <c r="W14" s="195"/>
    </row>
    <row r="15" spans="3:23">
      <c r="C15" s="195" t="s">
        <v>428</v>
      </c>
      <c r="D15" s="213">
        <v>0.9</v>
      </c>
      <c r="H15" s="207" t="s">
        <v>327</v>
      </c>
      <c r="I15" s="208">
        <f>D19</f>
        <v>0.1</v>
      </c>
      <c r="J15" s="207" t="s">
        <v>205</v>
      </c>
      <c r="K15" s="195"/>
      <c r="L15" s="195" t="s">
        <v>427</v>
      </c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95"/>
    </row>
    <row r="16" spans="3:23">
      <c r="D16" s="195"/>
      <c r="H16" s="204" t="s">
        <v>307</v>
      </c>
      <c r="I16" s="209">
        <v>3</v>
      </c>
      <c r="J16" s="204" t="s">
        <v>71</v>
      </c>
      <c r="K16" s="195"/>
      <c r="L16" s="195" t="s">
        <v>426</v>
      </c>
      <c r="M16" s="195"/>
      <c r="N16" s="195"/>
      <c r="O16" s="195"/>
      <c r="P16" s="195"/>
      <c r="Q16" s="195"/>
      <c r="R16" s="195"/>
      <c r="S16" s="195"/>
      <c r="T16" s="195"/>
      <c r="U16" s="195"/>
      <c r="V16" s="195"/>
      <c r="W16" s="195"/>
    </row>
    <row r="17" spans="1:251">
      <c r="C17" s="195" t="s">
        <v>425</v>
      </c>
      <c r="D17" s="213"/>
      <c r="H17" s="207" t="s">
        <v>308</v>
      </c>
      <c r="I17" s="208">
        <f>D20</f>
        <v>0.05</v>
      </c>
      <c r="J17" s="207" t="s">
        <v>205</v>
      </c>
      <c r="K17" s="195"/>
      <c r="L17" s="195" t="s">
        <v>424</v>
      </c>
      <c r="M17" s="195"/>
      <c r="N17" s="195"/>
      <c r="O17" s="195"/>
      <c r="P17" s="195"/>
      <c r="Q17" s="195"/>
      <c r="R17" s="195"/>
      <c r="S17" s="195"/>
      <c r="T17" s="195"/>
      <c r="U17" s="195"/>
      <c r="V17" s="195"/>
      <c r="W17" s="195"/>
    </row>
    <row r="18" spans="1:251">
      <c r="C18" s="195" t="s">
        <v>423</v>
      </c>
      <c r="D18" s="213">
        <v>25000</v>
      </c>
      <c r="I18" s="195"/>
      <c r="L18" s="195" t="s">
        <v>422</v>
      </c>
      <c r="T18" s="195"/>
    </row>
    <row r="19" spans="1:251">
      <c r="C19" s="195" t="s">
        <v>421</v>
      </c>
      <c r="D19" s="213">
        <v>0.1</v>
      </c>
      <c r="I19" s="195"/>
      <c r="L19" s="195" t="s">
        <v>420</v>
      </c>
      <c r="M19" s="195"/>
      <c r="T19" s="195"/>
    </row>
    <row r="20" spans="1:251">
      <c r="C20" s="195" t="s">
        <v>419</v>
      </c>
      <c r="D20" s="213">
        <v>0.05</v>
      </c>
      <c r="H20" s="204" t="s">
        <v>72</v>
      </c>
      <c r="I20" s="209">
        <f>D7</f>
        <v>1000</v>
      </c>
      <c r="J20" s="204" t="s">
        <v>122</v>
      </c>
      <c r="K20" s="195"/>
      <c r="L20" s="195" t="s">
        <v>418</v>
      </c>
      <c r="M20" s="195"/>
      <c r="N20" s="195"/>
      <c r="O20" s="195"/>
      <c r="P20" s="195"/>
      <c r="Q20" s="195"/>
      <c r="R20" s="195"/>
      <c r="S20" s="195"/>
      <c r="T20" s="195"/>
      <c r="U20" s="195"/>
      <c r="V20" s="195"/>
      <c r="W20" s="195"/>
    </row>
    <row r="21" spans="1:251">
      <c r="C21" s="195"/>
      <c r="D21" s="195"/>
      <c r="H21" s="207" t="s">
        <v>47</v>
      </c>
      <c r="I21" s="208">
        <f>D3</f>
        <v>0.3</v>
      </c>
      <c r="J21" s="207" t="s">
        <v>205</v>
      </c>
      <c r="K21" s="195"/>
      <c r="L21" s="195"/>
      <c r="M21" s="195"/>
      <c r="N21" s="195"/>
      <c r="O21" s="195"/>
      <c r="P21" s="195"/>
      <c r="Q21" s="195"/>
      <c r="R21" s="195"/>
      <c r="S21" s="195"/>
      <c r="T21" s="195"/>
      <c r="U21" s="195"/>
      <c r="V21" s="195"/>
      <c r="W21" s="195"/>
    </row>
    <row r="22" spans="1:251">
      <c r="D22" s="195"/>
      <c r="H22" s="204" t="s">
        <v>48</v>
      </c>
      <c r="I22" s="209">
        <f>D4</f>
        <v>6</v>
      </c>
      <c r="J22" s="204" t="s">
        <v>71</v>
      </c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</row>
    <row r="23" spans="1:251">
      <c r="D23" s="195"/>
      <c r="H23" s="204" t="s">
        <v>207</v>
      </c>
      <c r="I23" s="209">
        <f>D5</f>
        <v>35</v>
      </c>
      <c r="J23" s="204" t="s">
        <v>252</v>
      </c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</row>
    <row r="24" spans="1:251">
      <c r="D24" s="195"/>
      <c r="H24" s="204" t="s">
        <v>286</v>
      </c>
      <c r="I24" s="209">
        <f>D6</f>
        <v>5000</v>
      </c>
      <c r="J24" s="204" t="s">
        <v>122</v>
      </c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</row>
    <row r="25" spans="1:251">
      <c r="D25" s="195"/>
      <c r="I25" s="195"/>
      <c r="L25" s="195"/>
      <c r="M25" s="195"/>
      <c r="T25" s="195"/>
      <c r="V25" s="195"/>
    </row>
    <row r="26" spans="1:251">
      <c r="D26" s="195"/>
      <c r="I26" s="195"/>
      <c r="L26" s="195"/>
      <c r="M26" s="195"/>
    </row>
    <row r="27" spans="1:251">
      <c r="D27" s="195"/>
      <c r="H27" s="204" t="s">
        <v>328</v>
      </c>
      <c r="I27" s="209"/>
      <c r="J27" s="204" t="s">
        <v>122</v>
      </c>
      <c r="K27" s="195"/>
      <c r="L27" s="195"/>
      <c r="M27" s="195"/>
      <c r="N27" s="195"/>
      <c r="O27" s="195"/>
      <c r="P27" s="195"/>
      <c r="Q27" s="195"/>
      <c r="R27" s="195"/>
      <c r="S27" s="195"/>
      <c r="T27" s="195"/>
      <c r="U27" s="195"/>
      <c r="V27" s="195"/>
      <c r="W27" s="195"/>
    </row>
    <row r="28" spans="1:251">
      <c r="D28" s="195"/>
      <c r="E28" s="195" t="s">
        <v>406</v>
      </c>
      <c r="H28" s="204" t="s">
        <v>287</v>
      </c>
      <c r="I28" s="209"/>
      <c r="J28" s="204" t="s">
        <v>122</v>
      </c>
      <c r="K28" s="195"/>
      <c r="L28" s="195"/>
      <c r="M28" s="195"/>
      <c r="N28" s="195"/>
      <c r="O28" s="195"/>
      <c r="P28" s="195"/>
      <c r="Q28" s="195"/>
      <c r="R28" s="195"/>
      <c r="S28" s="195"/>
      <c r="T28" s="195"/>
      <c r="U28" s="195"/>
      <c r="V28" s="195"/>
      <c r="W28" s="195"/>
    </row>
    <row r="29" spans="1:251">
      <c r="B29" s="195"/>
      <c r="C29" s="195" t="s">
        <v>417</v>
      </c>
      <c r="D29" s="206" t="s">
        <v>404</v>
      </c>
      <c r="E29" s="212">
        <f>IF(D29="unchecked",0,DATE(D31,D30,"01"))</f>
        <v>0</v>
      </c>
      <c r="H29" s="204" t="s">
        <v>161</v>
      </c>
      <c r="I29" s="209"/>
      <c r="J29" s="204" t="s">
        <v>122</v>
      </c>
      <c r="K29" s="195"/>
      <c r="L29" s="195"/>
      <c r="M29" s="195"/>
      <c r="N29" s="195"/>
      <c r="O29" s="195"/>
      <c r="P29" s="195"/>
      <c r="Q29" s="195"/>
      <c r="R29" s="195"/>
      <c r="S29" s="195"/>
      <c r="T29" s="195"/>
      <c r="U29" s="195"/>
      <c r="V29" s="195"/>
      <c r="W29" s="195"/>
    </row>
    <row r="30" spans="1:251">
      <c r="A30" s="195"/>
      <c r="B30" s="195"/>
      <c r="C30" s="195" t="s">
        <v>416</v>
      </c>
      <c r="D30" s="206">
        <v>5</v>
      </c>
      <c r="E30" s="195"/>
      <c r="G30" s="195"/>
      <c r="I30" s="195"/>
      <c r="K30" s="195"/>
      <c r="N30" s="195"/>
      <c r="O30" s="195"/>
      <c r="P30" s="195"/>
      <c r="U30" s="195"/>
      <c r="V30" s="195"/>
      <c r="W30" s="195"/>
      <c r="X30" s="195"/>
      <c r="Y30" s="195"/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5"/>
      <c r="BB30" s="195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5"/>
      <c r="BS30" s="195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5"/>
      <c r="CJ30" s="195"/>
      <c r="CK30" s="195"/>
      <c r="CL30" s="195"/>
      <c r="CM30" s="195"/>
      <c r="CN30" s="195"/>
      <c r="CO30" s="195"/>
      <c r="CP30" s="195"/>
      <c r="CQ30" s="195"/>
      <c r="CR30" s="195"/>
      <c r="CS30" s="195"/>
      <c r="CT30" s="195"/>
      <c r="CU30" s="195"/>
      <c r="CV30" s="195"/>
      <c r="CW30" s="195"/>
      <c r="CX30" s="195"/>
      <c r="CY30" s="195"/>
      <c r="CZ30" s="195"/>
      <c r="DA30" s="195"/>
      <c r="DB30" s="195"/>
      <c r="DC30" s="195"/>
      <c r="DD30" s="195"/>
      <c r="DE30" s="195"/>
      <c r="DF30" s="195"/>
      <c r="DG30" s="195"/>
      <c r="DH30" s="195"/>
      <c r="DI30" s="195"/>
      <c r="DJ30" s="195"/>
      <c r="DK30" s="195"/>
      <c r="DL30" s="195"/>
      <c r="DM30" s="195"/>
      <c r="DN30" s="195"/>
      <c r="DO30" s="195"/>
      <c r="DP30" s="195"/>
      <c r="DQ30" s="195"/>
      <c r="DR30" s="195"/>
      <c r="DS30" s="195"/>
      <c r="DT30" s="195"/>
      <c r="DU30" s="195"/>
      <c r="DV30" s="195"/>
      <c r="DW30" s="195"/>
      <c r="DX30" s="195"/>
      <c r="DY30" s="195"/>
      <c r="DZ30" s="195"/>
      <c r="EA30" s="195"/>
      <c r="EB30" s="195"/>
      <c r="EC30" s="195"/>
      <c r="ED30" s="195"/>
      <c r="EE30" s="195"/>
      <c r="EF30" s="195"/>
      <c r="EG30" s="195"/>
      <c r="EH30" s="195"/>
      <c r="EI30" s="195"/>
      <c r="EJ30" s="195"/>
      <c r="EK30" s="195"/>
      <c r="EL30" s="195"/>
      <c r="EM30" s="195"/>
      <c r="EN30" s="195"/>
      <c r="EO30" s="195"/>
      <c r="EP30" s="195"/>
      <c r="EQ30" s="195"/>
      <c r="ER30" s="195"/>
      <c r="ES30" s="195"/>
      <c r="ET30" s="195"/>
      <c r="EU30" s="195"/>
      <c r="EV30" s="195"/>
      <c r="EW30" s="195"/>
      <c r="EX30" s="195"/>
      <c r="EY30" s="195"/>
      <c r="EZ30" s="195"/>
      <c r="FA30" s="195"/>
      <c r="FB30" s="195"/>
      <c r="FC30" s="195"/>
      <c r="FD30" s="195"/>
      <c r="FE30" s="195"/>
      <c r="FF30" s="195"/>
      <c r="FG30" s="195"/>
      <c r="FH30" s="195"/>
      <c r="FI30" s="195"/>
      <c r="FJ30" s="195"/>
      <c r="FK30" s="195"/>
      <c r="FL30" s="195"/>
      <c r="FM30" s="195"/>
      <c r="FN30" s="195"/>
      <c r="FO30" s="195"/>
      <c r="FP30" s="195"/>
      <c r="FQ30" s="195"/>
      <c r="FR30" s="195"/>
      <c r="FS30" s="195"/>
      <c r="FT30" s="195"/>
      <c r="FU30" s="195"/>
      <c r="FV30" s="195"/>
      <c r="FW30" s="195"/>
      <c r="FX30" s="195"/>
      <c r="FY30" s="195"/>
      <c r="FZ30" s="195"/>
      <c r="GA30" s="195"/>
      <c r="GB30" s="195"/>
      <c r="GC30" s="195"/>
      <c r="GD30" s="195"/>
      <c r="GE30" s="195"/>
      <c r="GF30" s="195"/>
      <c r="GG30" s="195"/>
      <c r="GH30" s="195"/>
      <c r="GI30" s="195"/>
      <c r="GJ30" s="195"/>
      <c r="GK30" s="195"/>
      <c r="GL30" s="195"/>
      <c r="GM30" s="195"/>
      <c r="GN30" s="195"/>
      <c r="GO30" s="195"/>
      <c r="GP30" s="195"/>
      <c r="GQ30" s="195"/>
      <c r="GR30" s="195"/>
      <c r="GS30" s="195"/>
      <c r="GT30" s="195"/>
      <c r="GU30" s="195"/>
      <c r="GV30" s="195"/>
      <c r="GW30" s="195"/>
      <c r="GX30" s="195"/>
      <c r="GY30" s="195"/>
      <c r="GZ30" s="195"/>
      <c r="HA30" s="195"/>
      <c r="HB30" s="195"/>
      <c r="HC30" s="195"/>
      <c r="HD30" s="195"/>
      <c r="HE30" s="195"/>
      <c r="HF30" s="195"/>
      <c r="HG30" s="195"/>
      <c r="HH30" s="195"/>
      <c r="HI30" s="195"/>
      <c r="HJ30" s="195"/>
      <c r="HK30" s="195"/>
      <c r="HL30" s="195"/>
      <c r="HM30" s="195"/>
      <c r="HN30" s="195"/>
      <c r="HO30" s="195"/>
      <c r="HP30" s="195"/>
      <c r="HQ30" s="195"/>
      <c r="HR30" s="195"/>
      <c r="HS30" s="195"/>
      <c r="HT30" s="195"/>
      <c r="HU30" s="195"/>
      <c r="HV30" s="195"/>
      <c r="HW30" s="195"/>
      <c r="HX30" s="195"/>
      <c r="HY30" s="195"/>
      <c r="HZ30" s="195"/>
      <c r="IA30" s="195"/>
      <c r="IB30" s="195"/>
      <c r="IC30" s="195"/>
      <c r="ID30" s="195"/>
      <c r="IE30" s="195"/>
      <c r="IF30" s="195"/>
      <c r="IG30" s="195"/>
      <c r="IH30" s="195"/>
      <c r="II30" s="195"/>
      <c r="IJ30" s="195"/>
      <c r="IK30" s="195"/>
      <c r="IL30" s="195"/>
      <c r="IM30" s="195"/>
      <c r="IN30" s="195"/>
      <c r="IO30" s="195"/>
      <c r="IP30" s="195"/>
      <c r="IQ30" s="195"/>
    </row>
    <row r="31" spans="1:251">
      <c r="A31" s="195"/>
      <c r="B31" s="195"/>
      <c r="C31" s="195" t="s">
        <v>415</v>
      </c>
      <c r="D31" s="206">
        <v>2023</v>
      </c>
      <c r="E31" s="195" t="s">
        <v>399</v>
      </c>
      <c r="G31" s="195"/>
      <c r="I31" s="195"/>
      <c r="K31" s="195"/>
      <c r="N31" s="195"/>
      <c r="O31" s="195"/>
      <c r="P31" s="195"/>
      <c r="U31" s="195"/>
      <c r="V31" s="195"/>
      <c r="W31" s="195"/>
      <c r="X31" s="195"/>
      <c r="Y31" s="195"/>
      <c r="Z31" s="195"/>
      <c r="AA31" s="195"/>
      <c r="AB31" s="195"/>
      <c r="AC31" s="195"/>
      <c r="AD31" s="195"/>
      <c r="AE31" s="195"/>
      <c r="AF31" s="195"/>
      <c r="AG31" s="195"/>
      <c r="AH31" s="195"/>
      <c r="AI31" s="195"/>
      <c r="AJ31" s="195"/>
      <c r="AK31" s="195"/>
      <c r="AL31" s="195"/>
      <c r="AM31" s="195"/>
      <c r="AN31" s="195"/>
      <c r="AO31" s="195"/>
      <c r="AP31" s="195"/>
      <c r="AQ31" s="195"/>
      <c r="AR31" s="195"/>
      <c r="AS31" s="195"/>
      <c r="AT31" s="195"/>
      <c r="AU31" s="195"/>
      <c r="AV31" s="195"/>
      <c r="AW31" s="195"/>
      <c r="AX31" s="195"/>
      <c r="AY31" s="195"/>
      <c r="AZ31" s="195"/>
      <c r="BA31" s="195"/>
      <c r="BB31" s="195"/>
      <c r="BC31" s="195"/>
      <c r="BD31" s="195"/>
      <c r="BE31" s="195"/>
      <c r="BF31" s="195"/>
      <c r="BG31" s="195"/>
      <c r="BH31" s="195"/>
      <c r="BI31" s="195"/>
      <c r="BJ31" s="195"/>
      <c r="BK31" s="195"/>
      <c r="BL31" s="195"/>
      <c r="BM31" s="195"/>
      <c r="BN31" s="195"/>
      <c r="BO31" s="195"/>
      <c r="BP31" s="195"/>
      <c r="BQ31" s="195"/>
      <c r="BR31" s="195"/>
      <c r="BS31" s="195"/>
      <c r="BT31" s="195"/>
      <c r="BU31" s="195"/>
      <c r="BV31" s="195"/>
      <c r="BW31" s="195"/>
      <c r="BX31" s="195"/>
      <c r="BY31" s="195"/>
      <c r="BZ31" s="195"/>
      <c r="CA31" s="195"/>
      <c r="CB31" s="195"/>
      <c r="CC31" s="195"/>
      <c r="CD31" s="195"/>
      <c r="CE31" s="195"/>
      <c r="CF31" s="195"/>
      <c r="CG31" s="195"/>
      <c r="CH31" s="195"/>
      <c r="CI31" s="195"/>
      <c r="CJ31" s="195"/>
      <c r="CK31" s="195"/>
      <c r="CL31" s="195"/>
      <c r="CM31" s="195"/>
      <c r="CN31" s="195"/>
      <c r="CO31" s="195"/>
      <c r="CP31" s="195"/>
      <c r="CQ31" s="195"/>
      <c r="CR31" s="195"/>
      <c r="CS31" s="195"/>
      <c r="CT31" s="195"/>
      <c r="CU31" s="195"/>
      <c r="CV31" s="195"/>
      <c r="CW31" s="195"/>
      <c r="CX31" s="195"/>
      <c r="CY31" s="195"/>
      <c r="CZ31" s="195"/>
      <c r="DA31" s="195"/>
      <c r="DB31" s="195"/>
      <c r="DC31" s="195"/>
      <c r="DD31" s="195"/>
      <c r="DE31" s="195"/>
      <c r="DF31" s="195"/>
      <c r="DG31" s="195"/>
      <c r="DH31" s="195"/>
      <c r="DI31" s="195"/>
      <c r="DJ31" s="195"/>
      <c r="DK31" s="195"/>
      <c r="DL31" s="195"/>
      <c r="DM31" s="195"/>
      <c r="DN31" s="195"/>
      <c r="DO31" s="195"/>
      <c r="DP31" s="195"/>
      <c r="DQ31" s="195"/>
      <c r="DR31" s="195"/>
      <c r="DS31" s="195"/>
      <c r="DT31" s="195"/>
      <c r="DU31" s="195"/>
      <c r="DV31" s="195"/>
      <c r="DW31" s="195"/>
      <c r="DX31" s="195"/>
      <c r="DY31" s="195"/>
      <c r="DZ31" s="195"/>
      <c r="EA31" s="195"/>
      <c r="EB31" s="195"/>
      <c r="EC31" s="195"/>
      <c r="ED31" s="195"/>
      <c r="EE31" s="195"/>
      <c r="EF31" s="195"/>
      <c r="EG31" s="195"/>
      <c r="EH31" s="195"/>
      <c r="EI31" s="195"/>
      <c r="EJ31" s="195"/>
      <c r="EK31" s="195"/>
      <c r="EL31" s="195"/>
      <c r="EM31" s="195"/>
      <c r="EN31" s="195"/>
      <c r="EO31" s="195"/>
      <c r="EP31" s="195"/>
      <c r="EQ31" s="195"/>
      <c r="ER31" s="195"/>
      <c r="ES31" s="195"/>
      <c r="ET31" s="195"/>
      <c r="EU31" s="195"/>
      <c r="EV31" s="195"/>
      <c r="EW31" s="195"/>
      <c r="EX31" s="195"/>
      <c r="EY31" s="195"/>
      <c r="EZ31" s="195"/>
      <c r="FA31" s="195"/>
      <c r="FB31" s="195"/>
      <c r="FC31" s="195"/>
      <c r="FD31" s="195"/>
      <c r="FE31" s="195"/>
      <c r="FF31" s="195"/>
      <c r="FG31" s="195"/>
      <c r="FH31" s="195"/>
      <c r="FI31" s="195"/>
      <c r="FJ31" s="195"/>
      <c r="FK31" s="195"/>
      <c r="FL31" s="195"/>
      <c r="FM31" s="195"/>
      <c r="FN31" s="195"/>
      <c r="FO31" s="195"/>
      <c r="FP31" s="195"/>
      <c r="FQ31" s="195"/>
      <c r="FR31" s="195"/>
      <c r="FS31" s="195"/>
      <c r="FT31" s="195"/>
      <c r="FU31" s="195"/>
      <c r="FV31" s="195"/>
      <c r="FW31" s="195"/>
      <c r="FX31" s="195"/>
      <c r="FY31" s="195"/>
      <c r="FZ31" s="195"/>
      <c r="GA31" s="195"/>
      <c r="GB31" s="195"/>
      <c r="GC31" s="195"/>
      <c r="GD31" s="195"/>
      <c r="GE31" s="195"/>
      <c r="GF31" s="195"/>
      <c r="GG31" s="195"/>
      <c r="GH31" s="195"/>
      <c r="GI31" s="195"/>
      <c r="GJ31" s="195"/>
      <c r="GK31" s="195"/>
      <c r="GL31" s="195"/>
      <c r="GM31" s="195"/>
      <c r="GN31" s="195"/>
      <c r="GO31" s="195"/>
      <c r="GP31" s="195"/>
      <c r="GQ31" s="195"/>
      <c r="GR31" s="195"/>
      <c r="GS31" s="195"/>
      <c r="GT31" s="195"/>
      <c r="GU31" s="195"/>
      <c r="GV31" s="195"/>
      <c r="GW31" s="195"/>
      <c r="GX31" s="195"/>
      <c r="GY31" s="195"/>
      <c r="GZ31" s="195"/>
      <c r="HA31" s="195"/>
      <c r="HB31" s="195"/>
      <c r="HC31" s="195"/>
      <c r="HD31" s="195"/>
      <c r="HE31" s="195"/>
      <c r="HF31" s="195"/>
      <c r="HG31" s="195"/>
      <c r="HH31" s="195"/>
      <c r="HI31" s="195"/>
      <c r="HJ31" s="195"/>
      <c r="HK31" s="195"/>
      <c r="HL31" s="195"/>
      <c r="HM31" s="195"/>
      <c r="HN31" s="195"/>
      <c r="HO31" s="195"/>
      <c r="HP31" s="195"/>
      <c r="HQ31" s="195"/>
      <c r="HR31" s="195"/>
      <c r="HS31" s="195"/>
      <c r="HT31" s="195"/>
      <c r="HU31" s="195"/>
      <c r="HV31" s="195"/>
      <c r="HW31" s="195"/>
      <c r="HX31" s="195"/>
      <c r="HY31" s="195"/>
      <c r="HZ31" s="195"/>
      <c r="IA31" s="195"/>
      <c r="IB31" s="195"/>
      <c r="IC31" s="195"/>
      <c r="ID31" s="195"/>
      <c r="IE31" s="195"/>
      <c r="IF31" s="195"/>
      <c r="IG31" s="195"/>
      <c r="IH31" s="195"/>
      <c r="II31" s="195"/>
      <c r="IJ31" s="195"/>
      <c r="IK31" s="195"/>
      <c r="IL31" s="195"/>
      <c r="IM31" s="195"/>
      <c r="IN31" s="195"/>
      <c r="IO31" s="195"/>
      <c r="IP31" s="195"/>
      <c r="IQ31" s="195"/>
    </row>
    <row r="32" spans="1:251">
      <c r="A32" s="195"/>
      <c r="B32" s="195"/>
      <c r="C32" s="195"/>
      <c r="D32"/>
      <c r="E32" s="212">
        <f>IF(D29="unchecked",0,DATE(D34,D33,1))</f>
        <v>0</v>
      </c>
      <c r="G32" s="195"/>
      <c r="H32" s="204" t="s">
        <v>329</v>
      </c>
      <c r="I32" s="209"/>
      <c r="J32" s="204" t="s">
        <v>252</v>
      </c>
      <c r="K32" s="195"/>
      <c r="L32" s="195"/>
      <c r="M32" s="195"/>
      <c r="N32" s="195"/>
      <c r="O32" s="195"/>
      <c r="P32" s="195"/>
      <c r="Q32" s="195"/>
      <c r="R32" s="195"/>
      <c r="S32" s="195"/>
      <c r="T32" s="195"/>
      <c r="U32" s="195"/>
      <c r="V32" s="195"/>
      <c r="W32" s="195"/>
      <c r="X32" s="195"/>
      <c r="Y32" s="195"/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  <c r="AT32" s="195"/>
      <c r="AU32" s="195"/>
      <c r="AV32" s="195"/>
      <c r="AW32" s="195"/>
      <c r="AX32" s="195"/>
      <c r="AY32" s="195"/>
      <c r="AZ32" s="195"/>
      <c r="BA32" s="195"/>
      <c r="BB32" s="195"/>
      <c r="BC32" s="195"/>
      <c r="BD32" s="195"/>
      <c r="BE32" s="195"/>
      <c r="BF32" s="195"/>
      <c r="BG32" s="195"/>
      <c r="BH32" s="195"/>
      <c r="BI32" s="195"/>
      <c r="BJ32" s="195"/>
      <c r="BK32" s="195"/>
      <c r="BL32" s="195"/>
      <c r="BM32" s="195"/>
      <c r="BN32" s="195"/>
      <c r="BO32" s="195"/>
      <c r="BP32" s="195"/>
      <c r="BQ32" s="195"/>
      <c r="BR32" s="195"/>
      <c r="BS32" s="195"/>
      <c r="BT32" s="195"/>
      <c r="BU32" s="195"/>
      <c r="BV32" s="195"/>
      <c r="BW32" s="195"/>
      <c r="BX32" s="195"/>
      <c r="BY32" s="195"/>
      <c r="BZ32" s="195"/>
      <c r="CA32" s="195"/>
      <c r="CB32" s="195"/>
      <c r="CC32" s="195"/>
      <c r="CD32" s="195"/>
      <c r="CE32" s="195"/>
      <c r="CF32" s="195"/>
      <c r="CG32" s="195"/>
      <c r="CH32" s="195"/>
      <c r="CI32" s="195"/>
      <c r="CJ32" s="195"/>
      <c r="CK32" s="195"/>
      <c r="CL32" s="195"/>
      <c r="CM32" s="195"/>
      <c r="CN32" s="195"/>
      <c r="CO32" s="195"/>
      <c r="CP32" s="195"/>
      <c r="CQ32" s="195"/>
      <c r="CR32" s="195"/>
      <c r="CS32" s="195"/>
      <c r="CT32" s="195"/>
      <c r="CU32" s="195"/>
      <c r="CV32" s="195"/>
      <c r="CW32" s="195"/>
      <c r="CX32" s="195"/>
      <c r="CY32" s="195"/>
      <c r="CZ32" s="195"/>
      <c r="DA32" s="195"/>
      <c r="DB32" s="195"/>
      <c r="DC32" s="195"/>
      <c r="DD32" s="195"/>
      <c r="DE32" s="195"/>
      <c r="DF32" s="195"/>
      <c r="DG32" s="195"/>
      <c r="DH32" s="195"/>
      <c r="DI32" s="195"/>
      <c r="DJ32" s="195"/>
      <c r="DK32" s="195"/>
      <c r="DL32" s="195"/>
      <c r="DM32" s="195"/>
      <c r="DN32" s="195"/>
      <c r="DO32" s="195"/>
      <c r="DP32" s="195"/>
      <c r="DQ32" s="195"/>
      <c r="DR32" s="195"/>
      <c r="DS32" s="195"/>
      <c r="DT32" s="195"/>
      <c r="DU32" s="195"/>
      <c r="DV32" s="195"/>
      <c r="DW32" s="195"/>
      <c r="DX32" s="195"/>
      <c r="DY32" s="195"/>
      <c r="DZ32" s="195"/>
      <c r="EA32" s="195"/>
      <c r="EB32" s="195"/>
      <c r="EC32" s="195"/>
      <c r="ED32" s="195"/>
      <c r="EE32" s="195"/>
      <c r="EF32" s="195"/>
      <c r="EG32" s="195"/>
      <c r="EH32" s="195"/>
      <c r="EI32" s="195"/>
      <c r="EJ32" s="195"/>
      <c r="EK32" s="195"/>
      <c r="EL32" s="195"/>
      <c r="EM32" s="195"/>
      <c r="EN32" s="195"/>
      <c r="EO32" s="195"/>
      <c r="EP32" s="195"/>
      <c r="EQ32" s="195"/>
      <c r="ER32" s="195"/>
      <c r="ES32" s="195"/>
      <c r="ET32" s="195"/>
      <c r="EU32" s="195"/>
      <c r="EV32" s="195"/>
      <c r="EW32" s="195"/>
      <c r="EX32" s="195"/>
      <c r="EY32" s="195"/>
      <c r="EZ32" s="195"/>
      <c r="FA32" s="195"/>
      <c r="FB32" s="195"/>
      <c r="FC32" s="195"/>
      <c r="FD32" s="195"/>
      <c r="FE32" s="195"/>
      <c r="FF32" s="195"/>
      <c r="FG32" s="195"/>
      <c r="FH32" s="195"/>
      <c r="FI32" s="195"/>
      <c r="FJ32" s="195"/>
      <c r="FK32" s="195"/>
      <c r="FL32" s="195"/>
      <c r="FM32" s="195"/>
      <c r="FN32" s="195"/>
      <c r="FO32" s="195"/>
      <c r="FP32" s="195"/>
      <c r="FQ32" s="195"/>
      <c r="FR32" s="195"/>
      <c r="FS32" s="195"/>
      <c r="FT32" s="195"/>
      <c r="FU32" s="195"/>
      <c r="FV32" s="195"/>
      <c r="FW32" s="195"/>
      <c r="FX32" s="195"/>
      <c r="FY32" s="195"/>
      <c r="FZ32" s="195"/>
      <c r="GA32" s="195"/>
      <c r="GB32" s="195"/>
      <c r="GC32" s="195"/>
      <c r="GD32" s="195"/>
      <c r="GE32" s="195"/>
      <c r="GF32" s="195"/>
      <c r="GG32" s="195"/>
      <c r="GH32" s="195"/>
      <c r="GI32" s="195"/>
      <c r="GJ32" s="195"/>
      <c r="GK32" s="195"/>
      <c r="GL32" s="195"/>
      <c r="GM32" s="195"/>
      <c r="GN32" s="195"/>
      <c r="GO32" s="195"/>
      <c r="GP32" s="195"/>
      <c r="GQ32" s="195"/>
      <c r="GR32" s="195"/>
      <c r="GS32" s="195"/>
      <c r="GT32" s="195"/>
      <c r="GU32" s="195"/>
      <c r="GV32" s="195"/>
      <c r="GW32" s="195"/>
      <c r="GX32" s="195"/>
      <c r="GY32" s="195"/>
      <c r="GZ32" s="195"/>
      <c r="HA32" s="195"/>
      <c r="HB32" s="195"/>
      <c r="HC32" s="195"/>
      <c r="HD32" s="195"/>
      <c r="HE32" s="195"/>
      <c r="HF32" s="195"/>
      <c r="HG32" s="195"/>
      <c r="HH32" s="195"/>
      <c r="HI32" s="195"/>
      <c r="HJ32" s="195"/>
      <c r="HK32" s="195"/>
      <c r="HL32" s="195"/>
      <c r="HM32" s="195"/>
      <c r="HN32" s="195"/>
      <c r="HO32" s="195"/>
      <c r="HP32" s="195"/>
      <c r="HQ32" s="195"/>
      <c r="HR32" s="195"/>
      <c r="HS32" s="195"/>
      <c r="HT32" s="195"/>
      <c r="HU32" s="195"/>
      <c r="HV32" s="195"/>
      <c r="HW32" s="195"/>
      <c r="HX32" s="195"/>
      <c r="HY32" s="195"/>
      <c r="HZ32" s="195"/>
      <c r="IA32" s="195"/>
      <c r="IB32" s="195"/>
      <c r="IC32" s="195"/>
      <c r="ID32" s="195"/>
      <c r="IE32" s="195"/>
      <c r="IF32" s="195"/>
      <c r="IG32" s="195"/>
      <c r="IH32" s="195"/>
      <c r="II32" s="195"/>
      <c r="IJ32" s="195"/>
      <c r="IK32" s="195"/>
      <c r="IL32" s="195"/>
      <c r="IM32" s="195"/>
      <c r="IN32" s="195"/>
      <c r="IO32" s="195"/>
      <c r="IP32" s="195"/>
      <c r="IQ32" s="195"/>
    </row>
    <row r="33" spans="1:251">
      <c r="A33" s="195"/>
      <c r="B33" s="195"/>
      <c r="C33" s="195" t="s">
        <v>414</v>
      </c>
      <c r="D33" s="206">
        <v>4</v>
      </c>
      <c r="E33" s="195"/>
      <c r="G33" s="195"/>
      <c r="H33" s="204" t="s">
        <v>162</v>
      </c>
      <c r="I33" s="209"/>
      <c r="J33" s="204" t="s">
        <v>252</v>
      </c>
      <c r="K33" s="195"/>
      <c r="L33" s="195"/>
      <c r="M33" s="195"/>
      <c r="N33" s="195"/>
      <c r="O33" s="195"/>
      <c r="P33" s="195"/>
      <c r="Q33" s="195"/>
      <c r="R33" s="195"/>
      <c r="S33" s="195"/>
      <c r="T33" s="195"/>
      <c r="U33" s="195"/>
      <c r="V33" s="195"/>
      <c r="W33" s="195"/>
      <c r="X33" s="195"/>
      <c r="Y33" s="195"/>
      <c r="Z33" s="195"/>
      <c r="AA33" s="195"/>
      <c r="AB33" s="195"/>
      <c r="AC33" s="195"/>
      <c r="AD33" s="195"/>
      <c r="AE33" s="195"/>
      <c r="AF33" s="195"/>
      <c r="AG33" s="195"/>
      <c r="AH33" s="195"/>
      <c r="AI33" s="195"/>
      <c r="AJ33" s="195"/>
      <c r="AK33" s="195"/>
      <c r="AL33" s="195"/>
      <c r="AM33" s="195"/>
      <c r="AN33" s="195"/>
      <c r="AO33" s="195"/>
      <c r="AP33" s="195"/>
      <c r="AQ33" s="195"/>
      <c r="AR33" s="195"/>
      <c r="AS33" s="195"/>
      <c r="AT33" s="195"/>
      <c r="AU33" s="195"/>
      <c r="AV33" s="195"/>
      <c r="AW33" s="195"/>
      <c r="AX33" s="195"/>
      <c r="AY33" s="195"/>
      <c r="AZ33" s="195"/>
      <c r="BA33" s="195"/>
      <c r="BB33" s="195"/>
      <c r="BC33" s="195"/>
      <c r="BD33" s="195"/>
      <c r="BE33" s="195"/>
      <c r="BF33" s="195"/>
      <c r="BG33" s="195"/>
      <c r="BH33" s="195"/>
      <c r="BI33" s="195"/>
      <c r="BJ33" s="195"/>
      <c r="BK33" s="195"/>
      <c r="BL33" s="195"/>
      <c r="BM33" s="195"/>
      <c r="BN33" s="195"/>
      <c r="BO33" s="195"/>
      <c r="BP33" s="195"/>
      <c r="BQ33" s="195"/>
      <c r="BR33" s="195"/>
      <c r="BS33" s="195"/>
      <c r="BT33" s="195"/>
      <c r="BU33" s="195"/>
      <c r="BV33" s="195"/>
      <c r="BW33" s="195"/>
      <c r="BX33" s="195"/>
      <c r="BY33" s="195"/>
      <c r="BZ33" s="195"/>
      <c r="CA33" s="195"/>
      <c r="CB33" s="195"/>
      <c r="CC33" s="195"/>
      <c r="CD33" s="195"/>
      <c r="CE33" s="195"/>
      <c r="CF33" s="195"/>
      <c r="CG33" s="195"/>
      <c r="CH33" s="195"/>
      <c r="CI33" s="195"/>
      <c r="CJ33" s="195"/>
      <c r="CK33" s="195"/>
      <c r="CL33" s="195"/>
      <c r="CM33" s="195"/>
      <c r="CN33" s="195"/>
      <c r="CO33" s="195"/>
      <c r="CP33" s="195"/>
      <c r="CQ33" s="195"/>
      <c r="CR33" s="195"/>
      <c r="CS33" s="195"/>
      <c r="CT33" s="195"/>
      <c r="CU33" s="195"/>
      <c r="CV33" s="195"/>
      <c r="CW33" s="195"/>
      <c r="CX33" s="195"/>
      <c r="CY33" s="195"/>
      <c r="CZ33" s="195"/>
      <c r="DA33" s="195"/>
      <c r="DB33" s="195"/>
      <c r="DC33" s="195"/>
      <c r="DD33" s="195"/>
      <c r="DE33" s="195"/>
      <c r="DF33" s="195"/>
      <c r="DG33" s="195"/>
      <c r="DH33" s="195"/>
      <c r="DI33" s="195"/>
      <c r="DJ33" s="195"/>
      <c r="DK33" s="195"/>
      <c r="DL33" s="195"/>
      <c r="DM33" s="195"/>
      <c r="DN33" s="195"/>
      <c r="DO33" s="195"/>
      <c r="DP33" s="195"/>
      <c r="DQ33" s="195"/>
      <c r="DR33" s="195"/>
      <c r="DS33" s="195"/>
      <c r="DT33" s="195"/>
      <c r="DU33" s="195"/>
      <c r="DV33" s="195"/>
      <c r="DW33" s="195"/>
      <c r="DX33" s="195"/>
      <c r="DY33" s="195"/>
      <c r="DZ33" s="195"/>
      <c r="EA33" s="195"/>
      <c r="EB33" s="195"/>
      <c r="EC33" s="195"/>
      <c r="ED33" s="195"/>
      <c r="EE33" s="195"/>
      <c r="EF33" s="195"/>
      <c r="EG33" s="195"/>
      <c r="EH33" s="195"/>
      <c r="EI33" s="195"/>
      <c r="EJ33" s="195"/>
      <c r="EK33" s="195"/>
      <c r="EL33" s="195"/>
      <c r="EM33" s="195"/>
      <c r="EN33" s="195"/>
      <c r="EO33" s="195"/>
      <c r="EP33" s="195"/>
      <c r="EQ33" s="195"/>
      <c r="ER33" s="195"/>
      <c r="ES33" s="195"/>
      <c r="ET33" s="195"/>
      <c r="EU33" s="195"/>
      <c r="EV33" s="195"/>
      <c r="EW33" s="195"/>
      <c r="EX33" s="195"/>
      <c r="EY33" s="195"/>
      <c r="EZ33" s="195"/>
      <c r="FA33" s="195"/>
      <c r="FB33" s="195"/>
      <c r="FC33" s="195"/>
      <c r="FD33" s="195"/>
      <c r="FE33" s="195"/>
      <c r="FF33" s="195"/>
      <c r="FG33" s="195"/>
      <c r="FH33" s="195"/>
      <c r="FI33" s="195"/>
      <c r="FJ33" s="195"/>
      <c r="FK33" s="195"/>
      <c r="FL33" s="195"/>
      <c r="FM33" s="195"/>
      <c r="FN33" s="195"/>
      <c r="FO33" s="195"/>
      <c r="FP33" s="195"/>
      <c r="FQ33" s="195"/>
      <c r="FR33" s="195"/>
      <c r="FS33" s="195"/>
      <c r="FT33" s="195"/>
      <c r="FU33" s="195"/>
      <c r="FV33" s="195"/>
      <c r="FW33" s="195"/>
      <c r="FX33" s="195"/>
      <c r="FY33" s="195"/>
      <c r="FZ33" s="195"/>
      <c r="GA33" s="195"/>
      <c r="GB33" s="195"/>
      <c r="GC33" s="195"/>
      <c r="GD33" s="195"/>
      <c r="GE33" s="195"/>
      <c r="GF33" s="195"/>
      <c r="GG33" s="195"/>
      <c r="GH33" s="195"/>
      <c r="GI33" s="195"/>
      <c r="GJ33" s="195"/>
      <c r="GK33" s="195"/>
      <c r="GL33" s="195"/>
      <c r="GM33" s="195"/>
      <c r="GN33" s="195"/>
      <c r="GO33" s="195"/>
      <c r="GP33" s="195"/>
      <c r="GQ33" s="195"/>
      <c r="GR33" s="195"/>
      <c r="GS33" s="195"/>
      <c r="GT33" s="195"/>
      <c r="GU33" s="195"/>
      <c r="GV33" s="195"/>
      <c r="GW33" s="195"/>
      <c r="GX33" s="195"/>
      <c r="GY33" s="195"/>
      <c r="GZ33" s="195"/>
      <c r="HA33" s="195"/>
      <c r="HB33" s="195"/>
      <c r="HC33" s="195"/>
      <c r="HD33" s="195"/>
      <c r="HE33" s="195"/>
      <c r="HF33" s="195"/>
      <c r="HG33" s="195"/>
      <c r="HH33" s="195"/>
      <c r="HI33" s="195"/>
      <c r="HJ33" s="195"/>
      <c r="HK33" s="195"/>
      <c r="HL33" s="195"/>
      <c r="HM33" s="195"/>
      <c r="HN33" s="195"/>
      <c r="HO33" s="195"/>
      <c r="HP33" s="195"/>
      <c r="HQ33" s="195"/>
      <c r="HR33" s="195"/>
      <c r="HS33" s="195"/>
      <c r="HT33" s="195"/>
      <c r="HU33" s="195"/>
      <c r="HV33" s="195"/>
      <c r="HW33" s="195"/>
      <c r="HX33" s="195"/>
      <c r="HY33" s="195"/>
      <c r="HZ33" s="195"/>
      <c r="IA33" s="195"/>
      <c r="IB33" s="195"/>
      <c r="IC33" s="195"/>
      <c r="ID33" s="195"/>
      <c r="IE33" s="195"/>
      <c r="IF33" s="195"/>
      <c r="IG33" s="195"/>
      <c r="IH33" s="195"/>
      <c r="II33" s="195"/>
      <c r="IJ33" s="195"/>
      <c r="IK33" s="195"/>
      <c r="IL33" s="195"/>
      <c r="IM33" s="195"/>
      <c r="IN33" s="195"/>
      <c r="IO33" s="195"/>
      <c r="IP33" s="195"/>
      <c r="IQ33" s="195"/>
    </row>
    <row r="34" spans="1:251">
      <c r="A34" s="195"/>
      <c r="B34" s="195"/>
      <c r="C34" s="195" t="s">
        <v>413</v>
      </c>
      <c r="D34" s="206">
        <v>2028</v>
      </c>
      <c r="E34" s="195"/>
      <c r="G34" s="195"/>
      <c r="H34" s="204" t="s">
        <v>184</v>
      </c>
      <c r="I34" s="209"/>
      <c r="J34" s="204" t="s">
        <v>252</v>
      </c>
      <c r="K34" s="195"/>
      <c r="L34" s="195"/>
      <c r="M34" s="195"/>
      <c r="N34" s="195"/>
      <c r="O34" s="195"/>
      <c r="P34" s="195"/>
      <c r="Q34" s="195"/>
      <c r="R34" s="195"/>
      <c r="S34" s="195"/>
      <c r="T34" s="195"/>
      <c r="U34" s="195"/>
      <c r="V34" s="195"/>
      <c r="W34" s="195"/>
      <c r="X34" s="195"/>
      <c r="Y34" s="195"/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  <c r="AJ34" s="195"/>
      <c r="AK34" s="195"/>
      <c r="AL34" s="195"/>
      <c r="AM34" s="195"/>
      <c r="AN34" s="195"/>
      <c r="AO34" s="195"/>
      <c r="AP34" s="195"/>
      <c r="AQ34" s="195"/>
      <c r="AR34" s="195"/>
      <c r="AS34" s="195"/>
      <c r="AT34" s="195"/>
      <c r="AU34" s="195"/>
      <c r="AV34" s="195"/>
      <c r="AW34" s="195"/>
      <c r="AX34" s="195"/>
      <c r="AY34" s="195"/>
      <c r="AZ34" s="195"/>
      <c r="BA34" s="195"/>
      <c r="BB34" s="195"/>
      <c r="BC34" s="195"/>
      <c r="BD34" s="195"/>
      <c r="BE34" s="195"/>
      <c r="BF34" s="195"/>
      <c r="BG34" s="195"/>
      <c r="BH34" s="195"/>
      <c r="BI34" s="195"/>
      <c r="BJ34" s="195"/>
      <c r="BK34" s="195"/>
      <c r="BL34" s="195"/>
      <c r="BM34" s="195"/>
      <c r="BN34" s="195"/>
      <c r="BO34" s="195"/>
      <c r="BP34" s="195"/>
      <c r="BQ34" s="195"/>
      <c r="BR34" s="195"/>
      <c r="BS34" s="195"/>
      <c r="BT34" s="195"/>
      <c r="BU34" s="195"/>
      <c r="BV34" s="195"/>
      <c r="BW34" s="195"/>
      <c r="BX34" s="195"/>
      <c r="BY34" s="195"/>
      <c r="BZ34" s="195"/>
      <c r="CA34" s="195"/>
      <c r="CB34" s="195"/>
      <c r="CC34" s="195"/>
      <c r="CD34" s="195"/>
      <c r="CE34" s="195"/>
      <c r="CF34" s="195"/>
      <c r="CG34" s="195"/>
      <c r="CH34" s="195"/>
      <c r="CI34" s="195"/>
      <c r="CJ34" s="195"/>
      <c r="CK34" s="195"/>
      <c r="CL34" s="195"/>
      <c r="CM34" s="195"/>
      <c r="CN34" s="195"/>
      <c r="CO34" s="195"/>
      <c r="CP34" s="195"/>
      <c r="CQ34" s="195"/>
      <c r="CR34" s="195"/>
      <c r="CS34" s="195"/>
      <c r="CT34" s="195"/>
      <c r="CU34" s="195"/>
      <c r="CV34" s="195"/>
      <c r="CW34" s="195"/>
      <c r="CX34" s="195"/>
      <c r="CY34" s="195"/>
      <c r="CZ34" s="195"/>
      <c r="DA34" s="195"/>
      <c r="DB34" s="195"/>
      <c r="DC34" s="195"/>
      <c r="DD34" s="195"/>
      <c r="DE34" s="195"/>
      <c r="DF34" s="195"/>
      <c r="DG34" s="195"/>
      <c r="DH34" s="195"/>
      <c r="DI34" s="195"/>
      <c r="DJ34" s="195"/>
      <c r="DK34" s="195"/>
      <c r="DL34" s="195"/>
      <c r="DM34" s="195"/>
      <c r="DN34" s="195"/>
      <c r="DO34" s="195"/>
      <c r="DP34" s="195"/>
      <c r="DQ34" s="195"/>
      <c r="DR34" s="195"/>
      <c r="DS34" s="195"/>
      <c r="DT34" s="195"/>
      <c r="DU34" s="195"/>
      <c r="DV34" s="195"/>
      <c r="DW34" s="195"/>
      <c r="DX34" s="195"/>
      <c r="DY34" s="195"/>
      <c r="DZ34" s="195"/>
      <c r="EA34" s="195"/>
      <c r="EB34" s="195"/>
      <c r="EC34" s="195"/>
      <c r="ED34" s="195"/>
      <c r="EE34" s="195"/>
      <c r="EF34" s="195"/>
      <c r="EG34" s="195"/>
      <c r="EH34" s="195"/>
      <c r="EI34" s="195"/>
      <c r="EJ34" s="195"/>
      <c r="EK34" s="195"/>
      <c r="EL34" s="195"/>
      <c r="EM34" s="195"/>
      <c r="EN34" s="195"/>
      <c r="EO34" s="195"/>
      <c r="EP34" s="195"/>
      <c r="EQ34" s="195"/>
      <c r="ER34" s="195"/>
      <c r="ES34" s="195"/>
      <c r="ET34" s="195"/>
      <c r="EU34" s="195"/>
      <c r="EV34" s="195"/>
      <c r="EW34" s="195"/>
      <c r="EX34" s="195"/>
      <c r="EY34" s="195"/>
      <c r="EZ34" s="195"/>
      <c r="FA34" s="195"/>
      <c r="FB34" s="195"/>
      <c r="FC34" s="195"/>
      <c r="FD34" s="195"/>
      <c r="FE34" s="195"/>
      <c r="FF34" s="195"/>
      <c r="FG34" s="195"/>
      <c r="FH34" s="195"/>
      <c r="FI34" s="195"/>
      <c r="FJ34" s="195"/>
      <c r="FK34" s="195"/>
      <c r="FL34" s="195"/>
      <c r="FM34" s="195"/>
      <c r="FN34" s="195"/>
      <c r="FO34" s="195"/>
      <c r="FP34" s="195"/>
      <c r="FQ34" s="195"/>
      <c r="FR34" s="195"/>
      <c r="FS34" s="195"/>
      <c r="FT34" s="195"/>
      <c r="FU34" s="195"/>
      <c r="FV34" s="195"/>
      <c r="FW34" s="195"/>
      <c r="FX34" s="195"/>
      <c r="FY34" s="195"/>
      <c r="FZ34" s="195"/>
      <c r="GA34" s="195"/>
      <c r="GB34" s="195"/>
      <c r="GC34" s="195"/>
      <c r="GD34" s="195"/>
      <c r="GE34" s="195"/>
      <c r="GF34" s="195"/>
      <c r="GG34" s="195"/>
      <c r="GH34" s="195"/>
      <c r="GI34" s="195"/>
      <c r="GJ34" s="195"/>
      <c r="GK34" s="195"/>
      <c r="GL34" s="195"/>
      <c r="GM34" s="195"/>
      <c r="GN34" s="195"/>
      <c r="GO34" s="195"/>
      <c r="GP34" s="195"/>
      <c r="GQ34" s="195"/>
      <c r="GR34" s="195"/>
      <c r="GS34" s="195"/>
      <c r="GT34" s="195"/>
      <c r="GU34" s="195"/>
      <c r="GV34" s="195"/>
      <c r="GW34" s="195"/>
      <c r="GX34" s="195"/>
      <c r="GY34" s="195"/>
      <c r="GZ34" s="195"/>
      <c r="HA34" s="195"/>
      <c r="HB34" s="195"/>
      <c r="HC34" s="195"/>
      <c r="HD34" s="195"/>
      <c r="HE34" s="195"/>
      <c r="HF34" s="195"/>
      <c r="HG34" s="195"/>
      <c r="HH34" s="195"/>
      <c r="HI34" s="195"/>
      <c r="HJ34" s="195"/>
      <c r="HK34" s="195"/>
      <c r="HL34" s="195"/>
      <c r="HM34" s="195"/>
      <c r="HN34" s="195"/>
      <c r="HO34" s="195"/>
      <c r="HP34" s="195"/>
      <c r="HQ34" s="195"/>
      <c r="HR34" s="195"/>
      <c r="HS34" s="195"/>
      <c r="HT34" s="195"/>
      <c r="HU34" s="195"/>
      <c r="HV34" s="195"/>
      <c r="HW34" s="195"/>
      <c r="HX34" s="195"/>
      <c r="HY34" s="195"/>
      <c r="HZ34" s="195"/>
      <c r="IA34" s="195"/>
      <c r="IB34" s="195"/>
      <c r="IC34" s="195"/>
      <c r="ID34" s="195"/>
      <c r="IE34" s="195"/>
      <c r="IF34" s="195"/>
      <c r="IG34" s="195"/>
      <c r="IH34" s="195"/>
      <c r="II34" s="195"/>
      <c r="IJ34" s="195"/>
      <c r="IK34" s="195"/>
      <c r="IL34" s="195"/>
      <c r="IM34" s="195"/>
      <c r="IN34" s="195"/>
      <c r="IO34" s="195"/>
      <c r="IP34" s="195"/>
      <c r="IQ34" s="195"/>
    </row>
    <row r="35" spans="1:251">
      <c r="C35" s="195"/>
      <c r="D35"/>
      <c r="E35" s="195" t="s">
        <v>406</v>
      </c>
      <c r="H35" s="204" t="s">
        <v>5</v>
      </c>
      <c r="I35" s="209"/>
      <c r="J35" s="204" t="s">
        <v>252</v>
      </c>
      <c r="K35" s="195"/>
      <c r="L35" s="195"/>
      <c r="M35" s="195"/>
      <c r="N35" s="195"/>
      <c r="O35" s="195"/>
      <c r="P35" s="195"/>
      <c r="Q35" s="195"/>
      <c r="R35" s="195"/>
      <c r="S35" s="195"/>
      <c r="T35" s="195"/>
      <c r="U35" s="195"/>
      <c r="V35" s="195"/>
      <c r="W35" s="195"/>
    </row>
    <row r="36" spans="1:251">
      <c r="C36" s="195" t="s">
        <v>412</v>
      </c>
      <c r="D36" s="206" t="s">
        <v>404</v>
      </c>
      <c r="E36" s="212">
        <f>IF(D36="unchecked",0,DATE(D38,D37,"01"))</f>
        <v>0</v>
      </c>
      <c r="H36" s="204" t="s">
        <v>123</v>
      </c>
      <c r="I36" s="209"/>
      <c r="J36" s="204" t="s">
        <v>252</v>
      </c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</row>
    <row r="37" spans="1:251">
      <c r="C37" s="195" t="s">
        <v>411</v>
      </c>
      <c r="D37" s="206">
        <v>5</v>
      </c>
      <c r="H37" s="204" t="s">
        <v>229</v>
      </c>
      <c r="I37" s="209"/>
      <c r="J37" s="204" t="s">
        <v>252</v>
      </c>
      <c r="K37" s="195"/>
      <c r="L37" s="195"/>
      <c r="M37" s="195"/>
      <c r="N37" s="195"/>
      <c r="O37" s="195"/>
      <c r="P37" s="195"/>
      <c r="Q37" s="195"/>
      <c r="R37" s="195"/>
      <c r="S37" s="195"/>
      <c r="T37" s="195"/>
      <c r="U37" s="195"/>
      <c r="V37" s="195"/>
      <c r="W37" s="195"/>
    </row>
    <row r="38" spans="1:251">
      <c r="C38" s="195" t="s">
        <v>410</v>
      </c>
      <c r="D38" s="206">
        <v>2023</v>
      </c>
      <c r="E38" s="195" t="s">
        <v>399</v>
      </c>
      <c r="H38" s="204" t="s">
        <v>73</v>
      </c>
      <c r="I38" s="209"/>
      <c r="J38" s="204" t="s">
        <v>252</v>
      </c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</row>
    <row r="39" spans="1:251">
      <c r="D39" s="195"/>
      <c r="E39" s="212">
        <f>IF(D36="unchecked",0,DATE(D41,D40,1))</f>
        <v>0</v>
      </c>
      <c r="I39" s="195"/>
      <c r="L39" s="195"/>
      <c r="M39" s="195"/>
      <c r="Q39" s="195"/>
    </row>
    <row r="40" spans="1:251" ht="18">
      <c r="C40" s="195" t="s">
        <v>409</v>
      </c>
      <c r="D40" s="206">
        <v>4</v>
      </c>
      <c r="E40" s="195"/>
      <c r="I40" s="195"/>
      <c r="L40" s="203" t="s">
        <v>408</v>
      </c>
      <c r="M40" s="195"/>
      <c r="Q40" s="195"/>
    </row>
    <row r="41" spans="1:251">
      <c r="C41" s="195" t="s">
        <v>407</v>
      </c>
      <c r="D41" s="206">
        <v>2028</v>
      </c>
      <c r="E41" s="195"/>
      <c r="H41" s="204" t="s">
        <v>271</v>
      </c>
      <c r="I41" s="209">
        <v>30</v>
      </c>
      <c r="J41" s="204" t="s">
        <v>124</v>
      </c>
      <c r="K41" s="195"/>
      <c r="L41" s="195" t="s">
        <v>359</v>
      </c>
      <c r="M41" s="195"/>
      <c r="N41" s="195"/>
      <c r="O41" s="195"/>
      <c r="P41" s="195"/>
      <c r="Q41" s="195"/>
      <c r="R41" s="195"/>
      <c r="S41" s="195"/>
      <c r="T41" s="195"/>
      <c r="U41" s="195"/>
      <c r="V41" s="195"/>
      <c r="W41" s="195"/>
    </row>
    <row r="42" spans="1:251">
      <c r="C42" s="195"/>
      <c r="D42" s="195"/>
      <c r="E42" s="195" t="s">
        <v>406</v>
      </c>
      <c r="H42" s="204" t="s">
        <v>288</v>
      </c>
      <c r="I42" s="209">
        <v>360</v>
      </c>
      <c r="J42" s="204" t="s">
        <v>124</v>
      </c>
      <c r="K42" s="195"/>
      <c r="L42" s="196" t="s">
        <v>383</v>
      </c>
      <c r="M42" s="195"/>
      <c r="N42" s="195"/>
      <c r="O42" s="195"/>
      <c r="P42" s="195"/>
      <c r="Q42" s="195"/>
      <c r="R42" s="195"/>
      <c r="S42" s="195"/>
      <c r="T42" s="195"/>
      <c r="U42" s="195"/>
      <c r="V42" s="195"/>
      <c r="W42" s="195"/>
    </row>
    <row r="43" spans="1:251">
      <c r="C43" s="195" t="s">
        <v>405</v>
      </c>
      <c r="D43" s="206" t="s">
        <v>404</v>
      </c>
      <c r="E43" s="212">
        <f>IF(D43="unchecked",0,DATE(D45,D44,"01"))</f>
        <v>0</v>
      </c>
      <c r="I43" s="195"/>
      <c r="L43" s="195" t="s">
        <v>403</v>
      </c>
      <c r="M43" s="195"/>
    </row>
    <row r="44" spans="1:251">
      <c r="C44" s="195" t="s">
        <v>402</v>
      </c>
      <c r="D44" s="206">
        <v>5</v>
      </c>
      <c r="I44" s="195"/>
      <c r="L44" s="195" t="s">
        <v>401</v>
      </c>
    </row>
    <row r="45" spans="1:251">
      <c r="C45" s="195" t="s">
        <v>400</v>
      </c>
      <c r="D45" s="206">
        <v>2023</v>
      </c>
      <c r="E45" s="195" t="s">
        <v>399</v>
      </c>
      <c r="H45" s="205" t="s">
        <v>253</v>
      </c>
      <c r="I45" s="209">
        <f>E29</f>
        <v>0</v>
      </c>
      <c r="J45" s="205" t="s">
        <v>210</v>
      </c>
      <c r="L45" s="195" t="s">
        <v>398</v>
      </c>
    </row>
    <row r="46" spans="1:251">
      <c r="C46" s="195"/>
      <c r="D46"/>
      <c r="E46" s="212">
        <f>IF(D43="unchecked",0,DATE(D48,D47,1))</f>
        <v>0</v>
      </c>
      <c r="H46" s="205" t="s">
        <v>49</v>
      </c>
      <c r="I46" s="209">
        <f>E32</f>
        <v>0</v>
      </c>
      <c r="J46" s="205" t="s">
        <v>210</v>
      </c>
    </row>
    <row r="47" spans="1:251">
      <c r="C47" s="195" t="s">
        <v>397</v>
      </c>
      <c r="D47" s="206">
        <v>4</v>
      </c>
      <c r="E47" s="195"/>
      <c r="H47" s="207" t="s">
        <v>309</v>
      </c>
      <c r="I47" s="211">
        <f>D51</f>
        <v>0.9</v>
      </c>
      <c r="J47" s="207" t="s">
        <v>205</v>
      </c>
    </row>
    <row r="48" spans="1:251">
      <c r="C48" s="195" t="s">
        <v>396</v>
      </c>
      <c r="D48" s="206">
        <v>2028</v>
      </c>
      <c r="E48" s="195"/>
      <c r="H48" s="207" t="s">
        <v>28</v>
      </c>
      <c r="I48" s="211">
        <f>D50</f>
        <v>8.5000000000000006E-2</v>
      </c>
      <c r="J48" s="207" t="s">
        <v>205</v>
      </c>
    </row>
    <row r="49" spans="3:27">
      <c r="C49" s="195"/>
      <c r="D49" s="195"/>
      <c r="E49" s="210"/>
      <c r="H49" s="204" t="s">
        <v>211</v>
      </c>
      <c r="I49" s="209"/>
      <c r="J49" s="204" t="s">
        <v>252</v>
      </c>
      <c r="K49" s="195"/>
      <c r="L49" s="195"/>
      <c r="M49" s="195"/>
      <c r="N49" s="195"/>
      <c r="O49" s="195"/>
      <c r="P49" s="195"/>
      <c r="Q49" s="195"/>
      <c r="R49" s="195"/>
      <c r="S49" s="195"/>
      <c r="T49" s="195"/>
      <c r="U49" s="195"/>
      <c r="V49" s="195"/>
      <c r="W49" s="195"/>
    </row>
    <row r="50" spans="3:27">
      <c r="C50" s="195" t="s">
        <v>395</v>
      </c>
      <c r="D50" s="243">
        <v>8.5000000000000006E-2</v>
      </c>
      <c r="I50" s="195"/>
    </row>
    <row r="51" spans="3:27">
      <c r="C51" s="195" t="s">
        <v>394</v>
      </c>
      <c r="D51" s="243">
        <v>0.9</v>
      </c>
      <c r="I51" s="195"/>
    </row>
    <row r="52" spans="3:27">
      <c r="D52" s="244"/>
      <c r="H52" s="205" t="s">
        <v>393</v>
      </c>
      <c r="I52" s="209">
        <f>E39</f>
        <v>0</v>
      </c>
      <c r="J52" s="205" t="s">
        <v>210</v>
      </c>
    </row>
    <row r="53" spans="3:27">
      <c r="C53" s="195" t="s">
        <v>392</v>
      </c>
      <c r="D53" s="243">
        <v>0.08</v>
      </c>
      <c r="H53" s="205" t="s">
        <v>391</v>
      </c>
      <c r="I53" s="209">
        <f>E36</f>
        <v>0</v>
      </c>
      <c r="J53" s="205" t="s">
        <v>210</v>
      </c>
    </row>
    <row r="54" spans="3:27">
      <c r="C54" s="195" t="s">
        <v>390</v>
      </c>
      <c r="D54" s="243">
        <v>0.8</v>
      </c>
      <c r="H54" s="204" t="s">
        <v>389</v>
      </c>
      <c r="I54" s="209"/>
      <c r="J54" s="204" t="s">
        <v>252</v>
      </c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195"/>
      <c r="V54" s="195"/>
      <c r="W54" s="195"/>
    </row>
    <row r="55" spans="3:27">
      <c r="C55" s="195"/>
      <c r="D55" s="244"/>
      <c r="H55" s="207" t="s">
        <v>51</v>
      </c>
      <c r="I55" s="208">
        <f>D53</f>
        <v>0.08</v>
      </c>
      <c r="J55" s="207" t="s">
        <v>205</v>
      </c>
      <c r="K55" s="195"/>
      <c r="L55" s="195"/>
      <c r="M55" s="195"/>
      <c r="N55" s="195"/>
      <c r="O55" s="195"/>
      <c r="P55" s="195"/>
      <c r="Q55" s="195"/>
      <c r="R55" s="195"/>
      <c r="S55" s="195"/>
      <c r="T55" s="195"/>
      <c r="U55" s="195"/>
      <c r="V55" s="195"/>
      <c r="W55" s="195"/>
    </row>
    <row r="56" spans="3:27">
      <c r="C56" s="195" t="s">
        <v>388</v>
      </c>
      <c r="D56" s="243">
        <v>0.08</v>
      </c>
      <c r="H56" s="207" t="s">
        <v>387</v>
      </c>
      <c r="I56" s="208">
        <f>D54</f>
        <v>0.8</v>
      </c>
      <c r="J56" s="207" t="s">
        <v>205</v>
      </c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</row>
    <row r="57" spans="3:27">
      <c r="C57" s="195" t="s">
        <v>386</v>
      </c>
      <c r="D57" s="243">
        <v>1</v>
      </c>
      <c r="I57" s="195"/>
    </row>
    <row r="58" spans="3:27">
      <c r="D58" s="195"/>
      <c r="I58" s="195"/>
    </row>
    <row r="59" spans="3:27">
      <c r="D59"/>
      <c r="H59" s="73" t="s">
        <v>290</v>
      </c>
      <c r="I59" s="88">
        <f>E46</f>
        <v>0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</row>
    <row r="60" spans="3:27">
      <c r="D60"/>
      <c r="H60" s="73" t="s">
        <v>273</v>
      </c>
      <c r="I60" s="88">
        <f>E43</f>
        <v>0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 spans="3:27">
      <c r="D61"/>
      <c r="H61" s="61" t="s">
        <v>51</v>
      </c>
      <c r="I61" s="245">
        <f>D56</f>
        <v>0.08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</row>
    <row r="62" spans="3:27">
      <c r="D62"/>
      <c r="H62" s="49" t="s">
        <v>100</v>
      </c>
      <c r="I62" s="70">
        <v>24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</row>
    <row r="63" spans="3:27">
      <c r="D63" s="195"/>
      <c r="H63" s="61" t="s">
        <v>52</v>
      </c>
      <c r="I63" s="245">
        <f>D57</f>
        <v>1</v>
      </c>
      <c r="J63" s="204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</row>
    <row r="64" spans="3:27">
      <c r="D64" s="195"/>
      <c r="H64" s="49" t="s">
        <v>186</v>
      </c>
      <c r="I64" s="70">
        <v>0</v>
      </c>
      <c r="J64" s="20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</row>
    <row r="65" spans="4:27">
      <c r="D65" s="195"/>
      <c r="H65" s="205"/>
      <c r="I65" s="242"/>
      <c r="J65" s="204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 spans="4:27">
      <c r="D66" s="195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</row>
    <row r="67" spans="4:27">
      <c r="D67" s="195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 spans="4:27">
      <c r="D68" s="195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 spans="4:27">
      <c r="D69" s="195"/>
    </row>
    <row r="70" spans="4:27">
      <c r="D70" s="195"/>
    </row>
    <row r="71" spans="4:27">
      <c r="D71" s="195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</row>
    <row r="72" spans="4:27">
      <c r="D72" s="195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</row>
    <row r="73" spans="4:27">
      <c r="D73" s="195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</row>
    <row r="74" spans="4:27">
      <c r="D74" s="195"/>
      <c r="E74" s="195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</row>
    <row r="75" spans="4:27">
      <c r="G75" s="19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</row>
    <row r="76" spans="4:27">
      <c r="D76"/>
      <c r="E76"/>
    </row>
    <row r="77" spans="4:27">
      <c r="D77" s="195"/>
    </row>
    <row r="78" spans="4:27">
      <c r="D78" s="195"/>
    </row>
    <row r="79" spans="4:27">
      <c r="D79" s="195"/>
    </row>
    <row r="80" spans="4:27">
      <c r="D80" s="195"/>
    </row>
    <row r="81" spans="4:4">
      <c r="D81" s="19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3:AD30"/>
  <sheetViews>
    <sheetView topLeftCell="D1" workbookViewId="0">
      <selection activeCell="E34" sqref="E34"/>
    </sheetView>
  </sheetViews>
  <sheetFormatPr defaultRowHeight="14.5"/>
  <cols>
    <col min="1" max="1" width="13.7265625" customWidth="1"/>
    <col min="2" max="2" width="9.7265625" customWidth="1"/>
    <col min="3" max="3" width="22.7265625" customWidth="1"/>
    <col min="4" max="4" width="24.7265625" customWidth="1"/>
    <col min="5" max="5" width="75.7265625" customWidth="1"/>
    <col min="6" max="21" width="9.7265625" customWidth="1"/>
  </cols>
  <sheetData>
    <row r="3" spans="1:30">
      <c r="E3" s="195"/>
      <c r="F3" s="195" t="s">
        <v>385</v>
      </c>
    </row>
    <row r="4" spans="1:30" ht="18">
      <c r="D4" s="203" t="s">
        <v>384</v>
      </c>
      <c r="E4" s="196" t="s">
        <v>383</v>
      </c>
      <c r="F4" s="241" cm="1">
        <f t="array" ref="F4">_xlfn.SWITCH(SQRChartBindings!E4,"Year 1 / 2",0,"Year 2 / 3",12,"Year 3 / 4",24,"Year 4 / 5",36,0)</f>
        <v>0</v>
      </c>
    </row>
    <row r="5" spans="1:30">
      <c r="E5">
        <v>1</v>
      </c>
      <c r="F5" s="195">
        <v>2</v>
      </c>
      <c r="G5">
        <v>3</v>
      </c>
      <c r="H5">
        <v>4</v>
      </c>
      <c r="I5" s="195">
        <v>5</v>
      </c>
      <c r="J5">
        <v>6</v>
      </c>
      <c r="K5">
        <v>7</v>
      </c>
      <c r="L5" s="195">
        <v>8</v>
      </c>
      <c r="M5">
        <v>9</v>
      </c>
      <c r="N5">
        <v>10</v>
      </c>
      <c r="O5" s="195">
        <v>11</v>
      </c>
      <c r="P5">
        <v>12</v>
      </c>
      <c r="Q5">
        <v>13</v>
      </c>
      <c r="R5" s="195">
        <v>14</v>
      </c>
      <c r="S5">
        <v>15</v>
      </c>
      <c r="T5">
        <v>16</v>
      </c>
      <c r="U5" s="195">
        <v>17</v>
      </c>
      <c r="V5">
        <v>18</v>
      </c>
      <c r="W5">
        <v>19</v>
      </c>
      <c r="X5" s="195">
        <v>20</v>
      </c>
      <c r="Y5">
        <v>21</v>
      </c>
      <c r="Z5">
        <v>22</v>
      </c>
      <c r="AA5" s="195">
        <v>23</v>
      </c>
      <c r="AB5">
        <v>24</v>
      </c>
      <c r="AD5" s="195"/>
    </row>
    <row r="6" spans="1:30">
      <c r="A6" s="195" t="s">
        <v>457</v>
      </c>
      <c r="B6" s="195">
        <v>2</v>
      </c>
      <c r="C6" t="s">
        <v>458</v>
      </c>
      <c r="D6" s="195" t="s">
        <v>382</v>
      </c>
      <c r="E6" s="195">
        <f ca="1">_xlfn.SINGLE(OFFSET(SQRMonthly!D2,0,SQRChartBindings!$F$4,1,1))</f>
        <v>45077</v>
      </c>
      <c r="F6" s="195">
        <f ca="1">_xlfn.SINGLE(OFFSET(SQRMonthly!E2,0,SQRChartBindings!$F$4,1,1))</f>
        <v>45107</v>
      </c>
      <c r="G6" s="195">
        <f ca="1">_xlfn.SINGLE(OFFSET(SQRMonthly!F2,0,SQRChartBindings!$F$4,1,1))</f>
        <v>45138</v>
      </c>
      <c r="H6" s="195">
        <f ca="1">_xlfn.SINGLE(OFFSET(SQRMonthly!G2,0,SQRChartBindings!$F$4,1,1))</f>
        <v>45169</v>
      </c>
      <c r="I6" s="195">
        <f ca="1">_xlfn.SINGLE(OFFSET(SQRMonthly!H2,0,SQRChartBindings!$F$4,1,1))</f>
        <v>45199</v>
      </c>
      <c r="J6" s="195">
        <f ca="1">_xlfn.SINGLE(OFFSET(SQRMonthly!I2,0,SQRChartBindings!$F$4,1,1))</f>
        <v>45230</v>
      </c>
      <c r="K6" s="195">
        <f ca="1">_xlfn.SINGLE(OFFSET(SQRMonthly!J2,0,SQRChartBindings!$F$4,1,1))</f>
        <v>45260</v>
      </c>
      <c r="L6" s="195">
        <f ca="1">_xlfn.SINGLE(OFFSET(SQRMonthly!K2,0,SQRChartBindings!$F$4,1,1))</f>
        <v>45291</v>
      </c>
      <c r="M6" s="195">
        <f ca="1">_xlfn.SINGLE(OFFSET(SQRMonthly!L2,0,SQRChartBindings!$F$4,1,1))</f>
        <v>45322</v>
      </c>
      <c r="N6" s="195">
        <f ca="1">_xlfn.SINGLE(OFFSET(SQRMonthly!M2,0,SQRChartBindings!$F$4,1,1))</f>
        <v>45351</v>
      </c>
      <c r="O6" s="195">
        <f ca="1">_xlfn.SINGLE(OFFSET(SQRMonthly!N2,0,SQRChartBindings!$F$4,1,1))</f>
        <v>45382</v>
      </c>
      <c r="P6" s="195">
        <f ca="1">_xlfn.SINGLE(OFFSET(SQRMonthly!O2,0,SQRChartBindings!$F$4,1,1))</f>
        <v>45412</v>
      </c>
      <c r="Q6" s="195">
        <f ca="1">_xlfn.SINGLE(OFFSET(SQRMonthly!P2,0,SQRChartBindings!$F$4,1,1))</f>
        <v>45443</v>
      </c>
      <c r="R6" s="195">
        <f ca="1">_xlfn.SINGLE(OFFSET(SQRMonthly!Q2,0,SQRChartBindings!$F$4,1,1))</f>
        <v>45473</v>
      </c>
      <c r="S6" s="195">
        <f ca="1">_xlfn.SINGLE(OFFSET(SQRMonthly!R2,0,SQRChartBindings!$F$4,1,1))</f>
        <v>45504</v>
      </c>
      <c r="T6" s="195">
        <f ca="1">_xlfn.SINGLE(OFFSET(SQRMonthly!S2,0,SQRChartBindings!$F$4,1,1))</f>
        <v>45535</v>
      </c>
      <c r="U6" s="195">
        <f ca="1">_xlfn.SINGLE(OFFSET(SQRMonthly!T2,0,SQRChartBindings!$F$4,1,1))</f>
        <v>45565</v>
      </c>
      <c r="V6" s="195">
        <f ca="1">_xlfn.SINGLE(OFFSET(SQRMonthly!U2,0,SQRChartBindings!$F$4,1,1))</f>
        <v>45596</v>
      </c>
      <c r="W6" s="195">
        <f ca="1">_xlfn.SINGLE(OFFSET(SQRMonthly!V2,0,SQRChartBindings!$F$4,1,1))</f>
        <v>45626</v>
      </c>
      <c r="X6" s="195">
        <f ca="1">_xlfn.SINGLE(OFFSET(SQRMonthly!W2,0,SQRChartBindings!$F$4,1,1))</f>
        <v>45657</v>
      </c>
      <c r="Y6" s="195">
        <f ca="1">_xlfn.SINGLE(OFFSET(SQRMonthly!X2,0,SQRChartBindings!$F$4,1,1))</f>
        <v>45688</v>
      </c>
      <c r="Z6" s="195">
        <f ca="1">_xlfn.SINGLE(OFFSET(SQRMonthly!Y2,0,SQRChartBindings!$F$4,1,1))</f>
        <v>45716</v>
      </c>
      <c r="AA6" s="195">
        <f ca="1">_xlfn.SINGLE(OFFSET(SQRMonthly!Z2,0,SQRChartBindings!$F$4,1,1))</f>
        <v>45747</v>
      </c>
      <c r="AB6" s="195">
        <f ca="1">_xlfn.SINGLE(OFFSET(SQRMonthly!AA2,0,SQRChartBindings!$F$4,1,1))</f>
        <v>45777</v>
      </c>
    </row>
    <row r="7" spans="1:30">
      <c r="A7" s="195" t="s">
        <v>345</v>
      </c>
      <c r="B7" s="195">
        <v>11</v>
      </c>
      <c r="D7" s="195" t="s">
        <v>381</v>
      </c>
      <c r="E7" s="195">
        <f ca="1">_xlfn.SINGLE(OFFSET('Balance Sheet'!J11,0,SQRChartBindings!$F$4,1,1))</f>
        <v>-103100</v>
      </c>
      <c r="F7" s="195">
        <f ca="1">_xlfn.SINGLE(OFFSET('Balance Sheet'!K11,0,SQRChartBindings!$F$4,1,1))</f>
        <v>-155100.72360569984</v>
      </c>
      <c r="G7" s="195">
        <f ca="1">_xlfn.SINGLE(OFFSET('Balance Sheet'!L11,0,SQRChartBindings!$F$4,1,1))</f>
        <v>-164210.46634351503</v>
      </c>
      <c r="H7" s="195">
        <f ca="1">_xlfn.SINGLE(OFFSET('Balance Sheet'!M11,0,SQRChartBindings!$F$4,1,1))</f>
        <v>-219888.94692249392</v>
      </c>
      <c r="I7" s="195">
        <f ca="1">_xlfn.SINGLE(OFFSET('Balance Sheet'!N11,0,SQRChartBindings!$F$4,1,1))</f>
        <v>-277235.55215667229</v>
      </c>
      <c r="J7" s="195">
        <f ca="1">_xlfn.SINGLE(OFFSET('Balance Sheet'!O11,0,SQRChartBindings!$F$4,1,1))</f>
        <v>-321159.79441542737</v>
      </c>
      <c r="K7" s="195">
        <f ca="1">_xlfn.SINGLE(OFFSET('Balance Sheet'!P11,0,SQRChartBindings!$F$4,1,1))</f>
        <v>-582274.86038498709</v>
      </c>
      <c r="L7" s="195">
        <f ca="1">_xlfn.SINGLE(OFFSET('Balance Sheet'!Q11,0,SQRChartBindings!$F$4,1,1))</f>
        <v>-645810.57429782476</v>
      </c>
      <c r="M7" s="195">
        <f ca="1">_xlfn.SINGLE(OFFSET('Balance Sheet'!R11,0,SQRChartBindings!$F$4,1,1))</f>
        <v>-1012204.3346045238</v>
      </c>
      <c r="N7" s="195">
        <f ca="1">_xlfn.SINGLE(OFFSET('Balance Sheet'!S11,0,SQRChartBindings!$F$4,1,1))</f>
        <v>1034231.926442032</v>
      </c>
      <c r="O7" s="195">
        <f ca="1">_xlfn.SINGLE(OFFSET('Balance Sheet'!T11,0,SQRChartBindings!$F$4,1,1))</f>
        <v>1341868.269530179</v>
      </c>
      <c r="P7" s="195">
        <f ca="1">_xlfn.SINGLE(OFFSET('Balance Sheet'!U11,0,SQRChartBindings!$F$4,1,1))</f>
        <v>1246437.4488265985</v>
      </c>
      <c r="Q7" s="195">
        <f ca="1">_xlfn.SINGLE(OFFSET('Balance Sheet'!V11,0,SQRChartBindings!$F$4,1,1))</f>
        <v>970487.44882659847</v>
      </c>
      <c r="R7" s="195">
        <f ca="1">_xlfn.SINGLE(OFFSET('Balance Sheet'!W11,0,SQRChartBindings!$F$4,1,1))</f>
        <v>891193.4653826151</v>
      </c>
      <c r="S7" s="195">
        <f ca="1">_xlfn.SINGLE(OFFSET('Balance Sheet'!X11,0,SQRChartBindings!$F$4,1,1))</f>
        <v>493266.0377593562</v>
      </c>
      <c r="T7" s="195">
        <f ca="1">_xlfn.SINGLE(OFFSET('Balance Sheet'!Y11,0,SQRChartBindings!$F$4,1,1))</f>
        <v>2463740.9106869777</v>
      </c>
      <c r="U7" s="195">
        <f ca="1">_xlfn.SINGLE(OFFSET('Balance Sheet'!Z11,0,SQRChartBindings!$F$4,1,1))</f>
        <v>2612405.6779962811</v>
      </c>
      <c r="V7" s="195">
        <f ca="1">_xlfn.SINGLE(OFFSET('Balance Sheet'!AA11,0,SQRChartBindings!$F$4,1,1))</f>
        <v>2529599.3429272231</v>
      </c>
      <c r="W7" s="195">
        <f ca="1">_xlfn.SINGLE(OFFSET('Balance Sheet'!AB11,0,SQRChartBindings!$F$4,1,1))</f>
        <v>2285304.5302114896</v>
      </c>
      <c r="X7" s="195">
        <f ca="1">_xlfn.SINGLE(OFFSET('Balance Sheet'!AC11,0,SQRChartBindings!$F$4,1,1))</f>
        <v>2184172.023251507</v>
      </c>
      <c r="Y7" s="195">
        <f ca="1">_xlfn.SINGLE(OFFSET('Balance Sheet'!AD11,0,SQRChartBindings!$F$4,1,1))</f>
        <v>1280272.796072864</v>
      </c>
      <c r="Z7" s="195">
        <f ca="1">_xlfn.SINGLE(OFFSET('Balance Sheet'!AE11,0,SQRChartBindings!$F$4,1,1))</f>
        <v>5804672.8574032113</v>
      </c>
      <c r="AA7" s="195">
        <f ca="1">_xlfn.SINGLE(OFFSET('Balance Sheet'!AF11,0,SQRChartBindings!$F$4,1,1))</f>
        <v>5921155.9385484895</v>
      </c>
      <c r="AB7" s="195">
        <f ca="1">_xlfn.SINGLE(OFFSET('Balance Sheet'!AG11,0,SQRChartBindings!$F$4,1,1))</f>
        <v>5773019.245225206</v>
      </c>
    </row>
    <row r="8" spans="1:30">
      <c r="A8" s="195" t="s">
        <v>345</v>
      </c>
      <c r="B8" s="195">
        <v>17</v>
      </c>
      <c r="D8" s="195" t="s">
        <v>380</v>
      </c>
      <c r="E8" s="195">
        <f ca="1">_xlfn.SINGLE(OFFSET('Balance Sheet'!J17,0,SQRChartBindings!$F$4,1,1))</f>
        <v>0</v>
      </c>
      <c r="F8" s="195">
        <f ca="1">_xlfn.SINGLE(OFFSET('Balance Sheet'!K17,0,SQRChartBindings!$F$4,1,1))</f>
        <v>0</v>
      </c>
      <c r="G8" s="195">
        <f ca="1">_xlfn.SINGLE(OFFSET('Balance Sheet'!L17,0,SQRChartBindings!$F$4,1,1))</f>
        <v>0</v>
      </c>
      <c r="H8" s="195">
        <f ca="1">_xlfn.SINGLE(OFFSET('Balance Sheet'!M17,0,SQRChartBindings!$F$4,1,1))</f>
        <v>0</v>
      </c>
      <c r="I8" s="195">
        <f ca="1">_xlfn.SINGLE(OFFSET('Balance Sheet'!N17,0,SQRChartBindings!$F$4,1,1))</f>
        <v>0</v>
      </c>
      <c r="J8" s="195">
        <f ca="1">_xlfn.SINGLE(OFFSET('Balance Sheet'!O17,0,SQRChartBindings!$F$4,1,1))</f>
        <v>0</v>
      </c>
      <c r="K8" s="195">
        <f ca="1">_xlfn.SINGLE(OFFSET('Balance Sheet'!P17,0,SQRChartBindings!$F$4,1,1))</f>
        <v>0</v>
      </c>
      <c r="L8" s="195">
        <f ca="1">_xlfn.SINGLE(OFFSET('Balance Sheet'!Q17,0,SQRChartBindings!$F$4,1,1))</f>
        <v>0</v>
      </c>
      <c r="M8" s="195">
        <f ca="1">_xlfn.SINGLE(OFFSET('Balance Sheet'!R17,0,SQRChartBindings!$F$4,1,1))</f>
        <v>0</v>
      </c>
      <c r="N8" s="195">
        <f ca="1">_xlfn.SINGLE(OFFSET('Balance Sheet'!S17,0,SQRChartBindings!$F$4,1,1))</f>
        <v>0</v>
      </c>
      <c r="O8" s="195">
        <f ca="1">_xlfn.SINGLE(OFFSET('Balance Sheet'!T17,0,SQRChartBindings!$F$4,1,1))</f>
        <v>0</v>
      </c>
      <c r="P8" s="195">
        <f ca="1">_xlfn.SINGLE(OFFSET('Balance Sheet'!U17,0,SQRChartBindings!$F$4,1,1))</f>
        <v>0</v>
      </c>
      <c r="Q8" s="195">
        <f ca="1">_xlfn.SINGLE(OFFSET('Balance Sheet'!V17,0,SQRChartBindings!$F$4,1,1))</f>
        <v>0</v>
      </c>
      <c r="R8" s="195">
        <f ca="1">_xlfn.SINGLE(OFFSET('Balance Sheet'!W17,0,SQRChartBindings!$F$4,1,1))</f>
        <v>0</v>
      </c>
      <c r="S8" s="195">
        <f ca="1">_xlfn.SINGLE(OFFSET('Balance Sheet'!X17,0,SQRChartBindings!$F$4,1,1))</f>
        <v>0</v>
      </c>
      <c r="T8" s="195">
        <f ca="1">_xlfn.SINGLE(OFFSET('Balance Sheet'!Y17,0,SQRChartBindings!$F$4,1,1))</f>
        <v>0</v>
      </c>
      <c r="U8" s="195">
        <f ca="1">_xlfn.SINGLE(OFFSET('Balance Sheet'!Z17,0,SQRChartBindings!$F$4,1,1))</f>
        <v>0</v>
      </c>
      <c r="V8" s="195">
        <f ca="1">_xlfn.SINGLE(OFFSET('Balance Sheet'!AA17,0,SQRChartBindings!$F$4,1,1))</f>
        <v>0</v>
      </c>
      <c r="W8" s="195">
        <f ca="1">_xlfn.SINGLE(OFFSET('Balance Sheet'!AB17,0,SQRChartBindings!$F$4,1,1))</f>
        <v>0</v>
      </c>
      <c r="X8" s="195">
        <f ca="1">_xlfn.SINGLE(OFFSET('Balance Sheet'!AC17,0,SQRChartBindings!$F$4,1,1))</f>
        <v>0</v>
      </c>
      <c r="Y8" s="195">
        <f ca="1">_xlfn.SINGLE(OFFSET('Balance Sheet'!AD17,0,SQRChartBindings!$F$4,1,1))</f>
        <v>0</v>
      </c>
      <c r="Z8" s="195">
        <f ca="1">_xlfn.SINGLE(OFFSET('Balance Sheet'!AE17,0,SQRChartBindings!$F$4,1,1))</f>
        <v>0</v>
      </c>
      <c r="AA8" s="195">
        <f ca="1">_xlfn.SINGLE(OFFSET('Balance Sheet'!AF17,0,SQRChartBindings!$F$4,1,1))</f>
        <v>0</v>
      </c>
      <c r="AB8" s="195">
        <f ca="1">_xlfn.SINGLE(OFFSET('Balance Sheet'!AG17,0,SQRChartBindings!$F$4,1,1))</f>
        <v>0</v>
      </c>
    </row>
    <row r="9" spans="1:30">
      <c r="A9" s="195" t="s">
        <v>345</v>
      </c>
      <c r="B9" s="195">
        <v>16</v>
      </c>
      <c r="D9" s="195" t="s">
        <v>379</v>
      </c>
      <c r="E9" s="195">
        <f ca="1">_xlfn.SINGLE(OFFSET('Balance Sheet'!J16,0,SQRChartBindings!$F$4,1,1))</f>
        <v>0</v>
      </c>
      <c r="F9" s="195">
        <f ca="1">_xlfn.SINGLE(OFFSET('Balance Sheet'!K16,0,SQRChartBindings!$F$4,1,1))</f>
        <v>0</v>
      </c>
      <c r="G9" s="195">
        <f ca="1">_xlfn.SINGLE(OFFSET('Balance Sheet'!L16,0,SQRChartBindings!$F$4,1,1))</f>
        <v>0</v>
      </c>
      <c r="H9" s="195">
        <f ca="1">_xlfn.SINGLE(OFFSET('Balance Sheet'!M16,0,SQRChartBindings!$F$4,1,1))</f>
        <v>0</v>
      </c>
      <c r="I9" s="195">
        <f ca="1">_xlfn.SINGLE(OFFSET('Balance Sheet'!N16,0,SQRChartBindings!$F$4,1,1))</f>
        <v>0</v>
      </c>
      <c r="J9" s="195">
        <f ca="1">_xlfn.SINGLE(OFFSET('Balance Sheet'!O16,0,SQRChartBindings!$F$4,1,1))</f>
        <v>0</v>
      </c>
      <c r="K9" s="195">
        <f ca="1">_xlfn.SINGLE(OFFSET('Balance Sheet'!P16,0,SQRChartBindings!$F$4,1,1))</f>
        <v>0</v>
      </c>
      <c r="L9" s="195">
        <f ca="1">_xlfn.SINGLE(OFFSET('Balance Sheet'!Q16,0,SQRChartBindings!$F$4,1,1))</f>
        <v>0</v>
      </c>
      <c r="M9" s="195">
        <f ca="1">_xlfn.SINGLE(OFFSET('Balance Sheet'!R16,0,SQRChartBindings!$F$4,1,1))</f>
        <v>0</v>
      </c>
      <c r="N9" s="195">
        <f ca="1">_xlfn.SINGLE(OFFSET('Balance Sheet'!S16,0,SQRChartBindings!$F$4,1,1))</f>
        <v>0</v>
      </c>
      <c r="O9" s="195">
        <f ca="1">_xlfn.SINGLE(OFFSET('Balance Sheet'!T16,0,SQRChartBindings!$F$4,1,1))</f>
        <v>0</v>
      </c>
      <c r="P9" s="195">
        <f ca="1">_xlfn.SINGLE(OFFSET('Balance Sheet'!U16,0,SQRChartBindings!$F$4,1,1))</f>
        <v>0</v>
      </c>
      <c r="Q9" s="195">
        <f ca="1">_xlfn.SINGLE(OFFSET('Balance Sheet'!V16,0,SQRChartBindings!$F$4,1,1))</f>
        <v>0</v>
      </c>
      <c r="R9" s="195">
        <f ca="1">_xlfn.SINGLE(OFFSET('Balance Sheet'!W16,0,SQRChartBindings!$F$4,1,1))</f>
        <v>0</v>
      </c>
      <c r="S9" s="195">
        <f ca="1">_xlfn.SINGLE(OFFSET('Balance Sheet'!X16,0,SQRChartBindings!$F$4,1,1))</f>
        <v>0</v>
      </c>
      <c r="T9" s="195">
        <f ca="1">_xlfn.SINGLE(OFFSET('Balance Sheet'!Y16,0,SQRChartBindings!$F$4,1,1))</f>
        <v>0</v>
      </c>
      <c r="U9" s="195">
        <f ca="1">_xlfn.SINGLE(OFFSET('Balance Sheet'!Z16,0,SQRChartBindings!$F$4,1,1))</f>
        <v>0</v>
      </c>
      <c r="V9" s="195">
        <f ca="1">_xlfn.SINGLE(OFFSET('Balance Sheet'!AA16,0,SQRChartBindings!$F$4,1,1))</f>
        <v>0</v>
      </c>
      <c r="W9" s="195">
        <f ca="1">_xlfn.SINGLE(OFFSET('Balance Sheet'!AB16,0,SQRChartBindings!$F$4,1,1))</f>
        <v>0</v>
      </c>
      <c r="X9" s="195">
        <f ca="1">_xlfn.SINGLE(OFFSET('Balance Sheet'!AC16,0,SQRChartBindings!$F$4,1,1))</f>
        <v>0</v>
      </c>
      <c r="Y9" s="195">
        <f ca="1">_xlfn.SINGLE(OFFSET('Balance Sheet'!AD16,0,SQRChartBindings!$F$4,1,1))</f>
        <v>0</v>
      </c>
      <c r="Z9" s="195">
        <f ca="1">_xlfn.SINGLE(OFFSET('Balance Sheet'!AE16,0,SQRChartBindings!$F$4,1,1))</f>
        <v>0</v>
      </c>
      <c r="AA9" s="195">
        <f ca="1">_xlfn.SINGLE(OFFSET('Balance Sheet'!AF16,0,SQRChartBindings!$F$4,1,1))</f>
        <v>0</v>
      </c>
      <c r="AB9" s="195">
        <f ca="1">_xlfn.SINGLE(OFFSET('Balance Sheet'!AG16,0,SQRChartBindings!$F$4,1,1))</f>
        <v>0</v>
      </c>
    </row>
    <row r="10" spans="1:30">
      <c r="A10" s="195" t="s">
        <v>345</v>
      </c>
      <c r="B10" s="195">
        <v>18</v>
      </c>
      <c r="D10" s="195" t="s">
        <v>459</v>
      </c>
      <c r="E10" s="195">
        <f ca="1">_xlfn.SINGLE(OFFSET('Balance Sheet'!J18,0,SQRChartBindings!$F$4,1,1))</f>
        <v>0</v>
      </c>
      <c r="F10" s="195">
        <f ca="1">_xlfn.SINGLE(OFFSET('Balance Sheet'!K18,0,SQRChartBindings!$F$4,1,1))</f>
        <v>0</v>
      </c>
      <c r="G10" s="195">
        <f ca="1">_xlfn.SINGLE(OFFSET('Balance Sheet'!L18,0,SQRChartBindings!$F$4,1,1))</f>
        <v>0</v>
      </c>
      <c r="H10" s="195">
        <f ca="1">_xlfn.SINGLE(OFFSET('Balance Sheet'!M18,0,SQRChartBindings!$F$4,1,1))</f>
        <v>0</v>
      </c>
      <c r="I10" s="195">
        <f ca="1">_xlfn.SINGLE(OFFSET('Balance Sheet'!N18,0,SQRChartBindings!$F$4,1,1))</f>
        <v>0</v>
      </c>
      <c r="J10" s="195">
        <f ca="1">_xlfn.SINGLE(OFFSET('Balance Sheet'!O18,0,SQRChartBindings!$F$4,1,1))</f>
        <v>0</v>
      </c>
      <c r="K10" s="195">
        <f ca="1">_xlfn.SINGLE(OFFSET('Balance Sheet'!P18,0,SQRChartBindings!$F$4,1,1))</f>
        <v>0</v>
      </c>
      <c r="L10" s="195">
        <f ca="1">_xlfn.SINGLE(OFFSET('Balance Sheet'!Q18,0,SQRChartBindings!$F$4,1,1))</f>
        <v>0</v>
      </c>
      <c r="M10" s="195">
        <f ca="1">_xlfn.SINGLE(OFFSET('Balance Sheet'!R18,0,SQRChartBindings!$F$4,1,1))</f>
        <v>0</v>
      </c>
      <c r="N10" s="195">
        <f ca="1">_xlfn.SINGLE(OFFSET('Balance Sheet'!S18,0,SQRChartBindings!$F$4,1,1))</f>
        <v>0</v>
      </c>
      <c r="O10" s="195">
        <f ca="1">_xlfn.SINGLE(OFFSET('Balance Sheet'!T18,0,SQRChartBindings!$F$4,1,1))</f>
        <v>0</v>
      </c>
      <c r="P10" s="195">
        <f ca="1">_xlfn.SINGLE(OFFSET('Balance Sheet'!U18,0,SQRChartBindings!$F$4,1,1))</f>
        <v>0</v>
      </c>
      <c r="Q10" s="195">
        <f ca="1">_xlfn.SINGLE(OFFSET('Balance Sheet'!V18,0,SQRChartBindings!$F$4,1,1))</f>
        <v>0</v>
      </c>
      <c r="R10" s="195">
        <f ca="1">_xlfn.SINGLE(OFFSET('Balance Sheet'!W18,0,SQRChartBindings!$F$4,1,1))</f>
        <v>0</v>
      </c>
      <c r="S10" s="195">
        <f ca="1">_xlfn.SINGLE(OFFSET('Balance Sheet'!X18,0,SQRChartBindings!$F$4,1,1))</f>
        <v>0</v>
      </c>
      <c r="T10" s="195">
        <f ca="1">_xlfn.SINGLE(OFFSET('Balance Sheet'!Y18,0,SQRChartBindings!$F$4,1,1))</f>
        <v>0</v>
      </c>
      <c r="U10" s="195">
        <f ca="1">_xlfn.SINGLE(OFFSET('Balance Sheet'!Z18,0,SQRChartBindings!$F$4,1,1))</f>
        <v>0</v>
      </c>
      <c r="V10" s="195">
        <f ca="1">_xlfn.SINGLE(OFFSET('Balance Sheet'!AA18,0,SQRChartBindings!$F$4,1,1))</f>
        <v>0</v>
      </c>
      <c r="W10" s="195">
        <f ca="1">_xlfn.SINGLE(OFFSET('Balance Sheet'!AB18,0,SQRChartBindings!$F$4,1,1))</f>
        <v>0</v>
      </c>
      <c r="X10" s="195">
        <f ca="1">_xlfn.SINGLE(OFFSET('Balance Sheet'!AC18,0,SQRChartBindings!$F$4,1,1))</f>
        <v>0</v>
      </c>
      <c r="Y10" s="195">
        <f ca="1">_xlfn.SINGLE(OFFSET('Balance Sheet'!AD18,0,SQRChartBindings!$F$4,1,1))</f>
        <v>0</v>
      </c>
      <c r="Z10" s="195">
        <f ca="1">_xlfn.SINGLE(OFFSET('Balance Sheet'!AE18,0,SQRChartBindings!$F$4,1,1))</f>
        <v>0</v>
      </c>
      <c r="AA10" s="195">
        <f ca="1">_xlfn.SINGLE(OFFSET('Balance Sheet'!AF18,0,SQRChartBindings!$F$4,1,1))</f>
        <v>0</v>
      </c>
      <c r="AB10" s="195">
        <f ca="1">_xlfn.SINGLE(OFFSET('Balance Sheet'!AG18,0,SQRChartBindings!$F$4,1,1))</f>
        <v>0</v>
      </c>
    </row>
    <row r="11" spans="1:30">
      <c r="B11" s="195"/>
      <c r="E11" s="195"/>
      <c r="F11" s="195"/>
      <c r="G11" s="195"/>
      <c r="H11" s="195"/>
      <c r="I11" s="195"/>
      <c r="J11" s="195"/>
      <c r="K11" s="195"/>
      <c r="L11" s="195"/>
      <c r="M11" s="195"/>
      <c r="N11" s="195"/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  <c r="AA11" s="195"/>
      <c r="AB11" s="195"/>
    </row>
    <row r="12" spans="1:30">
      <c r="A12" s="195" t="s">
        <v>346</v>
      </c>
      <c r="B12" s="195">
        <v>8</v>
      </c>
      <c r="D12" s="195" t="s">
        <v>170</v>
      </c>
      <c r="E12" s="195">
        <f ca="1">_xlfn.SINGLE(OFFSET('Income Statement'!J8,0,SQRChartBindings!$F$4,1,1))</f>
        <v>0</v>
      </c>
      <c r="F12" s="195">
        <f ca="1">_xlfn.SINGLE(OFFSET('Income Statement'!K8,0,SQRChartBindings!$F$4,1,1))</f>
        <v>0</v>
      </c>
      <c r="G12" s="195">
        <f ca="1">_xlfn.SINGLE(OFFSET('Income Statement'!L8,0,SQRChartBindings!$F$4,1,1))</f>
        <v>0</v>
      </c>
      <c r="H12" s="195">
        <f ca="1">_xlfn.SINGLE(OFFSET('Income Statement'!M8,0,SQRChartBindings!$F$4,1,1))</f>
        <v>0</v>
      </c>
      <c r="I12" s="195">
        <f ca="1">_xlfn.SINGLE(OFFSET('Income Statement'!N8,0,SQRChartBindings!$F$4,1,1))</f>
        <v>0</v>
      </c>
      <c r="J12" s="195">
        <f ca="1">_xlfn.SINGLE(OFFSET('Income Statement'!O8,0,SQRChartBindings!$F$4,1,1))</f>
        <v>0</v>
      </c>
      <c r="K12" s="195">
        <f ca="1">_xlfn.SINGLE(OFFSET('Income Statement'!P8,0,SQRChartBindings!$F$4,1,1))</f>
        <v>0</v>
      </c>
      <c r="L12" s="195">
        <f ca="1">_xlfn.SINGLE(OFFSET('Income Statement'!Q8,0,SQRChartBindings!$F$4,1,1))</f>
        <v>146875.4946458746</v>
      </c>
      <c r="M12" s="195">
        <f ca="1">_xlfn.SINGLE(OFFSET('Income Statement'!R8,0,SQRChartBindings!$F$4,1,1))</f>
        <v>173149.86682920906</v>
      </c>
      <c r="N12" s="195">
        <f ca="1">_xlfn.SINGLE(OFFSET('Income Statement'!S8,0,SQRChartBindings!$F$4,1,1))</f>
        <v>175000</v>
      </c>
      <c r="O12" s="195">
        <f ca="1">_xlfn.SINGLE(OFFSET('Income Statement'!T8,0,SQRChartBindings!$F$4,1,1))</f>
        <v>175000</v>
      </c>
      <c r="P12" s="195">
        <f ca="1">_xlfn.SINGLE(OFFSET('Income Statement'!U8,0,SQRChartBindings!$F$4,1,1))</f>
        <v>175000</v>
      </c>
      <c r="Q12" s="195">
        <f ca="1">_xlfn.SINGLE(OFFSET('Income Statement'!V8,0,SQRChartBindings!$F$4,1,1))</f>
        <v>175000</v>
      </c>
      <c r="R12" s="195">
        <f ca="1">_xlfn.SINGLE(OFFSET('Income Statement'!W8,0,SQRChartBindings!$F$4,1,1))</f>
        <v>329823.19998942426</v>
      </c>
      <c r="S12" s="195">
        <f ca="1">_xlfn.SINGLE(OFFSET('Income Statement'!X8,0,SQRChartBindings!$F$4,1,1))</f>
        <v>350000</v>
      </c>
      <c r="T12" s="195">
        <f ca="1">_xlfn.SINGLE(OFFSET('Income Statement'!Y8,0,SQRChartBindings!$F$4,1,1))</f>
        <v>350000</v>
      </c>
      <c r="U12" s="195">
        <f ca="1">_xlfn.SINGLE(OFFSET('Income Statement'!Z8,0,SQRChartBindings!$F$4,1,1))</f>
        <v>350000</v>
      </c>
      <c r="V12" s="195">
        <f ca="1">_xlfn.SINGLE(OFFSET('Income Statement'!AA8,0,SQRChartBindings!$F$4,1,1))</f>
        <v>350000</v>
      </c>
      <c r="W12" s="195">
        <f ca="1">_xlfn.SINGLE(OFFSET('Income Statement'!AB8,0,SQRChartBindings!$F$4,1,1))</f>
        <v>350000</v>
      </c>
      <c r="X12" s="195">
        <f ca="1">_xlfn.SINGLE(OFFSET('Income Statement'!AC8,0,SQRChartBindings!$F$4,1,1))</f>
        <v>525000</v>
      </c>
      <c r="Y12" s="195">
        <f ca="1">_xlfn.SINGLE(OFFSET('Income Statement'!AD8,0,SQRChartBindings!$F$4,1,1))</f>
        <v>525000</v>
      </c>
      <c r="Z12" s="195">
        <f ca="1">_xlfn.SINGLE(OFFSET('Income Statement'!AE8,0,SQRChartBindings!$F$4,1,1))</f>
        <v>525000</v>
      </c>
      <c r="AA12" s="195">
        <f ca="1">_xlfn.SINGLE(OFFSET('Income Statement'!AF8,0,SQRChartBindings!$F$4,1,1))</f>
        <v>525000</v>
      </c>
      <c r="AB12" s="195">
        <f ca="1">_xlfn.SINGLE(OFFSET('Income Statement'!AG8,0,SQRChartBindings!$F$4,1,1))</f>
        <v>700000</v>
      </c>
    </row>
    <row r="13" spans="1:30">
      <c r="A13" s="195" t="s">
        <v>346</v>
      </c>
      <c r="B13" s="195">
        <v>11</v>
      </c>
      <c r="D13" s="195" t="s">
        <v>176</v>
      </c>
      <c r="E13" s="195">
        <f ca="1">_xlfn.SINGLE(OFFSET('Income Statement'!J11,0,SQRChartBindings!$F$4,1,1))</f>
        <v>-46000</v>
      </c>
      <c r="F13" s="195">
        <f ca="1">_xlfn.SINGLE(OFFSET('Income Statement'!K11,0,SQRChartBindings!$F$4,1,1))</f>
        <v>-47273.385096090773</v>
      </c>
      <c r="G13" s="195">
        <f ca="1">_xlfn.SINGLE(OFFSET('Income Statement'!L11,0,SQRChartBindings!$F$4,1,1))</f>
        <v>-48579.164770385694</v>
      </c>
      <c r="H13" s="195">
        <f ca="1">_xlfn.SINGLE(OFFSET('Income Statement'!M11,0,SQRChartBindings!$F$4,1,1))</f>
        <v>-50616.800526344436</v>
      </c>
      <c r="I13" s="195">
        <f ca="1">_xlfn.SINGLE(OFFSET('Income Statement'!N11,0,SQRChartBindings!$F$4,1,1))</f>
        <v>-52133.27748561668</v>
      </c>
      <c r="J13" s="195">
        <f ca="1">_xlfn.SINGLE(OFFSET('Income Statement'!O11,0,SQRChartBindings!$F$4,1,1))</f>
        <v>-53688.333215445258</v>
      </c>
      <c r="K13" s="195">
        <f ca="1">_xlfn.SINGLE(OFFSET('Income Statement'!P11,0,SQRChartBindings!$F$4,1,1))</f>
        <v>-56013.696335963396</v>
      </c>
      <c r="L13" s="195">
        <f ca="1">_xlfn.SINGLE(OFFSET('Income Statement'!Q11,0,SQRChartBindings!$F$4,1,1))</f>
        <v>89115.754725113075</v>
      </c>
      <c r="M13" s="195">
        <f ca="1">_xlfn.SINGLE(OFFSET('Income Statement'!R11,0,SQRChartBindings!$F$4,1,1))</f>
        <v>113478.27582573897</v>
      </c>
      <c r="N13" s="195">
        <f ca="1">_xlfn.SINGLE(OFFSET('Income Statement'!S11,0,SQRChartBindings!$F$4,1,1))</f>
        <v>112662.85285996516</v>
      </c>
      <c r="O13" s="195">
        <f ca="1">_xlfn.SINGLE(OFFSET('Income Statement'!T11,0,SQRChartBindings!$F$4,1,1))</f>
        <v>110713.98513466401</v>
      </c>
      <c r="P13" s="195">
        <f ca="1">_xlfn.SINGLE(OFFSET('Income Statement'!U11,0,SQRChartBindings!$F$4,1,1))</f>
        <v>108451.45380549737</v>
      </c>
      <c r="Q13" s="195">
        <f ca="1">_xlfn.SINGLE(OFFSET('Income Statement'!V11,0,SQRChartBindings!$F$4,1,1))</f>
        <v>105500</v>
      </c>
      <c r="R13" s="195">
        <f ca="1">_xlfn.SINGLE(OFFSET('Income Statement'!W11,0,SQRChartBindings!$F$4,1,1))</f>
        <v>257737.76049489388</v>
      </c>
      <c r="S13" s="195">
        <f ca="1">_xlfn.SINGLE(OFFSET('Income Statement'!X11,0,SQRChartBindings!$F$4,1,1))</f>
        <v>275304.41252950544</v>
      </c>
      <c r="T13" s="195">
        <f ca="1">_xlfn.SINGLE(OFFSET('Income Statement'!Y11,0,SQRChartBindings!$F$4,1,1))</f>
        <v>271775.23697183491</v>
      </c>
      <c r="U13" s="195">
        <f ca="1">_xlfn.SINGLE(OFFSET('Income Statement'!Z11,0,SQRChartBindings!$F$4,1,1))</f>
        <v>268744.40650637494</v>
      </c>
      <c r="V13" s="195">
        <f ca="1">_xlfn.SINGLE(OFFSET('Income Statement'!AA11,0,SQRChartBindings!$F$4,1,1))</f>
        <v>265636.71868826868</v>
      </c>
      <c r="W13" s="195">
        <f ca="1">_xlfn.SINGLE(OFFSET('Income Statement'!AB11,0,SQRChartBindings!$F$4,1,1))</f>
        <v>261550.17025842413</v>
      </c>
      <c r="X13" s="195">
        <f ca="1">_xlfn.SINGLE(OFFSET('Income Statement'!AC11,0,SQRChartBindings!$F$4,1,1))</f>
        <v>433061.35730910645</v>
      </c>
      <c r="Y13" s="195">
        <f ca="1">_xlfn.SINGLE(OFFSET('Income Statement'!AD11,0,SQRChartBindings!$F$4,1,1))</f>
        <v>429206.16781548737</v>
      </c>
      <c r="Z13" s="195">
        <f ca="1">_xlfn.SINGLE(OFFSET('Income Statement'!AE11,0,SQRChartBindings!$F$4,1,1))</f>
        <v>424448.12584523065</v>
      </c>
      <c r="AA13" s="195">
        <f ca="1">_xlfn.SINGLE(OFFSET('Income Statement'!AF11,0,SQRChartBindings!$F$4,1,1))</f>
        <v>420574.65609569219</v>
      </c>
      <c r="AB13" s="195">
        <f ca="1">_xlfn.SINGLE(OFFSET('Income Statement'!AG11,0,SQRChartBindings!$F$4,1,1))</f>
        <v>591039.17894806305</v>
      </c>
    </row>
    <row r="14" spans="1:30">
      <c r="A14" s="195" t="s">
        <v>346</v>
      </c>
      <c r="B14" s="195">
        <v>14</v>
      </c>
      <c r="D14" s="195" t="s">
        <v>63</v>
      </c>
      <c r="E14" s="195">
        <f ca="1">_xlfn.SINGLE(OFFSET('Income Statement'!J14,0,SQRChartBindings!$F$4,1,1))</f>
        <v>-46000</v>
      </c>
      <c r="F14" s="195">
        <f ca="1">_xlfn.SINGLE(OFFSET('Income Statement'!K14,0,SQRChartBindings!$F$4,1,1))</f>
        <v>-54565.051762757437</v>
      </c>
      <c r="G14" s="195">
        <f ca="1">_xlfn.SINGLE(OFFSET('Income Statement'!L14,0,SQRChartBindings!$F$4,1,1))</f>
        <v>-55870.831437052359</v>
      </c>
      <c r="H14" s="195">
        <f ca="1">_xlfn.SINGLE(OFFSET('Income Statement'!M14,0,SQRChartBindings!$F$4,1,1))</f>
        <v>-57908.4671930111</v>
      </c>
      <c r="I14" s="195">
        <f ca="1">_xlfn.SINGLE(OFFSET('Income Statement'!N14,0,SQRChartBindings!$F$4,1,1))</f>
        <v>-59424.944152283344</v>
      </c>
      <c r="J14" s="195">
        <f ca="1">_xlfn.SINGLE(OFFSET('Income Statement'!O14,0,SQRChartBindings!$F$4,1,1))</f>
        <v>-60979.999882111922</v>
      </c>
      <c r="K14" s="195">
        <f ca="1">_xlfn.SINGLE(OFFSET('Income Statement'!P14,0,SQRChartBindings!$F$4,1,1))</f>
        <v>-63305.36300263006</v>
      </c>
      <c r="L14" s="195">
        <f ca="1">_xlfn.SINGLE(OFFSET('Income Statement'!Q14,0,SQRChartBindings!$F$4,1,1))</f>
        <v>74532.421391779746</v>
      </c>
      <c r="M14" s="195">
        <f ca="1">_xlfn.SINGLE(OFFSET('Income Statement'!R14,0,SQRChartBindings!$F$4,1,1))</f>
        <v>98894.942492405637</v>
      </c>
      <c r="N14" s="195">
        <f ca="1">_xlfn.SINGLE(OFFSET('Income Statement'!S14,0,SQRChartBindings!$F$4,1,1))</f>
        <v>98079.519526631833</v>
      </c>
      <c r="O14" s="195">
        <f ca="1">_xlfn.SINGLE(OFFSET('Income Statement'!T14,0,SQRChartBindings!$F$4,1,1))</f>
        <v>96130.651801330678</v>
      </c>
      <c r="P14" s="195">
        <f ca="1">_xlfn.SINGLE(OFFSET('Income Statement'!U14,0,SQRChartBindings!$F$4,1,1))</f>
        <v>93868.120472164039</v>
      </c>
      <c r="Q14" s="195">
        <f ca="1">_xlfn.SINGLE(OFFSET('Income Statement'!V14,0,SQRChartBindings!$F$4,1,1))</f>
        <v>90916.666666666672</v>
      </c>
      <c r="R14" s="195">
        <f ca="1">_xlfn.SINGLE(OFFSET('Income Statement'!W14,0,SQRChartBindings!$F$4,1,1))</f>
        <v>235862.76049489388</v>
      </c>
      <c r="S14" s="195">
        <f ca="1">_xlfn.SINGLE(OFFSET('Income Statement'!X14,0,SQRChartBindings!$F$4,1,1))</f>
        <v>253429.41252950544</v>
      </c>
      <c r="T14" s="195">
        <f ca="1">_xlfn.SINGLE(OFFSET('Income Statement'!Y14,0,SQRChartBindings!$F$4,1,1))</f>
        <v>249900.23697183491</v>
      </c>
      <c r="U14" s="195">
        <f ca="1">_xlfn.SINGLE(OFFSET('Income Statement'!Z14,0,SQRChartBindings!$F$4,1,1))</f>
        <v>246869.40650637494</v>
      </c>
      <c r="V14" s="195">
        <f ca="1">_xlfn.SINGLE(OFFSET('Income Statement'!AA14,0,SQRChartBindings!$F$4,1,1))</f>
        <v>236470.05202160202</v>
      </c>
      <c r="W14" s="195">
        <f ca="1">_xlfn.SINGLE(OFFSET('Income Statement'!AB14,0,SQRChartBindings!$F$4,1,1))</f>
        <v>232383.50359175747</v>
      </c>
      <c r="X14" s="195">
        <f ca="1">_xlfn.SINGLE(OFFSET('Income Statement'!AC14,0,SQRChartBindings!$F$4,1,1))</f>
        <v>403894.69064243976</v>
      </c>
      <c r="Y14" s="195">
        <f ca="1">_xlfn.SINGLE(OFFSET('Income Statement'!AD14,0,SQRChartBindings!$F$4,1,1))</f>
        <v>400039.50114882068</v>
      </c>
      <c r="Z14" s="195">
        <f ca="1">_xlfn.SINGLE(OFFSET('Income Statement'!AE14,0,SQRChartBindings!$F$4,1,1))</f>
        <v>387989.79251189734</v>
      </c>
      <c r="AA14" s="195">
        <f ca="1">_xlfn.SINGLE(OFFSET('Income Statement'!AF14,0,SQRChartBindings!$F$4,1,1))</f>
        <v>384116.32276235888</v>
      </c>
      <c r="AB14" s="195">
        <f ca="1">_xlfn.SINGLE(OFFSET('Income Statement'!AG14,0,SQRChartBindings!$F$4,1,1))</f>
        <v>554580.84561472968</v>
      </c>
    </row>
    <row r="15" spans="1:30">
      <c r="A15" s="195" t="s">
        <v>346</v>
      </c>
      <c r="B15" s="195">
        <v>19</v>
      </c>
      <c r="D15" s="195" t="s">
        <v>460</v>
      </c>
      <c r="E15" s="195">
        <f ca="1">_xlfn.SINGLE(OFFSET('Income Statement'!J19,0,SQRChartBindings!$F$4,1,1))</f>
        <v>-46000</v>
      </c>
      <c r="F15" s="195">
        <f ca="1">_xlfn.SINGLE(OFFSET('Income Statement'!K19,0,SQRChartBindings!$F$4,1,1))</f>
        <v>-54565.051762757437</v>
      </c>
      <c r="G15" s="195">
        <f ca="1">_xlfn.SINGLE(OFFSET('Income Statement'!L19,0,SQRChartBindings!$F$4,1,1))</f>
        <v>-55870.831437052359</v>
      </c>
      <c r="H15" s="195">
        <f ca="1">_xlfn.SINGLE(OFFSET('Income Statement'!M19,0,SQRChartBindings!$F$4,1,1))</f>
        <v>-57908.4671930111</v>
      </c>
      <c r="I15" s="195">
        <f ca="1">_xlfn.SINGLE(OFFSET('Income Statement'!N19,0,SQRChartBindings!$F$4,1,1))</f>
        <v>-59424.944152283344</v>
      </c>
      <c r="J15" s="195">
        <f ca="1">_xlfn.SINGLE(OFFSET('Income Statement'!O19,0,SQRChartBindings!$F$4,1,1))</f>
        <v>-60979.999882111922</v>
      </c>
      <c r="K15" s="195">
        <f ca="1">_xlfn.SINGLE(OFFSET('Income Statement'!P19,0,SQRChartBindings!$F$4,1,1))</f>
        <v>-63305.36300263006</v>
      </c>
      <c r="L15" s="195">
        <f ca="1">_xlfn.SINGLE(OFFSET('Income Statement'!Q19,0,SQRChartBindings!$F$4,1,1))</f>
        <v>74532.421391779746</v>
      </c>
      <c r="M15" s="195">
        <f ca="1">_xlfn.SINGLE(OFFSET('Income Statement'!R19,0,SQRChartBindings!$F$4,1,1))</f>
        <v>98894.942492405637</v>
      </c>
      <c r="N15" s="195">
        <f ca="1">_xlfn.SINGLE(OFFSET('Income Statement'!S19,0,SQRChartBindings!$F$4,1,1))</f>
        <v>98079.519526631833</v>
      </c>
      <c r="O15" s="195">
        <f ca="1">_xlfn.SINGLE(OFFSET('Income Statement'!T19,0,SQRChartBindings!$F$4,1,1))</f>
        <v>96130.651801330678</v>
      </c>
      <c r="P15" s="195">
        <f ca="1">_xlfn.SINGLE(OFFSET('Income Statement'!U19,0,SQRChartBindings!$F$4,1,1))</f>
        <v>93868.120472164039</v>
      </c>
      <c r="Q15" s="195">
        <f ca="1">_xlfn.SINGLE(OFFSET('Income Statement'!V19,0,SQRChartBindings!$F$4,1,1))</f>
        <v>90916.666666666672</v>
      </c>
      <c r="R15" s="195">
        <f ca="1">_xlfn.SINGLE(OFFSET('Income Statement'!W19,0,SQRChartBindings!$F$4,1,1))</f>
        <v>235862.76049489388</v>
      </c>
      <c r="S15" s="195">
        <f ca="1">_xlfn.SINGLE(OFFSET('Income Statement'!X19,0,SQRChartBindings!$F$4,1,1))</f>
        <v>253429.41252950544</v>
      </c>
      <c r="T15" s="195">
        <f ca="1">_xlfn.SINGLE(OFFSET('Income Statement'!Y19,0,SQRChartBindings!$F$4,1,1))</f>
        <v>249900.23697183491</v>
      </c>
      <c r="U15" s="195">
        <f ca="1">_xlfn.SINGLE(OFFSET('Income Statement'!Z19,0,SQRChartBindings!$F$4,1,1))</f>
        <v>246869.40650637494</v>
      </c>
      <c r="V15" s="195">
        <f ca="1">_xlfn.SINGLE(OFFSET('Income Statement'!AA19,0,SQRChartBindings!$F$4,1,1))</f>
        <v>236470.05202160202</v>
      </c>
      <c r="W15" s="195">
        <f ca="1">_xlfn.SINGLE(OFFSET('Income Statement'!AB19,0,SQRChartBindings!$F$4,1,1))</f>
        <v>232383.50359175747</v>
      </c>
      <c r="X15" s="195">
        <f ca="1">_xlfn.SINGLE(OFFSET('Income Statement'!AC19,0,SQRChartBindings!$F$4,1,1))</f>
        <v>403894.69064243976</v>
      </c>
      <c r="Y15" s="195">
        <f ca="1">_xlfn.SINGLE(OFFSET('Income Statement'!AD19,0,SQRChartBindings!$F$4,1,1))</f>
        <v>400039.50114882068</v>
      </c>
      <c r="Z15" s="195">
        <f ca="1">_xlfn.SINGLE(OFFSET('Income Statement'!AE19,0,SQRChartBindings!$F$4,1,1))</f>
        <v>387989.79251189734</v>
      </c>
      <c r="AA15" s="195">
        <f ca="1">_xlfn.SINGLE(OFFSET('Income Statement'!AF19,0,SQRChartBindings!$F$4,1,1))</f>
        <v>384116.32276235888</v>
      </c>
      <c r="AB15" s="195">
        <f ca="1">_xlfn.SINGLE(OFFSET('Income Statement'!AG19,0,SQRChartBindings!$F$4,1,1))</f>
        <v>554580.84561472968</v>
      </c>
    </row>
    <row r="16" spans="1:30">
      <c r="A16" s="195" t="s">
        <v>346</v>
      </c>
      <c r="B16">
        <v>22</v>
      </c>
      <c r="D16" t="s">
        <v>461</v>
      </c>
      <c r="E16" s="195">
        <f ca="1">_xlfn.SINGLE(OFFSET('Income Statement'!J22,0,SQRChartBindings!$F$4,1,1))</f>
        <v>-46000</v>
      </c>
      <c r="F16" s="195">
        <f ca="1">_xlfn.SINGLE(OFFSET('Income Statement'!K22,0,SQRChartBindings!$F$4,1,1))</f>
        <v>-54565.051762757437</v>
      </c>
      <c r="G16" s="195">
        <f ca="1">_xlfn.SINGLE(OFFSET('Income Statement'!L22,0,SQRChartBindings!$F$4,1,1))</f>
        <v>-55870.831437052359</v>
      </c>
      <c r="H16" s="195">
        <f ca="1">_xlfn.SINGLE(OFFSET('Income Statement'!M22,0,SQRChartBindings!$F$4,1,1))</f>
        <v>-57908.4671930111</v>
      </c>
      <c r="I16" s="195">
        <f ca="1">_xlfn.SINGLE(OFFSET('Income Statement'!N22,0,SQRChartBindings!$F$4,1,1))</f>
        <v>-59424.944152283344</v>
      </c>
      <c r="J16" s="195">
        <f ca="1">_xlfn.SINGLE(OFFSET('Income Statement'!O22,0,SQRChartBindings!$F$4,1,1))</f>
        <v>-60979.999882111922</v>
      </c>
      <c r="K16" s="195">
        <f ca="1">_xlfn.SINGLE(OFFSET('Income Statement'!P22,0,SQRChartBindings!$F$4,1,1))</f>
        <v>-63305.36300263006</v>
      </c>
      <c r="L16" s="195">
        <f ca="1">_xlfn.SINGLE(OFFSET('Income Statement'!Q22,0,SQRChartBindings!$F$4,1,1))</f>
        <v>74532.421391779746</v>
      </c>
      <c r="M16" s="195">
        <f ca="1">_xlfn.SINGLE(OFFSET('Income Statement'!R22,0,SQRChartBindings!$F$4,1,1))</f>
        <v>98894.942492405637</v>
      </c>
      <c r="N16" s="195">
        <f ca="1">_xlfn.SINGLE(OFFSET('Income Statement'!S22,0,SQRChartBindings!$F$4,1,1))</f>
        <v>96689.074330437637</v>
      </c>
      <c r="O16" s="195">
        <f ca="1">_xlfn.SINGLE(OFFSET('Income Statement'!T22,0,SQRChartBindings!$F$4,1,1))</f>
        <v>73987.854774397871</v>
      </c>
      <c r="P16" s="195">
        <f ca="1">_xlfn.SINGLE(OFFSET('Income Statement'!U22,0,SQRChartBindings!$F$4,1,1))</f>
        <v>72177.829711064565</v>
      </c>
      <c r="Q16" s="195">
        <f ca="1">_xlfn.SINGLE(OFFSET('Income Statement'!V22,0,SQRChartBindings!$F$4,1,1))</f>
        <v>69816.666666666672</v>
      </c>
      <c r="R16" s="195">
        <f ca="1">_xlfn.SINGLE(OFFSET('Income Statement'!W22,0,SQRChartBindings!$F$4,1,1))</f>
        <v>184315.20839591511</v>
      </c>
      <c r="S16" s="195">
        <f ca="1">_xlfn.SINGLE(OFFSET('Income Statement'!X22,0,SQRChartBindings!$F$4,1,1))</f>
        <v>198368.53002360434</v>
      </c>
      <c r="T16" s="195">
        <f ca="1">_xlfn.SINGLE(OFFSET('Income Statement'!Y22,0,SQRChartBindings!$F$4,1,1))</f>
        <v>195545.18957746791</v>
      </c>
      <c r="U16" s="195">
        <f ca="1">_xlfn.SINGLE(OFFSET('Income Statement'!Z22,0,SQRChartBindings!$F$4,1,1))</f>
        <v>193120.52520509996</v>
      </c>
      <c r="V16" s="195">
        <f ca="1">_xlfn.SINGLE(OFFSET('Income Statement'!AA22,0,SQRChartBindings!$F$4,1,1))</f>
        <v>183342.70828394828</v>
      </c>
      <c r="W16" s="195">
        <f ca="1">_xlfn.SINGLE(OFFSET('Income Statement'!AB22,0,SQRChartBindings!$F$4,1,1))</f>
        <v>180073.46954007263</v>
      </c>
      <c r="X16" s="195">
        <f ca="1">_xlfn.SINGLE(OFFSET('Income Statement'!AC22,0,SQRChartBindings!$F$4,1,1))</f>
        <v>317282.41918061848</v>
      </c>
      <c r="Y16" s="195">
        <f ca="1">_xlfn.SINGLE(OFFSET('Income Statement'!AD22,0,SQRChartBindings!$F$4,1,1))</f>
        <v>314198.2675857232</v>
      </c>
      <c r="Z16" s="195">
        <f ca="1">_xlfn.SINGLE(OFFSET('Income Statement'!AE22,0,SQRChartBindings!$F$4,1,1))</f>
        <v>303100.16734285117</v>
      </c>
      <c r="AA16" s="195">
        <f ca="1">_xlfn.SINGLE(OFFSET('Income Statement'!AF22,0,SQRChartBindings!$F$4,1,1))</f>
        <v>300001.39154322044</v>
      </c>
      <c r="AB16" s="195">
        <f ca="1">_xlfn.SINGLE(OFFSET('Income Statement'!AG22,0,SQRChartBindings!$F$4,1,1))</f>
        <v>436373.00982511707</v>
      </c>
    </row>
    <row r="17" spans="1:28">
      <c r="E17" s="195"/>
      <c r="F17" s="195"/>
      <c r="G17" s="195"/>
      <c r="H17" s="195"/>
      <c r="I17" s="195"/>
      <c r="J17" s="195"/>
      <c r="K17" s="195"/>
      <c r="L17" s="195"/>
      <c r="M17" s="195"/>
      <c r="N17" s="19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</row>
    <row r="18" spans="1:28">
      <c r="A18" s="195" t="s">
        <v>346</v>
      </c>
      <c r="B18" s="195">
        <v>9</v>
      </c>
      <c r="D18" s="195" t="s">
        <v>378</v>
      </c>
      <c r="E18" s="195">
        <f ca="1">_xlfn.SINGLE(OFFSET('Income Statement'!J9,0,SQRChartBindings!$F$4,1,1))</f>
        <v>-21000</v>
      </c>
      <c r="F18" s="195">
        <f ca="1">_xlfn.SINGLE(OFFSET('Income Statement'!K9,0,SQRChartBindings!$F$4,1,1))</f>
        <v>-22273.385096090773</v>
      </c>
      <c r="G18" s="195">
        <f ca="1">_xlfn.SINGLE(OFFSET('Income Statement'!L9,0,SQRChartBindings!$F$4,1,1))</f>
        <v>-23579.164770385694</v>
      </c>
      <c r="H18" s="195">
        <f ca="1">_xlfn.SINGLE(OFFSET('Income Statement'!M9,0,SQRChartBindings!$F$4,1,1))</f>
        <v>-25008.943674998918</v>
      </c>
      <c r="I18" s="195">
        <f ca="1">_xlfn.SINGLE(OFFSET('Income Statement'!N9,0,SQRChartBindings!$F$4,1,1))</f>
        <v>-26525.420634271159</v>
      </c>
      <c r="J18" s="195">
        <f ca="1">_xlfn.SINGLE(OFFSET('Income Statement'!O9,0,SQRChartBindings!$F$4,1,1))</f>
        <v>-28080.476364099741</v>
      </c>
      <c r="K18" s="195">
        <f ca="1">_xlfn.SINGLE(OFFSET('Income Statement'!P9,0,SQRChartBindings!$F$4,1,1))</f>
        <v>-29783.203035203253</v>
      </c>
      <c r="L18" s="195">
        <f ca="1">_xlfn.SINGLE(OFFSET('Income Statement'!Q9,0,SQRChartBindings!$F$4,1,1))</f>
        <v>-31529.246620001373</v>
      </c>
      <c r="M18" s="195">
        <f ca="1">_xlfn.SINGLE(OFFSET('Income Statement'!R9,0,SQRChartBindings!$F$4,1,1))</f>
        <v>-33441.097702709951</v>
      </c>
      <c r="N18" s="195">
        <f ca="1">_xlfn.SINGLE(OFFSET('Income Statement'!S9,0,SQRChartBindings!$F$4,1,1))</f>
        <v>-35468.878436593099</v>
      </c>
      <c r="O18" s="195">
        <f ca="1">_xlfn.SINGLE(OFFSET('Income Statement'!T9,0,SQRChartBindings!$F$4,1,1))</f>
        <v>-37417.746161894254</v>
      </c>
      <c r="P18" s="195">
        <f ca="1">_xlfn.SINGLE(OFFSET('Income Statement'!U9,0,SQRChartBindings!$F$4,1,1))</f>
        <v>-39680.277491060901</v>
      </c>
      <c r="Q18" s="195">
        <f ca="1">_xlfn.SINGLE(OFFSET('Income Statement'!V9,0,SQRChartBindings!$F$4,1,1))</f>
        <v>-42000</v>
      </c>
      <c r="R18" s="195">
        <f ca="1">_xlfn.SINGLE(OFFSET('Income Statement'!W9,0,SQRChartBindings!$F$4,1,1))</f>
        <v>-44585.43949453035</v>
      </c>
      <c r="S18" s="195">
        <f ca="1">_xlfn.SINGLE(OFFSET('Income Statement'!X9,0,SQRChartBindings!$F$4,1,1))</f>
        <v>-47195.587470494567</v>
      </c>
      <c r="T18" s="195">
        <f ca="1">_xlfn.SINGLE(OFFSET('Income Statement'!Y9,0,SQRChartBindings!$F$4,1,1))</f>
        <v>-50053.373364356317</v>
      </c>
      <c r="U18" s="195">
        <f ca="1">_xlfn.SINGLE(OFFSET('Income Statement'!Z9,0,SQRChartBindings!$F$4,1,1))</f>
        <v>-53084.203829816244</v>
      </c>
      <c r="V18" s="195">
        <f ca="1">_xlfn.SINGLE(OFFSET('Income Statement'!AA9,0,SQRChartBindings!$F$4,1,1))</f>
        <v>-56191.891647922515</v>
      </c>
      <c r="W18" s="195">
        <f ca="1">_xlfn.SINGLE(OFFSET('Income Statement'!AB9,0,SQRChartBindings!$F$4,1,1))</f>
        <v>-59594.421500977842</v>
      </c>
      <c r="X18" s="195">
        <f ca="1">_xlfn.SINGLE(OFFSET('Income Statement'!AC9,0,SQRChartBindings!$F$4,1,1))</f>
        <v>-63083.234450295487</v>
      </c>
      <c r="Y18" s="195">
        <f ca="1">_xlfn.SINGLE(OFFSET('Income Statement'!AD9,0,SQRChartBindings!$F$4,1,1))</f>
        <v>-66938.423943914589</v>
      </c>
      <c r="Z18" s="195">
        <f ca="1">_xlfn.SINGLE(OFFSET('Income Statement'!AE9,0,SQRChartBindings!$F$4,1,1))</f>
        <v>-70993.581544595101</v>
      </c>
      <c r="AA18" s="195">
        <f ca="1">_xlfn.SINGLE(OFFSET('Income Statement'!AF9,0,SQRChartBindings!$F$4,1,1))</f>
        <v>-74867.051294133489</v>
      </c>
      <c r="AB18" s="195">
        <f ca="1">_xlfn.SINGLE(OFFSET('Income Statement'!AG9,0,SQRChartBindings!$F$4,1,1))</f>
        <v>-79402.528441762712</v>
      </c>
    </row>
    <row r="19" spans="1:28">
      <c r="A19" s="195" t="s">
        <v>346</v>
      </c>
      <c r="B19" s="195">
        <v>10</v>
      </c>
      <c r="D19" s="202" t="s">
        <v>377</v>
      </c>
      <c r="E19" s="195">
        <f ca="1">_xlfn.SINGLE(OFFSET('Income Statement'!J10,0,SQRChartBindings!$F$4,1,1))</f>
        <v>-25000</v>
      </c>
      <c r="F19" s="195">
        <f ca="1">_xlfn.SINGLE(OFFSET('Income Statement'!K10,0,SQRChartBindings!$F$4,1,1))</f>
        <v>-25000</v>
      </c>
      <c r="G19" s="195">
        <f ca="1">_xlfn.SINGLE(OFFSET('Income Statement'!L10,0,SQRChartBindings!$F$4,1,1))</f>
        <v>-25000</v>
      </c>
      <c r="H19" s="195">
        <f ca="1">_xlfn.SINGLE(OFFSET('Income Statement'!M10,0,SQRChartBindings!$F$4,1,1))</f>
        <v>-25607.856851345517</v>
      </c>
      <c r="I19" s="195">
        <f ca="1">_xlfn.SINGLE(OFFSET('Income Statement'!N10,0,SQRChartBindings!$F$4,1,1))</f>
        <v>-25607.856851345517</v>
      </c>
      <c r="J19" s="195">
        <f ca="1">_xlfn.SINGLE(OFFSET('Income Statement'!O10,0,SQRChartBindings!$F$4,1,1))</f>
        <v>-25607.856851345517</v>
      </c>
      <c r="K19" s="195">
        <f ca="1">_xlfn.SINGLE(OFFSET('Income Statement'!P10,0,SQRChartBindings!$F$4,1,1))</f>
        <v>-26230.493300760143</v>
      </c>
      <c r="L19" s="195">
        <f ca="1">_xlfn.SINGLE(OFFSET('Income Statement'!Q10,0,SQRChartBindings!$F$4,1,1))</f>
        <v>-26230.493300760143</v>
      </c>
      <c r="M19" s="195">
        <f ca="1">_xlfn.SINGLE(OFFSET('Income Statement'!R10,0,SQRChartBindings!$F$4,1,1))</f>
        <v>-26230.493300760143</v>
      </c>
      <c r="N19" s="195">
        <f ca="1">_xlfn.SINGLE(OFFSET('Income Statement'!S10,0,SQRChartBindings!$F$4,1,1))</f>
        <v>-26868.268703441732</v>
      </c>
      <c r="O19" s="195">
        <f ca="1">_xlfn.SINGLE(OFFSET('Income Statement'!T10,0,SQRChartBindings!$F$4,1,1))</f>
        <v>-26868.268703441732</v>
      </c>
      <c r="P19" s="195">
        <f ca="1">_xlfn.SINGLE(OFFSET('Income Statement'!U10,0,SQRChartBindings!$F$4,1,1))</f>
        <v>-26868.268703441732</v>
      </c>
      <c r="Q19" s="195">
        <f ca="1">_xlfn.SINGLE(OFFSET('Income Statement'!V10,0,SQRChartBindings!$F$4,1,1))</f>
        <v>-27500.000000000004</v>
      </c>
      <c r="R19" s="195">
        <f ca="1">_xlfn.SINGLE(OFFSET('Income Statement'!W10,0,SQRChartBindings!$F$4,1,1))</f>
        <v>-27500.000000000004</v>
      </c>
      <c r="S19" s="195">
        <f ca="1">_xlfn.SINGLE(OFFSET('Income Statement'!X10,0,SQRChartBindings!$F$4,1,1))</f>
        <v>-27500.000000000004</v>
      </c>
      <c r="T19" s="195">
        <f ca="1">_xlfn.SINGLE(OFFSET('Income Statement'!Y10,0,SQRChartBindings!$F$4,1,1))</f>
        <v>-28171.389663808775</v>
      </c>
      <c r="U19" s="195">
        <f ca="1">_xlfn.SINGLE(OFFSET('Income Statement'!Z10,0,SQRChartBindings!$F$4,1,1))</f>
        <v>-28171.389663808775</v>
      </c>
      <c r="V19" s="195">
        <f ca="1">_xlfn.SINGLE(OFFSET('Income Statement'!AA10,0,SQRChartBindings!$F$4,1,1))</f>
        <v>-28171.389663808775</v>
      </c>
      <c r="W19" s="195">
        <f ca="1">_xlfn.SINGLE(OFFSET('Income Statement'!AB10,0,SQRChartBindings!$F$4,1,1))</f>
        <v>-28855.408240598044</v>
      </c>
      <c r="X19" s="195">
        <f ca="1">_xlfn.SINGLE(OFFSET('Income Statement'!AC10,0,SQRChartBindings!$F$4,1,1))</f>
        <v>-28855.408240598044</v>
      </c>
      <c r="Y19" s="195">
        <f ca="1">_xlfn.SINGLE(OFFSET('Income Statement'!AD10,0,SQRChartBindings!$F$4,1,1))</f>
        <v>-28855.408240598044</v>
      </c>
      <c r="Z19" s="195">
        <f ca="1">_xlfn.SINGLE(OFFSET('Income Statement'!AE10,0,SQRChartBindings!$F$4,1,1))</f>
        <v>-29558.292610174307</v>
      </c>
      <c r="AA19" s="195">
        <f ca="1">_xlfn.SINGLE(OFFSET('Income Statement'!AF10,0,SQRChartBindings!$F$4,1,1))</f>
        <v>-29558.292610174307</v>
      </c>
      <c r="AB19" s="195">
        <f ca="1">_xlfn.SINGLE(OFFSET('Income Statement'!AG10,0,SQRChartBindings!$F$4,1,1))</f>
        <v>-29558.292610174307</v>
      </c>
    </row>
    <row r="20" spans="1:28">
      <c r="A20" s="195" t="s">
        <v>346</v>
      </c>
      <c r="B20" s="195">
        <v>13</v>
      </c>
      <c r="D20" s="202" t="s">
        <v>60</v>
      </c>
      <c r="E20" s="195">
        <f ca="1">_xlfn.SINGLE(OFFSET('Income Statement'!J13,0,$F$4,1,1))</f>
        <v>0</v>
      </c>
      <c r="F20" s="195">
        <f ca="1">_xlfn.SINGLE(OFFSET('Income Statement'!K13,0,$F$4,1,1))</f>
        <v>-7291.666666666667</v>
      </c>
      <c r="G20" s="195">
        <f ca="1">_xlfn.SINGLE(OFFSET('Income Statement'!L13,0,$F$4,1,1))</f>
        <v>-7291.666666666667</v>
      </c>
      <c r="H20" s="195">
        <f ca="1">_xlfn.SINGLE(OFFSET('Income Statement'!M13,0,$F$4,1,1))</f>
        <v>-7291.666666666667</v>
      </c>
      <c r="I20" s="195">
        <f ca="1">_xlfn.SINGLE(OFFSET('Income Statement'!N13,0,$F$4,1,1))</f>
        <v>-7291.666666666667</v>
      </c>
      <c r="J20" s="195">
        <f ca="1">_xlfn.SINGLE(OFFSET('Income Statement'!O13,0,$F$4,1,1))</f>
        <v>-7291.666666666667</v>
      </c>
      <c r="K20" s="195">
        <f ca="1">_xlfn.SINGLE(OFFSET('Income Statement'!P13,0,$F$4,1,1))</f>
        <v>-7291.666666666667</v>
      </c>
      <c r="L20" s="195">
        <f ca="1">_xlfn.SINGLE(OFFSET('Income Statement'!Q13,0,$F$4,1,1))</f>
        <v>-14583.333333333334</v>
      </c>
      <c r="M20" s="195">
        <f ca="1">_xlfn.SINGLE(OFFSET('Income Statement'!R13,0,$F$4,1,1))</f>
        <v>-14583.333333333334</v>
      </c>
      <c r="N20" s="195">
        <f ca="1">_xlfn.SINGLE(OFFSET('Income Statement'!S13,0,$F$4,1,1))</f>
        <v>-14583.333333333334</v>
      </c>
      <c r="O20" s="195">
        <f ca="1">_xlfn.SINGLE(OFFSET('Income Statement'!T13,0,$F$4,1,1))</f>
        <v>-14583.333333333334</v>
      </c>
      <c r="P20" s="195">
        <f ca="1">_xlfn.SINGLE(OFFSET('Income Statement'!U13,0,$F$4,1,1))</f>
        <v>-14583.333333333334</v>
      </c>
      <c r="Q20" s="195">
        <f ca="1">_xlfn.SINGLE(OFFSET('Income Statement'!V13,0,$F$4,1,1))</f>
        <v>-14583.333333333334</v>
      </c>
      <c r="R20" s="195">
        <f ca="1">_xlfn.SINGLE(OFFSET('Income Statement'!W13,0,$F$4,1,1))</f>
        <v>-21875</v>
      </c>
      <c r="S20" s="195">
        <f ca="1">_xlfn.SINGLE(OFFSET('Income Statement'!X13,0,$F$4,1,1))</f>
        <v>-21875</v>
      </c>
      <c r="T20" s="195">
        <f ca="1">_xlfn.SINGLE(OFFSET('Income Statement'!Y13,0,$F$4,1,1))</f>
        <v>-21875</v>
      </c>
      <c r="U20" s="195">
        <f ca="1">_xlfn.SINGLE(OFFSET('Income Statement'!Z13,0,$F$4,1,1))</f>
        <v>-21875</v>
      </c>
      <c r="V20" s="195">
        <f ca="1">_xlfn.SINGLE(OFFSET('Income Statement'!AA13,0,$F$4,1,1))</f>
        <v>-29166.666666666668</v>
      </c>
      <c r="W20" s="195">
        <f ca="1">_xlfn.SINGLE(OFFSET('Income Statement'!AB13,0,$F$4,1,1))</f>
        <v>-29166.666666666668</v>
      </c>
      <c r="X20" s="195">
        <f ca="1">_xlfn.SINGLE(OFFSET('Income Statement'!AC13,0,$F$4,1,1))</f>
        <v>-29166.666666666668</v>
      </c>
      <c r="Y20" s="195">
        <f ca="1">_xlfn.SINGLE(OFFSET('Income Statement'!AD13,0,$F$4,1,1))</f>
        <v>-29166.666666666668</v>
      </c>
      <c r="Z20" s="195">
        <f ca="1">_xlfn.SINGLE(OFFSET('Income Statement'!AE13,0,$F$4,1,1))</f>
        <v>-36458.333333333336</v>
      </c>
      <c r="AA20" s="195">
        <f ca="1">_xlfn.SINGLE(OFFSET('Income Statement'!AF13,0,$F$4,1,1))</f>
        <v>-36458.333333333336</v>
      </c>
      <c r="AB20" s="195">
        <f ca="1">_xlfn.SINGLE(OFFSET('Income Statement'!AG13,0,$F$4,1,1))</f>
        <v>-36458.333333333336</v>
      </c>
    </row>
    <row r="21" spans="1:28">
      <c r="A21" s="195" t="s">
        <v>346</v>
      </c>
      <c r="B21" s="195">
        <v>16</v>
      </c>
      <c r="D21" s="201" t="s">
        <v>376</v>
      </c>
      <c r="E21" s="195">
        <f ca="1">_xlfn.SINGLE(OFFSET('Income Statement'!J16,0,$F$4,1,1))</f>
        <v>0</v>
      </c>
      <c r="F21" s="195">
        <f ca="1">_xlfn.SINGLE(OFFSET('Income Statement'!K16,0,$F$4,1,1))</f>
        <v>0</v>
      </c>
      <c r="G21" s="195">
        <f ca="1">_xlfn.SINGLE(OFFSET('Income Statement'!L16,0,$F$4,1,1))</f>
        <v>0</v>
      </c>
      <c r="H21" s="195">
        <f ca="1">_xlfn.SINGLE(OFFSET('Income Statement'!M16,0,$F$4,1,1))</f>
        <v>0</v>
      </c>
      <c r="I21" s="195">
        <f ca="1">_xlfn.SINGLE(OFFSET('Income Statement'!N16,0,$F$4,1,1))</f>
        <v>0</v>
      </c>
      <c r="J21" s="195">
        <f ca="1">_xlfn.SINGLE(OFFSET('Income Statement'!O16,0,$F$4,1,1))</f>
        <v>0</v>
      </c>
      <c r="K21" s="195">
        <f ca="1">_xlfn.SINGLE(OFFSET('Income Statement'!P16,0,$F$4,1,1))</f>
        <v>0</v>
      </c>
      <c r="L21" s="195">
        <f ca="1">_xlfn.SINGLE(OFFSET('Income Statement'!Q16,0,$F$4,1,1))</f>
        <v>0</v>
      </c>
      <c r="M21" s="195">
        <f ca="1">_xlfn.SINGLE(OFFSET('Income Statement'!R16,0,$F$4,1,1))</f>
        <v>0</v>
      </c>
      <c r="N21" s="195">
        <f ca="1">_xlfn.SINGLE(OFFSET('Income Statement'!S16,0,$F$4,1,1))</f>
        <v>0</v>
      </c>
      <c r="O21" s="195">
        <f ca="1">_xlfn.SINGLE(OFFSET('Income Statement'!T16,0,$F$4,1,1))</f>
        <v>0</v>
      </c>
      <c r="P21" s="195">
        <f ca="1">_xlfn.SINGLE(OFFSET('Income Statement'!U16,0,$F$4,1,1))</f>
        <v>0</v>
      </c>
      <c r="Q21" s="195">
        <f ca="1">_xlfn.SINGLE(OFFSET('Income Statement'!V16,0,$F$4,1,1))</f>
        <v>0</v>
      </c>
      <c r="R21" s="195">
        <f ca="1">_xlfn.SINGLE(OFFSET('Income Statement'!W16,0,$F$4,1,1))</f>
        <v>0</v>
      </c>
      <c r="S21" s="195">
        <f ca="1">_xlfn.SINGLE(OFFSET('Income Statement'!X16,0,$F$4,1,1))</f>
        <v>0</v>
      </c>
      <c r="T21" s="195">
        <f ca="1">_xlfn.SINGLE(OFFSET('Income Statement'!Y16,0,$F$4,1,1))</f>
        <v>0</v>
      </c>
      <c r="U21" s="195">
        <f ca="1">_xlfn.SINGLE(OFFSET('Income Statement'!Z16,0,$F$4,1,1))</f>
        <v>0</v>
      </c>
      <c r="V21" s="195">
        <f ca="1">_xlfn.SINGLE(OFFSET('Income Statement'!AA16,0,$F$4,1,1))</f>
        <v>0</v>
      </c>
      <c r="W21" s="195">
        <f ca="1">_xlfn.SINGLE(OFFSET('Income Statement'!AB16,0,$F$4,1,1))</f>
        <v>0</v>
      </c>
      <c r="X21" s="195">
        <f ca="1">_xlfn.SINGLE(OFFSET('Income Statement'!AC16,0,$F$4,1,1))</f>
        <v>0</v>
      </c>
      <c r="Y21" s="195">
        <f ca="1">_xlfn.SINGLE(OFFSET('Income Statement'!AD16,0,$F$4,1,1))</f>
        <v>0</v>
      </c>
      <c r="Z21" s="195">
        <f ca="1">_xlfn.SINGLE(OFFSET('Income Statement'!AE16,0,$F$4,1,1))</f>
        <v>0</v>
      </c>
      <c r="AA21" s="195">
        <f ca="1">_xlfn.SINGLE(OFFSET('Income Statement'!AF16,0,$F$4,1,1))</f>
        <v>0</v>
      </c>
      <c r="AB21" s="195">
        <f ca="1">_xlfn.SINGLE(OFFSET('Income Statement'!AG16,0,$F$4,1,1))</f>
        <v>0</v>
      </c>
    </row>
    <row r="22" spans="1:28">
      <c r="A22" s="195" t="s">
        <v>346</v>
      </c>
      <c r="B22" s="195">
        <v>17</v>
      </c>
      <c r="D22" s="195" t="s">
        <v>375</v>
      </c>
      <c r="E22" s="195">
        <f ca="1">_xlfn.SINGLE(OFFSET('Income Statement'!J17,0,$F$4,1,1))</f>
        <v>0</v>
      </c>
      <c r="F22" s="195">
        <f ca="1">_xlfn.SINGLE(OFFSET('Income Statement'!K17,0,$F$4,1,1))</f>
        <v>0</v>
      </c>
      <c r="G22" s="195">
        <f ca="1">_xlfn.SINGLE(OFFSET('Income Statement'!L17,0,$F$4,1,1))</f>
        <v>0</v>
      </c>
      <c r="H22" s="195">
        <f ca="1">_xlfn.SINGLE(OFFSET('Income Statement'!M17,0,$F$4,1,1))</f>
        <v>0</v>
      </c>
      <c r="I22" s="195">
        <f ca="1">_xlfn.SINGLE(OFFSET('Income Statement'!N17,0,$F$4,1,1))</f>
        <v>0</v>
      </c>
      <c r="J22" s="195">
        <f ca="1">_xlfn.SINGLE(OFFSET('Income Statement'!O17,0,$F$4,1,1))</f>
        <v>0</v>
      </c>
      <c r="K22" s="195">
        <f ca="1">_xlfn.SINGLE(OFFSET('Income Statement'!P17,0,$F$4,1,1))</f>
        <v>0</v>
      </c>
      <c r="L22" s="195">
        <f ca="1">_xlfn.SINGLE(OFFSET('Income Statement'!Q17,0,$F$4,1,1))</f>
        <v>0</v>
      </c>
      <c r="M22" s="195">
        <f ca="1">_xlfn.SINGLE(OFFSET('Income Statement'!R17,0,$F$4,1,1))</f>
        <v>0</v>
      </c>
      <c r="N22" s="195">
        <f ca="1">_xlfn.SINGLE(OFFSET('Income Statement'!S17,0,$F$4,1,1))</f>
        <v>0</v>
      </c>
      <c r="O22" s="195">
        <f ca="1">_xlfn.SINGLE(OFFSET('Income Statement'!T17,0,$F$4,1,1))</f>
        <v>0</v>
      </c>
      <c r="P22" s="195">
        <f ca="1">_xlfn.SINGLE(OFFSET('Income Statement'!U17,0,$F$4,1,1))</f>
        <v>0</v>
      </c>
      <c r="Q22" s="195">
        <f ca="1">_xlfn.SINGLE(OFFSET('Income Statement'!V17,0,$F$4,1,1))</f>
        <v>0</v>
      </c>
      <c r="R22" s="195">
        <f ca="1">_xlfn.SINGLE(OFFSET('Income Statement'!W17,0,$F$4,1,1))</f>
        <v>0</v>
      </c>
      <c r="S22" s="195">
        <f ca="1">_xlfn.SINGLE(OFFSET('Income Statement'!X17,0,$F$4,1,1))</f>
        <v>0</v>
      </c>
      <c r="T22" s="195">
        <f ca="1">_xlfn.SINGLE(OFFSET('Income Statement'!Y17,0,$F$4,1,1))</f>
        <v>0</v>
      </c>
      <c r="U22" s="195">
        <f ca="1">_xlfn.SINGLE(OFFSET('Income Statement'!Z17,0,$F$4,1,1))</f>
        <v>0</v>
      </c>
      <c r="V22" s="195">
        <f ca="1">_xlfn.SINGLE(OFFSET('Income Statement'!AA17,0,$F$4,1,1))</f>
        <v>0</v>
      </c>
      <c r="W22" s="195">
        <f ca="1">_xlfn.SINGLE(OFFSET('Income Statement'!AB17,0,$F$4,1,1))</f>
        <v>0</v>
      </c>
      <c r="X22" s="195">
        <f ca="1">_xlfn.SINGLE(OFFSET('Income Statement'!AC17,0,$F$4,1,1))</f>
        <v>0</v>
      </c>
      <c r="Y22" s="195">
        <f ca="1">_xlfn.SINGLE(OFFSET('Income Statement'!AD17,0,$F$4,1,1))</f>
        <v>0</v>
      </c>
      <c r="Z22" s="195">
        <f ca="1">_xlfn.SINGLE(OFFSET('Income Statement'!AE17,0,$F$4,1,1))</f>
        <v>0</v>
      </c>
      <c r="AA22" s="195">
        <f ca="1">_xlfn.SINGLE(OFFSET('Income Statement'!AF17,0,$F$4,1,1))</f>
        <v>0</v>
      </c>
      <c r="AB22" s="195">
        <f ca="1">_xlfn.SINGLE(OFFSET('Income Statement'!AG17,0,$F$4,1,1))</f>
        <v>0</v>
      </c>
    </row>
    <row r="23" spans="1:28">
      <c r="A23" s="195" t="s">
        <v>346</v>
      </c>
      <c r="B23" s="195">
        <v>18</v>
      </c>
      <c r="D23" s="195" t="s">
        <v>462</v>
      </c>
      <c r="E23" s="195">
        <f ca="1">_xlfn.SINGLE(OFFSET('Income Statement'!J18,0,$F$4,1,1))</f>
        <v>0</v>
      </c>
      <c r="F23" s="195">
        <f ca="1">_xlfn.SINGLE(OFFSET('Income Statement'!K18,0,$F$4,1,1))</f>
        <v>0</v>
      </c>
      <c r="G23" s="195">
        <f ca="1">_xlfn.SINGLE(OFFSET('Income Statement'!L18,0,$F$4,1,1))</f>
        <v>0</v>
      </c>
      <c r="H23" s="195">
        <f ca="1">_xlfn.SINGLE(OFFSET('Income Statement'!M18,0,$F$4,1,1))</f>
        <v>0</v>
      </c>
      <c r="I23" s="195">
        <f ca="1">_xlfn.SINGLE(OFFSET('Income Statement'!N18,0,$F$4,1,1))</f>
        <v>0</v>
      </c>
      <c r="J23" s="195">
        <f ca="1">_xlfn.SINGLE(OFFSET('Income Statement'!O18,0,$F$4,1,1))</f>
        <v>0</v>
      </c>
      <c r="K23" s="195">
        <f ca="1">_xlfn.SINGLE(OFFSET('Income Statement'!P18,0,$F$4,1,1))</f>
        <v>0</v>
      </c>
      <c r="L23" s="195">
        <f ca="1">_xlfn.SINGLE(OFFSET('Income Statement'!Q18,0,$F$4,1,1))</f>
        <v>0</v>
      </c>
      <c r="M23" s="195">
        <f ca="1">_xlfn.SINGLE(OFFSET('Income Statement'!R18,0,$F$4,1,1))</f>
        <v>0</v>
      </c>
      <c r="N23" s="195">
        <f ca="1">_xlfn.SINGLE(OFFSET('Income Statement'!S18,0,$F$4,1,1))</f>
        <v>0</v>
      </c>
      <c r="O23" s="195">
        <f ca="1">_xlfn.SINGLE(OFFSET('Income Statement'!T18,0,$F$4,1,1))</f>
        <v>0</v>
      </c>
      <c r="P23" s="195">
        <f ca="1">_xlfn.SINGLE(OFFSET('Income Statement'!U18,0,$F$4,1,1))</f>
        <v>0</v>
      </c>
      <c r="Q23" s="195">
        <f ca="1">_xlfn.SINGLE(OFFSET('Income Statement'!V18,0,$F$4,1,1))</f>
        <v>0</v>
      </c>
      <c r="R23" s="195">
        <f ca="1">_xlfn.SINGLE(OFFSET('Income Statement'!W18,0,$F$4,1,1))</f>
        <v>0</v>
      </c>
      <c r="S23" s="195">
        <f ca="1">_xlfn.SINGLE(OFFSET('Income Statement'!X18,0,$F$4,1,1))</f>
        <v>0</v>
      </c>
      <c r="T23" s="195">
        <f ca="1">_xlfn.SINGLE(OFFSET('Income Statement'!Y18,0,$F$4,1,1))</f>
        <v>0</v>
      </c>
      <c r="U23" s="195">
        <f ca="1">_xlfn.SINGLE(OFFSET('Income Statement'!Z18,0,$F$4,1,1))</f>
        <v>0</v>
      </c>
      <c r="V23" s="195">
        <f ca="1">_xlfn.SINGLE(OFFSET('Income Statement'!AA18,0,$F$4,1,1))</f>
        <v>0</v>
      </c>
      <c r="W23" s="195">
        <f ca="1">_xlfn.SINGLE(OFFSET('Income Statement'!AB18,0,$F$4,1,1))</f>
        <v>0</v>
      </c>
      <c r="X23" s="195">
        <f ca="1">_xlfn.SINGLE(OFFSET('Income Statement'!AC18,0,$F$4,1,1))</f>
        <v>0</v>
      </c>
      <c r="Y23" s="195">
        <f ca="1">_xlfn.SINGLE(OFFSET('Income Statement'!AD18,0,$F$4,1,1))</f>
        <v>0</v>
      </c>
      <c r="Z23" s="195">
        <f ca="1">_xlfn.SINGLE(OFFSET('Income Statement'!AE18,0,$F$4,1,1))</f>
        <v>0</v>
      </c>
      <c r="AA23" s="195">
        <f ca="1">_xlfn.SINGLE(OFFSET('Income Statement'!AF18,0,$F$4,1,1))</f>
        <v>0</v>
      </c>
      <c r="AB23" s="195">
        <f ca="1">_xlfn.SINGLE(OFFSET('Income Statement'!AG18,0,$F$4,1,1))</f>
        <v>0</v>
      </c>
    </row>
    <row r="24" spans="1:28">
      <c r="A24" s="195" t="s">
        <v>346</v>
      </c>
      <c r="B24">
        <v>21</v>
      </c>
      <c r="D24" s="195" t="s">
        <v>463</v>
      </c>
      <c r="E24" s="195">
        <f ca="1">_xlfn.SINGLE(OFFSET('Income Statement'!J21,0,SQRChartBindings!$F$4,1,1))</f>
        <v>0</v>
      </c>
      <c r="F24" s="195">
        <f ca="1">_xlfn.SINGLE(OFFSET('Income Statement'!K21,0,SQRChartBindings!$F$4,1,1))</f>
        <v>0</v>
      </c>
      <c r="G24" s="195">
        <f ca="1">_xlfn.SINGLE(OFFSET('Income Statement'!L21,0,SQRChartBindings!$F$4,1,1))</f>
        <v>0</v>
      </c>
      <c r="H24" s="195">
        <f ca="1">_xlfn.SINGLE(OFFSET('Income Statement'!M21,0,SQRChartBindings!$F$4,1,1))</f>
        <v>0</v>
      </c>
      <c r="I24" s="195">
        <f ca="1">_xlfn.SINGLE(OFFSET('Income Statement'!N21,0,SQRChartBindings!$F$4,1,1))</f>
        <v>0</v>
      </c>
      <c r="J24" s="195">
        <f ca="1">_xlfn.SINGLE(OFFSET('Income Statement'!O21,0,SQRChartBindings!$F$4,1,1))</f>
        <v>0</v>
      </c>
      <c r="K24" s="195">
        <f ca="1">_xlfn.SINGLE(OFFSET('Income Statement'!P21,0,SQRChartBindings!$F$4,1,1))</f>
        <v>0</v>
      </c>
      <c r="L24" s="195">
        <f ca="1">_xlfn.SINGLE(OFFSET('Income Statement'!Q21,0,SQRChartBindings!$F$4,1,1))</f>
        <v>0</v>
      </c>
      <c r="M24" s="195">
        <f ca="1">_xlfn.SINGLE(OFFSET('Income Statement'!R21,0,SQRChartBindings!$F$4,1,1))</f>
        <v>0</v>
      </c>
      <c r="N24" s="195">
        <f ca="1">_xlfn.SINGLE(OFFSET('Income Statement'!S21,0,SQRChartBindings!$F$4,1,1))</f>
        <v>-1390.4451961941932</v>
      </c>
      <c r="O24" s="195">
        <f ca="1">_xlfn.SINGLE(OFFSET('Income Statement'!T21,0,SQRChartBindings!$F$4,1,1))</f>
        <v>-22142.797026932803</v>
      </c>
      <c r="P24" s="195">
        <f ca="1">_xlfn.SINGLE(OFFSET('Income Statement'!U21,0,SQRChartBindings!$F$4,1,1))</f>
        <v>-21690.290761099473</v>
      </c>
      <c r="Q24" s="195">
        <f ca="1">_xlfn.SINGLE(OFFSET('Income Statement'!V21,0,SQRChartBindings!$F$4,1,1))</f>
        <v>-21100</v>
      </c>
      <c r="R24" s="195">
        <f ca="1">_xlfn.SINGLE(OFFSET('Income Statement'!W21,0,SQRChartBindings!$F$4,1,1))</f>
        <v>-51547.552098978776</v>
      </c>
      <c r="S24" s="195">
        <f ca="1">_xlfn.SINGLE(OFFSET('Income Statement'!X21,0,SQRChartBindings!$F$4,1,1))</f>
        <v>-55060.882505901092</v>
      </c>
      <c r="T24" s="195">
        <f ca="1">_xlfn.SINGLE(OFFSET('Income Statement'!Y21,0,SQRChartBindings!$F$4,1,1))</f>
        <v>-54355.047394366986</v>
      </c>
      <c r="U24" s="195">
        <f ca="1">_xlfn.SINGLE(OFFSET('Income Statement'!Z21,0,SQRChartBindings!$F$4,1,1))</f>
        <v>-53748.881301274989</v>
      </c>
      <c r="V24" s="195">
        <f ca="1">_xlfn.SINGLE(OFFSET('Income Statement'!AA21,0,SQRChartBindings!$F$4,1,1))</f>
        <v>-53127.34373765374</v>
      </c>
      <c r="W24" s="195">
        <f ca="1">_xlfn.SINGLE(OFFSET('Income Statement'!AB21,0,SQRChartBindings!$F$4,1,1))</f>
        <v>-52310.03405168483</v>
      </c>
      <c r="X24" s="195">
        <f ca="1">_xlfn.SINGLE(OFFSET('Income Statement'!AC21,0,SQRChartBindings!$F$4,1,1))</f>
        <v>-86612.271461821292</v>
      </c>
      <c r="Y24" s="195">
        <f ca="1">_xlfn.SINGLE(OFFSET('Income Statement'!AD21,0,SQRChartBindings!$F$4,1,1))</f>
        <v>-85841.233563097485</v>
      </c>
      <c r="Z24" s="195">
        <f ca="1">_xlfn.SINGLE(OFFSET('Income Statement'!AE21,0,SQRChartBindings!$F$4,1,1))</f>
        <v>-84889.625169046136</v>
      </c>
      <c r="AA24" s="195">
        <f ca="1">_xlfn.SINGLE(OFFSET('Income Statement'!AF21,0,SQRChartBindings!$F$4,1,1))</f>
        <v>-84114.931219138438</v>
      </c>
      <c r="AB24" s="195">
        <f ca="1">_xlfn.SINGLE(OFFSET('Income Statement'!AG21,0,SQRChartBindings!$F$4,1,1))</f>
        <v>-118207.83578961261</v>
      </c>
    </row>
    <row r="26" spans="1:28">
      <c r="A26" t="s">
        <v>464</v>
      </c>
      <c r="B26" s="195">
        <v>10</v>
      </c>
      <c r="D26" s="201" t="s">
        <v>374</v>
      </c>
      <c r="E26" s="195">
        <f ca="1">_xlfn.SINGLE(OFFSET('Inventory Report'!J10,0,SQRChartBindings!$F$4,1,1))</f>
        <v>500</v>
      </c>
      <c r="F26" s="195">
        <f ca="1">_xlfn.SINGLE(OFFSET('Inventory Report'!K10,0,SQRChartBindings!$F$4,1,1))</f>
        <v>1030.3186927640659</v>
      </c>
      <c r="G26" s="195">
        <f ca="1">_xlfn.SINGLE(OFFSET('Inventory Report'!L10,0,SQRChartBindings!$F$4,1,1))</f>
        <v>1591.7273777732489</v>
      </c>
      <c r="H26" s="195">
        <f ca="1">_xlfn.SINGLE(OFFSET('Inventory Report'!M10,0,SQRChartBindings!$F$4,1,1))</f>
        <v>2187.1784176541755</v>
      </c>
      <c r="I26" s="195">
        <f ca="1">_xlfn.SINGLE(OFFSET('Inventory Report'!N10,0,SQRChartBindings!$F$4,1,1))</f>
        <v>2818.7360518034889</v>
      </c>
      <c r="J26" s="195">
        <f ca="1">_xlfn.SINGLE(OFFSET('Inventory Report'!O10,0,SQRChartBindings!$F$4,1,1))</f>
        <v>3487.3188223772922</v>
      </c>
      <c r="K26" s="195">
        <f ca="1">_xlfn.SINGLE(OFFSET('Inventory Report'!P10,0,SQRChartBindings!$F$4,1,1))</f>
        <v>4196.4427041678455</v>
      </c>
      <c r="L26" s="195">
        <f ca="1">_xlfn.SINGLE(OFFSET('Inventory Report'!Q10,0,SQRChartBindings!$F$4,1,1))</f>
        <v>750.69634809527088</v>
      </c>
      <c r="M26" s="195">
        <f ca="1">_xlfn.SINGLE(OFFSET('Inventory Report'!R10,0,SQRChartBindings!$F$4,1,1))</f>
        <v>796.21661196928426</v>
      </c>
      <c r="N26" s="195">
        <f ca="1">_xlfn.SINGLE(OFFSET('Inventory Report'!S10,0,SQRChartBindings!$F$4,1,1))</f>
        <v>1587.8527698655694</v>
      </c>
      <c r="O26" s="195">
        <f ca="1">_xlfn.SINGLE(OFFSET('Inventory Report'!T10,0,SQRChartBindings!$F$4,1,1))</f>
        <v>2478.7514880059089</v>
      </c>
      <c r="P26" s="195">
        <f ca="1">_xlfn.SINGLE(OFFSET('Inventory Report'!U10,0,SQRChartBindings!$F$4,1,1))</f>
        <v>3423.5199996978349</v>
      </c>
      <c r="Q26" s="195">
        <f ca="1">_xlfn.SINGLE(OFFSET('Inventory Report'!V10,0,SQRChartBindings!$F$4,1,1))</f>
        <v>4423.5199996978354</v>
      </c>
      <c r="R26" s="195">
        <f ca="1">_xlfn.SINGLE(OFFSET('Inventory Report'!W10,0,SQRChartBindings!$F$4,1,1))</f>
        <v>1061.5580832031037</v>
      </c>
      <c r="S26" s="195">
        <f ca="1">_xlfn.SINGLE(OFFSET('Inventory Report'!X10,0,SQRChartBindings!$F$4,1,1))</f>
        <v>1608.782546484143</v>
      </c>
      <c r="T26" s="195">
        <f ca="1">_xlfn.SINGLE(OFFSET('Inventory Report'!Y10,0,SQRChartBindings!$F$4,1,1))</f>
        <v>2800.5295313497695</v>
      </c>
      <c r="U26" s="195">
        <f ca="1">_xlfn.SINGLE(OFFSET('Inventory Report'!Z10,0,SQRChartBindings!$F$4,1,1))</f>
        <v>4064.4391463453944</v>
      </c>
      <c r="V26" s="195">
        <f ca="1">_xlfn.SINGLE(OFFSET('Inventory Report'!AA10,0,SQRChartBindings!$F$4,1,1))</f>
        <v>5402.341328438788</v>
      </c>
      <c r="W26" s="195">
        <f ca="1">_xlfn.SINGLE(OFFSET('Inventory Report'!AB10,0,SQRChartBindings!$F$4,1,1))</f>
        <v>6821.2561260811181</v>
      </c>
      <c r="X26" s="195">
        <f ca="1">_xlfn.SINGLE(OFFSET('Inventory Report'!AC10,0,SQRChartBindings!$F$4,1,1))</f>
        <v>3323.2378987072007</v>
      </c>
      <c r="Y26" s="195">
        <f ca="1">_xlfn.SINGLE(OFFSET('Inventory Report'!AD10,0,SQRChartBindings!$F$4,1,1))</f>
        <v>4917.0098973718341</v>
      </c>
      <c r="Z26" s="195">
        <f ca="1">_xlfn.SINGLE(OFFSET('Inventory Report'!AE10,0,SQRChartBindings!$F$4,1,1))</f>
        <v>6607.3332674812409</v>
      </c>
      <c r="AA26" s="195">
        <f ca="1">_xlfn.SINGLE(OFFSET('Inventory Report'!AF10,0,SQRChartBindings!$F$4,1,1))</f>
        <v>8389.8821078177534</v>
      </c>
      <c r="AB26" s="195">
        <f ca="1">_xlfn.SINGLE(OFFSET('Inventory Report'!AG10,0,SQRChartBindings!$F$4,1,1))</f>
        <v>5280.4184992882947</v>
      </c>
    </row>
    <row r="27" spans="1:28">
      <c r="A27" t="s">
        <v>464</v>
      </c>
      <c r="B27" s="195">
        <v>12</v>
      </c>
      <c r="D27" s="195" t="s">
        <v>171</v>
      </c>
      <c r="E27" s="195">
        <f ca="1">_xlfn.SINGLE(OFFSET('Inventory Report'!J12,0,SQRChartBindings!$F$4,1,1))</f>
        <v>5000</v>
      </c>
      <c r="F27" s="195">
        <f ca="1">_xlfn.SINGLE(OFFSET('Inventory Report'!K12,0,SQRChartBindings!$F$4,1,1))</f>
        <v>5000</v>
      </c>
      <c r="G27" s="195">
        <f ca="1">_xlfn.SINGLE(OFFSET('Inventory Report'!L12,0,SQRChartBindings!$F$4,1,1))</f>
        <v>5000</v>
      </c>
      <c r="H27" s="195">
        <f ca="1">_xlfn.SINGLE(OFFSET('Inventory Report'!M12,0,SQRChartBindings!$F$4,1,1))</f>
        <v>5000</v>
      </c>
      <c r="I27" s="195">
        <f ca="1">_xlfn.SINGLE(OFFSET('Inventory Report'!N12,0,SQRChartBindings!$F$4,1,1))</f>
        <v>5000</v>
      </c>
      <c r="J27" s="195">
        <f ca="1">_xlfn.SINGLE(OFFSET('Inventory Report'!O12,0,SQRChartBindings!$F$4,1,1))</f>
        <v>5000</v>
      </c>
      <c r="K27" s="195">
        <f ca="1">_xlfn.SINGLE(OFFSET('Inventory Report'!P12,0,SQRChartBindings!$F$4,1,1))</f>
        <v>5000</v>
      </c>
      <c r="L27" s="195">
        <f ca="1">_xlfn.SINGLE(OFFSET('Inventory Report'!Q12,0,SQRChartBindings!$F$4,1,1))</f>
        <v>5000</v>
      </c>
      <c r="M27" s="195">
        <f ca="1">_xlfn.SINGLE(OFFSET('Inventory Report'!R12,0,SQRChartBindings!$F$4,1,1))</f>
        <v>5000</v>
      </c>
      <c r="N27" s="195">
        <f ca="1">_xlfn.SINGLE(OFFSET('Inventory Report'!S12,0,SQRChartBindings!$F$4,1,1))</f>
        <v>5000</v>
      </c>
      <c r="O27" s="195">
        <f ca="1">_xlfn.SINGLE(OFFSET('Inventory Report'!T12,0,SQRChartBindings!$F$4,1,1))</f>
        <v>5000</v>
      </c>
      <c r="P27" s="195">
        <f ca="1">_xlfn.SINGLE(OFFSET('Inventory Report'!U12,0,SQRChartBindings!$F$4,1,1))</f>
        <v>5000</v>
      </c>
      <c r="Q27" s="195">
        <f ca="1">_xlfn.SINGLE(OFFSET('Inventory Report'!V12,0,SQRChartBindings!$F$4,1,1))</f>
        <v>5000</v>
      </c>
      <c r="R27" s="195">
        <f ca="1">_xlfn.SINGLE(OFFSET('Inventory Report'!W12,0,SQRChartBindings!$F$4,1,1))</f>
        <v>5000</v>
      </c>
      <c r="S27" s="195">
        <f ca="1">_xlfn.SINGLE(OFFSET('Inventory Report'!X12,0,SQRChartBindings!$F$4,1,1))</f>
        <v>5000</v>
      </c>
      <c r="T27" s="195">
        <f ca="1">_xlfn.SINGLE(OFFSET('Inventory Report'!Y12,0,SQRChartBindings!$F$4,1,1))</f>
        <v>5000</v>
      </c>
      <c r="U27" s="195">
        <f ca="1">_xlfn.SINGLE(OFFSET('Inventory Report'!Z12,0,SQRChartBindings!$F$4,1,1))</f>
        <v>10000</v>
      </c>
      <c r="V27" s="195">
        <f ca="1">_xlfn.SINGLE(OFFSET('Inventory Report'!AA12,0,SQRChartBindings!$F$4,1,1))</f>
        <v>10000</v>
      </c>
      <c r="W27" s="195">
        <f ca="1">_xlfn.SINGLE(OFFSET('Inventory Report'!AB12,0,SQRChartBindings!$F$4,1,1))</f>
        <v>5000</v>
      </c>
      <c r="X27" s="195">
        <f ca="1">_xlfn.SINGLE(OFFSET('Inventory Report'!AC12,0,SQRChartBindings!$F$4,1,1))</f>
        <v>5000</v>
      </c>
      <c r="Y27" s="195">
        <f ca="1">_xlfn.SINGLE(OFFSET('Inventory Report'!AD12,0,SQRChartBindings!$F$4,1,1))</f>
        <v>10000</v>
      </c>
      <c r="Z27" s="195">
        <f ca="1">_xlfn.SINGLE(OFFSET('Inventory Report'!AE12,0,SQRChartBindings!$F$4,1,1))</f>
        <v>10000</v>
      </c>
      <c r="AA27" s="195">
        <f ca="1">_xlfn.SINGLE(OFFSET('Inventory Report'!AF12,0,SQRChartBindings!$F$4,1,1))</f>
        <v>5000</v>
      </c>
      <c r="AB27" s="195">
        <f ca="1">_xlfn.SINGLE(OFFSET('Inventory Report'!AG12,0,SQRChartBindings!$F$4,1,1))</f>
        <v>10000</v>
      </c>
    </row>
    <row r="28" spans="1:28">
      <c r="A28" t="s">
        <v>464</v>
      </c>
      <c r="B28" s="195">
        <v>15</v>
      </c>
      <c r="D28" s="202" t="s">
        <v>130</v>
      </c>
      <c r="E28" s="195">
        <f ca="1">_xlfn.SINGLE(OFFSET('Inventory Report'!J15,0,SQRChartBindings!$F$4,1,1))</f>
        <v>0</v>
      </c>
      <c r="F28" s="195">
        <f ca="1">_xlfn.SINGLE(OFFSET('Inventory Report'!K15,0,SQRChartBindings!$F$4,1,1))</f>
        <v>0</v>
      </c>
      <c r="G28" s="195">
        <f ca="1">_xlfn.SINGLE(OFFSET('Inventory Report'!L15,0,SQRChartBindings!$F$4,1,1))</f>
        <v>0</v>
      </c>
      <c r="H28" s="195">
        <f ca="1">_xlfn.SINGLE(OFFSET('Inventory Report'!M15,0,SQRChartBindings!$F$4,1,1))</f>
        <v>0</v>
      </c>
      <c r="I28" s="195">
        <f ca="1">_xlfn.SINGLE(OFFSET('Inventory Report'!N15,0,SQRChartBindings!$F$4,1,1))</f>
        <v>0</v>
      </c>
      <c r="J28" s="195">
        <f ca="1">_xlfn.SINGLE(OFFSET('Inventory Report'!O15,0,SQRChartBindings!$F$4,1,1))</f>
        <v>0</v>
      </c>
      <c r="K28" s="195">
        <f ca="1">_xlfn.SINGLE(OFFSET('Inventory Report'!P15,0,SQRChartBindings!$F$4,1,1))</f>
        <v>5000</v>
      </c>
      <c r="L28" s="195">
        <f ca="1">_xlfn.SINGLE(OFFSET('Inventory Report'!Q15,0,SQRChartBindings!$F$4,1,1))</f>
        <v>803.55729583215452</v>
      </c>
      <c r="M28" s="195">
        <f ca="1">_xlfn.SINGLE(OFFSET('Inventory Report'!R15,0,SQRChartBindings!$F$4,1,1))</f>
        <v>52.860947736883645</v>
      </c>
      <c r="N28" s="195">
        <f ca="1">_xlfn.SINGLE(OFFSET('Inventory Report'!S15,0,SQRChartBindings!$F$4,1,1))</f>
        <v>0</v>
      </c>
      <c r="O28" s="195">
        <f ca="1">_xlfn.SINGLE(OFFSET('Inventory Report'!T15,0,SQRChartBindings!$F$4,1,1))</f>
        <v>0</v>
      </c>
      <c r="P28" s="195">
        <f ca="1">_xlfn.SINGLE(OFFSET('Inventory Report'!U15,0,SQRChartBindings!$F$4,1,1))</f>
        <v>0</v>
      </c>
      <c r="Q28" s="195">
        <f ca="1">_xlfn.SINGLE(OFFSET('Inventory Report'!V15,0,SQRChartBindings!$F$4,1,1))</f>
        <v>5000</v>
      </c>
      <c r="R28" s="195">
        <f ca="1">_xlfn.SINGLE(OFFSET('Inventory Report'!W15,0,SQRChartBindings!$F$4,1,1))</f>
        <v>576.48000030216463</v>
      </c>
      <c r="S28" s="195">
        <f ca="1">_xlfn.SINGLE(OFFSET('Inventory Report'!X15,0,SQRChartBindings!$F$4,1,1))</f>
        <v>0</v>
      </c>
      <c r="T28" s="195">
        <f ca="1">_xlfn.SINGLE(OFFSET('Inventory Report'!Y15,0,SQRChartBindings!$F$4,1,1))</f>
        <v>0</v>
      </c>
      <c r="U28" s="195">
        <f ca="1">_xlfn.SINGLE(OFFSET('Inventory Report'!Z15,0,SQRChartBindings!$F$4,1,1))</f>
        <v>0</v>
      </c>
      <c r="V28" s="195">
        <f ca="1">_xlfn.SINGLE(OFFSET('Inventory Report'!AA15,0,SQRChartBindings!$F$4,1,1))</f>
        <v>0</v>
      </c>
      <c r="W28" s="195">
        <f ca="1">_xlfn.SINGLE(OFFSET('Inventory Report'!AB15,0,SQRChartBindings!$F$4,1,1))</f>
        <v>5000</v>
      </c>
      <c r="X28" s="195">
        <f ca="1">_xlfn.SINGLE(OFFSET('Inventory Report'!AC15,0,SQRChartBindings!$F$4,1,1))</f>
        <v>0</v>
      </c>
      <c r="Y28" s="195">
        <f ca="1">_xlfn.SINGLE(OFFSET('Inventory Report'!AD15,0,SQRChartBindings!$F$4,1,1))</f>
        <v>0</v>
      </c>
      <c r="Z28" s="195">
        <f ca="1">_xlfn.SINGLE(OFFSET('Inventory Report'!AE15,0,SQRChartBindings!$F$4,1,1))</f>
        <v>0</v>
      </c>
      <c r="AA28" s="195">
        <f ca="1">_xlfn.SINGLE(OFFSET('Inventory Report'!AF15,0,SQRChartBindings!$F$4,1,1))</f>
        <v>5000</v>
      </c>
      <c r="AB28" s="195">
        <f ca="1">_xlfn.SINGLE(OFFSET('Inventory Report'!AG15,0,SQRChartBindings!$F$4,1,1))</f>
        <v>0</v>
      </c>
    </row>
    <row r="29" spans="1:28">
      <c r="A29" t="s">
        <v>464</v>
      </c>
      <c r="B29" s="195">
        <v>17</v>
      </c>
      <c r="D29" s="202" t="s">
        <v>373</v>
      </c>
      <c r="E29" s="195">
        <f ca="1">_xlfn.SINGLE(OFFSET('Inventory Report'!J17,0,SQRChartBindings!$F$4,1,1))</f>
        <v>0</v>
      </c>
      <c r="F29" s="195">
        <f ca="1">_xlfn.SINGLE(OFFSET('Inventory Report'!K17,0,SQRChartBindings!$F$4,1,1))</f>
        <v>0</v>
      </c>
      <c r="G29" s="195">
        <f ca="1">_xlfn.SINGLE(OFFSET('Inventory Report'!L17,0,SQRChartBindings!$F$4,1,1))</f>
        <v>0</v>
      </c>
      <c r="H29" s="195">
        <f ca="1">_xlfn.SINGLE(OFFSET('Inventory Report'!M17,0,SQRChartBindings!$F$4,1,1))</f>
        <v>0</v>
      </c>
      <c r="I29" s="195">
        <f ca="1">_xlfn.SINGLE(OFFSET('Inventory Report'!N17,0,SQRChartBindings!$F$4,1,1))</f>
        <v>0</v>
      </c>
      <c r="J29" s="195">
        <f ca="1">_xlfn.SINGLE(OFFSET('Inventory Report'!O17,0,SQRChartBindings!$F$4,1,1))</f>
        <v>0</v>
      </c>
      <c r="K29" s="195">
        <f ca="1">_xlfn.SINGLE(OFFSET('Inventory Report'!P17,0,SQRChartBindings!$F$4,1,1))</f>
        <v>0</v>
      </c>
      <c r="L29" s="195">
        <f ca="1">_xlfn.SINGLE(OFFSET('Inventory Report'!Q17,0,SQRChartBindings!$F$4,1,1))</f>
        <v>4196.4427041678455</v>
      </c>
      <c r="M29" s="195">
        <f ca="1">_xlfn.SINGLE(OFFSET('Inventory Report'!R17,0,SQRChartBindings!$F$4,1,1))</f>
        <v>4947.1390522631164</v>
      </c>
      <c r="N29" s="195">
        <f ca="1">_xlfn.SINGLE(OFFSET('Inventory Report'!S17,0,SQRChartBindings!$F$4,1,1))</f>
        <v>5000</v>
      </c>
      <c r="O29" s="195">
        <f ca="1">_xlfn.SINGLE(OFFSET('Inventory Report'!T17,0,SQRChartBindings!$F$4,1,1))</f>
        <v>5000</v>
      </c>
      <c r="P29" s="195">
        <f ca="1">_xlfn.SINGLE(OFFSET('Inventory Report'!U17,0,SQRChartBindings!$F$4,1,1))</f>
        <v>5000</v>
      </c>
      <c r="Q29" s="195">
        <f ca="1">_xlfn.SINGLE(OFFSET('Inventory Report'!V17,0,SQRChartBindings!$F$4,1,1))</f>
        <v>5000</v>
      </c>
      <c r="R29" s="195">
        <f ca="1">_xlfn.SINGLE(OFFSET('Inventory Report'!W17,0,SQRChartBindings!$F$4,1,1))</f>
        <v>9423.5199996978354</v>
      </c>
      <c r="S29" s="195">
        <f ca="1">_xlfn.SINGLE(OFFSET('Inventory Report'!X17,0,SQRChartBindings!$F$4,1,1))</f>
        <v>10000</v>
      </c>
      <c r="T29" s="195">
        <f ca="1">_xlfn.SINGLE(OFFSET('Inventory Report'!Y17,0,SQRChartBindings!$F$4,1,1))</f>
        <v>10000</v>
      </c>
      <c r="U29" s="195">
        <f ca="1">_xlfn.SINGLE(OFFSET('Inventory Report'!Z17,0,SQRChartBindings!$F$4,1,1))</f>
        <v>10000</v>
      </c>
      <c r="V29" s="195">
        <f ca="1">_xlfn.SINGLE(OFFSET('Inventory Report'!AA17,0,SQRChartBindings!$F$4,1,1))</f>
        <v>10000</v>
      </c>
      <c r="W29" s="195">
        <f ca="1">_xlfn.SINGLE(OFFSET('Inventory Report'!AB17,0,SQRChartBindings!$F$4,1,1))</f>
        <v>10000</v>
      </c>
      <c r="X29" s="195">
        <f ca="1">_xlfn.SINGLE(OFFSET('Inventory Report'!AC17,0,SQRChartBindings!$F$4,1,1))</f>
        <v>15000</v>
      </c>
      <c r="Y29" s="195">
        <f ca="1">_xlfn.SINGLE(OFFSET('Inventory Report'!AD17,0,SQRChartBindings!$F$4,1,1))</f>
        <v>15000</v>
      </c>
      <c r="Z29" s="195">
        <f ca="1">_xlfn.SINGLE(OFFSET('Inventory Report'!AE17,0,SQRChartBindings!$F$4,1,1))</f>
        <v>15000</v>
      </c>
      <c r="AA29" s="195">
        <f ca="1">_xlfn.SINGLE(OFFSET('Inventory Report'!AF17,0,SQRChartBindings!$F$4,1,1))</f>
        <v>15000</v>
      </c>
      <c r="AB29" s="195">
        <f ca="1">_xlfn.SINGLE(OFFSET('Inventory Report'!AG17,0,SQRChartBindings!$F$4,1,1))</f>
        <v>20000</v>
      </c>
    </row>
    <row r="30" spans="1:28">
      <c r="A30" t="s">
        <v>464</v>
      </c>
      <c r="B30" s="195">
        <v>18</v>
      </c>
      <c r="D30" s="201" t="s">
        <v>294</v>
      </c>
      <c r="E30" s="195">
        <f ca="1">_xlfn.SINGLE(OFFSET('Inventory Report'!J18,0,SQRChartBindings!$F$4,1,1))</f>
        <v>0</v>
      </c>
      <c r="F30" s="195">
        <f ca="1">_xlfn.SINGLE(OFFSET('Inventory Report'!K18,0,SQRChartBindings!$F$4,1,1))</f>
        <v>0</v>
      </c>
      <c r="G30" s="195">
        <f ca="1">_xlfn.SINGLE(OFFSET('Inventory Report'!L18,0,SQRChartBindings!$F$4,1,1))</f>
        <v>0</v>
      </c>
      <c r="H30" s="195">
        <f ca="1">_xlfn.SINGLE(OFFSET('Inventory Report'!M18,0,SQRChartBindings!$F$4,1,1))</f>
        <v>0</v>
      </c>
      <c r="I30" s="195">
        <f ca="1">_xlfn.SINGLE(OFFSET('Inventory Report'!N18,0,SQRChartBindings!$F$4,1,1))</f>
        <v>0</v>
      </c>
      <c r="J30" s="195">
        <f ca="1">_xlfn.SINGLE(OFFSET('Inventory Report'!O18,0,SQRChartBindings!$F$4,1,1))</f>
        <v>0</v>
      </c>
      <c r="K30" s="195">
        <f ca="1">_xlfn.SINGLE(OFFSET('Inventory Report'!P18,0,SQRChartBindings!$F$4,1,1))</f>
        <v>0</v>
      </c>
      <c r="L30" s="195">
        <f ca="1">_xlfn.SINGLE(OFFSET('Inventory Report'!Q18,0,SQRChartBindings!$F$4,1,1))</f>
        <v>0</v>
      </c>
      <c r="M30" s="195">
        <f ca="1">_xlfn.SINGLE(OFFSET('Inventory Report'!R18,0,SQRChartBindings!$F$4,1,1))</f>
        <v>0</v>
      </c>
      <c r="N30" s="195">
        <f ca="1">_xlfn.SINGLE(OFFSET('Inventory Report'!S18,0,SQRChartBindings!$F$4,1,1))</f>
        <v>0</v>
      </c>
      <c r="O30" s="195">
        <f ca="1">_xlfn.SINGLE(OFFSET('Inventory Report'!T18,0,SQRChartBindings!$F$4,1,1))</f>
        <v>0</v>
      </c>
      <c r="P30" s="195">
        <f ca="1">_xlfn.SINGLE(OFFSET('Inventory Report'!U18,0,SQRChartBindings!$F$4,1,1))</f>
        <v>0</v>
      </c>
      <c r="Q30" s="195">
        <f ca="1">_xlfn.SINGLE(OFFSET('Inventory Report'!V18,0,SQRChartBindings!$F$4,1,1))</f>
        <v>0</v>
      </c>
      <c r="R30" s="195">
        <f ca="1">_xlfn.SINGLE(OFFSET('Inventory Report'!W18,0,SQRChartBindings!$F$4,1,1))</f>
        <v>0</v>
      </c>
      <c r="S30" s="195">
        <f ca="1">_xlfn.SINGLE(OFFSET('Inventory Report'!X18,0,SQRChartBindings!$F$4,1,1))</f>
        <v>0</v>
      </c>
      <c r="T30" s="195">
        <f ca="1">_xlfn.SINGLE(OFFSET('Inventory Report'!Y18,0,SQRChartBindings!$F$4,1,1))</f>
        <v>0</v>
      </c>
      <c r="U30" s="195">
        <f ca="1">_xlfn.SINGLE(OFFSET('Inventory Report'!Z18,0,SQRChartBindings!$F$4,1,1))</f>
        <v>0</v>
      </c>
      <c r="V30" s="195">
        <f ca="1">_xlfn.SINGLE(OFFSET('Inventory Report'!AA18,0,SQRChartBindings!$F$4,1,1))</f>
        <v>0</v>
      </c>
      <c r="W30" s="195">
        <f ca="1">_xlfn.SINGLE(OFFSET('Inventory Report'!AB18,0,SQRChartBindings!$F$4,1,1))</f>
        <v>0</v>
      </c>
      <c r="X30" s="195">
        <f ca="1">_xlfn.SINGLE(OFFSET('Inventory Report'!AC18,0,SQRChartBindings!$F$4,1,1))</f>
        <v>0</v>
      </c>
      <c r="Y30" s="195">
        <f ca="1">_xlfn.SINGLE(OFFSET('Inventory Report'!AD18,0,SQRChartBindings!$F$4,1,1))</f>
        <v>0</v>
      </c>
      <c r="Z30" s="195">
        <f ca="1">_xlfn.SINGLE(OFFSET('Inventory Report'!AE18,0,SQRChartBindings!$F$4,1,1))</f>
        <v>0</v>
      </c>
      <c r="AA30" s="195">
        <f ca="1">_xlfn.SINGLE(OFFSET('Inventory Report'!AF18,0,SQRChartBindings!$F$4,1,1))</f>
        <v>0</v>
      </c>
      <c r="AB30" s="195">
        <f ca="1">_xlfn.SINGLE(OFFSET('Inventory Report'!AG18,0,SQRChartBindings!$F$4,1,1))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IR70"/>
  <sheetViews>
    <sheetView topLeftCell="A19" workbookViewId="0">
      <selection activeCell="L23" sqref="L23"/>
    </sheetView>
  </sheetViews>
  <sheetFormatPr defaultRowHeight="13"/>
  <cols>
    <col min="1" max="1" width="3.7265625" style="215" customWidth="1"/>
    <col min="2" max="2" width="25.7265625" style="215" customWidth="1"/>
    <col min="3" max="3" width="3.7265625" style="215" customWidth="1"/>
    <col min="4" max="6" width="16.7265625" style="215" customWidth="1"/>
    <col min="7" max="7" width="17.7265625" style="215" customWidth="1"/>
    <col min="8" max="8" width="19.7265625" style="215" customWidth="1"/>
    <col min="9" max="16384" width="9.1796875" style="215"/>
  </cols>
  <sheetData>
    <row r="1" spans="1:252" ht="15">
      <c r="A1" s="195"/>
      <c r="B1" s="195"/>
      <c r="C1" s="195"/>
      <c r="D1" s="195"/>
      <c r="E1" s="195"/>
      <c r="F1" s="195"/>
      <c r="G1" s="195"/>
      <c r="H1" s="195"/>
      <c r="I1" s="195"/>
      <c r="J1" s="195"/>
      <c r="K1" s="197"/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  <c r="AA1" s="197"/>
      <c r="AB1" s="197"/>
      <c r="AC1" s="197"/>
      <c r="AD1" s="197"/>
      <c r="AE1" s="197"/>
      <c r="AF1" s="197"/>
      <c r="AG1" s="197"/>
      <c r="AH1" s="197"/>
      <c r="AI1" s="197"/>
      <c r="AJ1" s="197"/>
      <c r="AK1" s="197"/>
      <c r="AL1" s="197"/>
      <c r="AM1" s="197"/>
      <c r="AN1" s="197"/>
      <c r="AO1" s="197"/>
      <c r="AP1" s="197"/>
      <c r="AQ1" s="197"/>
      <c r="AR1" s="197"/>
      <c r="AS1" s="197"/>
      <c r="AT1" s="197"/>
      <c r="AU1" s="197"/>
      <c r="AV1" s="197"/>
      <c r="AW1" s="197"/>
      <c r="AX1" s="197"/>
      <c r="AY1" s="197"/>
      <c r="AZ1" s="197"/>
      <c r="BA1" s="197"/>
      <c r="BB1" s="197"/>
      <c r="BC1" s="197"/>
      <c r="BD1" s="197"/>
      <c r="BE1" s="197"/>
      <c r="BF1" s="197"/>
      <c r="BG1" s="197"/>
      <c r="BH1" s="197"/>
      <c r="BI1" s="197"/>
      <c r="BJ1" s="197"/>
      <c r="BK1" s="197"/>
      <c r="BL1" s="197"/>
      <c r="BM1" s="197"/>
      <c r="BN1" s="197"/>
      <c r="BO1" s="197"/>
      <c r="BP1" s="197"/>
      <c r="BQ1" s="197"/>
      <c r="BR1" s="197"/>
      <c r="BS1" s="197"/>
      <c r="BT1" s="197"/>
      <c r="BU1" s="197"/>
      <c r="BV1" s="197"/>
      <c r="BW1" s="197"/>
      <c r="BX1" s="197"/>
      <c r="BY1" s="197"/>
      <c r="BZ1" s="197"/>
      <c r="CA1" s="197"/>
      <c r="CB1" s="197"/>
      <c r="CC1" s="197"/>
      <c r="CD1" s="197"/>
      <c r="CE1" s="197"/>
      <c r="CF1" s="197"/>
      <c r="CG1" s="197"/>
      <c r="CH1" s="197"/>
      <c r="CI1" s="197"/>
      <c r="CJ1" s="197"/>
      <c r="CK1" s="197"/>
      <c r="CL1" s="197"/>
      <c r="CM1" s="197"/>
      <c r="CN1" s="197"/>
      <c r="CO1" s="197"/>
      <c r="CP1" s="197"/>
      <c r="CQ1" s="197"/>
      <c r="CR1" s="197"/>
      <c r="CS1" s="197"/>
      <c r="CT1" s="197"/>
      <c r="CU1" s="197"/>
      <c r="CV1" s="197"/>
      <c r="CW1" s="197"/>
      <c r="CX1" s="197"/>
      <c r="CY1" s="197"/>
      <c r="CZ1" s="197"/>
      <c r="DA1" s="197"/>
      <c r="DB1" s="197"/>
      <c r="DC1" s="197"/>
      <c r="DD1" s="197"/>
      <c r="DE1" s="197"/>
      <c r="DF1" s="197"/>
      <c r="DG1" s="197"/>
      <c r="DH1" s="197"/>
      <c r="DI1" s="197"/>
      <c r="DJ1" s="197"/>
      <c r="DK1" s="197"/>
      <c r="DL1" s="197"/>
      <c r="DM1" s="197"/>
      <c r="DN1" s="197"/>
      <c r="DO1" s="197"/>
      <c r="DP1" s="197"/>
      <c r="DQ1" s="197"/>
      <c r="DR1" s="197"/>
      <c r="DS1" s="197"/>
      <c r="DT1" s="197"/>
      <c r="DU1" s="197"/>
      <c r="DV1" s="197"/>
      <c r="DW1" s="197"/>
      <c r="DX1" s="197"/>
      <c r="DY1" s="197"/>
      <c r="DZ1" s="197"/>
      <c r="EA1" s="197"/>
      <c r="EB1" s="197"/>
      <c r="EC1" s="197"/>
      <c r="ED1" s="197"/>
      <c r="EE1" s="197"/>
      <c r="EF1" s="197"/>
      <c r="EG1" s="197"/>
      <c r="EH1" s="197"/>
      <c r="EI1" s="197"/>
      <c r="EJ1" s="197"/>
      <c r="EK1" s="197"/>
      <c r="EL1" s="197"/>
      <c r="EM1" s="197"/>
      <c r="EN1" s="197"/>
      <c r="EO1" s="197"/>
      <c r="EP1" s="197"/>
      <c r="EQ1" s="197"/>
      <c r="ER1" s="197"/>
      <c r="ES1" s="197"/>
      <c r="ET1" s="197"/>
      <c r="EU1" s="197"/>
      <c r="EV1" s="197"/>
      <c r="EW1" s="197"/>
      <c r="EX1" s="197"/>
      <c r="EY1" s="197"/>
      <c r="EZ1" s="197"/>
      <c r="FA1" s="197"/>
      <c r="FB1" s="197"/>
      <c r="FC1" s="197"/>
      <c r="FD1" s="197"/>
      <c r="FE1" s="197"/>
      <c r="FF1" s="197"/>
      <c r="FG1" s="197"/>
      <c r="FH1" s="197"/>
      <c r="FI1" s="197"/>
      <c r="FJ1" s="197"/>
      <c r="FK1" s="197"/>
      <c r="FL1" s="197"/>
      <c r="FM1" s="197"/>
      <c r="FN1" s="197"/>
      <c r="FO1" s="197"/>
      <c r="FP1" s="197"/>
      <c r="FQ1" s="197"/>
      <c r="FR1" s="197"/>
      <c r="FS1" s="197"/>
      <c r="FT1" s="197"/>
      <c r="FU1" s="197"/>
      <c r="FV1" s="197"/>
      <c r="FW1" s="197"/>
      <c r="FX1" s="197"/>
      <c r="FY1" s="197"/>
      <c r="FZ1" s="197"/>
      <c r="GA1" s="197"/>
      <c r="GB1" s="197"/>
      <c r="GC1" s="197"/>
      <c r="GD1" s="197"/>
      <c r="GE1" s="197"/>
      <c r="GF1" s="197"/>
      <c r="GG1" s="197"/>
      <c r="GH1" s="197"/>
      <c r="GI1" s="197"/>
      <c r="GJ1" s="197"/>
      <c r="GK1" s="197"/>
      <c r="GL1" s="197"/>
      <c r="GM1" s="197"/>
      <c r="GN1" s="197"/>
      <c r="GO1" s="197"/>
      <c r="GP1" s="197"/>
      <c r="GQ1" s="197"/>
      <c r="GR1" s="197"/>
      <c r="GS1" s="197"/>
      <c r="GT1" s="197"/>
      <c r="GU1" s="197"/>
      <c r="GV1" s="197"/>
      <c r="GW1" s="197"/>
      <c r="GX1" s="197"/>
      <c r="GY1" s="197"/>
      <c r="GZ1" s="197"/>
      <c r="HA1" s="197"/>
      <c r="HB1" s="197"/>
      <c r="HC1" s="197"/>
      <c r="HD1" s="197"/>
      <c r="HE1" s="197"/>
      <c r="HF1" s="197"/>
      <c r="HG1" s="197"/>
      <c r="HH1" s="197"/>
      <c r="HI1" s="197"/>
      <c r="HJ1" s="197"/>
      <c r="HK1" s="197"/>
      <c r="HL1" s="197"/>
      <c r="HM1" s="197"/>
      <c r="HN1" s="197"/>
      <c r="HO1" s="197"/>
      <c r="HP1" s="197"/>
      <c r="HQ1" s="197"/>
      <c r="HR1" s="197"/>
      <c r="HS1" s="197"/>
      <c r="HT1" s="197"/>
      <c r="HU1" s="197"/>
      <c r="HV1" s="197"/>
      <c r="HW1" s="197"/>
      <c r="HX1" s="197"/>
      <c r="HY1" s="197"/>
      <c r="HZ1" s="197"/>
      <c r="IA1" s="197"/>
      <c r="IB1" s="197"/>
      <c r="IC1" s="197"/>
      <c r="ID1" s="197"/>
      <c r="IE1" s="197"/>
      <c r="IF1" s="197"/>
      <c r="IG1" s="197"/>
      <c r="IH1" s="197"/>
      <c r="II1" s="197"/>
      <c r="IJ1" s="197"/>
      <c r="IK1" s="197"/>
      <c r="IL1" s="197"/>
      <c r="IM1" s="197"/>
      <c r="IN1" s="197"/>
      <c r="IO1" s="197"/>
      <c r="IP1" s="197"/>
      <c r="IQ1" s="197"/>
      <c r="IR1" s="197"/>
    </row>
    <row r="2" spans="1:252" ht="14.5">
      <c r="A2"/>
      <c r="B2" s="237" t="s">
        <v>346</v>
      </c>
      <c r="C2" s="225"/>
      <c r="D2" s="238">
        <f>'Income Statement Ann'!J2</f>
        <v>45412</v>
      </c>
      <c r="E2" s="238">
        <f>'Income Statement Ann'!K2</f>
        <v>45777</v>
      </c>
      <c r="F2" s="238">
        <f>'Income Statement Ann'!L2</f>
        <v>46142</v>
      </c>
      <c r="G2" s="238">
        <f>'Income Statement Ann'!M2</f>
        <v>46507</v>
      </c>
      <c r="H2" s="238">
        <f>'Income Statement Ann'!N2</f>
        <v>46873</v>
      </c>
      <c r="I2"/>
    </row>
    <row r="3" spans="1:252" ht="15">
      <c r="A3" s="195"/>
      <c r="B3" s="195"/>
      <c r="C3" s="195"/>
      <c r="D3" s="219"/>
      <c r="E3" s="219"/>
      <c r="F3" s="219"/>
      <c r="G3" s="219"/>
      <c r="H3" s="219"/>
      <c r="I3" s="195"/>
      <c r="J3" s="195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7"/>
      <c r="AY3" s="197"/>
      <c r="AZ3" s="197"/>
      <c r="BA3" s="197"/>
      <c r="BB3" s="197"/>
      <c r="BC3" s="197"/>
      <c r="BD3" s="197"/>
      <c r="BE3" s="197"/>
      <c r="BF3" s="197"/>
      <c r="BG3" s="197"/>
      <c r="BH3" s="197"/>
      <c r="BI3" s="197"/>
      <c r="BJ3" s="197"/>
      <c r="BK3" s="197"/>
      <c r="BL3" s="197"/>
      <c r="BM3" s="197"/>
      <c r="BN3" s="197"/>
      <c r="BO3" s="197"/>
      <c r="BP3" s="197"/>
      <c r="BQ3" s="197"/>
      <c r="BR3" s="197"/>
      <c r="BS3" s="197"/>
      <c r="BT3" s="197"/>
      <c r="BU3" s="197"/>
      <c r="BV3" s="197"/>
      <c r="BW3" s="197"/>
      <c r="BX3" s="197"/>
      <c r="BY3" s="197"/>
      <c r="BZ3" s="197"/>
      <c r="CA3" s="197"/>
      <c r="CB3" s="197"/>
      <c r="CC3" s="197"/>
      <c r="CD3" s="197"/>
      <c r="CE3" s="197"/>
      <c r="CF3" s="197"/>
      <c r="CG3" s="197"/>
      <c r="CH3" s="197"/>
      <c r="CI3" s="197"/>
      <c r="CJ3" s="197"/>
      <c r="CK3" s="197"/>
      <c r="CL3" s="197"/>
      <c r="CM3" s="197"/>
      <c r="CN3" s="197"/>
      <c r="CO3" s="197"/>
      <c r="CP3" s="197"/>
      <c r="CQ3" s="197"/>
      <c r="CR3" s="197"/>
      <c r="CS3" s="197"/>
      <c r="CT3" s="197"/>
      <c r="CU3" s="197"/>
      <c r="CV3" s="197"/>
      <c r="CW3" s="197"/>
      <c r="CX3" s="197"/>
      <c r="CY3" s="197"/>
      <c r="CZ3" s="197"/>
      <c r="DA3" s="197"/>
      <c r="DB3" s="197"/>
      <c r="DC3" s="197"/>
      <c r="DD3" s="197"/>
      <c r="DE3" s="197"/>
      <c r="DF3" s="197"/>
      <c r="DG3" s="197"/>
      <c r="DH3" s="197"/>
      <c r="DI3" s="197"/>
      <c r="DJ3" s="197"/>
      <c r="DK3" s="197"/>
      <c r="DL3" s="197"/>
      <c r="DM3" s="197"/>
      <c r="DN3" s="197"/>
      <c r="DO3" s="197"/>
      <c r="DP3" s="197"/>
      <c r="DQ3" s="197"/>
      <c r="DR3" s="197"/>
      <c r="DS3" s="197"/>
      <c r="DT3" s="197"/>
      <c r="DU3" s="197"/>
      <c r="DV3" s="197"/>
      <c r="DW3" s="197"/>
      <c r="DX3" s="197"/>
      <c r="DY3" s="197"/>
      <c r="DZ3" s="197"/>
      <c r="EA3" s="197"/>
      <c r="EB3" s="197"/>
      <c r="EC3" s="197"/>
      <c r="ED3" s="197"/>
      <c r="EE3" s="197"/>
      <c r="EF3" s="197"/>
      <c r="EG3" s="197"/>
      <c r="EH3" s="197"/>
      <c r="EI3" s="197"/>
      <c r="EJ3" s="197"/>
      <c r="EK3" s="197"/>
      <c r="EL3" s="197"/>
      <c r="EM3" s="197"/>
      <c r="EN3" s="197"/>
      <c r="EO3" s="197"/>
      <c r="EP3" s="197"/>
      <c r="EQ3" s="197"/>
      <c r="ER3" s="197"/>
      <c r="ES3" s="197"/>
      <c r="ET3" s="197"/>
      <c r="EU3" s="197"/>
      <c r="EV3" s="197"/>
      <c r="EW3" s="197"/>
      <c r="EX3" s="197"/>
      <c r="EY3" s="197"/>
      <c r="EZ3" s="197"/>
      <c r="FA3" s="197"/>
      <c r="FB3" s="197"/>
      <c r="FC3" s="197"/>
      <c r="FD3" s="197"/>
      <c r="FE3" s="197"/>
      <c r="FF3" s="197"/>
      <c r="FG3" s="197"/>
      <c r="FH3" s="197"/>
      <c r="FI3" s="197"/>
      <c r="FJ3" s="197"/>
      <c r="FK3" s="197"/>
      <c r="FL3" s="197"/>
      <c r="FM3" s="197"/>
      <c r="FN3" s="197"/>
      <c r="FO3" s="197"/>
      <c r="FP3" s="197"/>
      <c r="FQ3" s="197"/>
      <c r="FR3" s="197"/>
      <c r="FS3" s="197"/>
      <c r="FT3" s="197"/>
      <c r="FU3" s="197"/>
      <c r="FV3" s="197"/>
      <c r="FW3" s="197"/>
      <c r="FX3" s="197"/>
      <c r="FY3" s="197"/>
      <c r="FZ3" s="197"/>
      <c r="GA3" s="197"/>
      <c r="GB3" s="197"/>
      <c r="GC3" s="197"/>
      <c r="GD3" s="197"/>
      <c r="GE3" s="197"/>
      <c r="GF3" s="197"/>
      <c r="GG3" s="197"/>
      <c r="GH3" s="197"/>
      <c r="GI3" s="197"/>
      <c r="GJ3" s="197"/>
      <c r="GK3" s="197"/>
      <c r="GL3" s="197"/>
      <c r="GM3" s="197"/>
      <c r="GN3" s="197"/>
      <c r="GO3" s="197"/>
      <c r="GP3" s="197"/>
      <c r="GQ3" s="197"/>
      <c r="GR3" s="197"/>
      <c r="GS3" s="197"/>
      <c r="GT3" s="197"/>
      <c r="GU3" s="197"/>
      <c r="GV3" s="197"/>
      <c r="GW3" s="197"/>
      <c r="GX3" s="197"/>
      <c r="GY3" s="197"/>
      <c r="GZ3" s="197"/>
      <c r="HA3" s="197"/>
      <c r="HB3" s="197"/>
      <c r="HC3" s="197"/>
      <c r="HD3" s="197"/>
      <c r="HE3" s="197"/>
      <c r="HF3" s="197"/>
      <c r="HG3" s="197"/>
      <c r="HH3" s="197"/>
      <c r="HI3" s="197"/>
      <c r="HJ3" s="197"/>
      <c r="HK3" s="197"/>
      <c r="HL3" s="197"/>
      <c r="HM3" s="197"/>
      <c r="HN3" s="197"/>
      <c r="HO3" s="197"/>
      <c r="HP3" s="197"/>
      <c r="HQ3" s="197"/>
      <c r="HR3" s="197"/>
      <c r="HS3" s="197"/>
      <c r="HT3" s="197"/>
      <c r="HU3" s="197"/>
      <c r="HV3" s="197"/>
      <c r="HW3" s="197"/>
      <c r="HX3" s="197"/>
      <c r="HY3" s="197"/>
      <c r="HZ3" s="197"/>
      <c r="IA3" s="197"/>
      <c r="IB3" s="197"/>
      <c r="IC3" s="197"/>
      <c r="ID3" s="197"/>
      <c r="IE3" s="197"/>
      <c r="IF3" s="197"/>
      <c r="IG3" s="197"/>
      <c r="IH3" s="197"/>
      <c r="II3" s="197"/>
      <c r="IJ3" s="197"/>
      <c r="IK3" s="197"/>
      <c r="IL3" s="197"/>
      <c r="IM3" s="197"/>
      <c r="IN3" s="197"/>
      <c r="IO3" s="197"/>
      <c r="IP3" s="197"/>
      <c r="IQ3" s="197"/>
      <c r="IR3" s="197"/>
    </row>
    <row r="4" spans="1:252" ht="15">
      <c r="A4" s="195"/>
      <c r="B4" s="221" t="str">
        <f>'Income Statement Ann'!E8</f>
        <v>Income</v>
      </c>
      <c r="C4" s="195"/>
      <c r="D4" s="218">
        <f ca="1">'Income Statement Ann'!J8</f>
        <v>845025.36147508363</v>
      </c>
      <c r="E4" s="218">
        <f ca="1">'Income Statement Ann'!K8</f>
        <v>5054823.1999894241</v>
      </c>
      <c r="F4" s="218">
        <f ca="1">'Income Statement Ann'!L8</f>
        <v>13025085.536442325</v>
      </c>
      <c r="G4" s="218">
        <f ca="1">'Income Statement Ann'!M8</f>
        <v>28539351.100147415</v>
      </c>
      <c r="H4" s="218">
        <f ca="1">'Income Statement Ann'!N8</f>
        <v>59182896.492640823</v>
      </c>
      <c r="I4" s="195"/>
      <c r="J4" s="195"/>
      <c r="K4" s="197"/>
      <c r="L4" s="197"/>
      <c r="M4" s="197"/>
      <c r="N4" s="197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  <c r="AA4" s="197"/>
      <c r="AB4" s="197"/>
      <c r="AC4" s="197"/>
      <c r="AD4" s="197"/>
      <c r="AE4" s="197"/>
      <c r="AF4" s="197"/>
      <c r="AG4" s="197"/>
      <c r="AH4" s="197"/>
      <c r="AI4" s="197"/>
      <c r="AJ4" s="197"/>
      <c r="AK4" s="197"/>
      <c r="AL4" s="197"/>
      <c r="AM4" s="197"/>
      <c r="AN4" s="197"/>
      <c r="AO4" s="197"/>
      <c r="AP4" s="197"/>
      <c r="AQ4" s="197"/>
      <c r="AR4" s="197"/>
      <c r="AS4" s="197"/>
      <c r="AT4" s="197"/>
      <c r="AU4" s="197"/>
      <c r="AV4" s="197"/>
      <c r="AW4" s="197"/>
      <c r="AX4" s="197"/>
      <c r="AY4" s="197"/>
      <c r="AZ4" s="197"/>
      <c r="BA4" s="197"/>
      <c r="BB4" s="197"/>
      <c r="BC4" s="197"/>
      <c r="BD4" s="197"/>
      <c r="BE4" s="197"/>
      <c r="BF4" s="197"/>
      <c r="BG4" s="197"/>
      <c r="BH4" s="197"/>
      <c r="BI4" s="197"/>
      <c r="BJ4" s="197"/>
      <c r="BK4" s="197"/>
      <c r="BL4" s="197"/>
      <c r="BM4" s="197"/>
      <c r="BN4" s="197"/>
      <c r="BO4" s="197"/>
      <c r="BP4" s="197"/>
      <c r="BQ4" s="197"/>
      <c r="BR4" s="197"/>
      <c r="BS4" s="197"/>
      <c r="BT4" s="197"/>
      <c r="BU4" s="197"/>
      <c r="BV4" s="197"/>
      <c r="BW4" s="197"/>
      <c r="BX4" s="197"/>
      <c r="BY4" s="197"/>
      <c r="BZ4" s="197"/>
      <c r="CA4" s="197"/>
      <c r="CB4" s="197"/>
      <c r="CC4" s="197"/>
      <c r="CD4" s="197"/>
      <c r="CE4" s="197"/>
      <c r="CF4" s="197"/>
      <c r="CG4" s="197"/>
      <c r="CH4" s="197"/>
      <c r="CI4" s="197"/>
      <c r="CJ4" s="197"/>
      <c r="CK4" s="197"/>
      <c r="CL4" s="197"/>
      <c r="CM4" s="197"/>
      <c r="CN4" s="197"/>
      <c r="CO4" s="197"/>
      <c r="CP4" s="197"/>
      <c r="CQ4" s="197"/>
      <c r="CR4" s="197"/>
      <c r="CS4" s="197"/>
      <c r="CT4" s="197"/>
      <c r="CU4" s="197"/>
      <c r="CV4" s="197"/>
      <c r="CW4" s="197"/>
      <c r="CX4" s="197"/>
      <c r="CY4" s="197"/>
      <c r="CZ4" s="197"/>
      <c r="DA4" s="197"/>
      <c r="DB4" s="197"/>
      <c r="DC4" s="197"/>
      <c r="DD4" s="197"/>
      <c r="DE4" s="197"/>
      <c r="DF4" s="197"/>
      <c r="DG4" s="197"/>
      <c r="DH4" s="197"/>
      <c r="DI4" s="197"/>
      <c r="DJ4" s="197"/>
      <c r="DK4" s="197"/>
      <c r="DL4" s="197"/>
      <c r="DM4" s="197"/>
      <c r="DN4" s="197"/>
      <c r="DO4" s="197"/>
      <c r="DP4" s="197"/>
      <c r="DQ4" s="197"/>
      <c r="DR4" s="197"/>
      <c r="DS4" s="197"/>
      <c r="DT4" s="197"/>
      <c r="DU4" s="197"/>
      <c r="DV4" s="197"/>
      <c r="DW4" s="197"/>
      <c r="DX4" s="197"/>
      <c r="DY4" s="197"/>
      <c r="DZ4" s="197"/>
      <c r="EA4" s="197"/>
      <c r="EB4" s="197"/>
      <c r="EC4" s="197"/>
      <c r="ED4" s="197"/>
      <c r="EE4" s="197"/>
      <c r="EF4" s="197"/>
      <c r="EG4" s="197"/>
      <c r="EH4" s="197"/>
      <c r="EI4" s="197"/>
      <c r="EJ4" s="197"/>
      <c r="EK4" s="197"/>
      <c r="EL4" s="197"/>
      <c r="EM4" s="197"/>
      <c r="EN4" s="197"/>
      <c r="EO4" s="197"/>
      <c r="EP4" s="197"/>
      <c r="EQ4" s="197"/>
      <c r="ER4" s="197"/>
      <c r="ES4" s="197"/>
      <c r="ET4" s="197"/>
      <c r="EU4" s="197"/>
      <c r="EV4" s="197"/>
      <c r="EW4" s="197"/>
      <c r="EX4" s="197"/>
      <c r="EY4" s="197"/>
      <c r="EZ4" s="197"/>
      <c r="FA4" s="197"/>
      <c r="FB4" s="197"/>
      <c r="FC4" s="197"/>
      <c r="FD4" s="197"/>
      <c r="FE4" s="197"/>
      <c r="FF4" s="197"/>
      <c r="FG4" s="197"/>
      <c r="FH4" s="197"/>
      <c r="FI4" s="197"/>
      <c r="FJ4" s="197"/>
      <c r="FK4" s="197"/>
      <c r="FL4" s="197"/>
      <c r="FM4" s="197"/>
      <c r="FN4" s="197"/>
      <c r="FO4" s="197"/>
      <c r="FP4" s="197"/>
      <c r="FQ4" s="197"/>
      <c r="FR4" s="197"/>
      <c r="FS4" s="197"/>
      <c r="FT4" s="197"/>
      <c r="FU4" s="197"/>
      <c r="FV4" s="197"/>
      <c r="FW4" s="197"/>
      <c r="FX4" s="197"/>
      <c r="FY4" s="197"/>
      <c r="FZ4" s="197"/>
      <c r="GA4" s="197"/>
      <c r="GB4" s="197"/>
      <c r="GC4" s="197"/>
      <c r="GD4" s="197"/>
      <c r="GE4" s="197"/>
      <c r="GF4" s="197"/>
      <c r="GG4" s="197"/>
      <c r="GH4" s="197"/>
      <c r="GI4" s="197"/>
      <c r="GJ4" s="197"/>
      <c r="GK4" s="197"/>
      <c r="GL4" s="197"/>
      <c r="GM4" s="197"/>
      <c r="GN4" s="197"/>
      <c r="GO4" s="197"/>
      <c r="GP4" s="197"/>
      <c r="GQ4" s="197"/>
      <c r="GR4" s="197"/>
      <c r="GS4" s="197"/>
      <c r="GT4" s="197"/>
      <c r="GU4" s="197"/>
      <c r="GV4" s="197"/>
      <c r="GW4" s="197"/>
      <c r="GX4" s="197"/>
      <c r="GY4" s="197"/>
      <c r="GZ4" s="197"/>
      <c r="HA4" s="197"/>
      <c r="HB4" s="197"/>
      <c r="HC4" s="197"/>
      <c r="HD4" s="197"/>
      <c r="HE4" s="197"/>
      <c r="HF4" s="197"/>
      <c r="HG4" s="197"/>
      <c r="HH4" s="197"/>
      <c r="HI4" s="197"/>
      <c r="HJ4" s="197"/>
      <c r="HK4" s="197"/>
      <c r="HL4" s="197"/>
      <c r="HM4" s="197"/>
      <c r="HN4" s="197"/>
      <c r="HO4" s="197"/>
      <c r="HP4" s="197"/>
      <c r="HQ4" s="197"/>
      <c r="HR4" s="197"/>
      <c r="HS4" s="197"/>
      <c r="HT4" s="197"/>
      <c r="HU4" s="197"/>
      <c r="HV4" s="197"/>
      <c r="HW4" s="197"/>
      <c r="HX4" s="197"/>
      <c r="HY4" s="197"/>
      <c r="HZ4" s="197"/>
      <c r="IA4" s="197"/>
      <c r="IB4" s="197"/>
      <c r="IC4" s="197"/>
      <c r="ID4" s="197"/>
      <c r="IE4" s="197"/>
      <c r="IF4" s="197"/>
      <c r="IG4" s="197"/>
      <c r="IH4" s="197"/>
      <c r="II4" s="197"/>
      <c r="IJ4" s="197"/>
      <c r="IK4" s="197"/>
      <c r="IL4" s="197"/>
      <c r="IM4" s="197"/>
      <c r="IN4" s="197"/>
      <c r="IO4" s="197"/>
      <c r="IP4" s="197"/>
      <c r="IQ4" s="197"/>
      <c r="IR4" s="197"/>
    </row>
    <row r="5" spans="1:252" ht="15">
      <c r="A5" s="195"/>
      <c r="B5" s="221" t="str">
        <f>'Income Statement Ann'!E9</f>
        <v xml:space="preserve">Variable Operating expense </v>
      </c>
      <c r="C5" s="195"/>
      <c r="D5" s="218">
        <f ca="1">'Income Statement Ann'!J9</f>
        <v>-353787.83998730907</v>
      </c>
      <c r="E5" s="218">
        <f ca="1">'Income Statement Ann'!K9</f>
        <v>-707989.73698279925</v>
      </c>
      <c r="F5" s="218">
        <f ca="1">'Income Statement Ann'!L9</f>
        <v>-1734178.6969832131</v>
      </c>
      <c r="G5" s="218">
        <f ca="1">'Income Statement Ann'!M9</f>
        <v>-3468418.251588448</v>
      </c>
      <c r="H5" s="218">
        <f ca="1">'Income Statement Ann'!N9</f>
        <v>-6935050.3339549042</v>
      </c>
      <c r="I5" s="195"/>
      <c r="J5" s="195"/>
      <c r="K5" s="197"/>
      <c r="L5" s="197"/>
      <c r="M5" s="197"/>
      <c r="N5" s="197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  <c r="AQ5" s="197"/>
      <c r="AR5" s="197"/>
      <c r="AS5" s="197"/>
      <c r="AT5" s="197"/>
      <c r="AU5" s="197"/>
      <c r="AV5" s="197"/>
      <c r="AW5" s="197"/>
      <c r="AX5" s="197"/>
      <c r="AY5" s="197"/>
      <c r="AZ5" s="197"/>
      <c r="BA5" s="197"/>
      <c r="BB5" s="197"/>
      <c r="BC5" s="197"/>
      <c r="BD5" s="197"/>
      <c r="BE5" s="197"/>
      <c r="BF5" s="197"/>
      <c r="BG5" s="197"/>
      <c r="BH5" s="197"/>
      <c r="BI5" s="197"/>
      <c r="BJ5" s="197"/>
      <c r="BK5" s="197"/>
      <c r="BL5" s="197"/>
      <c r="BM5" s="197"/>
      <c r="BN5" s="197"/>
      <c r="BO5" s="197"/>
      <c r="BP5" s="197"/>
      <c r="BQ5" s="197"/>
      <c r="BR5" s="197"/>
      <c r="BS5" s="197"/>
      <c r="BT5" s="197"/>
      <c r="BU5" s="197"/>
      <c r="BV5" s="197"/>
      <c r="BW5" s="197"/>
      <c r="BX5" s="197"/>
      <c r="BY5" s="197"/>
      <c r="BZ5" s="197"/>
      <c r="CA5" s="197"/>
      <c r="CB5" s="197"/>
      <c r="CC5" s="197"/>
      <c r="CD5" s="197"/>
      <c r="CE5" s="197"/>
      <c r="CF5" s="197"/>
      <c r="CG5" s="197"/>
      <c r="CH5" s="197"/>
      <c r="CI5" s="197"/>
      <c r="CJ5" s="197"/>
      <c r="CK5" s="197"/>
      <c r="CL5" s="197"/>
      <c r="CM5" s="197"/>
      <c r="CN5" s="197"/>
      <c r="CO5" s="197"/>
      <c r="CP5" s="197"/>
      <c r="CQ5" s="197"/>
      <c r="CR5" s="197"/>
      <c r="CS5" s="197"/>
      <c r="CT5" s="197"/>
      <c r="CU5" s="197"/>
      <c r="CV5" s="197"/>
      <c r="CW5" s="197"/>
      <c r="CX5" s="197"/>
      <c r="CY5" s="197"/>
      <c r="CZ5" s="197"/>
      <c r="DA5" s="197"/>
      <c r="DB5" s="197"/>
      <c r="DC5" s="197"/>
      <c r="DD5" s="197"/>
      <c r="DE5" s="197"/>
      <c r="DF5" s="197"/>
      <c r="DG5" s="197"/>
      <c r="DH5" s="197"/>
      <c r="DI5" s="197"/>
      <c r="DJ5" s="197"/>
      <c r="DK5" s="197"/>
      <c r="DL5" s="197"/>
      <c r="DM5" s="197"/>
      <c r="DN5" s="197"/>
      <c r="DO5" s="197"/>
      <c r="DP5" s="197"/>
      <c r="DQ5" s="197"/>
      <c r="DR5" s="197"/>
      <c r="DS5" s="197"/>
      <c r="DT5" s="197"/>
      <c r="DU5" s="197"/>
      <c r="DV5" s="197"/>
      <c r="DW5" s="197"/>
      <c r="DX5" s="197"/>
      <c r="DY5" s="197"/>
      <c r="DZ5" s="197"/>
      <c r="EA5" s="197"/>
      <c r="EB5" s="197"/>
      <c r="EC5" s="197"/>
      <c r="ED5" s="197"/>
      <c r="EE5" s="197"/>
      <c r="EF5" s="197"/>
      <c r="EG5" s="197"/>
      <c r="EH5" s="197"/>
      <c r="EI5" s="197"/>
      <c r="EJ5" s="197"/>
      <c r="EK5" s="197"/>
      <c r="EL5" s="197"/>
      <c r="EM5" s="197"/>
      <c r="EN5" s="197"/>
      <c r="EO5" s="197"/>
      <c r="EP5" s="197"/>
      <c r="EQ5" s="197"/>
      <c r="ER5" s="197"/>
      <c r="ES5" s="197"/>
      <c r="ET5" s="197"/>
      <c r="EU5" s="197"/>
      <c r="EV5" s="197"/>
      <c r="EW5" s="197"/>
      <c r="EX5" s="197"/>
      <c r="EY5" s="197"/>
      <c r="EZ5" s="197"/>
      <c r="FA5" s="197"/>
      <c r="FB5" s="197"/>
      <c r="FC5" s="197"/>
      <c r="FD5" s="197"/>
      <c r="FE5" s="197"/>
      <c r="FF5" s="197"/>
      <c r="FG5" s="197"/>
      <c r="FH5" s="197"/>
      <c r="FI5" s="197"/>
      <c r="FJ5" s="197"/>
      <c r="FK5" s="197"/>
      <c r="FL5" s="197"/>
      <c r="FM5" s="197"/>
      <c r="FN5" s="197"/>
      <c r="FO5" s="197"/>
      <c r="FP5" s="197"/>
      <c r="FQ5" s="197"/>
      <c r="FR5" s="197"/>
      <c r="FS5" s="197"/>
      <c r="FT5" s="197"/>
      <c r="FU5" s="197"/>
      <c r="FV5" s="197"/>
      <c r="FW5" s="197"/>
      <c r="FX5" s="197"/>
      <c r="FY5" s="197"/>
      <c r="FZ5" s="197"/>
      <c r="GA5" s="197"/>
      <c r="GB5" s="197"/>
      <c r="GC5" s="197"/>
      <c r="GD5" s="197"/>
      <c r="GE5" s="197"/>
      <c r="GF5" s="197"/>
      <c r="GG5" s="197"/>
      <c r="GH5" s="197"/>
      <c r="GI5" s="197"/>
      <c r="GJ5" s="197"/>
      <c r="GK5" s="197"/>
      <c r="GL5" s="197"/>
      <c r="GM5" s="197"/>
      <c r="GN5" s="197"/>
      <c r="GO5" s="197"/>
      <c r="GP5" s="197"/>
      <c r="GQ5" s="197"/>
      <c r="GR5" s="197"/>
      <c r="GS5" s="197"/>
      <c r="GT5" s="197"/>
      <c r="GU5" s="197"/>
      <c r="GV5" s="197"/>
      <c r="GW5" s="197"/>
      <c r="GX5" s="197"/>
      <c r="GY5" s="197"/>
      <c r="GZ5" s="197"/>
      <c r="HA5" s="197"/>
      <c r="HB5" s="197"/>
      <c r="HC5" s="197"/>
      <c r="HD5" s="197"/>
      <c r="HE5" s="197"/>
      <c r="HF5" s="197"/>
      <c r="HG5" s="197"/>
      <c r="HH5" s="197"/>
      <c r="HI5" s="197"/>
      <c r="HJ5" s="197"/>
      <c r="HK5" s="197"/>
      <c r="HL5" s="197"/>
      <c r="HM5" s="197"/>
      <c r="HN5" s="197"/>
      <c r="HO5" s="197"/>
      <c r="HP5" s="197"/>
      <c r="HQ5" s="197"/>
      <c r="HR5" s="197"/>
      <c r="HS5" s="197"/>
      <c r="HT5" s="197"/>
      <c r="HU5" s="197"/>
      <c r="HV5" s="197"/>
      <c r="HW5" s="197"/>
      <c r="HX5" s="197"/>
      <c r="HY5" s="197"/>
      <c r="HZ5" s="197"/>
      <c r="IA5" s="197"/>
      <c r="IB5" s="197"/>
      <c r="IC5" s="197"/>
      <c r="ID5" s="197"/>
      <c r="IE5" s="197"/>
      <c r="IF5" s="197"/>
      <c r="IG5" s="197"/>
      <c r="IH5" s="197"/>
      <c r="II5" s="197"/>
      <c r="IJ5" s="197"/>
      <c r="IK5" s="197"/>
      <c r="IL5" s="197"/>
      <c r="IM5" s="197"/>
      <c r="IN5" s="197"/>
      <c r="IO5" s="197"/>
      <c r="IP5" s="197"/>
      <c r="IQ5" s="197"/>
      <c r="IR5" s="197"/>
    </row>
    <row r="6" spans="1:252" ht="15">
      <c r="A6" s="195"/>
      <c r="B6" s="221" t="str">
        <f>'Income Statement Ann'!E10</f>
        <v xml:space="preserve">Fixed operating expense </v>
      </c>
      <c r="C6" s="195"/>
      <c r="D6" s="218">
        <f>'Income Statement Ann'!J10</f>
        <v>-311119.85656664212</v>
      </c>
      <c r="E6" s="218">
        <f>'Income Statement Ann'!K10</f>
        <v>-342255.27154374332</v>
      </c>
      <c r="F6" s="218">
        <f>'Income Statement Ann'!L10</f>
        <v>-376480.98544824088</v>
      </c>
      <c r="G6" s="218">
        <f>'Income Statement Ann'!M10</f>
        <v>-414122.38472134311</v>
      </c>
      <c r="H6" s="218">
        <f>'Income Statement Ann'!N10</f>
        <v>-455505.66544633987</v>
      </c>
      <c r="I6" s="195"/>
      <c r="J6" s="195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  <c r="AA6" s="197"/>
      <c r="AB6" s="197"/>
      <c r="AC6" s="197"/>
      <c r="AD6" s="197"/>
      <c r="AE6" s="197"/>
      <c r="AF6" s="197"/>
      <c r="AG6" s="197"/>
      <c r="AH6" s="197"/>
      <c r="AI6" s="197"/>
      <c r="AJ6" s="197"/>
      <c r="AK6" s="197"/>
      <c r="AL6" s="197"/>
      <c r="AM6" s="197"/>
      <c r="AN6" s="197"/>
      <c r="AO6" s="197"/>
      <c r="AP6" s="197"/>
      <c r="AQ6" s="197"/>
      <c r="AR6" s="197"/>
      <c r="AS6" s="197"/>
      <c r="AT6" s="197"/>
      <c r="AU6" s="197"/>
      <c r="AV6" s="197"/>
      <c r="AW6" s="197"/>
      <c r="AX6" s="197"/>
      <c r="AY6" s="197"/>
      <c r="AZ6" s="197"/>
      <c r="BA6" s="197"/>
      <c r="BB6" s="197"/>
      <c r="BC6" s="197"/>
      <c r="BD6" s="197"/>
      <c r="BE6" s="197"/>
      <c r="BF6" s="197"/>
      <c r="BG6" s="197"/>
      <c r="BH6" s="197"/>
      <c r="BI6" s="197"/>
      <c r="BJ6" s="197"/>
      <c r="BK6" s="197"/>
      <c r="BL6" s="197"/>
      <c r="BM6" s="197"/>
      <c r="BN6" s="197"/>
      <c r="BO6" s="197"/>
      <c r="BP6" s="197"/>
      <c r="BQ6" s="197"/>
      <c r="BR6" s="197"/>
      <c r="BS6" s="197"/>
      <c r="BT6" s="197"/>
      <c r="BU6" s="197"/>
      <c r="BV6" s="197"/>
      <c r="BW6" s="197"/>
      <c r="BX6" s="197"/>
      <c r="BY6" s="197"/>
      <c r="BZ6" s="197"/>
      <c r="CA6" s="197"/>
      <c r="CB6" s="197"/>
      <c r="CC6" s="197"/>
      <c r="CD6" s="197"/>
      <c r="CE6" s="197"/>
      <c r="CF6" s="197"/>
      <c r="CG6" s="197"/>
      <c r="CH6" s="197"/>
      <c r="CI6" s="197"/>
      <c r="CJ6" s="197"/>
      <c r="CK6" s="197"/>
      <c r="CL6" s="197"/>
      <c r="CM6" s="197"/>
      <c r="CN6" s="197"/>
      <c r="CO6" s="197"/>
      <c r="CP6" s="197"/>
      <c r="CQ6" s="197"/>
      <c r="CR6" s="197"/>
      <c r="CS6" s="197"/>
      <c r="CT6" s="197"/>
      <c r="CU6" s="197"/>
      <c r="CV6" s="197"/>
      <c r="CW6" s="197"/>
      <c r="CX6" s="197"/>
      <c r="CY6" s="197"/>
      <c r="CZ6" s="197"/>
      <c r="DA6" s="197"/>
      <c r="DB6" s="197"/>
      <c r="DC6" s="197"/>
      <c r="DD6" s="197"/>
      <c r="DE6" s="197"/>
      <c r="DF6" s="197"/>
      <c r="DG6" s="197"/>
      <c r="DH6" s="197"/>
      <c r="DI6" s="197"/>
      <c r="DJ6" s="197"/>
      <c r="DK6" s="197"/>
      <c r="DL6" s="197"/>
      <c r="DM6" s="197"/>
      <c r="DN6" s="197"/>
      <c r="DO6" s="197"/>
      <c r="DP6" s="197"/>
      <c r="DQ6" s="197"/>
      <c r="DR6" s="197"/>
      <c r="DS6" s="197"/>
      <c r="DT6" s="197"/>
      <c r="DU6" s="197"/>
      <c r="DV6" s="197"/>
      <c r="DW6" s="197"/>
      <c r="DX6" s="197"/>
      <c r="DY6" s="197"/>
      <c r="DZ6" s="197"/>
      <c r="EA6" s="197"/>
      <c r="EB6" s="197"/>
      <c r="EC6" s="197"/>
      <c r="ED6" s="197"/>
      <c r="EE6" s="197"/>
      <c r="EF6" s="197"/>
      <c r="EG6" s="197"/>
      <c r="EH6" s="197"/>
      <c r="EI6" s="197"/>
      <c r="EJ6" s="197"/>
      <c r="EK6" s="197"/>
      <c r="EL6" s="197"/>
      <c r="EM6" s="197"/>
      <c r="EN6" s="197"/>
      <c r="EO6" s="197"/>
      <c r="EP6" s="197"/>
      <c r="EQ6" s="197"/>
      <c r="ER6" s="197"/>
      <c r="ES6" s="197"/>
      <c r="ET6" s="197"/>
      <c r="EU6" s="197"/>
      <c r="EV6" s="197"/>
      <c r="EW6" s="197"/>
      <c r="EX6" s="197"/>
      <c r="EY6" s="197"/>
      <c r="EZ6" s="197"/>
      <c r="FA6" s="197"/>
      <c r="FB6" s="197"/>
      <c r="FC6" s="197"/>
      <c r="FD6" s="197"/>
      <c r="FE6" s="197"/>
      <c r="FF6" s="197"/>
      <c r="FG6" s="197"/>
      <c r="FH6" s="197"/>
      <c r="FI6" s="197"/>
      <c r="FJ6" s="197"/>
      <c r="FK6" s="197"/>
      <c r="FL6" s="197"/>
      <c r="FM6" s="197"/>
      <c r="FN6" s="197"/>
      <c r="FO6" s="197"/>
      <c r="FP6" s="197"/>
      <c r="FQ6" s="197"/>
      <c r="FR6" s="197"/>
      <c r="FS6" s="197"/>
      <c r="FT6" s="197"/>
      <c r="FU6" s="197"/>
      <c r="FV6" s="197"/>
      <c r="FW6" s="197"/>
      <c r="FX6" s="197"/>
      <c r="FY6" s="197"/>
      <c r="FZ6" s="197"/>
      <c r="GA6" s="197"/>
      <c r="GB6" s="197"/>
      <c r="GC6" s="197"/>
      <c r="GD6" s="197"/>
      <c r="GE6" s="197"/>
      <c r="GF6" s="197"/>
      <c r="GG6" s="197"/>
      <c r="GH6" s="197"/>
      <c r="GI6" s="197"/>
      <c r="GJ6" s="197"/>
      <c r="GK6" s="197"/>
      <c r="GL6" s="197"/>
      <c r="GM6" s="197"/>
      <c r="GN6" s="197"/>
      <c r="GO6" s="197"/>
      <c r="GP6" s="197"/>
      <c r="GQ6" s="197"/>
      <c r="GR6" s="197"/>
      <c r="GS6" s="197"/>
      <c r="GT6" s="197"/>
      <c r="GU6" s="197"/>
      <c r="GV6" s="197"/>
      <c r="GW6" s="197"/>
      <c r="GX6" s="197"/>
      <c r="GY6" s="197"/>
      <c r="GZ6" s="197"/>
      <c r="HA6" s="197"/>
      <c r="HB6" s="197"/>
      <c r="HC6" s="197"/>
      <c r="HD6" s="197"/>
      <c r="HE6" s="197"/>
      <c r="HF6" s="197"/>
      <c r="HG6" s="197"/>
      <c r="HH6" s="197"/>
      <c r="HI6" s="197"/>
      <c r="HJ6" s="197"/>
      <c r="HK6" s="197"/>
      <c r="HL6" s="197"/>
      <c r="HM6" s="197"/>
      <c r="HN6" s="197"/>
      <c r="HO6" s="197"/>
      <c r="HP6" s="197"/>
      <c r="HQ6" s="197"/>
      <c r="HR6" s="197"/>
      <c r="HS6" s="197"/>
      <c r="HT6" s="197"/>
      <c r="HU6" s="197"/>
      <c r="HV6" s="197"/>
      <c r="HW6" s="197"/>
      <c r="HX6" s="197"/>
      <c r="HY6" s="197"/>
      <c r="HZ6" s="197"/>
      <c r="IA6" s="197"/>
      <c r="IB6" s="197"/>
      <c r="IC6" s="197"/>
      <c r="ID6" s="197"/>
      <c r="IE6" s="197"/>
      <c r="IF6" s="197"/>
      <c r="IG6" s="197"/>
      <c r="IH6" s="197"/>
      <c r="II6" s="197"/>
      <c r="IJ6" s="197"/>
      <c r="IK6" s="197"/>
      <c r="IL6" s="197"/>
      <c r="IM6" s="197"/>
      <c r="IN6" s="197"/>
      <c r="IO6" s="197"/>
      <c r="IP6" s="197"/>
      <c r="IQ6" s="197"/>
      <c r="IR6" s="197"/>
    </row>
    <row r="7" spans="1:252" s="216" customFormat="1" ht="14.5">
      <c r="A7" s="215"/>
      <c r="B7" s="220" t="str">
        <f>'Income Statement Ann'!E11</f>
        <v>EBITDA</v>
      </c>
      <c r="C7" s="222"/>
      <c r="D7" s="217">
        <f ca="1">'Income Statement Ann'!J11</f>
        <v>180117.66492113232</v>
      </c>
      <c r="E7" s="217">
        <f ca="1">'Income Statement Ann'!K11</f>
        <v>4004578.1914628814</v>
      </c>
      <c r="F7" s="217">
        <f ca="1">'Income Statement Ann'!L11</f>
        <v>10914425.854010871</v>
      </c>
      <c r="G7" s="217">
        <f ca="1">'Income Statement Ann'!M11</f>
        <v>24656810.463837624</v>
      </c>
      <c r="H7" s="217">
        <f ca="1">'Income Statement Ann'!N11</f>
        <v>51792340.493239582</v>
      </c>
      <c r="I7" s="215"/>
      <c r="J7" s="215"/>
      <c r="K7" s="215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  <c r="BH7" s="198"/>
      <c r="BI7" s="198"/>
      <c r="BJ7" s="198"/>
      <c r="BK7" s="198"/>
      <c r="BL7" s="198"/>
      <c r="BM7" s="198"/>
      <c r="BN7" s="198"/>
      <c r="BO7" s="198"/>
      <c r="BP7" s="198"/>
      <c r="BQ7" s="198"/>
      <c r="BR7" s="198"/>
      <c r="BS7" s="198"/>
      <c r="BT7" s="198"/>
      <c r="BU7" s="198"/>
      <c r="BV7" s="198"/>
      <c r="BW7" s="198"/>
      <c r="BX7" s="198"/>
      <c r="BY7" s="198"/>
      <c r="BZ7" s="198"/>
      <c r="CA7" s="198"/>
      <c r="CB7" s="198"/>
      <c r="CC7" s="198"/>
      <c r="CD7" s="198"/>
      <c r="CE7" s="198"/>
      <c r="CF7" s="198"/>
      <c r="CG7" s="198"/>
      <c r="CH7" s="198"/>
      <c r="CI7" s="198"/>
      <c r="CJ7" s="198"/>
      <c r="CK7" s="198"/>
      <c r="CL7" s="198"/>
      <c r="CM7" s="198"/>
      <c r="CN7" s="198"/>
      <c r="CO7" s="198"/>
      <c r="CP7" s="198"/>
      <c r="CQ7" s="198"/>
      <c r="CR7" s="198"/>
      <c r="CS7" s="198"/>
      <c r="CT7" s="198"/>
      <c r="CU7" s="198"/>
      <c r="CV7" s="198"/>
      <c r="CW7" s="198"/>
      <c r="CX7" s="198"/>
      <c r="CY7" s="198"/>
      <c r="CZ7" s="198"/>
      <c r="DA7" s="198"/>
      <c r="DB7" s="198"/>
      <c r="DC7" s="198"/>
      <c r="DD7" s="198"/>
      <c r="DE7" s="198"/>
      <c r="DF7" s="198"/>
      <c r="DG7" s="198"/>
      <c r="DH7" s="198"/>
      <c r="DI7" s="198"/>
      <c r="DJ7" s="198"/>
      <c r="DK7" s="198"/>
      <c r="DL7" s="198"/>
      <c r="DM7" s="198"/>
      <c r="DN7" s="198"/>
      <c r="DO7" s="198"/>
      <c r="DP7" s="198"/>
      <c r="DQ7" s="198"/>
      <c r="DR7" s="198"/>
      <c r="DS7" s="198"/>
      <c r="DT7" s="198"/>
      <c r="DU7" s="198"/>
      <c r="DV7" s="198"/>
      <c r="DW7" s="198"/>
      <c r="DX7" s="198"/>
      <c r="DY7" s="198"/>
      <c r="DZ7" s="198"/>
      <c r="EA7" s="198"/>
      <c r="EB7" s="198"/>
      <c r="EC7" s="198"/>
      <c r="ED7" s="198"/>
      <c r="EE7" s="198"/>
      <c r="EF7" s="198"/>
      <c r="EG7" s="198"/>
      <c r="EH7" s="198"/>
      <c r="EI7" s="198"/>
      <c r="EJ7" s="198"/>
      <c r="EK7" s="198"/>
      <c r="EL7" s="198"/>
      <c r="EM7" s="198"/>
      <c r="EN7" s="198"/>
      <c r="EO7" s="198"/>
      <c r="EP7" s="198"/>
      <c r="EQ7" s="198"/>
      <c r="ER7" s="198"/>
      <c r="ES7" s="198"/>
      <c r="ET7" s="198"/>
      <c r="EU7" s="198"/>
      <c r="EV7" s="198"/>
      <c r="EW7" s="198"/>
      <c r="EX7" s="198"/>
      <c r="EY7" s="198"/>
      <c r="EZ7" s="198"/>
      <c r="FA7" s="198"/>
      <c r="FB7" s="198"/>
      <c r="FC7" s="198"/>
      <c r="FD7" s="198"/>
      <c r="FE7" s="198"/>
      <c r="FF7" s="198"/>
      <c r="FG7" s="198"/>
      <c r="FH7" s="198"/>
      <c r="FI7" s="198"/>
      <c r="FJ7" s="198"/>
      <c r="FK7" s="198"/>
      <c r="FL7" s="198"/>
      <c r="FM7" s="198"/>
      <c r="FN7" s="198"/>
      <c r="FO7" s="198"/>
      <c r="FP7" s="198"/>
      <c r="FQ7" s="198"/>
      <c r="FR7" s="198"/>
      <c r="FS7" s="198"/>
      <c r="FT7" s="198"/>
      <c r="FU7" s="198"/>
      <c r="FV7" s="198"/>
      <c r="FW7" s="198"/>
      <c r="FX7" s="198"/>
      <c r="FY7" s="198"/>
      <c r="FZ7" s="198"/>
      <c r="GA7" s="198"/>
      <c r="GB7" s="198"/>
      <c r="GC7" s="198"/>
      <c r="GD7" s="198"/>
      <c r="GE7" s="198"/>
      <c r="GF7" s="198"/>
      <c r="GG7" s="198"/>
      <c r="GH7" s="198"/>
      <c r="GI7" s="198"/>
      <c r="GJ7" s="198"/>
      <c r="GK7" s="198"/>
      <c r="GL7" s="198"/>
      <c r="GM7" s="198"/>
      <c r="GN7" s="198"/>
      <c r="GO7" s="198"/>
      <c r="GP7" s="198"/>
      <c r="GQ7" s="198"/>
      <c r="GR7" s="198"/>
      <c r="GS7" s="198"/>
      <c r="GT7" s="198"/>
      <c r="GU7" s="198"/>
      <c r="GV7" s="198"/>
      <c r="GW7" s="198"/>
      <c r="GX7" s="198"/>
      <c r="GY7" s="198"/>
      <c r="GZ7" s="198"/>
      <c r="HA7" s="198"/>
      <c r="HB7" s="198"/>
      <c r="HC7" s="198"/>
      <c r="HD7" s="198"/>
      <c r="HE7" s="198"/>
      <c r="HF7" s="198"/>
      <c r="HG7" s="198"/>
      <c r="HH7" s="198"/>
      <c r="HI7" s="198"/>
      <c r="HJ7" s="198"/>
      <c r="HK7" s="198"/>
      <c r="HL7" s="198"/>
      <c r="HM7" s="198"/>
      <c r="HN7" s="198"/>
      <c r="HO7" s="198"/>
      <c r="HP7" s="198"/>
      <c r="HQ7" s="198"/>
      <c r="HR7" s="198"/>
      <c r="HS7" s="198"/>
      <c r="HT7" s="198"/>
      <c r="HU7" s="198"/>
      <c r="HV7" s="198"/>
      <c r="HW7" s="198"/>
      <c r="HX7" s="198"/>
      <c r="HY7" s="198"/>
      <c r="HZ7" s="198"/>
      <c r="IA7" s="198"/>
      <c r="IB7" s="198"/>
      <c r="IC7" s="198"/>
      <c r="ID7" s="198"/>
      <c r="IE7" s="198"/>
      <c r="IF7" s="198"/>
      <c r="IG7" s="198"/>
      <c r="IH7" s="198"/>
      <c r="II7" s="198"/>
      <c r="IJ7" s="198"/>
      <c r="IK7" s="198"/>
      <c r="IL7" s="198"/>
      <c r="IM7" s="198"/>
      <c r="IN7" s="198"/>
      <c r="IO7" s="198"/>
      <c r="IP7" s="198"/>
      <c r="IQ7" s="198"/>
      <c r="IR7" s="198"/>
    </row>
    <row r="8" spans="1:252" ht="15">
      <c r="A8" s="195"/>
      <c r="B8" s="221"/>
      <c r="C8" s="195"/>
      <c r="D8" s="218"/>
      <c r="E8" s="218"/>
      <c r="F8" s="218"/>
      <c r="G8" s="218"/>
      <c r="H8" s="218"/>
      <c r="I8" s="195"/>
      <c r="J8" s="195"/>
      <c r="K8" s="197"/>
      <c r="L8" s="197"/>
      <c r="M8" s="197"/>
      <c r="N8" s="197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  <c r="AQ8" s="197"/>
      <c r="AR8" s="197"/>
      <c r="AS8" s="197"/>
      <c r="AT8" s="197"/>
      <c r="AU8" s="197"/>
      <c r="AV8" s="197"/>
      <c r="AW8" s="197"/>
      <c r="AX8" s="197"/>
      <c r="AY8" s="197"/>
      <c r="AZ8" s="197"/>
      <c r="BA8" s="197"/>
      <c r="BB8" s="197"/>
      <c r="BC8" s="197"/>
      <c r="BD8" s="197"/>
      <c r="BE8" s="197"/>
      <c r="BF8" s="197"/>
      <c r="BG8" s="197"/>
      <c r="BH8" s="197"/>
      <c r="BI8" s="197"/>
      <c r="BJ8" s="197"/>
      <c r="BK8" s="197"/>
      <c r="BL8" s="197"/>
      <c r="BM8" s="197"/>
      <c r="BN8" s="197"/>
      <c r="BO8" s="197"/>
      <c r="BP8" s="197"/>
      <c r="BQ8" s="197"/>
      <c r="BR8" s="197"/>
      <c r="BS8" s="197"/>
      <c r="BT8" s="197"/>
      <c r="BU8" s="197"/>
      <c r="BV8" s="197"/>
      <c r="BW8" s="197"/>
      <c r="BX8" s="197"/>
      <c r="BY8" s="197"/>
      <c r="BZ8" s="197"/>
      <c r="CA8" s="197"/>
      <c r="CB8" s="197"/>
      <c r="CC8" s="197"/>
      <c r="CD8" s="197"/>
      <c r="CE8" s="197"/>
      <c r="CF8" s="197"/>
      <c r="CG8" s="197"/>
      <c r="CH8" s="197"/>
      <c r="CI8" s="197"/>
      <c r="CJ8" s="197"/>
      <c r="CK8" s="197"/>
      <c r="CL8" s="197"/>
      <c r="CM8" s="197"/>
      <c r="CN8" s="197"/>
      <c r="CO8" s="197"/>
      <c r="CP8" s="197"/>
      <c r="CQ8" s="197"/>
      <c r="CR8" s="197"/>
      <c r="CS8" s="197"/>
      <c r="CT8" s="197"/>
      <c r="CU8" s="197"/>
      <c r="CV8" s="197"/>
      <c r="CW8" s="197"/>
      <c r="CX8" s="197"/>
      <c r="CY8" s="197"/>
      <c r="CZ8" s="197"/>
      <c r="DA8" s="197"/>
      <c r="DB8" s="197"/>
      <c r="DC8" s="197"/>
      <c r="DD8" s="197"/>
      <c r="DE8" s="197"/>
      <c r="DF8" s="197"/>
      <c r="DG8" s="197"/>
      <c r="DH8" s="197"/>
      <c r="DI8" s="197"/>
      <c r="DJ8" s="197"/>
      <c r="DK8" s="197"/>
      <c r="DL8" s="197"/>
      <c r="DM8" s="197"/>
      <c r="DN8" s="197"/>
      <c r="DO8" s="197"/>
      <c r="DP8" s="197"/>
      <c r="DQ8" s="197"/>
      <c r="DR8" s="197"/>
      <c r="DS8" s="197"/>
      <c r="DT8" s="197"/>
      <c r="DU8" s="197"/>
      <c r="DV8" s="197"/>
      <c r="DW8" s="197"/>
      <c r="DX8" s="197"/>
      <c r="DY8" s="197"/>
      <c r="DZ8" s="197"/>
      <c r="EA8" s="197"/>
      <c r="EB8" s="197"/>
      <c r="EC8" s="197"/>
      <c r="ED8" s="197"/>
      <c r="EE8" s="197"/>
      <c r="EF8" s="197"/>
      <c r="EG8" s="197"/>
      <c r="EH8" s="197"/>
      <c r="EI8" s="197"/>
      <c r="EJ8" s="197"/>
      <c r="EK8" s="197"/>
      <c r="EL8" s="197"/>
      <c r="EM8" s="197"/>
      <c r="EN8" s="197"/>
      <c r="EO8" s="197"/>
      <c r="EP8" s="197"/>
      <c r="EQ8" s="197"/>
      <c r="ER8" s="197"/>
      <c r="ES8" s="197"/>
      <c r="ET8" s="197"/>
      <c r="EU8" s="197"/>
      <c r="EV8" s="197"/>
      <c r="EW8" s="197"/>
      <c r="EX8" s="197"/>
      <c r="EY8" s="197"/>
      <c r="EZ8" s="197"/>
      <c r="FA8" s="197"/>
      <c r="FB8" s="197"/>
      <c r="FC8" s="197"/>
      <c r="FD8" s="197"/>
      <c r="FE8" s="197"/>
      <c r="FF8" s="197"/>
      <c r="FG8" s="197"/>
      <c r="FH8" s="197"/>
      <c r="FI8" s="197"/>
      <c r="FJ8" s="197"/>
      <c r="FK8" s="197"/>
      <c r="FL8" s="197"/>
      <c r="FM8" s="197"/>
      <c r="FN8" s="197"/>
      <c r="FO8" s="197"/>
      <c r="FP8" s="197"/>
      <c r="FQ8" s="197"/>
      <c r="FR8" s="197"/>
      <c r="FS8" s="197"/>
      <c r="FT8" s="197"/>
      <c r="FU8" s="197"/>
      <c r="FV8" s="197"/>
      <c r="FW8" s="197"/>
      <c r="FX8" s="197"/>
      <c r="FY8" s="197"/>
      <c r="FZ8" s="197"/>
      <c r="GA8" s="197"/>
      <c r="GB8" s="197"/>
      <c r="GC8" s="197"/>
      <c r="GD8" s="197"/>
      <c r="GE8" s="197"/>
      <c r="GF8" s="197"/>
      <c r="GG8" s="197"/>
      <c r="GH8" s="197"/>
      <c r="GI8" s="197"/>
      <c r="GJ8" s="197"/>
      <c r="GK8" s="197"/>
      <c r="GL8" s="197"/>
      <c r="GM8" s="197"/>
      <c r="GN8" s="197"/>
      <c r="GO8" s="197"/>
      <c r="GP8" s="197"/>
      <c r="GQ8" s="197"/>
      <c r="GR8" s="197"/>
      <c r="GS8" s="197"/>
      <c r="GT8" s="197"/>
      <c r="GU8" s="197"/>
      <c r="GV8" s="197"/>
      <c r="GW8" s="197"/>
      <c r="GX8" s="197"/>
      <c r="GY8" s="197"/>
      <c r="GZ8" s="197"/>
      <c r="HA8" s="197"/>
      <c r="HB8" s="197"/>
      <c r="HC8" s="197"/>
      <c r="HD8" s="197"/>
      <c r="HE8" s="197"/>
      <c r="HF8" s="197"/>
      <c r="HG8" s="197"/>
      <c r="HH8" s="197"/>
      <c r="HI8" s="197"/>
      <c r="HJ8" s="197"/>
      <c r="HK8" s="197"/>
      <c r="HL8" s="197"/>
      <c r="HM8" s="197"/>
      <c r="HN8" s="197"/>
      <c r="HO8" s="197"/>
      <c r="HP8" s="197"/>
      <c r="HQ8" s="197"/>
      <c r="HR8" s="197"/>
      <c r="HS8" s="197"/>
      <c r="HT8" s="197"/>
      <c r="HU8" s="197"/>
      <c r="HV8" s="197"/>
      <c r="HW8" s="197"/>
      <c r="HX8" s="197"/>
      <c r="HY8" s="197"/>
      <c r="HZ8" s="197"/>
      <c r="IA8" s="197"/>
      <c r="IB8" s="197"/>
      <c r="IC8" s="197"/>
      <c r="ID8" s="197"/>
      <c r="IE8" s="197"/>
      <c r="IF8" s="197"/>
      <c r="IG8" s="197"/>
      <c r="IH8" s="197"/>
      <c r="II8" s="197"/>
      <c r="IJ8" s="197"/>
      <c r="IK8" s="197"/>
      <c r="IL8" s="197"/>
      <c r="IM8" s="197"/>
      <c r="IN8" s="197"/>
      <c r="IO8" s="197"/>
      <c r="IP8" s="197"/>
      <c r="IQ8" s="197"/>
      <c r="IR8" s="197"/>
    </row>
    <row r="9" spans="1:252" ht="15">
      <c r="A9" s="195"/>
      <c r="B9" s="221" t="str">
        <f>'Income Statement Ann'!E13</f>
        <v xml:space="preserve">Depreciation this period </v>
      </c>
      <c r="C9" s="195"/>
      <c r="D9" s="218">
        <f ca="1">'Income Statement Ann'!J13</f>
        <v>-116666.66666666666</v>
      </c>
      <c r="E9" s="218">
        <f ca="1">'Income Statement Ann'!K13</f>
        <v>-328124.99999999994</v>
      </c>
      <c r="F9" s="218">
        <f ca="1">'Income Statement Ann'!L13</f>
        <v>-633545.46931534389</v>
      </c>
      <c r="G9" s="218">
        <f ca="1">'Income Statement Ann'!M13</f>
        <v>-1053985.7271819548</v>
      </c>
      <c r="H9" s="218">
        <f ca="1">'Income Statement Ann'!N13</f>
        <v>-1586331.4413836035</v>
      </c>
      <c r="I9" s="195"/>
      <c r="J9" s="195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  <c r="AQ9" s="197"/>
      <c r="AR9" s="197"/>
      <c r="AS9" s="197"/>
      <c r="AT9" s="197"/>
      <c r="AU9" s="197"/>
      <c r="AV9" s="197"/>
      <c r="AW9" s="197"/>
      <c r="AX9" s="197"/>
      <c r="AY9" s="197"/>
      <c r="AZ9" s="197"/>
      <c r="BA9" s="197"/>
      <c r="BB9" s="197"/>
      <c r="BC9" s="197"/>
      <c r="BD9" s="197"/>
      <c r="BE9" s="197"/>
      <c r="BF9" s="197"/>
      <c r="BG9" s="197"/>
      <c r="BH9" s="197"/>
      <c r="BI9" s="197"/>
      <c r="BJ9" s="197"/>
      <c r="BK9" s="197"/>
      <c r="BL9" s="197"/>
      <c r="BM9" s="197"/>
      <c r="BN9" s="197"/>
      <c r="BO9" s="197"/>
      <c r="BP9" s="197"/>
      <c r="BQ9" s="197"/>
      <c r="BR9" s="197"/>
      <c r="BS9" s="197"/>
      <c r="BT9" s="197"/>
      <c r="BU9" s="197"/>
      <c r="BV9" s="197"/>
      <c r="BW9" s="197"/>
      <c r="BX9" s="197"/>
      <c r="BY9" s="197"/>
      <c r="BZ9" s="197"/>
      <c r="CA9" s="197"/>
      <c r="CB9" s="197"/>
      <c r="CC9" s="197"/>
      <c r="CD9" s="197"/>
      <c r="CE9" s="197"/>
      <c r="CF9" s="197"/>
      <c r="CG9" s="197"/>
      <c r="CH9" s="197"/>
      <c r="CI9" s="197"/>
      <c r="CJ9" s="197"/>
      <c r="CK9" s="197"/>
      <c r="CL9" s="197"/>
      <c r="CM9" s="197"/>
      <c r="CN9" s="197"/>
      <c r="CO9" s="197"/>
      <c r="CP9" s="197"/>
      <c r="CQ9" s="197"/>
      <c r="CR9" s="197"/>
      <c r="CS9" s="197"/>
      <c r="CT9" s="197"/>
      <c r="CU9" s="197"/>
      <c r="CV9" s="197"/>
      <c r="CW9" s="197"/>
      <c r="CX9" s="197"/>
      <c r="CY9" s="197"/>
      <c r="CZ9" s="197"/>
      <c r="DA9" s="197"/>
      <c r="DB9" s="197"/>
      <c r="DC9" s="197"/>
      <c r="DD9" s="197"/>
      <c r="DE9" s="197"/>
      <c r="DF9" s="197"/>
      <c r="DG9" s="197"/>
      <c r="DH9" s="197"/>
      <c r="DI9" s="197"/>
      <c r="DJ9" s="197"/>
      <c r="DK9" s="197"/>
      <c r="DL9" s="197"/>
      <c r="DM9" s="197"/>
      <c r="DN9" s="197"/>
      <c r="DO9" s="197"/>
      <c r="DP9" s="197"/>
      <c r="DQ9" s="197"/>
      <c r="DR9" s="197"/>
      <c r="DS9" s="197"/>
      <c r="DT9" s="197"/>
      <c r="DU9" s="197"/>
      <c r="DV9" s="197"/>
      <c r="DW9" s="197"/>
      <c r="DX9" s="197"/>
      <c r="DY9" s="197"/>
      <c r="DZ9" s="197"/>
      <c r="EA9" s="197"/>
      <c r="EB9" s="197"/>
      <c r="EC9" s="197"/>
      <c r="ED9" s="197"/>
      <c r="EE9" s="197"/>
      <c r="EF9" s="197"/>
      <c r="EG9" s="197"/>
      <c r="EH9" s="197"/>
      <c r="EI9" s="197"/>
      <c r="EJ9" s="197"/>
      <c r="EK9" s="197"/>
      <c r="EL9" s="197"/>
      <c r="EM9" s="197"/>
      <c r="EN9" s="197"/>
      <c r="EO9" s="197"/>
      <c r="EP9" s="197"/>
      <c r="EQ9" s="197"/>
      <c r="ER9" s="197"/>
      <c r="ES9" s="197"/>
      <c r="ET9" s="197"/>
      <c r="EU9" s="197"/>
      <c r="EV9" s="197"/>
      <c r="EW9" s="197"/>
      <c r="EX9" s="197"/>
      <c r="EY9" s="197"/>
      <c r="EZ9" s="197"/>
      <c r="FA9" s="197"/>
      <c r="FB9" s="197"/>
      <c r="FC9" s="197"/>
      <c r="FD9" s="197"/>
      <c r="FE9" s="197"/>
      <c r="FF9" s="197"/>
      <c r="FG9" s="197"/>
      <c r="FH9" s="197"/>
      <c r="FI9" s="197"/>
      <c r="FJ9" s="197"/>
      <c r="FK9" s="197"/>
      <c r="FL9" s="197"/>
      <c r="FM9" s="197"/>
      <c r="FN9" s="197"/>
      <c r="FO9" s="197"/>
      <c r="FP9" s="197"/>
      <c r="FQ9" s="197"/>
      <c r="FR9" s="197"/>
      <c r="FS9" s="197"/>
      <c r="FT9" s="197"/>
      <c r="FU9" s="197"/>
      <c r="FV9" s="197"/>
      <c r="FW9" s="197"/>
      <c r="FX9" s="197"/>
      <c r="FY9" s="197"/>
      <c r="FZ9" s="197"/>
      <c r="GA9" s="197"/>
      <c r="GB9" s="197"/>
      <c r="GC9" s="197"/>
      <c r="GD9" s="197"/>
      <c r="GE9" s="197"/>
      <c r="GF9" s="197"/>
      <c r="GG9" s="197"/>
      <c r="GH9" s="197"/>
      <c r="GI9" s="197"/>
      <c r="GJ9" s="197"/>
      <c r="GK9" s="197"/>
      <c r="GL9" s="197"/>
      <c r="GM9" s="197"/>
      <c r="GN9" s="197"/>
      <c r="GO9" s="197"/>
      <c r="GP9" s="197"/>
      <c r="GQ9" s="197"/>
      <c r="GR9" s="197"/>
      <c r="GS9" s="197"/>
      <c r="GT9" s="197"/>
      <c r="GU9" s="197"/>
      <c r="GV9" s="197"/>
      <c r="GW9" s="197"/>
      <c r="GX9" s="197"/>
      <c r="GY9" s="197"/>
      <c r="GZ9" s="197"/>
      <c r="HA9" s="197"/>
      <c r="HB9" s="197"/>
      <c r="HC9" s="197"/>
      <c r="HD9" s="197"/>
      <c r="HE9" s="197"/>
      <c r="HF9" s="197"/>
      <c r="HG9" s="197"/>
      <c r="HH9" s="197"/>
      <c r="HI9" s="197"/>
      <c r="HJ9" s="197"/>
      <c r="HK9" s="197"/>
      <c r="HL9" s="197"/>
      <c r="HM9" s="197"/>
      <c r="HN9" s="197"/>
      <c r="HO9" s="197"/>
      <c r="HP9" s="197"/>
      <c r="HQ9" s="197"/>
      <c r="HR9" s="197"/>
      <c r="HS9" s="197"/>
      <c r="HT9" s="197"/>
      <c r="HU9" s="197"/>
      <c r="HV9" s="197"/>
      <c r="HW9" s="197"/>
      <c r="HX9" s="197"/>
      <c r="HY9" s="197"/>
      <c r="HZ9" s="197"/>
      <c r="IA9" s="197"/>
      <c r="IB9" s="197"/>
      <c r="IC9" s="197"/>
      <c r="ID9" s="197"/>
      <c r="IE9" s="197"/>
      <c r="IF9" s="197"/>
      <c r="IG9" s="197"/>
      <c r="IH9" s="197"/>
      <c r="II9" s="197"/>
      <c r="IJ9" s="197"/>
      <c r="IK9" s="197"/>
      <c r="IL9" s="197"/>
      <c r="IM9" s="197"/>
      <c r="IN9" s="197"/>
      <c r="IO9" s="197"/>
      <c r="IP9" s="197"/>
      <c r="IQ9" s="197"/>
      <c r="IR9" s="197"/>
    </row>
    <row r="10" spans="1:252" s="216" customFormat="1" ht="14.5">
      <c r="A10" s="215"/>
      <c r="B10" s="220" t="str">
        <f>'Income Statement Ann'!E14</f>
        <v>EBIT</v>
      </c>
      <c r="C10" s="222"/>
      <c r="D10" s="217">
        <f ca="1">'Income Statement Ann'!J14</f>
        <v>63450.998254465696</v>
      </c>
      <c r="E10" s="217">
        <f ca="1">'Income Statement Ann'!K14</f>
        <v>3676453.1914628819</v>
      </c>
      <c r="F10" s="217">
        <f ca="1">'Income Statement Ann'!L14</f>
        <v>10280880.384695526</v>
      </c>
      <c r="G10" s="217">
        <f ca="1">'Income Statement Ann'!M14</f>
        <v>23602824.736655667</v>
      </c>
      <c r="H10" s="217">
        <f ca="1">'Income Statement Ann'!N14</f>
        <v>50206009.051855989</v>
      </c>
      <c r="I10" s="215"/>
      <c r="J10" s="215"/>
      <c r="K10" s="215"/>
      <c r="L10" s="198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  <c r="AA10" s="198"/>
      <c r="AB10" s="198"/>
      <c r="AC10" s="198"/>
      <c r="AD10" s="198"/>
      <c r="AE10" s="198"/>
      <c r="AF10" s="198"/>
      <c r="AG10" s="198"/>
      <c r="AH10" s="198"/>
      <c r="AI10" s="198"/>
      <c r="AJ10" s="198"/>
      <c r="AK10" s="198"/>
      <c r="AL10" s="198"/>
      <c r="AM10" s="198"/>
      <c r="AN10" s="198"/>
      <c r="AO10" s="198"/>
      <c r="AP10" s="198"/>
      <c r="AQ10" s="198"/>
      <c r="AR10" s="198"/>
      <c r="AS10" s="198"/>
      <c r="AT10" s="198"/>
      <c r="AU10" s="198"/>
      <c r="AV10" s="198"/>
      <c r="AW10" s="198"/>
      <c r="AX10" s="198"/>
      <c r="AY10" s="198"/>
      <c r="AZ10" s="198"/>
      <c r="BA10" s="198"/>
      <c r="BB10" s="198"/>
      <c r="BC10" s="198"/>
      <c r="BD10" s="198"/>
      <c r="BE10" s="198"/>
      <c r="BF10" s="198"/>
      <c r="BG10" s="198"/>
      <c r="BH10" s="198"/>
      <c r="BI10" s="198"/>
      <c r="BJ10" s="198"/>
      <c r="BK10" s="198"/>
      <c r="BL10" s="198"/>
      <c r="BM10" s="198"/>
      <c r="BN10" s="198"/>
      <c r="BO10" s="198"/>
      <c r="BP10" s="198"/>
      <c r="BQ10" s="198"/>
      <c r="BR10" s="198"/>
      <c r="BS10" s="198"/>
      <c r="BT10" s="198"/>
      <c r="BU10" s="198"/>
      <c r="BV10" s="198"/>
      <c r="BW10" s="198"/>
      <c r="BX10" s="198"/>
      <c r="BY10" s="198"/>
      <c r="BZ10" s="198"/>
      <c r="CA10" s="198"/>
      <c r="CB10" s="198"/>
      <c r="CC10" s="198"/>
      <c r="CD10" s="198"/>
      <c r="CE10" s="198"/>
      <c r="CF10" s="198"/>
      <c r="CG10" s="198"/>
      <c r="CH10" s="198"/>
      <c r="CI10" s="198"/>
      <c r="CJ10" s="198"/>
      <c r="CK10" s="198"/>
      <c r="CL10" s="198"/>
      <c r="CM10" s="198"/>
      <c r="CN10" s="198"/>
      <c r="CO10" s="198"/>
      <c r="CP10" s="198"/>
      <c r="CQ10" s="198"/>
      <c r="CR10" s="198"/>
      <c r="CS10" s="198"/>
      <c r="CT10" s="198"/>
      <c r="CU10" s="198"/>
      <c r="CV10" s="198"/>
      <c r="CW10" s="198"/>
      <c r="CX10" s="198"/>
      <c r="CY10" s="198"/>
      <c r="CZ10" s="198"/>
      <c r="DA10" s="198"/>
      <c r="DB10" s="198"/>
      <c r="DC10" s="198"/>
      <c r="DD10" s="198"/>
      <c r="DE10" s="198"/>
      <c r="DF10" s="198"/>
      <c r="DG10" s="198"/>
      <c r="DH10" s="198"/>
      <c r="DI10" s="198"/>
      <c r="DJ10" s="198"/>
      <c r="DK10" s="198"/>
      <c r="DL10" s="198"/>
      <c r="DM10" s="198"/>
      <c r="DN10" s="198"/>
      <c r="DO10" s="198"/>
      <c r="DP10" s="198"/>
      <c r="DQ10" s="198"/>
      <c r="DR10" s="198"/>
      <c r="DS10" s="198"/>
      <c r="DT10" s="198"/>
      <c r="DU10" s="198"/>
      <c r="DV10" s="198"/>
      <c r="DW10" s="198"/>
      <c r="DX10" s="198"/>
      <c r="DY10" s="198"/>
      <c r="DZ10" s="198"/>
      <c r="EA10" s="198"/>
      <c r="EB10" s="198"/>
      <c r="EC10" s="198"/>
      <c r="ED10" s="198"/>
      <c r="EE10" s="198"/>
      <c r="EF10" s="198"/>
      <c r="EG10" s="198"/>
      <c r="EH10" s="198"/>
      <c r="EI10" s="198"/>
      <c r="EJ10" s="198"/>
      <c r="EK10" s="198"/>
      <c r="EL10" s="198"/>
      <c r="EM10" s="198"/>
      <c r="EN10" s="198"/>
      <c r="EO10" s="198"/>
      <c r="EP10" s="198"/>
      <c r="EQ10" s="198"/>
      <c r="ER10" s="198"/>
      <c r="ES10" s="198"/>
      <c r="ET10" s="198"/>
      <c r="EU10" s="198"/>
      <c r="EV10" s="198"/>
      <c r="EW10" s="198"/>
      <c r="EX10" s="198"/>
      <c r="EY10" s="198"/>
      <c r="EZ10" s="198"/>
      <c r="FA10" s="198"/>
      <c r="FB10" s="198"/>
      <c r="FC10" s="198"/>
      <c r="FD10" s="198"/>
      <c r="FE10" s="198"/>
      <c r="FF10" s="198"/>
      <c r="FG10" s="198"/>
      <c r="FH10" s="198"/>
      <c r="FI10" s="198"/>
      <c r="FJ10" s="198"/>
      <c r="FK10" s="198"/>
      <c r="FL10" s="198"/>
      <c r="FM10" s="198"/>
      <c r="FN10" s="198"/>
      <c r="FO10" s="198"/>
      <c r="FP10" s="198"/>
      <c r="FQ10" s="198"/>
      <c r="FR10" s="198"/>
      <c r="FS10" s="198"/>
      <c r="FT10" s="198"/>
      <c r="FU10" s="198"/>
      <c r="FV10" s="198"/>
      <c r="FW10" s="198"/>
      <c r="FX10" s="198"/>
      <c r="FY10" s="198"/>
      <c r="FZ10" s="198"/>
      <c r="GA10" s="198"/>
      <c r="GB10" s="198"/>
      <c r="GC10" s="198"/>
      <c r="GD10" s="198"/>
      <c r="GE10" s="198"/>
      <c r="GF10" s="198"/>
      <c r="GG10" s="198"/>
      <c r="GH10" s="198"/>
      <c r="GI10" s="198"/>
      <c r="GJ10" s="198"/>
      <c r="GK10" s="198"/>
      <c r="GL10" s="198"/>
      <c r="GM10" s="198"/>
      <c r="GN10" s="198"/>
      <c r="GO10" s="198"/>
      <c r="GP10" s="198"/>
      <c r="GQ10" s="198"/>
      <c r="GR10" s="198"/>
      <c r="GS10" s="198"/>
      <c r="GT10" s="198"/>
      <c r="GU10" s="198"/>
      <c r="GV10" s="198"/>
      <c r="GW10" s="198"/>
      <c r="GX10" s="198"/>
      <c r="GY10" s="198"/>
      <c r="GZ10" s="198"/>
      <c r="HA10" s="198"/>
      <c r="HB10" s="198"/>
      <c r="HC10" s="198"/>
      <c r="HD10" s="198"/>
      <c r="HE10" s="198"/>
      <c r="HF10" s="198"/>
      <c r="HG10" s="198"/>
      <c r="HH10" s="198"/>
      <c r="HI10" s="198"/>
      <c r="HJ10" s="198"/>
      <c r="HK10" s="198"/>
      <c r="HL10" s="198"/>
      <c r="HM10" s="198"/>
      <c r="HN10" s="198"/>
      <c r="HO10" s="198"/>
      <c r="HP10" s="198"/>
      <c r="HQ10" s="198"/>
      <c r="HR10" s="198"/>
      <c r="HS10" s="198"/>
      <c r="HT10" s="198"/>
      <c r="HU10" s="198"/>
      <c r="HV10" s="198"/>
      <c r="HW10" s="198"/>
      <c r="HX10" s="198"/>
      <c r="HY10" s="198"/>
      <c r="HZ10" s="198"/>
      <c r="IA10" s="198"/>
      <c r="IB10" s="198"/>
      <c r="IC10" s="198"/>
      <c r="ID10" s="198"/>
      <c r="IE10" s="198"/>
      <c r="IF10" s="198"/>
      <c r="IG10" s="198"/>
      <c r="IH10" s="198"/>
      <c r="II10" s="198"/>
      <c r="IJ10" s="198"/>
      <c r="IK10" s="198"/>
      <c r="IL10" s="198"/>
      <c r="IM10" s="198"/>
      <c r="IN10" s="198"/>
      <c r="IO10" s="198"/>
      <c r="IP10" s="198"/>
      <c r="IQ10" s="198"/>
      <c r="IR10" s="198"/>
    </row>
    <row r="11" spans="1:252" ht="15">
      <c r="A11" s="195"/>
      <c r="B11" s="221"/>
      <c r="C11" s="195"/>
      <c r="D11" s="218"/>
      <c r="E11" s="218"/>
      <c r="F11" s="218"/>
      <c r="G11" s="218"/>
      <c r="H11" s="218"/>
      <c r="I11" s="195"/>
      <c r="J11" s="195"/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  <c r="AQ11" s="197"/>
      <c r="AR11" s="197"/>
      <c r="AS11" s="197"/>
      <c r="AT11" s="197"/>
      <c r="AU11" s="197"/>
      <c r="AV11" s="197"/>
      <c r="AW11" s="197"/>
      <c r="AX11" s="197"/>
      <c r="AY11" s="197"/>
      <c r="AZ11" s="197"/>
      <c r="BA11" s="197"/>
      <c r="BB11" s="197"/>
      <c r="BC11" s="197"/>
      <c r="BD11" s="197"/>
      <c r="BE11" s="197"/>
      <c r="BF11" s="197"/>
      <c r="BG11" s="197"/>
      <c r="BH11" s="197"/>
      <c r="BI11" s="197"/>
      <c r="BJ11" s="197"/>
      <c r="BK11" s="197"/>
      <c r="BL11" s="197"/>
      <c r="BM11" s="197"/>
      <c r="BN11" s="197"/>
      <c r="BO11" s="197"/>
      <c r="BP11" s="197"/>
      <c r="BQ11" s="197"/>
      <c r="BR11" s="197"/>
      <c r="BS11" s="197"/>
      <c r="BT11" s="197"/>
      <c r="BU11" s="197"/>
      <c r="BV11" s="197"/>
      <c r="BW11" s="197"/>
      <c r="BX11" s="197"/>
      <c r="BY11" s="197"/>
      <c r="BZ11" s="197"/>
      <c r="CA11" s="197"/>
      <c r="CB11" s="197"/>
      <c r="CC11" s="197"/>
      <c r="CD11" s="197"/>
      <c r="CE11" s="197"/>
      <c r="CF11" s="197"/>
      <c r="CG11" s="197"/>
      <c r="CH11" s="197"/>
      <c r="CI11" s="197"/>
      <c r="CJ11" s="197"/>
      <c r="CK11" s="197"/>
      <c r="CL11" s="197"/>
      <c r="CM11" s="197"/>
      <c r="CN11" s="197"/>
      <c r="CO11" s="197"/>
      <c r="CP11" s="197"/>
      <c r="CQ11" s="197"/>
      <c r="CR11" s="197"/>
      <c r="CS11" s="197"/>
      <c r="CT11" s="197"/>
      <c r="CU11" s="197"/>
      <c r="CV11" s="197"/>
      <c r="CW11" s="197"/>
      <c r="CX11" s="197"/>
      <c r="CY11" s="197"/>
      <c r="CZ11" s="197"/>
      <c r="DA11" s="197"/>
      <c r="DB11" s="197"/>
      <c r="DC11" s="197"/>
      <c r="DD11" s="197"/>
      <c r="DE11" s="197"/>
      <c r="DF11" s="197"/>
      <c r="DG11" s="197"/>
      <c r="DH11" s="197"/>
      <c r="DI11" s="197"/>
      <c r="DJ11" s="197"/>
      <c r="DK11" s="197"/>
      <c r="DL11" s="197"/>
      <c r="DM11" s="197"/>
      <c r="DN11" s="197"/>
      <c r="DO11" s="197"/>
      <c r="DP11" s="197"/>
      <c r="DQ11" s="197"/>
      <c r="DR11" s="197"/>
      <c r="DS11" s="197"/>
      <c r="DT11" s="197"/>
      <c r="DU11" s="197"/>
      <c r="DV11" s="197"/>
      <c r="DW11" s="197"/>
      <c r="DX11" s="197"/>
      <c r="DY11" s="197"/>
      <c r="DZ11" s="197"/>
      <c r="EA11" s="197"/>
      <c r="EB11" s="197"/>
      <c r="EC11" s="197"/>
      <c r="ED11" s="197"/>
      <c r="EE11" s="197"/>
      <c r="EF11" s="197"/>
      <c r="EG11" s="197"/>
      <c r="EH11" s="197"/>
      <c r="EI11" s="197"/>
      <c r="EJ11" s="197"/>
      <c r="EK11" s="197"/>
      <c r="EL11" s="197"/>
      <c r="EM11" s="197"/>
      <c r="EN11" s="197"/>
      <c r="EO11" s="197"/>
      <c r="EP11" s="197"/>
      <c r="EQ11" s="197"/>
      <c r="ER11" s="197"/>
      <c r="ES11" s="197"/>
      <c r="ET11" s="197"/>
      <c r="EU11" s="197"/>
      <c r="EV11" s="197"/>
      <c r="EW11" s="197"/>
      <c r="EX11" s="197"/>
      <c r="EY11" s="197"/>
      <c r="EZ11" s="197"/>
      <c r="FA11" s="197"/>
      <c r="FB11" s="197"/>
      <c r="FC11" s="197"/>
      <c r="FD11" s="197"/>
      <c r="FE11" s="197"/>
      <c r="FF11" s="197"/>
      <c r="FG11" s="197"/>
      <c r="FH11" s="197"/>
      <c r="FI11" s="197"/>
      <c r="FJ11" s="197"/>
      <c r="FK11" s="197"/>
      <c r="FL11" s="197"/>
      <c r="FM11" s="197"/>
      <c r="FN11" s="197"/>
      <c r="FO11" s="197"/>
      <c r="FP11" s="197"/>
      <c r="FQ11" s="197"/>
      <c r="FR11" s="197"/>
      <c r="FS11" s="197"/>
      <c r="FT11" s="197"/>
      <c r="FU11" s="197"/>
      <c r="FV11" s="197"/>
      <c r="FW11" s="197"/>
      <c r="FX11" s="197"/>
      <c r="FY11" s="197"/>
      <c r="FZ11" s="197"/>
      <c r="GA11" s="197"/>
      <c r="GB11" s="197"/>
      <c r="GC11" s="197"/>
      <c r="GD11" s="197"/>
      <c r="GE11" s="197"/>
      <c r="GF11" s="197"/>
      <c r="GG11" s="197"/>
      <c r="GH11" s="197"/>
      <c r="GI11" s="197"/>
      <c r="GJ11" s="197"/>
      <c r="GK11" s="197"/>
      <c r="GL11" s="197"/>
      <c r="GM11" s="197"/>
      <c r="GN11" s="197"/>
      <c r="GO11" s="197"/>
      <c r="GP11" s="197"/>
      <c r="GQ11" s="197"/>
      <c r="GR11" s="197"/>
      <c r="GS11" s="197"/>
      <c r="GT11" s="197"/>
      <c r="GU11" s="197"/>
      <c r="GV11" s="197"/>
      <c r="GW11" s="197"/>
      <c r="GX11" s="197"/>
      <c r="GY11" s="197"/>
      <c r="GZ11" s="197"/>
      <c r="HA11" s="197"/>
      <c r="HB11" s="197"/>
      <c r="HC11" s="197"/>
      <c r="HD11" s="197"/>
      <c r="HE11" s="197"/>
      <c r="HF11" s="197"/>
      <c r="HG11" s="197"/>
      <c r="HH11" s="197"/>
      <c r="HI11" s="197"/>
      <c r="HJ11" s="197"/>
      <c r="HK11" s="197"/>
      <c r="HL11" s="197"/>
      <c r="HM11" s="197"/>
      <c r="HN11" s="197"/>
      <c r="HO11" s="197"/>
      <c r="HP11" s="197"/>
      <c r="HQ11" s="197"/>
      <c r="HR11" s="197"/>
      <c r="HS11" s="197"/>
      <c r="HT11" s="197"/>
      <c r="HU11" s="197"/>
      <c r="HV11" s="197"/>
      <c r="HW11" s="197"/>
      <c r="HX11" s="197"/>
      <c r="HY11" s="197"/>
      <c r="HZ11" s="197"/>
      <c r="IA11" s="197"/>
      <c r="IB11" s="197"/>
      <c r="IC11" s="197"/>
      <c r="ID11" s="197"/>
      <c r="IE11" s="197"/>
      <c r="IF11" s="197"/>
      <c r="IG11" s="197"/>
      <c r="IH11" s="197"/>
      <c r="II11" s="197"/>
      <c r="IJ11" s="197"/>
      <c r="IK11" s="197"/>
      <c r="IL11" s="197"/>
      <c r="IM11" s="197"/>
      <c r="IN11" s="197"/>
      <c r="IO11" s="197"/>
      <c r="IP11" s="197"/>
      <c r="IQ11" s="197"/>
      <c r="IR11" s="197"/>
    </row>
    <row r="12" spans="1:252" ht="15">
      <c r="A12" s="195"/>
      <c r="B12" s="221" t="str">
        <f>'Income Statement Ann'!E16</f>
        <v xml:space="preserve">Supply Chain Finance interest </v>
      </c>
      <c r="C12" s="195"/>
      <c r="D12" s="218">
        <f ca="1">'Income Statement Ann'!J16</f>
        <v>0</v>
      </c>
      <c r="E12" s="218">
        <f ca="1">'Income Statement Ann'!K16</f>
        <v>0</v>
      </c>
      <c r="F12" s="218">
        <f ca="1">'Income Statement Ann'!L16</f>
        <v>0</v>
      </c>
      <c r="G12" s="218">
        <f ca="1">'Income Statement Ann'!M16</f>
        <v>0</v>
      </c>
      <c r="H12" s="218">
        <f ca="1">'Income Statement Ann'!N16</f>
        <v>0</v>
      </c>
      <c r="I12" s="195"/>
      <c r="J12" s="195"/>
      <c r="K12" s="197"/>
      <c r="L12" s="197"/>
      <c r="M12" s="197"/>
      <c r="N12" s="197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  <c r="AQ12" s="197"/>
      <c r="AR12" s="197"/>
      <c r="AS12" s="197"/>
      <c r="AT12" s="197"/>
      <c r="AU12" s="197"/>
      <c r="AV12" s="197"/>
      <c r="AW12" s="197"/>
      <c r="AX12" s="197"/>
      <c r="AY12" s="197"/>
      <c r="AZ12" s="197"/>
      <c r="BA12" s="197"/>
      <c r="BB12" s="197"/>
      <c r="BC12" s="197"/>
      <c r="BD12" s="197"/>
      <c r="BE12" s="197"/>
      <c r="BF12" s="197"/>
      <c r="BG12" s="197"/>
      <c r="BH12" s="197"/>
      <c r="BI12" s="197"/>
      <c r="BJ12" s="197"/>
      <c r="BK12" s="197"/>
      <c r="BL12" s="197"/>
      <c r="BM12" s="197"/>
      <c r="BN12" s="197"/>
      <c r="BO12" s="197"/>
      <c r="BP12" s="197"/>
      <c r="BQ12" s="197"/>
      <c r="BR12" s="197"/>
      <c r="BS12" s="197"/>
      <c r="BT12" s="197"/>
      <c r="BU12" s="197"/>
      <c r="BV12" s="197"/>
      <c r="BW12" s="197"/>
      <c r="BX12" s="197"/>
      <c r="BY12" s="197"/>
      <c r="BZ12" s="197"/>
      <c r="CA12" s="197"/>
      <c r="CB12" s="197"/>
      <c r="CC12" s="197"/>
      <c r="CD12" s="197"/>
      <c r="CE12" s="197"/>
      <c r="CF12" s="197"/>
      <c r="CG12" s="197"/>
      <c r="CH12" s="197"/>
      <c r="CI12" s="197"/>
      <c r="CJ12" s="197"/>
      <c r="CK12" s="197"/>
      <c r="CL12" s="197"/>
      <c r="CM12" s="197"/>
      <c r="CN12" s="197"/>
      <c r="CO12" s="197"/>
      <c r="CP12" s="197"/>
      <c r="CQ12" s="197"/>
      <c r="CR12" s="197"/>
      <c r="CS12" s="197"/>
      <c r="CT12" s="197"/>
      <c r="CU12" s="197"/>
      <c r="CV12" s="197"/>
      <c r="CW12" s="197"/>
      <c r="CX12" s="197"/>
      <c r="CY12" s="197"/>
      <c r="CZ12" s="197"/>
      <c r="DA12" s="197"/>
      <c r="DB12" s="197"/>
      <c r="DC12" s="197"/>
      <c r="DD12" s="197"/>
      <c r="DE12" s="197"/>
      <c r="DF12" s="197"/>
      <c r="DG12" s="197"/>
      <c r="DH12" s="197"/>
      <c r="DI12" s="197"/>
      <c r="DJ12" s="197"/>
      <c r="DK12" s="197"/>
      <c r="DL12" s="197"/>
      <c r="DM12" s="197"/>
      <c r="DN12" s="197"/>
      <c r="DO12" s="197"/>
      <c r="DP12" s="197"/>
      <c r="DQ12" s="197"/>
      <c r="DR12" s="197"/>
      <c r="DS12" s="197"/>
      <c r="DT12" s="197"/>
      <c r="DU12" s="197"/>
      <c r="DV12" s="197"/>
      <c r="DW12" s="197"/>
      <c r="DX12" s="197"/>
      <c r="DY12" s="197"/>
      <c r="DZ12" s="197"/>
      <c r="EA12" s="197"/>
      <c r="EB12" s="197"/>
      <c r="EC12" s="197"/>
      <c r="ED12" s="197"/>
      <c r="EE12" s="197"/>
      <c r="EF12" s="197"/>
      <c r="EG12" s="197"/>
      <c r="EH12" s="197"/>
      <c r="EI12" s="197"/>
      <c r="EJ12" s="197"/>
      <c r="EK12" s="197"/>
      <c r="EL12" s="197"/>
      <c r="EM12" s="197"/>
      <c r="EN12" s="197"/>
      <c r="EO12" s="197"/>
      <c r="EP12" s="197"/>
      <c r="EQ12" s="197"/>
      <c r="ER12" s="197"/>
      <c r="ES12" s="197"/>
      <c r="ET12" s="197"/>
      <c r="EU12" s="197"/>
      <c r="EV12" s="197"/>
      <c r="EW12" s="197"/>
      <c r="EX12" s="197"/>
      <c r="EY12" s="197"/>
      <c r="EZ12" s="197"/>
      <c r="FA12" s="197"/>
      <c r="FB12" s="197"/>
      <c r="FC12" s="197"/>
      <c r="FD12" s="197"/>
      <c r="FE12" s="197"/>
      <c r="FF12" s="197"/>
      <c r="FG12" s="197"/>
      <c r="FH12" s="197"/>
      <c r="FI12" s="197"/>
      <c r="FJ12" s="197"/>
      <c r="FK12" s="197"/>
      <c r="FL12" s="197"/>
      <c r="FM12" s="197"/>
      <c r="FN12" s="197"/>
      <c r="FO12" s="197"/>
      <c r="FP12" s="197"/>
      <c r="FQ12" s="197"/>
      <c r="FR12" s="197"/>
      <c r="FS12" s="197"/>
      <c r="FT12" s="197"/>
      <c r="FU12" s="197"/>
      <c r="FV12" s="197"/>
      <c r="FW12" s="197"/>
      <c r="FX12" s="197"/>
      <c r="FY12" s="197"/>
      <c r="FZ12" s="197"/>
      <c r="GA12" s="197"/>
      <c r="GB12" s="197"/>
      <c r="GC12" s="197"/>
      <c r="GD12" s="197"/>
      <c r="GE12" s="197"/>
      <c r="GF12" s="197"/>
      <c r="GG12" s="197"/>
      <c r="GH12" s="197"/>
      <c r="GI12" s="197"/>
      <c r="GJ12" s="197"/>
      <c r="GK12" s="197"/>
      <c r="GL12" s="197"/>
      <c r="GM12" s="197"/>
      <c r="GN12" s="197"/>
      <c r="GO12" s="197"/>
      <c r="GP12" s="197"/>
      <c r="GQ12" s="197"/>
      <c r="GR12" s="197"/>
      <c r="GS12" s="197"/>
      <c r="GT12" s="197"/>
      <c r="GU12" s="197"/>
      <c r="GV12" s="197"/>
      <c r="GW12" s="197"/>
      <c r="GX12" s="197"/>
      <c r="GY12" s="197"/>
      <c r="GZ12" s="197"/>
      <c r="HA12" s="197"/>
      <c r="HB12" s="197"/>
      <c r="HC12" s="197"/>
      <c r="HD12" s="197"/>
      <c r="HE12" s="197"/>
      <c r="HF12" s="197"/>
      <c r="HG12" s="197"/>
      <c r="HH12" s="197"/>
      <c r="HI12" s="197"/>
      <c r="HJ12" s="197"/>
      <c r="HK12" s="197"/>
      <c r="HL12" s="197"/>
      <c r="HM12" s="197"/>
      <c r="HN12" s="197"/>
      <c r="HO12" s="197"/>
      <c r="HP12" s="197"/>
      <c r="HQ12" s="197"/>
      <c r="HR12" s="197"/>
      <c r="HS12" s="197"/>
      <c r="HT12" s="197"/>
      <c r="HU12" s="197"/>
      <c r="HV12" s="197"/>
      <c r="HW12" s="197"/>
      <c r="HX12" s="197"/>
      <c r="HY12" s="197"/>
      <c r="HZ12" s="197"/>
      <c r="IA12" s="197"/>
      <c r="IB12" s="197"/>
      <c r="IC12" s="197"/>
      <c r="ID12" s="197"/>
      <c r="IE12" s="197"/>
      <c r="IF12" s="197"/>
      <c r="IG12" s="197"/>
      <c r="IH12" s="197"/>
      <c r="II12" s="197"/>
      <c r="IJ12" s="197"/>
      <c r="IK12" s="197"/>
      <c r="IL12" s="197"/>
      <c r="IM12" s="197"/>
      <c r="IN12" s="197"/>
      <c r="IO12" s="197"/>
      <c r="IP12" s="197"/>
      <c r="IQ12" s="197"/>
      <c r="IR12" s="197"/>
    </row>
    <row r="13" spans="1:252" ht="15">
      <c r="A13" s="195"/>
      <c r="B13" s="221" t="str">
        <f>'Income Statement Ann'!E17</f>
        <v xml:space="preserve">Invoice finance interest </v>
      </c>
      <c r="C13" s="195"/>
      <c r="D13" s="218">
        <f ca="1">'Income Statement Ann'!J17</f>
        <v>0</v>
      </c>
      <c r="E13" s="218">
        <f ca="1">'Income Statement Ann'!K17</f>
        <v>0</v>
      </c>
      <c r="F13" s="218">
        <f ca="1">'Income Statement Ann'!L17</f>
        <v>0</v>
      </c>
      <c r="G13" s="218">
        <f ca="1">'Income Statement Ann'!M17</f>
        <v>0</v>
      </c>
      <c r="H13" s="218">
        <f ca="1">'Income Statement Ann'!N17</f>
        <v>0</v>
      </c>
      <c r="I13" s="195"/>
      <c r="J13" s="195"/>
      <c r="K13" s="197"/>
      <c r="L13" s="197"/>
      <c r="M13" s="197"/>
      <c r="N13" s="197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  <c r="AQ13" s="197"/>
      <c r="AR13" s="197"/>
      <c r="AS13" s="197"/>
      <c r="AT13" s="197"/>
      <c r="AU13" s="197"/>
      <c r="AV13" s="197"/>
      <c r="AW13" s="197"/>
      <c r="AX13" s="197"/>
      <c r="AY13" s="197"/>
      <c r="AZ13" s="197"/>
      <c r="BA13" s="197"/>
      <c r="BB13" s="197"/>
      <c r="BC13" s="197"/>
      <c r="BD13" s="197"/>
      <c r="BE13" s="197"/>
      <c r="BF13" s="197"/>
      <c r="BG13" s="197"/>
      <c r="BH13" s="197"/>
      <c r="BI13" s="197"/>
      <c r="BJ13" s="197"/>
      <c r="BK13" s="197"/>
      <c r="BL13" s="197"/>
      <c r="BM13" s="197"/>
      <c r="BN13" s="197"/>
      <c r="BO13" s="197"/>
      <c r="BP13" s="197"/>
      <c r="BQ13" s="197"/>
      <c r="BR13" s="197"/>
      <c r="BS13" s="197"/>
      <c r="BT13" s="197"/>
      <c r="BU13" s="197"/>
      <c r="BV13" s="197"/>
      <c r="BW13" s="197"/>
      <c r="BX13" s="197"/>
      <c r="BY13" s="197"/>
      <c r="BZ13" s="197"/>
      <c r="CA13" s="197"/>
      <c r="CB13" s="197"/>
      <c r="CC13" s="197"/>
      <c r="CD13" s="197"/>
      <c r="CE13" s="197"/>
      <c r="CF13" s="197"/>
      <c r="CG13" s="197"/>
      <c r="CH13" s="197"/>
      <c r="CI13" s="197"/>
      <c r="CJ13" s="197"/>
      <c r="CK13" s="197"/>
      <c r="CL13" s="197"/>
      <c r="CM13" s="197"/>
      <c r="CN13" s="197"/>
      <c r="CO13" s="197"/>
      <c r="CP13" s="197"/>
      <c r="CQ13" s="197"/>
      <c r="CR13" s="197"/>
      <c r="CS13" s="197"/>
      <c r="CT13" s="197"/>
      <c r="CU13" s="197"/>
      <c r="CV13" s="197"/>
      <c r="CW13" s="197"/>
      <c r="CX13" s="197"/>
      <c r="CY13" s="197"/>
      <c r="CZ13" s="197"/>
      <c r="DA13" s="197"/>
      <c r="DB13" s="197"/>
      <c r="DC13" s="197"/>
      <c r="DD13" s="197"/>
      <c r="DE13" s="197"/>
      <c r="DF13" s="197"/>
      <c r="DG13" s="197"/>
      <c r="DH13" s="197"/>
      <c r="DI13" s="197"/>
      <c r="DJ13" s="197"/>
      <c r="DK13" s="197"/>
      <c r="DL13" s="197"/>
      <c r="DM13" s="197"/>
      <c r="DN13" s="197"/>
      <c r="DO13" s="197"/>
      <c r="DP13" s="197"/>
      <c r="DQ13" s="197"/>
      <c r="DR13" s="197"/>
      <c r="DS13" s="197"/>
      <c r="DT13" s="197"/>
      <c r="DU13" s="197"/>
      <c r="DV13" s="197"/>
      <c r="DW13" s="197"/>
      <c r="DX13" s="197"/>
      <c r="DY13" s="197"/>
      <c r="DZ13" s="197"/>
      <c r="EA13" s="197"/>
      <c r="EB13" s="197"/>
      <c r="EC13" s="197"/>
      <c r="ED13" s="197"/>
      <c r="EE13" s="197"/>
      <c r="EF13" s="197"/>
      <c r="EG13" s="197"/>
      <c r="EH13" s="197"/>
      <c r="EI13" s="197"/>
      <c r="EJ13" s="197"/>
      <c r="EK13" s="197"/>
      <c r="EL13" s="197"/>
      <c r="EM13" s="197"/>
      <c r="EN13" s="197"/>
      <c r="EO13" s="197"/>
      <c r="EP13" s="197"/>
      <c r="EQ13" s="197"/>
      <c r="ER13" s="197"/>
      <c r="ES13" s="197"/>
      <c r="ET13" s="197"/>
      <c r="EU13" s="197"/>
      <c r="EV13" s="197"/>
      <c r="EW13" s="197"/>
      <c r="EX13" s="197"/>
      <c r="EY13" s="197"/>
      <c r="EZ13" s="197"/>
      <c r="FA13" s="197"/>
      <c r="FB13" s="197"/>
      <c r="FC13" s="197"/>
      <c r="FD13" s="197"/>
      <c r="FE13" s="197"/>
      <c r="FF13" s="197"/>
      <c r="FG13" s="197"/>
      <c r="FH13" s="197"/>
      <c r="FI13" s="197"/>
      <c r="FJ13" s="197"/>
      <c r="FK13" s="197"/>
      <c r="FL13" s="197"/>
      <c r="FM13" s="197"/>
      <c r="FN13" s="197"/>
      <c r="FO13" s="197"/>
      <c r="FP13" s="197"/>
      <c r="FQ13" s="197"/>
      <c r="FR13" s="197"/>
      <c r="FS13" s="197"/>
      <c r="FT13" s="197"/>
      <c r="FU13" s="197"/>
      <c r="FV13" s="197"/>
      <c r="FW13" s="197"/>
      <c r="FX13" s="197"/>
      <c r="FY13" s="197"/>
      <c r="FZ13" s="197"/>
      <c r="GA13" s="197"/>
      <c r="GB13" s="197"/>
      <c r="GC13" s="197"/>
      <c r="GD13" s="197"/>
      <c r="GE13" s="197"/>
      <c r="GF13" s="197"/>
      <c r="GG13" s="197"/>
      <c r="GH13" s="197"/>
      <c r="GI13" s="197"/>
      <c r="GJ13" s="197"/>
      <c r="GK13" s="197"/>
      <c r="GL13" s="197"/>
      <c r="GM13" s="197"/>
      <c r="GN13" s="197"/>
      <c r="GO13" s="197"/>
      <c r="GP13" s="197"/>
      <c r="GQ13" s="197"/>
      <c r="GR13" s="197"/>
      <c r="GS13" s="197"/>
      <c r="GT13" s="197"/>
      <c r="GU13" s="197"/>
      <c r="GV13" s="197"/>
      <c r="GW13" s="197"/>
      <c r="GX13" s="197"/>
      <c r="GY13" s="197"/>
      <c r="GZ13" s="197"/>
      <c r="HA13" s="197"/>
      <c r="HB13" s="197"/>
      <c r="HC13" s="197"/>
      <c r="HD13" s="197"/>
      <c r="HE13" s="197"/>
      <c r="HF13" s="197"/>
      <c r="HG13" s="197"/>
      <c r="HH13" s="197"/>
      <c r="HI13" s="197"/>
      <c r="HJ13" s="197"/>
      <c r="HK13" s="197"/>
      <c r="HL13" s="197"/>
      <c r="HM13" s="197"/>
      <c r="HN13" s="197"/>
      <c r="HO13" s="197"/>
      <c r="HP13" s="197"/>
      <c r="HQ13" s="197"/>
      <c r="HR13" s="197"/>
      <c r="HS13" s="197"/>
      <c r="HT13" s="197"/>
      <c r="HU13" s="197"/>
      <c r="HV13" s="197"/>
      <c r="HW13" s="197"/>
      <c r="HX13" s="197"/>
      <c r="HY13" s="197"/>
      <c r="HZ13" s="197"/>
      <c r="IA13" s="197"/>
      <c r="IB13" s="197"/>
      <c r="IC13" s="197"/>
      <c r="ID13" s="197"/>
      <c r="IE13" s="197"/>
      <c r="IF13" s="197"/>
      <c r="IG13" s="197"/>
      <c r="IH13" s="197"/>
      <c r="II13" s="197"/>
      <c r="IJ13" s="197"/>
      <c r="IK13" s="197"/>
      <c r="IL13" s="197"/>
      <c r="IM13" s="197"/>
      <c r="IN13" s="197"/>
      <c r="IO13" s="197"/>
      <c r="IP13" s="197"/>
      <c r="IQ13" s="197"/>
      <c r="IR13" s="197"/>
    </row>
    <row r="14" spans="1:252" s="216" customFormat="1" ht="14.5">
      <c r="A14" s="215"/>
      <c r="B14" s="221" t="str">
        <f>'Income Statement Ann'!E18</f>
        <v xml:space="preserve">Asset Finance interest </v>
      </c>
      <c r="C14" s="195"/>
      <c r="D14" s="218">
        <f ca="1">'Income Statement Ann'!J18</f>
        <v>0</v>
      </c>
      <c r="E14" s="218">
        <f ca="1">'Income Statement Ann'!K18</f>
        <v>0</v>
      </c>
      <c r="F14" s="218">
        <f ca="1">'Income Statement Ann'!L18</f>
        <v>0</v>
      </c>
      <c r="G14" s="218">
        <f ca="1">'Income Statement Ann'!M18</f>
        <v>0</v>
      </c>
      <c r="H14" s="218">
        <f ca="1">'Income Statement Ann'!N18</f>
        <v>0</v>
      </c>
      <c r="I14" s="215"/>
      <c r="J14" s="215"/>
      <c r="K14" s="215"/>
      <c r="L14" s="198"/>
      <c r="M14" s="198"/>
      <c r="N14" s="198"/>
      <c r="O14" s="198"/>
      <c r="P14" s="198"/>
      <c r="Q14" s="198"/>
      <c r="R14" s="198"/>
      <c r="S14" s="198"/>
      <c r="T14" s="198"/>
      <c r="U14" s="198"/>
      <c r="V14" s="198"/>
      <c r="W14" s="198"/>
      <c r="X14" s="198"/>
      <c r="Y14" s="198"/>
      <c r="Z14" s="198"/>
      <c r="AA14" s="198"/>
      <c r="AB14" s="198"/>
      <c r="AC14" s="198"/>
      <c r="AD14" s="198"/>
      <c r="AE14" s="198"/>
      <c r="AF14" s="198"/>
      <c r="AG14" s="198"/>
      <c r="AH14" s="198"/>
      <c r="AI14" s="198"/>
      <c r="AJ14" s="198"/>
      <c r="AK14" s="198"/>
      <c r="AL14" s="198"/>
      <c r="AM14" s="198"/>
      <c r="AN14" s="198"/>
      <c r="AO14" s="198"/>
      <c r="AP14" s="198"/>
      <c r="AQ14" s="198"/>
      <c r="AR14" s="198"/>
      <c r="AS14" s="198"/>
      <c r="AT14" s="198"/>
      <c r="AU14" s="198"/>
      <c r="AV14" s="198"/>
      <c r="AW14" s="198"/>
      <c r="AX14" s="198"/>
      <c r="AY14" s="198"/>
      <c r="AZ14" s="198"/>
      <c r="BA14" s="198"/>
      <c r="BB14" s="198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8"/>
      <c r="BS14" s="198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8"/>
      <c r="CJ14" s="198"/>
      <c r="CK14" s="198"/>
      <c r="CL14" s="198"/>
      <c r="CM14" s="198"/>
      <c r="CN14" s="198"/>
      <c r="CO14" s="198"/>
      <c r="CP14" s="198"/>
      <c r="CQ14" s="198"/>
      <c r="CR14" s="198"/>
      <c r="CS14" s="198"/>
      <c r="CT14" s="198"/>
      <c r="CU14" s="198"/>
      <c r="CV14" s="198"/>
      <c r="CW14" s="198"/>
      <c r="CX14" s="198"/>
      <c r="CY14" s="198"/>
      <c r="CZ14" s="198"/>
      <c r="DA14" s="198"/>
      <c r="DB14" s="198"/>
      <c r="DC14" s="198"/>
      <c r="DD14" s="198"/>
      <c r="DE14" s="198"/>
      <c r="DF14" s="198"/>
      <c r="DG14" s="198"/>
      <c r="DH14" s="198"/>
      <c r="DI14" s="198"/>
      <c r="DJ14" s="198"/>
      <c r="DK14" s="198"/>
      <c r="DL14" s="198"/>
      <c r="DM14" s="198"/>
      <c r="DN14" s="198"/>
      <c r="DO14" s="198"/>
      <c r="DP14" s="198"/>
      <c r="DQ14" s="198"/>
      <c r="DR14" s="198"/>
      <c r="DS14" s="198"/>
      <c r="DT14" s="198"/>
      <c r="DU14" s="198"/>
      <c r="DV14" s="198"/>
      <c r="DW14" s="198"/>
      <c r="DX14" s="198"/>
      <c r="DY14" s="198"/>
      <c r="DZ14" s="198"/>
      <c r="EA14" s="198"/>
      <c r="EB14" s="198"/>
      <c r="EC14" s="198"/>
      <c r="ED14" s="198"/>
      <c r="EE14" s="198"/>
      <c r="EF14" s="198"/>
      <c r="EG14" s="198"/>
      <c r="EH14" s="198"/>
      <c r="EI14" s="198"/>
      <c r="EJ14" s="198"/>
      <c r="EK14" s="198"/>
      <c r="EL14" s="198"/>
      <c r="EM14" s="198"/>
      <c r="EN14" s="198"/>
      <c r="EO14" s="198"/>
      <c r="EP14" s="198"/>
      <c r="EQ14" s="198"/>
      <c r="ER14" s="198"/>
      <c r="ES14" s="198"/>
      <c r="ET14" s="198"/>
      <c r="EU14" s="198"/>
      <c r="EV14" s="198"/>
      <c r="EW14" s="198"/>
      <c r="EX14" s="198"/>
      <c r="EY14" s="198"/>
      <c r="EZ14" s="198"/>
      <c r="FA14" s="198"/>
      <c r="FB14" s="198"/>
      <c r="FC14" s="198"/>
      <c r="FD14" s="198"/>
      <c r="FE14" s="198"/>
      <c r="FF14" s="198"/>
      <c r="FG14" s="198"/>
      <c r="FH14" s="198"/>
      <c r="FI14" s="198"/>
      <c r="FJ14" s="198"/>
      <c r="FK14" s="198"/>
      <c r="FL14" s="198"/>
      <c r="FM14" s="198"/>
      <c r="FN14" s="198"/>
      <c r="FO14" s="198"/>
      <c r="FP14" s="198"/>
      <c r="FQ14" s="198"/>
      <c r="FR14" s="198"/>
      <c r="FS14" s="198"/>
      <c r="FT14" s="198"/>
      <c r="FU14" s="198"/>
      <c r="FV14" s="198"/>
      <c r="FW14" s="198"/>
      <c r="FX14" s="198"/>
      <c r="FY14" s="198"/>
      <c r="FZ14" s="198"/>
      <c r="GA14" s="198"/>
      <c r="GB14" s="198"/>
      <c r="GC14" s="198"/>
      <c r="GD14" s="198"/>
      <c r="GE14" s="198"/>
      <c r="GF14" s="198"/>
      <c r="GG14" s="198"/>
      <c r="GH14" s="198"/>
      <c r="GI14" s="198"/>
      <c r="GJ14" s="198"/>
      <c r="GK14" s="198"/>
      <c r="GL14" s="198"/>
      <c r="GM14" s="198"/>
      <c r="GN14" s="198"/>
      <c r="GO14" s="198"/>
      <c r="GP14" s="198"/>
      <c r="GQ14" s="198"/>
      <c r="GR14" s="198"/>
      <c r="GS14" s="198"/>
      <c r="GT14" s="198"/>
      <c r="GU14" s="198"/>
      <c r="GV14" s="198"/>
      <c r="GW14" s="198"/>
      <c r="GX14" s="198"/>
      <c r="GY14" s="198"/>
      <c r="GZ14" s="198"/>
      <c r="HA14" s="198"/>
      <c r="HB14" s="198"/>
      <c r="HC14" s="198"/>
      <c r="HD14" s="198"/>
      <c r="HE14" s="198"/>
      <c r="HF14" s="198"/>
      <c r="HG14" s="198"/>
      <c r="HH14" s="198"/>
      <c r="HI14" s="198"/>
      <c r="HJ14" s="198"/>
      <c r="HK14" s="198"/>
      <c r="HL14" s="198"/>
      <c r="HM14" s="198"/>
      <c r="HN14" s="198"/>
      <c r="HO14" s="198"/>
      <c r="HP14" s="198"/>
      <c r="HQ14" s="198"/>
      <c r="HR14" s="198"/>
      <c r="HS14" s="198"/>
      <c r="HT14" s="198"/>
      <c r="HU14" s="198"/>
      <c r="HV14" s="198"/>
      <c r="HW14" s="198"/>
      <c r="HX14" s="198"/>
      <c r="HY14" s="198"/>
      <c r="HZ14" s="198"/>
      <c r="IA14" s="198"/>
      <c r="IB14" s="198"/>
      <c r="IC14" s="198"/>
      <c r="ID14" s="198"/>
      <c r="IE14" s="198"/>
      <c r="IF14" s="198"/>
      <c r="IG14" s="198"/>
      <c r="IH14" s="198"/>
      <c r="II14" s="198"/>
      <c r="IJ14" s="198"/>
      <c r="IK14" s="198"/>
      <c r="IL14" s="198"/>
      <c r="IM14" s="198"/>
      <c r="IN14" s="198"/>
      <c r="IO14" s="198"/>
      <c r="IP14" s="198"/>
      <c r="IQ14" s="198"/>
      <c r="IR14" s="198"/>
    </row>
    <row r="15" spans="1:252" ht="15">
      <c r="A15" s="195"/>
      <c r="B15" s="220" t="str">
        <f>'Income Statement Ann'!E19</f>
        <v>Profit before tax</v>
      </c>
      <c r="C15" s="222"/>
      <c r="D15" s="217">
        <f ca="1">'Income Statement Ann'!J19</f>
        <v>63450.998254465696</v>
      </c>
      <c r="E15" s="217">
        <f ca="1">'Income Statement Ann'!K19</f>
        <v>3676453.1914628819</v>
      </c>
      <c r="F15" s="217">
        <f ca="1">'Income Statement Ann'!L19</f>
        <v>10280880.384695526</v>
      </c>
      <c r="G15" s="217">
        <f ca="1">'Income Statement Ann'!M19</f>
        <v>23602824.736655667</v>
      </c>
      <c r="H15" s="217">
        <f ca="1">'Income Statement Ann'!N19</f>
        <v>50206009.051855989</v>
      </c>
      <c r="I15" s="195"/>
      <c r="J15" s="195"/>
      <c r="K15" s="197"/>
      <c r="L15" s="197"/>
      <c r="M15" s="197"/>
      <c r="N15" s="197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  <c r="AQ15" s="197"/>
      <c r="AR15" s="197"/>
      <c r="AS15" s="197"/>
      <c r="AT15" s="197"/>
      <c r="AU15" s="197"/>
      <c r="AV15" s="197"/>
      <c r="AW15" s="197"/>
      <c r="AX15" s="197"/>
      <c r="AY15" s="197"/>
      <c r="AZ15" s="197"/>
      <c r="BA15" s="197"/>
      <c r="BB15" s="197"/>
      <c r="BC15" s="197"/>
      <c r="BD15" s="197"/>
      <c r="BE15" s="197"/>
      <c r="BF15" s="197"/>
      <c r="BG15" s="197"/>
      <c r="BH15" s="197"/>
      <c r="BI15" s="197"/>
      <c r="BJ15" s="197"/>
      <c r="BK15" s="197"/>
      <c r="BL15" s="197"/>
      <c r="BM15" s="197"/>
      <c r="BN15" s="197"/>
      <c r="BO15" s="197"/>
      <c r="BP15" s="197"/>
      <c r="BQ15" s="197"/>
      <c r="BR15" s="197"/>
      <c r="BS15" s="197"/>
      <c r="BT15" s="197"/>
      <c r="BU15" s="197"/>
      <c r="BV15" s="197"/>
      <c r="BW15" s="197"/>
      <c r="BX15" s="197"/>
      <c r="BY15" s="197"/>
      <c r="BZ15" s="197"/>
      <c r="CA15" s="197"/>
      <c r="CB15" s="197"/>
      <c r="CC15" s="197"/>
      <c r="CD15" s="197"/>
      <c r="CE15" s="197"/>
      <c r="CF15" s="197"/>
      <c r="CG15" s="197"/>
      <c r="CH15" s="197"/>
      <c r="CI15" s="197"/>
      <c r="CJ15" s="197"/>
      <c r="CK15" s="197"/>
      <c r="CL15" s="197"/>
      <c r="CM15" s="197"/>
      <c r="CN15" s="197"/>
      <c r="CO15" s="197"/>
      <c r="CP15" s="197"/>
      <c r="CQ15" s="197"/>
      <c r="CR15" s="197"/>
      <c r="CS15" s="197"/>
      <c r="CT15" s="197"/>
      <c r="CU15" s="197"/>
      <c r="CV15" s="197"/>
      <c r="CW15" s="197"/>
      <c r="CX15" s="197"/>
      <c r="CY15" s="197"/>
      <c r="CZ15" s="197"/>
      <c r="DA15" s="197"/>
      <c r="DB15" s="197"/>
      <c r="DC15" s="197"/>
      <c r="DD15" s="197"/>
      <c r="DE15" s="197"/>
      <c r="DF15" s="197"/>
      <c r="DG15" s="197"/>
      <c r="DH15" s="197"/>
      <c r="DI15" s="197"/>
      <c r="DJ15" s="197"/>
      <c r="DK15" s="197"/>
      <c r="DL15" s="197"/>
      <c r="DM15" s="197"/>
      <c r="DN15" s="197"/>
      <c r="DO15" s="197"/>
      <c r="DP15" s="197"/>
      <c r="DQ15" s="197"/>
      <c r="DR15" s="197"/>
      <c r="DS15" s="197"/>
      <c r="DT15" s="197"/>
      <c r="DU15" s="197"/>
      <c r="DV15" s="197"/>
      <c r="DW15" s="197"/>
      <c r="DX15" s="197"/>
      <c r="DY15" s="197"/>
      <c r="DZ15" s="197"/>
      <c r="EA15" s="197"/>
      <c r="EB15" s="197"/>
      <c r="EC15" s="197"/>
      <c r="ED15" s="197"/>
      <c r="EE15" s="197"/>
      <c r="EF15" s="197"/>
      <c r="EG15" s="197"/>
      <c r="EH15" s="197"/>
      <c r="EI15" s="197"/>
      <c r="EJ15" s="197"/>
      <c r="EK15" s="197"/>
      <c r="EL15" s="197"/>
      <c r="EM15" s="197"/>
      <c r="EN15" s="197"/>
      <c r="EO15" s="197"/>
      <c r="EP15" s="197"/>
      <c r="EQ15" s="197"/>
      <c r="ER15" s="197"/>
      <c r="ES15" s="197"/>
      <c r="ET15" s="197"/>
      <c r="EU15" s="197"/>
      <c r="EV15" s="197"/>
      <c r="EW15" s="197"/>
      <c r="EX15" s="197"/>
      <c r="EY15" s="197"/>
      <c r="EZ15" s="197"/>
      <c r="FA15" s="197"/>
      <c r="FB15" s="197"/>
      <c r="FC15" s="197"/>
      <c r="FD15" s="197"/>
      <c r="FE15" s="197"/>
      <c r="FF15" s="197"/>
      <c r="FG15" s="197"/>
      <c r="FH15" s="197"/>
      <c r="FI15" s="197"/>
      <c r="FJ15" s="197"/>
      <c r="FK15" s="197"/>
      <c r="FL15" s="197"/>
      <c r="FM15" s="197"/>
      <c r="FN15" s="197"/>
      <c r="FO15" s="197"/>
      <c r="FP15" s="197"/>
      <c r="FQ15" s="197"/>
      <c r="FR15" s="197"/>
      <c r="FS15" s="197"/>
      <c r="FT15" s="197"/>
      <c r="FU15" s="197"/>
      <c r="FV15" s="197"/>
      <c r="FW15" s="197"/>
      <c r="FX15" s="197"/>
      <c r="FY15" s="197"/>
      <c r="FZ15" s="197"/>
      <c r="GA15" s="197"/>
      <c r="GB15" s="197"/>
      <c r="GC15" s="197"/>
      <c r="GD15" s="197"/>
      <c r="GE15" s="197"/>
      <c r="GF15" s="197"/>
      <c r="GG15" s="197"/>
      <c r="GH15" s="197"/>
      <c r="GI15" s="197"/>
      <c r="GJ15" s="197"/>
      <c r="GK15" s="197"/>
      <c r="GL15" s="197"/>
      <c r="GM15" s="197"/>
      <c r="GN15" s="197"/>
      <c r="GO15" s="197"/>
      <c r="GP15" s="197"/>
      <c r="GQ15" s="197"/>
      <c r="GR15" s="197"/>
      <c r="GS15" s="197"/>
      <c r="GT15" s="197"/>
      <c r="GU15" s="197"/>
      <c r="GV15" s="197"/>
      <c r="GW15" s="197"/>
      <c r="GX15" s="197"/>
      <c r="GY15" s="197"/>
      <c r="GZ15" s="197"/>
      <c r="HA15" s="197"/>
      <c r="HB15" s="197"/>
      <c r="HC15" s="197"/>
      <c r="HD15" s="197"/>
      <c r="HE15" s="197"/>
      <c r="HF15" s="197"/>
      <c r="HG15" s="197"/>
      <c r="HH15" s="197"/>
      <c r="HI15" s="197"/>
      <c r="HJ15" s="197"/>
      <c r="HK15" s="197"/>
      <c r="HL15" s="197"/>
      <c r="HM15" s="197"/>
      <c r="HN15" s="197"/>
      <c r="HO15" s="197"/>
      <c r="HP15" s="197"/>
      <c r="HQ15" s="197"/>
      <c r="HR15" s="197"/>
      <c r="HS15" s="197"/>
      <c r="HT15" s="197"/>
      <c r="HU15" s="197"/>
      <c r="HV15" s="197"/>
      <c r="HW15" s="197"/>
      <c r="HX15" s="197"/>
      <c r="HY15" s="197"/>
      <c r="HZ15" s="197"/>
      <c r="IA15" s="197"/>
      <c r="IB15" s="197"/>
      <c r="IC15" s="197"/>
      <c r="ID15" s="197"/>
      <c r="IE15" s="197"/>
      <c r="IF15" s="197"/>
      <c r="IG15" s="197"/>
      <c r="IH15" s="197"/>
      <c r="II15" s="197"/>
      <c r="IJ15" s="197"/>
      <c r="IK15" s="197"/>
      <c r="IL15" s="197"/>
      <c r="IM15" s="197"/>
      <c r="IN15" s="197"/>
      <c r="IO15" s="197"/>
      <c r="IP15" s="197"/>
      <c r="IQ15" s="197"/>
      <c r="IR15" s="197"/>
    </row>
    <row r="16" spans="1:252" ht="15">
      <c r="A16" s="195"/>
      <c r="B16" s="221"/>
      <c r="C16" s="195"/>
      <c r="D16" s="218"/>
      <c r="E16" s="218"/>
      <c r="F16" s="218"/>
      <c r="G16" s="218"/>
      <c r="H16" s="218"/>
      <c r="I16" s="195"/>
      <c r="J16" s="195"/>
      <c r="K16" s="197"/>
      <c r="L16" s="197"/>
      <c r="M16" s="197"/>
      <c r="N16" s="197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7"/>
      <c r="BB16" s="197"/>
      <c r="BC16" s="197"/>
      <c r="BD16" s="197"/>
      <c r="BE16" s="197"/>
      <c r="BF16" s="197"/>
      <c r="BG16" s="197"/>
      <c r="BH16" s="197"/>
      <c r="BI16" s="197"/>
      <c r="BJ16" s="197"/>
      <c r="BK16" s="197"/>
      <c r="BL16" s="197"/>
      <c r="BM16" s="197"/>
      <c r="BN16" s="197"/>
      <c r="BO16" s="197"/>
      <c r="BP16" s="197"/>
      <c r="BQ16" s="197"/>
      <c r="BR16" s="197"/>
      <c r="BS16" s="197"/>
      <c r="BT16" s="197"/>
      <c r="BU16" s="197"/>
      <c r="BV16" s="197"/>
      <c r="BW16" s="197"/>
      <c r="BX16" s="197"/>
      <c r="BY16" s="197"/>
      <c r="BZ16" s="197"/>
      <c r="CA16" s="197"/>
      <c r="CB16" s="197"/>
      <c r="CC16" s="197"/>
      <c r="CD16" s="197"/>
      <c r="CE16" s="197"/>
      <c r="CF16" s="197"/>
      <c r="CG16" s="197"/>
      <c r="CH16" s="197"/>
      <c r="CI16" s="197"/>
      <c r="CJ16" s="197"/>
      <c r="CK16" s="197"/>
      <c r="CL16" s="197"/>
      <c r="CM16" s="197"/>
      <c r="CN16" s="197"/>
      <c r="CO16" s="197"/>
      <c r="CP16" s="197"/>
      <c r="CQ16" s="197"/>
      <c r="CR16" s="197"/>
      <c r="CS16" s="197"/>
      <c r="CT16" s="197"/>
      <c r="CU16" s="197"/>
      <c r="CV16" s="197"/>
      <c r="CW16" s="197"/>
      <c r="CX16" s="197"/>
      <c r="CY16" s="197"/>
      <c r="CZ16" s="197"/>
      <c r="DA16" s="197"/>
      <c r="DB16" s="197"/>
      <c r="DC16" s="197"/>
      <c r="DD16" s="197"/>
      <c r="DE16" s="197"/>
      <c r="DF16" s="197"/>
      <c r="DG16" s="197"/>
      <c r="DH16" s="197"/>
      <c r="DI16" s="197"/>
      <c r="DJ16" s="197"/>
      <c r="DK16" s="197"/>
      <c r="DL16" s="197"/>
      <c r="DM16" s="197"/>
      <c r="DN16" s="197"/>
      <c r="DO16" s="197"/>
      <c r="DP16" s="197"/>
      <c r="DQ16" s="197"/>
      <c r="DR16" s="197"/>
      <c r="DS16" s="197"/>
      <c r="DT16" s="197"/>
      <c r="DU16" s="197"/>
      <c r="DV16" s="197"/>
      <c r="DW16" s="197"/>
      <c r="DX16" s="197"/>
      <c r="DY16" s="197"/>
      <c r="DZ16" s="197"/>
      <c r="EA16" s="197"/>
      <c r="EB16" s="197"/>
      <c r="EC16" s="197"/>
      <c r="ED16" s="197"/>
      <c r="EE16" s="197"/>
      <c r="EF16" s="197"/>
      <c r="EG16" s="197"/>
      <c r="EH16" s="197"/>
      <c r="EI16" s="197"/>
      <c r="EJ16" s="197"/>
      <c r="EK16" s="197"/>
      <c r="EL16" s="197"/>
      <c r="EM16" s="197"/>
      <c r="EN16" s="197"/>
      <c r="EO16" s="197"/>
      <c r="EP16" s="197"/>
      <c r="EQ16" s="197"/>
      <c r="ER16" s="197"/>
      <c r="ES16" s="197"/>
      <c r="ET16" s="197"/>
      <c r="EU16" s="197"/>
      <c r="EV16" s="197"/>
      <c r="EW16" s="197"/>
      <c r="EX16" s="197"/>
      <c r="EY16" s="197"/>
      <c r="EZ16" s="197"/>
      <c r="FA16" s="197"/>
      <c r="FB16" s="197"/>
      <c r="FC16" s="197"/>
      <c r="FD16" s="197"/>
      <c r="FE16" s="197"/>
      <c r="FF16" s="197"/>
      <c r="FG16" s="197"/>
      <c r="FH16" s="197"/>
      <c r="FI16" s="197"/>
      <c r="FJ16" s="197"/>
      <c r="FK16" s="197"/>
      <c r="FL16" s="197"/>
      <c r="FM16" s="197"/>
      <c r="FN16" s="197"/>
      <c r="FO16" s="197"/>
      <c r="FP16" s="197"/>
      <c r="FQ16" s="197"/>
      <c r="FR16" s="197"/>
      <c r="FS16" s="197"/>
      <c r="FT16" s="197"/>
      <c r="FU16" s="197"/>
      <c r="FV16" s="197"/>
      <c r="FW16" s="197"/>
      <c r="FX16" s="197"/>
      <c r="FY16" s="197"/>
      <c r="FZ16" s="197"/>
      <c r="GA16" s="197"/>
      <c r="GB16" s="197"/>
      <c r="GC16" s="197"/>
      <c r="GD16" s="197"/>
      <c r="GE16" s="197"/>
      <c r="GF16" s="197"/>
      <c r="GG16" s="197"/>
      <c r="GH16" s="197"/>
      <c r="GI16" s="197"/>
      <c r="GJ16" s="197"/>
      <c r="GK16" s="197"/>
      <c r="GL16" s="197"/>
      <c r="GM16" s="197"/>
      <c r="GN16" s="197"/>
      <c r="GO16" s="197"/>
      <c r="GP16" s="197"/>
      <c r="GQ16" s="197"/>
      <c r="GR16" s="197"/>
      <c r="GS16" s="197"/>
      <c r="GT16" s="197"/>
      <c r="GU16" s="197"/>
      <c r="GV16" s="197"/>
      <c r="GW16" s="197"/>
      <c r="GX16" s="197"/>
      <c r="GY16" s="197"/>
      <c r="GZ16" s="197"/>
      <c r="HA16" s="197"/>
      <c r="HB16" s="197"/>
      <c r="HC16" s="197"/>
      <c r="HD16" s="197"/>
      <c r="HE16" s="197"/>
      <c r="HF16" s="197"/>
      <c r="HG16" s="197"/>
      <c r="HH16" s="197"/>
      <c r="HI16" s="197"/>
      <c r="HJ16" s="197"/>
      <c r="HK16" s="197"/>
      <c r="HL16" s="197"/>
      <c r="HM16" s="197"/>
      <c r="HN16" s="197"/>
      <c r="HO16" s="197"/>
      <c r="HP16" s="197"/>
      <c r="HQ16" s="197"/>
      <c r="HR16" s="197"/>
      <c r="HS16" s="197"/>
      <c r="HT16" s="197"/>
      <c r="HU16" s="197"/>
      <c r="HV16" s="197"/>
      <c r="HW16" s="197"/>
      <c r="HX16" s="197"/>
      <c r="HY16" s="197"/>
      <c r="HZ16" s="197"/>
      <c r="IA16" s="197"/>
      <c r="IB16" s="197"/>
      <c r="IC16" s="197"/>
      <c r="ID16" s="197"/>
      <c r="IE16" s="197"/>
      <c r="IF16" s="197"/>
      <c r="IG16" s="197"/>
      <c r="IH16" s="197"/>
      <c r="II16" s="197"/>
      <c r="IJ16" s="197"/>
      <c r="IK16" s="197"/>
      <c r="IL16" s="197"/>
      <c r="IM16" s="197"/>
      <c r="IN16" s="197"/>
      <c r="IO16" s="197"/>
      <c r="IP16" s="197"/>
      <c r="IQ16" s="197"/>
      <c r="IR16" s="197"/>
    </row>
    <row r="17" spans="1:252" ht="15">
      <c r="A17" s="195"/>
      <c r="B17" s="221" t="str">
        <f>'Income Statement Ann'!E21</f>
        <v xml:space="preserve">Corporation tax </v>
      </c>
      <c r="C17" s="195"/>
      <c r="D17" s="218">
        <f ca="1">'Income Statement Ann'!J21</f>
        <v>-45223.532984226469</v>
      </c>
      <c r="E17" s="218">
        <f ca="1">'Income Statement Ann'!K21</f>
        <v>-800915.63829257642</v>
      </c>
      <c r="F17" s="218">
        <f ca="1">'Income Statement Ann'!L21</f>
        <v>-2182885.1708021741</v>
      </c>
      <c r="G17" s="218">
        <f ca="1">'Income Statement Ann'!M21</f>
        <v>-4931362.0927675245</v>
      </c>
      <c r="H17" s="218">
        <f ca="1">'Income Statement Ann'!N21</f>
        <v>-10358468.098647919</v>
      </c>
      <c r="I17" s="195"/>
      <c r="J17" s="195"/>
      <c r="K17" s="197"/>
      <c r="L17" s="197"/>
      <c r="M17" s="197"/>
      <c r="N17" s="197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  <c r="AQ17" s="197"/>
      <c r="AR17" s="197"/>
      <c r="AS17" s="197"/>
      <c r="AT17" s="197"/>
      <c r="AU17" s="197"/>
      <c r="AV17" s="197"/>
      <c r="AW17" s="197"/>
      <c r="AX17" s="197"/>
      <c r="AY17" s="197"/>
      <c r="AZ17" s="197"/>
      <c r="BA17" s="197"/>
      <c r="BB17" s="197"/>
      <c r="BC17" s="197"/>
      <c r="BD17" s="197"/>
      <c r="BE17" s="197"/>
      <c r="BF17" s="197"/>
      <c r="BG17" s="197"/>
      <c r="BH17" s="197"/>
      <c r="BI17" s="197"/>
      <c r="BJ17" s="197"/>
      <c r="BK17" s="197"/>
      <c r="BL17" s="197"/>
      <c r="BM17" s="197"/>
      <c r="BN17" s="197"/>
      <c r="BO17" s="197"/>
      <c r="BP17" s="197"/>
      <c r="BQ17" s="197"/>
      <c r="BR17" s="197"/>
      <c r="BS17" s="197"/>
      <c r="BT17" s="197"/>
      <c r="BU17" s="197"/>
      <c r="BV17" s="197"/>
      <c r="BW17" s="197"/>
      <c r="BX17" s="197"/>
      <c r="BY17" s="197"/>
      <c r="BZ17" s="197"/>
      <c r="CA17" s="197"/>
      <c r="CB17" s="197"/>
      <c r="CC17" s="197"/>
      <c r="CD17" s="197"/>
      <c r="CE17" s="197"/>
      <c r="CF17" s="197"/>
      <c r="CG17" s="197"/>
      <c r="CH17" s="197"/>
      <c r="CI17" s="197"/>
      <c r="CJ17" s="197"/>
      <c r="CK17" s="197"/>
      <c r="CL17" s="197"/>
      <c r="CM17" s="197"/>
      <c r="CN17" s="197"/>
      <c r="CO17" s="197"/>
      <c r="CP17" s="197"/>
      <c r="CQ17" s="197"/>
      <c r="CR17" s="197"/>
      <c r="CS17" s="197"/>
      <c r="CT17" s="197"/>
      <c r="CU17" s="197"/>
      <c r="CV17" s="197"/>
      <c r="CW17" s="197"/>
      <c r="CX17" s="197"/>
      <c r="CY17" s="197"/>
      <c r="CZ17" s="197"/>
      <c r="DA17" s="197"/>
      <c r="DB17" s="197"/>
      <c r="DC17" s="197"/>
      <c r="DD17" s="197"/>
      <c r="DE17" s="197"/>
      <c r="DF17" s="197"/>
      <c r="DG17" s="197"/>
      <c r="DH17" s="197"/>
      <c r="DI17" s="197"/>
      <c r="DJ17" s="197"/>
      <c r="DK17" s="197"/>
      <c r="DL17" s="197"/>
      <c r="DM17" s="197"/>
      <c r="DN17" s="197"/>
      <c r="DO17" s="197"/>
      <c r="DP17" s="197"/>
      <c r="DQ17" s="197"/>
      <c r="DR17" s="197"/>
      <c r="DS17" s="197"/>
      <c r="DT17" s="197"/>
      <c r="DU17" s="197"/>
      <c r="DV17" s="197"/>
      <c r="DW17" s="197"/>
      <c r="DX17" s="197"/>
      <c r="DY17" s="197"/>
      <c r="DZ17" s="197"/>
      <c r="EA17" s="197"/>
      <c r="EB17" s="197"/>
      <c r="EC17" s="197"/>
      <c r="ED17" s="197"/>
      <c r="EE17" s="197"/>
      <c r="EF17" s="197"/>
      <c r="EG17" s="197"/>
      <c r="EH17" s="197"/>
      <c r="EI17" s="197"/>
      <c r="EJ17" s="197"/>
      <c r="EK17" s="197"/>
      <c r="EL17" s="197"/>
      <c r="EM17" s="197"/>
      <c r="EN17" s="197"/>
      <c r="EO17" s="197"/>
      <c r="EP17" s="197"/>
      <c r="EQ17" s="197"/>
      <c r="ER17" s="197"/>
      <c r="ES17" s="197"/>
      <c r="ET17" s="197"/>
      <c r="EU17" s="197"/>
      <c r="EV17" s="197"/>
      <c r="EW17" s="197"/>
      <c r="EX17" s="197"/>
      <c r="EY17" s="197"/>
      <c r="EZ17" s="197"/>
      <c r="FA17" s="197"/>
      <c r="FB17" s="197"/>
      <c r="FC17" s="197"/>
      <c r="FD17" s="197"/>
      <c r="FE17" s="197"/>
      <c r="FF17" s="197"/>
      <c r="FG17" s="197"/>
      <c r="FH17" s="197"/>
      <c r="FI17" s="197"/>
      <c r="FJ17" s="197"/>
      <c r="FK17" s="197"/>
      <c r="FL17" s="197"/>
      <c r="FM17" s="197"/>
      <c r="FN17" s="197"/>
      <c r="FO17" s="197"/>
      <c r="FP17" s="197"/>
      <c r="FQ17" s="197"/>
      <c r="FR17" s="197"/>
      <c r="FS17" s="197"/>
      <c r="FT17" s="197"/>
      <c r="FU17" s="197"/>
      <c r="FV17" s="197"/>
      <c r="FW17" s="197"/>
      <c r="FX17" s="197"/>
      <c r="FY17" s="197"/>
      <c r="FZ17" s="197"/>
      <c r="GA17" s="197"/>
      <c r="GB17" s="197"/>
      <c r="GC17" s="197"/>
      <c r="GD17" s="197"/>
      <c r="GE17" s="197"/>
      <c r="GF17" s="197"/>
      <c r="GG17" s="197"/>
      <c r="GH17" s="197"/>
      <c r="GI17" s="197"/>
      <c r="GJ17" s="197"/>
      <c r="GK17" s="197"/>
      <c r="GL17" s="197"/>
      <c r="GM17" s="197"/>
      <c r="GN17" s="197"/>
      <c r="GO17" s="197"/>
      <c r="GP17" s="197"/>
      <c r="GQ17" s="197"/>
      <c r="GR17" s="197"/>
      <c r="GS17" s="197"/>
      <c r="GT17" s="197"/>
      <c r="GU17" s="197"/>
      <c r="GV17" s="197"/>
      <c r="GW17" s="197"/>
      <c r="GX17" s="197"/>
      <c r="GY17" s="197"/>
      <c r="GZ17" s="197"/>
      <c r="HA17" s="197"/>
      <c r="HB17" s="197"/>
      <c r="HC17" s="197"/>
      <c r="HD17" s="197"/>
      <c r="HE17" s="197"/>
      <c r="HF17" s="197"/>
      <c r="HG17" s="197"/>
      <c r="HH17" s="197"/>
      <c r="HI17" s="197"/>
      <c r="HJ17" s="197"/>
      <c r="HK17" s="197"/>
      <c r="HL17" s="197"/>
      <c r="HM17" s="197"/>
      <c r="HN17" s="197"/>
      <c r="HO17" s="197"/>
      <c r="HP17" s="197"/>
      <c r="HQ17" s="197"/>
      <c r="HR17" s="197"/>
      <c r="HS17" s="197"/>
      <c r="HT17" s="197"/>
      <c r="HU17" s="197"/>
      <c r="HV17" s="197"/>
      <c r="HW17" s="197"/>
      <c r="HX17" s="197"/>
      <c r="HY17" s="197"/>
      <c r="HZ17" s="197"/>
      <c r="IA17" s="197"/>
      <c r="IB17" s="197"/>
      <c r="IC17" s="197"/>
      <c r="ID17" s="197"/>
      <c r="IE17" s="197"/>
      <c r="IF17" s="197"/>
      <c r="IG17" s="197"/>
      <c r="IH17" s="197"/>
      <c r="II17" s="197"/>
      <c r="IJ17" s="197"/>
      <c r="IK17" s="197"/>
      <c r="IL17" s="197"/>
      <c r="IM17" s="197"/>
      <c r="IN17" s="197"/>
      <c r="IO17" s="197"/>
      <c r="IP17" s="197"/>
      <c r="IQ17" s="197"/>
      <c r="IR17" s="197"/>
    </row>
    <row r="18" spans="1:252" ht="15">
      <c r="A18" s="195"/>
      <c r="B18" s="220" t="str">
        <f>'Income Statement Ann'!E22</f>
        <v>Retained Earnings this period</v>
      </c>
      <c r="C18" s="222"/>
      <c r="D18" s="217">
        <f ca="1">'Income Statement Ann'!J22</f>
        <v>18227.46527023922</v>
      </c>
      <c r="E18" s="217">
        <f ca="1">'Income Statement Ann'!K22</f>
        <v>2875537.5531703052</v>
      </c>
      <c r="F18" s="217">
        <f ca="1">'Income Statement Ann'!L22</f>
        <v>8097995.2138933521</v>
      </c>
      <c r="G18" s="217">
        <f ca="1">'Income Statement Ann'!M22</f>
        <v>18671462.643888142</v>
      </c>
      <c r="H18" s="217">
        <f ca="1">'Income Statement Ann'!N22</f>
        <v>39847540.953208067</v>
      </c>
      <c r="I18" s="195"/>
      <c r="J18" s="195"/>
      <c r="K18" s="197"/>
      <c r="L18" s="197"/>
      <c r="M18" s="197"/>
      <c r="N18" s="197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  <c r="AU18" s="197"/>
      <c r="AV18" s="197"/>
      <c r="AW18" s="197"/>
      <c r="AX18" s="197"/>
      <c r="AY18" s="197"/>
      <c r="AZ18" s="197"/>
      <c r="BA18" s="197"/>
      <c r="BB18" s="197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7"/>
      <c r="BN18" s="197"/>
      <c r="BO18" s="197"/>
      <c r="BP18" s="197"/>
      <c r="BQ18" s="197"/>
      <c r="BR18" s="197"/>
      <c r="BS18" s="197"/>
      <c r="BT18" s="197"/>
      <c r="BU18" s="197"/>
      <c r="BV18" s="197"/>
      <c r="BW18" s="197"/>
      <c r="BX18" s="197"/>
      <c r="BY18" s="197"/>
      <c r="BZ18" s="197"/>
      <c r="CA18" s="197"/>
      <c r="CB18" s="197"/>
      <c r="CC18" s="197"/>
      <c r="CD18" s="197"/>
      <c r="CE18" s="197"/>
      <c r="CF18" s="197"/>
      <c r="CG18" s="197"/>
      <c r="CH18" s="197"/>
      <c r="CI18" s="197"/>
      <c r="CJ18" s="197"/>
      <c r="CK18" s="197"/>
      <c r="CL18" s="197"/>
      <c r="CM18" s="197"/>
      <c r="CN18" s="197"/>
      <c r="CO18" s="197"/>
      <c r="CP18" s="197"/>
      <c r="CQ18" s="197"/>
      <c r="CR18" s="197"/>
      <c r="CS18" s="197"/>
      <c r="CT18" s="197"/>
      <c r="CU18" s="197"/>
      <c r="CV18" s="197"/>
      <c r="CW18" s="197"/>
      <c r="CX18" s="197"/>
      <c r="CY18" s="197"/>
      <c r="CZ18" s="197"/>
      <c r="DA18" s="197"/>
      <c r="DB18" s="197"/>
      <c r="DC18" s="197"/>
      <c r="DD18" s="197"/>
      <c r="DE18" s="197"/>
      <c r="DF18" s="197"/>
      <c r="DG18" s="197"/>
      <c r="DH18" s="197"/>
      <c r="DI18" s="197"/>
      <c r="DJ18" s="197"/>
      <c r="DK18" s="197"/>
      <c r="DL18" s="197"/>
      <c r="DM18" s="197"/>
      <c r="DN18" s="197"/>
      <c r="DO18" s="197"/>
      <c r="DP18" s="197"/>
      <c r="DQ18" s="197"/>
      <c r="DR18" s="197"/>
      <c r="DS18" s="197"/>
      <c r="DT18" s="197"/>
      <c r="DU18" s="197"/>
      <c r="DV18" s="197"/>
      <c r="DW18" s="197"/>
      <c r="DX18" s="197"/>
      <c r="DY18" s="197"/>
      <c r="DZ18" s="197"/>
      <c r="EA18" s="197"/>
      <c r="EB18" s="197"/>
      <c r="EC18" s="197"/>
      <c r="ED18" s="197"/>
      <c r="EE18" s="197"/>
      <c r="EF18" s="197"/>
      <c r="EG18" s="197"/>
      <c r="EH18" s="197"/>
      <c r="EI18" s="197"/>
      <c r="EJ18" s="197"/>
      <c r="EK18" s="197"/>
      <c r="EL18" s="197"/>
      <c r="EM18" s="197"/>
      <c r="EN18" s="197"/>
      <c r="EO18" s="197"/>
      <c r="EP18" s="197"/>
      <c r="EQ18" s="197"/>
      <c r="ER18" s="197"/>
      <c r="ES18" s="197"/>
      <c r="ET18" s="197"/>
      <c r="EU18" s="197"/>
      <c r="EV18" s="197"/>
      <c r="EW18" s="197"/>
      <c r="EX18" s="197"/>
      <c r="EY18" s="197"/>
      <c r="EZ18" s="197"/>
      <c r="FA18" s="197"/>
      <c r="FB18" s="197"/>
      <c r="FC18" s="197"/>
      <c r="FD18" s="197"/>
      <c r="FE18" s="197"/>
      <c r="FF18" s="197"/>
      <c r="FG18" s="197"/>
      <c r="FH18" s="197"/>
      <c r="FI18" s="197"/>
      <c r="FJ18" s="197"/>
      <c r="FK18" s="197"/>
      <c r="FL18" s="197"/>
      <c r="FM18" s="197"/>
      <c r="FN18" s="197"/>
      <c r="FO18" s="197"/>
      <c r="FP18" s="197"/>
      <c r="FQ18" s="197"/>
      <c r="FR18" s="197"/>
      <c r="FS18" s="197"/>
      <c r="FT18" s="197"/>
      <c r="FU18" s="197"/>
      <c r="FV18" s="197"/>
      <c r="FW18" s="197"/>
      <c r="FX18" s="197"/>
      <c r="FY18" s="197"/>
      <c r="FZ18" s="197"/>
      <c r="GA18" s="197"/>
      <c r="GB18" s="197"/>
      <c r="GC18" s="197"/>
      <c r="GD18" s="197"/>
      <c r="GE18" s="197"/>
      <c r="GF18" s="197"/>
      <c r="GG18" s="197"/>
      <c r="GH18" s="197"/>
      <c r="GI18" s="197"/>
      <c r="GJ18" s="197"/>
      <c r="GK18" s="197"/>
      <c r="GL18" s="197"/>
      <c r="GM18" s="197"/>
      <c r="GN18" s="197"/>
      <c r="GO18" s="197"/>
      <c r="GP18" s="197"/>
      <c r="GQ18" s="197"/>
      <c r="GR18" s="197"/>
      <c r="GS18" s="197"/>
      <c r="GT18" s="197"/>
      <c r="GU18" s="197"/>
      <c r="GV18" s="197"/>
      <c r="GW18" s="197"/>
      <c r="GX18" s="197"/>
      <c r="GY18" s="197"/>
      <c r="GZ18" s="197"/>
      <c r="HA18" s="197"/>
      <c r="HB18" s="197"/>
      <c r="HC18" s="197"/>
      <c r="HD18" s="197"/>
      <c r="HE18" s="197"/>
      <c r="HF18" s="197"/>
      <c r="HG18" s="197"/>
      <c r="HH18" s="197"/>
      <c r="HI18" s="197"/>
      <c r="HJ18" s="197"/>
      <c r="HK18" s="197"/>
      <c r="HL18" s="197"/>
      <c r="HM18" s="197"/>
      <c r="HN18" s="197"/>
      <c r="HO18" s="197"/>
      <c r="HP18" s="197"/>
      <c r="HQ18" s="197"/>
      <c r="HR18" s="197"/>
      <c r="HS18" s="197"/>
      <c r="HT18" s="197"/>
      <c r="HU18" s="197"/>
      <c r="HV18" s="197"/>
      <c r="HW18" s="197"/>
      <c r="HX18" s="197"/>
      <c r="HY18" s="197"/>
      <c r="HZ18" s="197"/>
      <c r="IA18" s="197"/>
      <c r="IB18" s="197"/>
      <c r="IC18" s="197"/>
      <c r="ID18" s="197"/>
      <c r="IE18" s="197"/>
      <c r="IF18" s="197"/>
      <c r="IG18" s="197"/>
      <c r="IH18" s="197"/>
      <c r="II18" s="197"/>
      <c r="IJ18" s="197"/>
      <c r="IK18" s="197"/>
      <c r="IL18" s="197"/>
      <c r="IM18" s="197"/>
      <c r="IN18" s="197"/>
      <c r="IO18" s="197"/>
      <c r="IP18" s="197"/>
      <c r="IQ18" s="197"/>
      <c r="IR18" s="197"/>
    </row>
    <row r="19" spans="1:252" ht="15">
      <c r="A19" s="195"/>
      <c r="B19" s="221"/>
      <c r="C19" s="195"/>
      <c r="D19" s="218"/>
      <c r="E19" s="218"/>
      <c r="F19" s="218"/>
      <c r="G19" s="218"/>
      <c r="H19" s="218"/>
      <c r="I19" s="195"/>
      <c r="J19" s="195"/>
      <c r="K19" s="197"/>
      <c r="L19" s="197"/>
      <c r="M19" s="197"/>
      <c r="N19" s="197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197"/>
      <c r="AR19" s="197"/>
      <c r="AS19" s="197"/>
      <c r="AT19" s="197"/>
      <c r="AU19" s="197"/>
      <c r="AV19" s="197"/>
      <c r="AW19" s="197"/>
      <c r="AX19" s="197"/>
      <c r="AY19" s="197"/>
      <c r="AZ19" s="197"/>
      <c r="BA19" s="197"/>
      <c r="BB19" s="197"/>
      <c r="BC19" s="197"/>
      <c r="BD19" s="197"/>
      <c r="BE19" s="197"/>
      <c r="BF19" s="197"/>
      <c r="BG19" s="197"/>
      <c r="BH19" s="197"/>
      <c r="BI19" s="197"/>
      <c r="BJ19" s="197"/>
      <c r="BK19" s="197"/>
      <c r="BL19" s="197"/>
      <c r="BM19" s="197"/>
      <c r="BN19" s="197"/>
      <c r="BO19" s="197"/>
      <c r="BP19" s="197"/>
      <c r="BQ19" s="197"/>
      <c r="BR19" s="197"/>
      <c r="BS19" s="197"/>
      <c r="BT19" s="197"/>
      <c r="BU19" s="197"/>
      <c r="BV19" s="197"/>
      <c r="BW19" s="197"/>
      <c r="BX19" s="197"/>
      <c r="BY19" s="197"/>
      <c r="BZ19" s="197"/>
      <c r="CA19" s="197"/>
      <c r="CB19" s="197"/>
      <c r="CC19" s="197"/>
      <c r="CD19" s="197"/>
      <c r="CE19" s="197"/>
      <c r="CF19" s="197"/>
      <c r="CG19" s="197"/>
      <c r="CH19" s="197"/>
      <c r="CI19" s="197"/>
      <c r="CJ19" s="197"/>
      <c r="CK19" s="197"/>
      <c r="CL19" s="197"/>
      <c r="CM19" s="197"/>
      <c r="CN19" s="197"/>
      <c r="CO19" s="197"/>
      <c r="CP19" s="197"/>
      <c r="CQ19" s="197"/>
      <c r="CR19" s="197"/>
      <c r="CS19" s="197"/>
      <c r="CT19" s="197"/>
      <c r="CU19" s="197"/>
      <c r="CV19" s="197"/>
      <c r="CW19" s="197"/>
      <c r="CX19" s="197"/>
      <c r="CY19" s="197"/>
      <c r="CZ19" s="197"/>
      <c r="DA19" s="197"/>
      <c r="DB19" s="197"/>
      <c r="DC19" s="197"/>
      <c r="DD19" s="197"/>
      <c r="DE19" s="197"/>
      <c r="DF19" s="197"/>
      <c r="DG19" s="197"/>
      <c r="DH19" s="197"/>
      <c r="DI19" s="197"/>
      <c r="DJ19" s="197"/>
      <c r="DK19" s="197"/>
      <c r="DL19" s="197"/>
      <c r="DM19" s="197"/>
      <c r="DN19" s="197"/>
      <c r="DO19" s="197"/>
      <c r="DP19" s="197"/>
      <c r="DQ19" s="197"/>
      <c r="DR19" s="197"/>
      <c r="DS19" s="197"/>
      <c r="DT19" s="197"/>
      <c r="DU19" s="197"/>
      <c r="DV19" s="197"/>
      <c r="DW19" s="197"/>
      <c r="DX19" s="197"/>
      <c r="DY19" s="197"/>
      <c r="DZ19" s="197"/>
      <c r="EA19" s="197"/>
      <c r="EB19" s="197"/>
      <c r="EC19" s="197"/>
      <c r="ED19" s="197"/>
      <c r="EE19" s="197"/>
      <c r="EF19" s="197"/>
      <c r="EG19" s="197"/>
      <c r="EH19" s="197"/>
      <c r="EI19" s="197"/>
      <c r="EJ19" s="197"/>
      <c r="EK19" s="197"/>
      <c r="EL19" s="197"/>
      <c r="EM19" s="197"/>
      <c r="EN19" s="197"/>
      <c r="EO19" s="197"/>
      <c r="EP19" s="197"/>
      <c r="EQ19" s="197"/>
      <c r="ER19" s="197"/>
      <c r="ES19" s="197"/>
      <c r="ET19" s="197"/>
      <c r="EU19" s="197"/>
      <c r="EV19" s="197"/>
      <c r="EW19" s="197"/>
      <c r="EX19" s="197"/>
      <c r="EY19" s="197"/>
      <c r="EZ19" s="197"/>
      <c r="FA19" s="197"/>
      <c r="FB19" s="197"/>
      <c r="FC19" s="197"/>
      <c r="FD19" s="197"/>
      <c r="FE19" s="197"/>
      <c r="FF19" s="197"/>
      <c r="FG19" s="197"/>
      <c r="FH19" s="197"/>
      <c r="FI19" s="197"/>
      <c r="FJ19" s="197"/>
      <c r="FK19" s="197"/>
      <c r="FL19" s="197"/>
      <c r="FM19" s="197"/>
      <c r="FN19" s="197"/>
      <c r="FO19" s="197"/>
      <c r="FP19" s="197"/>
      <c r="FQ19" s="197"/>
      <c r="FR19" s="197"/>
      <c r="FS19" s="197"/>
      <c r="FT19" s="197"/>
      <c r="FU19" s="197"/>
      <c r="FV19" s="197"/>
      <c r="FW19" s="197"/>
      <c r="FX19" s="197"/>
      <c r="FY19" s="197"/>
      <c r="FZ19" s="197"/>
      <c r="GA19" s="197"/>
      <c r="GB19" s="197"/>
      <c r="GC19" s="197"/>
      <c r="GD19" s="197"/>
      <c r="GE19" s="197"/>
      <c r="GF19" s="197"/>
      <c r="GG19" s="197"/>
      <c r="GH19" s="197"/>
      <c r="GI19" s="197"/>
      <c r="GJ19" s="197"/>
      <c r="GK19" s="197"/>
      <c r="GL19" s="197"/>
      <c r="GM19" s="197"/>
      <c r="GN19" s="197"/>
      <c r="GO19" s="197"/>
      <c r="GP19" s="197"/>
      <c r="GQ19" s="197"/>
      <c r="GR19" s="197"/>
      <c r="GS19" s="197"/>
      <c r="GT19" s="197"/>
      <c r="GU19" s="197"/>
      <c r="GV19" s="197"/>
      <c r="GW19" s="197"/>
      <c r="GX19" s="197"/>
      <c r="GY19" s="197"/>
      <c r="GZ19" s="197"/>
      <c r="HA19" s="197"/>
      <c r="HB19" s="197"/>
      <c r="HC19" s="197"/>
      <c r="HD19" s="197"/>
      <c r="HE19" s="197"/>
      <c r="HF19" s="197"/>
      <c r="HG19" s="197"/>
      <c r="HH19" s="197"/>
      <c r="HI19" s="197"/>
      <c r="HJ19" s="197"/>
      <c r="HK19" s="197"/>
      <c r="HL19" s="197"/>
      <c r="HM19" s="197"/>
      <c r="HN19" s="197"/>
      <c r="HO19" s="197"/>
      <c r="HP19" s="197"/>
      <c r="HQ19" s="197"/>
      <c r="HR19" s="197"/>
      <c r="HS19" s="197"/>
      <c r="HT19" s="197"/>
      <c r="HU19" s="197"/>
      <c r="HV19" s="197"/>
      <c r="HW19" s="197"/>
      <c r="HX19" s="197"/>
      <c r="HY19" s="197"/>
      <c r="HZ19" s="197"/>
      <c r="IA19" s="197"/>
      <c r="IB19" s="197"/>
      <c r="IC19" s="197"/>
      <c r="ID19" s="197"/>
      <c r="IE19" s="197"/>
      <c r="IF19" s="197"/>
      <c r="IG19" s="197"/>
      <c r="IH19" s="197"/>
      <c r="II19" s="197"/>
      <c r="IJ19" s="197"/>
      <c r="IK19" s="197"/>
      <c r="IL19" s="197"/>
      <c r="IM19" s="197"/>
      <c r="IN19" s="197"/>
      <c r="IO19" s="197"/>
      <c r="IP19" s="197"/>
      <c r="IQ19" s="197"/>
      <c r="IR19" s="197"/>
    </row>
    <row r="20" spans="1:252" ht="15">
      <c r="A20" s="195"/>
      <c r="B20" s="195"/>
      <c r="C20" s="195"/>
      <c r="D20" s="219"/>
      <c r="E20" s="219"/>
      <c r="F20" s="219"/>
      <c r="G20" s="219"/>
      <c r="H20" s="219"/>
      <c r="I20" s="195"/>
      <c r="J20" s="195"/>
      <c r="K20" s="197"/>
      <c r="L20" s="197"/>
      <c r="M20" s="197"/>
      <c r="N20" s="197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7"/>
      <c r="BB20" s="197"/>
      <c r="BC20" s="197"/>
      <c r="BD20" s="197"/>
      <c r="BE20" s="197"/>
      <c r="BF20" s="197"/>
      <c r="BG20" s="197"/>
      <c r="BH20" s="197"/>
      <c r="BI20" s="197"/>
      <c r="BJ20" s="197"/>
      <c r="BK20" s="197"/>
      <c r="BL20" s="197"/>
      <c r="BM20" s="197"/>
      <c r="BN20" s="197"/>
      <c r="BO20" s="197"/>
      <c r="BP20" s="197"/>
      <c r="BQ20" s="197"/>
      <c r="BR20" s="197"/>
      <c r="BS20" s="197"/>
      <c r="BT20" s="197"/>
      <c r="BU20" s="197"/>
      <c r="BV20" s="197"/>
      <c r="BW20" s="197"/>
      <c r="BX20" s="197"/>
      <c r="BY20" s="197"/>
      <c r="BZ20" s="197"/>
      <c r="CA20" s="197"/>
      <c r="CB20" s="197"/>
      <c r="CC20" s="197"/>
      <c r="CD20" s="197"/>
      <c r="CE20" s="197"/>
      <c r="CF20" s="197"/>
      <c r="CG20" s="197"/>
      <c r="CH20" s="197"/>
      <c r="CI20" s="197"/>
      <c r="CJ20" s="197"/>
      <c r="CK20" s="197"/>
      <c r="CL20" s="197"/>
      <c r="CM20" s="197"/>
      <c r="CN20" s="197"/>
      <c r="CO20" s="197"/>
      <c r="CP20" s="197"/>
      <c r="CQ20" s="197"/>
      <c r="CR20" s="197"/>
      <c r="CS20" s="197"/>
      <c r="CT20" s="197"/>
      <c r="CU20" s="197"/>
      <c r="CV20" s="197"/>
      <c r="CW20" s="197"/>
      <c r="CX20" s="197"/>
      <c r="CY20" s="197"/>
      <c r="CZ20" s="197"/>
      <c r="DA20" s="197"/>
      <c r="DB20" s="197"/>
      <c r="DC20" s="197"/>
      <c r="DD20" s="197"/>
      <c r="DE20" s="197"/>
      <c r="DF20" s="197"/>
      <c r="DG20" s="197"/>
      <c r="DH20" s="197"/>
      <c r="DI20" s="197"/>
      <c r="DJ20" s="197"/>
      <c r="DK20" s="197"/>
      <c r="DL20" s="197"/>
      <c r="DM20" s="197"/>
      <c r="DN20" s="197"/>
      <c r="DO20" s="197"/>
      <c r="DP20" s="197"/>
      <c r="DQ20" s="197"/>
      <c r="DR20" s="197"/>
      <c r="DS20" s="197"/>
      <c r="DT20" s="197"/>
      <c r="DU20" s="197"/>
      <c r="DV20" s="197"/>
      <c r="DW20" s="197"/>
      <c r="DX20" s="197"/>
      <c r="DY20" s="197"/>
      <c r="DZ20" s="197"/>
      <c r="EA20" s="197"/>
      <c r="EB20" s="197"/>
      <c r="EC20" s="197"/>
      <c r="ED20" s="197"/>
      <c r="EE20" s="197"/>
      <c r="EF20" s="197"/>
      <c r="EG20" s="197"/>
      <c r="EH20" s="197"/>
      <c r="EI20" s="197"/>
      <c r="EJ20" s="197"/>
      <c r="EK20" s="197"/>
      <c r="EL20" s="197"/>
      <c r="EM20" s="197"/>
      <c r="EN20" s="197"/>
      <c r="EO20" s="197"/>
      <c r="EP20" s="197"/>
      <c r="EQ20" s="197"/>
      <c r="ER20" s="197"/>
      <c r="ES20" s="197"/>
      <c r="ET20" s="197"/>
      <c r="EU20" s="197"/>
      <c r="EV20" s="197"/>
      <c r="EW20" s="197"/>
      <c r="EX20" s="197"/>
      <c r="EY20" s="197"/>
      <c r="EZ20" s="197"/>
      <c r="FA20" s="197"/>
      <c r="FB20" s="197"/>
      <c r="FC20" s="197"/>
      <c r="FD20" s="197"/>
      <c r="FE20" s="197"/>
      <c r="FF20" s="197"/>
      <c r="FG20" s="197"/>
      <c r="FH20" s="197"/>
      <c r="FI20" s="197"/>
      <c r="FJ20" s="197"/>
      <c r="FK20" s="197"/>
      <c r="FL20" s="197"/>
      <c r="FM20" s="197"/>
      <c r="FN20" s="197"/>
      <c r="FO20" s="197"/>
      <c r="FP20" s="197"/>
      <c r="FQ20" s="197"/>
      <c r="FR20" s="197"/>
      <c r="FS20" s="197"/>
      <c r="FT20" s="197"/>
      <c r="FU20" s="197"/>
      <c r="FV20" s="197"/>
      <c r="FW20" s="197"/>
      <c r="FX20" s="197"/>
      <c r="FY20" s="197"/>
      <c r="FZ20" s="197"/>
      <c r="GA20" s="197"/>
      <c r="GB20" s="197"/>
      <c r="GC20" s="197"/>
      <c r="GD20" s="197"/>
      <c r="GE20" s="197"/>
      <c r="GF20" s="197"/>
      <c r="GG20" s="197"/>
      <c r="GH20" s="197"/>
      <c r="GI20" s="197"/>
      <c r="GJ20" s="197"/>
      <c r="GK20" s="197"/>
      <c r="GL20" s="197"/>
      <c r="GM20" s="197"/>
      <c r="GN20" s="197"/>
      <c r="GO20" s="197"/>
      <c r="GP20" s="197"/>
      <c r="GQ20" s="197"/>
      <c r="GR20" s="197"/>
      <c r="GS20" s="197"/>
      <c r="GT20" s="197"/>
      <c r="GU20" s="197"/>
      <c r="GV20" s="197"/>
      <c r="GW20" s="197"/>
      <c r="GX20" s="197"/>
      <c r="GY20" s="197"/>
      <c r="GZ20" s="197"/>
      <c r="HA20" s="197"/>
      <c r="HB20" s="197"/>
      <c r="HC20" s="197"/>
      <c r="HD20" s="197"/>
      <c r="HE20" s="197"/>
      <c r="HF20" s="197"/>
      <c r="HG20" s="197"/>
      <c r="HH20" s="197"/>
      <c r="HI20" s="197"/>
      <c r="HJ20" s="197"/>
      <c r="HK20" s="197"/>
      <c r="HL20" s="197"/>
      <c r="HM20" s="197"/>
      <c r="HN20" s="197"/>
      <c r="HO20" s="197"/>
      <c r="HP20" s="197"/>
      <c r="HQ20" s="197"/>
      <c r="HR20" s="197"/>
      <c r="HS20" s="197"/>
      <c r="HT20" s="197"/>
      <c r="HU20" s="197"/>
      <c r="HV20" s="197"/>
      <c r="HW20" s="197"/>
      <c r="HX20" s="197"/>
      <c r="HY20" s="197"/>
      <c r="HZ20" s="197"/>
      <c r="IA20" s="197"/>
      <c r="IB20" s="197"/>
      <c r="IC20" s="197"/>
      <c r="ID20" s="197"/>
      <c r="IE20" s="197"/>
      <c r="IF20" s="197"/>
      <c r="IG20" s="197"/>
      <c r="IH20" s="197"/>
      <c r="II20" s="197"/>
      <c r="IJ20" s="197"/>
      <c r="IK20" s="197"/>
      <c r="IL20" s="197"/>
      <c r="IM20" s="197"/>
      <c r="IN20" s="197"/>
      <c r="IO20" s="197"/>
      <c r="IP20" s="197"/>
      <c r="IQ20" s="197"/>
      <c r="IR20" s="197"/>
    </row>
    <row r="21" spans="1:252" s="216" customFormat="1" ht="14.5">
      <c r="A21" s="198"/>
      <c r="B21" s="237" t="s">
        <v>345</v>
      </c>
      <c r="C21" s="225"/>
      <c r="D21" s="238">
        <f>'Balance Sheet Ann'!J2</f>
        <v>45412</v>
      </c>
      <c r="E21" s="238">
        <f>'Balance Sheet Ann'!K2</f>
        <v>45777</v>
      </c>
      <c r="F21" s="238">
        <f>'Balance Sheet Ann'!L2</f>
        <v>46142</v>
      </c>
      <c r="G21" s="238">
        <f>'Balance Sheet Ann'!M2</f>
        <v>46507</v>
      </c>
      <c r="H21" s="238">
        <f>'Balance Sheet Ann'!N2</f>
        <v>46873</v>
      </c>
      <c r="I21" s="198"/>
      <c r="J21" s="198"/>
      <c r="K21" s="198"/>
      <c r="L21" s="198"/>
      <c r="M21" s="198"/>
      <c r="N21" s="198"/>
      <c r="O21" s="198"/>
      <c r="P21" s="198"/>
      <c r="Q21" s="198"/>
      <c r="R21" s="198"/>
      <c r="S21" s="198"/>
      <c r="T21" s="198"/>
      <c r="U21" s="198"/>
      <c r="V21" s="198"/>
      <c r="W21" s="198"/>
      <c r="X21" s="198"/>
      <c r="Y21" s="198"/>
      <c r="Z21" s="198"/>
      <c r="AA21" s="198"/>
      <c r="AB21" s="198"/>
      <c r="AC21" s="198"/>
      <c r="AD21" s="198"/>
      <c r="AE21" s="198"/>
      <c r="AF21" s="198"/>
      <c r="AG21" s="198"/>
      <c r="AH21" s="198"/>
      <c r="AI21" s="198"/>
      <c r="AJ21" s="198"/>
      <c r="AK21" s="198"/>
      <c r="AL21" s="198"/>
      <c r="AM21" s="198"/>
      <c r="AN21" s="198"/>
      <c r="AO21" s="198"/>
      <c r="AP21" s="198"/>
      <c r="AQ21" s="198"/>
      <c r="AR21" s="198"/>
      <c r="AS21" s="198"/>
      <c r="AT21" s="198"/>
      <c r="AU21" s="198"/>
      <c r="AV21" s="198"/>
      <c r="AW21" s="198"/>
      <c r="AX21" s="198"/>
      <c r="AY21" s="198"/>
      <c r="AZ21" s="198"/>
      <c r="BA21" s="198"/>
      <c r="BB21" s="198"/>
      <c r="BC21" s="198"/>
      <c r="BD21" s="198"/>
      <c r="BE21" s="198"/>
      <c r="BF21" s="198"/>
      <c r="BG21" s="198"/>
      <c r="BH21" s="198"/>
      <c r="BI21" s="198"/>
      <c r="BJ21" s="198"/>
      <c r="BK21" s="198"/>
      <c r="BL21" s="198"/>
      <c r="BM21" s="198"/>
      <c r="BN21" s="198"/>
      <c r="BO21" s="198"/>
      <c r="BP21" s="198"/>
      <c r="BQ21" s="198"/>
      <c r="BR21" s="198"/>
      <c r="BS21" s="198"/>
      <c r="BT21" s="198"/>
      <c r="BU21" s="198"/>
      <c r="BV21" s="198"/>
      <c r="BW21" s="198"/>
      <c r="BX21" s="198"/>
      <c r="BY21" s="198"/>
      <c r="BZ21" s="198"/>
      <c r="CA21" s="198"/>
      <c r="CB21" s="198"/>
      <c r="CC21" s="198"/>
      <c r="CD21" s="198"/>
      <c r="CE21" s="198"/>
      <c r="CF21" s="198"/>
      <c r="CG21" s="198"/>
      <c r="CH21" s="198"/>
      <c r="CI21" s="198"/>
      <c r="CJ21" s="198"/>
      <c r="CK21" s="198"/>
      <c r="CL21" s="198"/>
      <c r="CM21" s="198"/>
      <c r="CN21" s="198"/>
      <c r="CO21" s="198"/>
      <c r="CP21" s="198"/>
      <c r="CQ21" s="198"/>
      <c r="CR21" s="198"/>
      <c r="CS21" s="198"/>
      <c r="CT21" s="198"/>
      <c r="CU21" s="198"/>
      <c r="CV21" s="198"/>
      <c r="CW21" s="198"/>
      <c r="CX21" s="198"/>
      <c r="CY21" s="198"/>
      <c r="CZ21" s="198"/>
      <c r="DA21" s="198"/>
      <c r="DB21" s="198"/>
      <c r="DC21" s="198"/>
      <c r="DD21" s="198"/>
      <c r="DE21" s="198"/>
      <c r="DF21" s="198"/>
      <c r="DG21" s="198"/>
      <c r="DH21" s="198"/>
      <c r="DI21" s="198"/>
      <c r="DJ21" s="198"/>
      <c r="DK21" s="198"/>
      <c r="DL21" s="198"/>
      <c r="DM21" s="198"/>
      <c r="DN21" s="198"/>
      <c r="DO21" s="198"/>
      <c r="DP21" s="198"/>
      <c r="DQ21" s="198"/>
      <c r="DR21" s="198"/>
      <c r="DS21" s="198"/>
      <c r="DT21" s="198"/>
      <c r="DU21" s="198"/>
      <c r="DV21" s="198"/>
      <c r="DW21" s="198"/>
      <c r="DX21" s="198"/>
      <c r="DY21" s="198"/>
      <c r="DZ21" s="198"/>
      <c r="EA21" s="198"/>
      <c r="EB21" s="198"/>
      <c r="EC21" s="198"/>
      <c r="ED21" s="198"/>
      <c r="EE21" s="198"/>
      <c r="EF21" s="198"/>
      <c r="EG21" s="198"/>
      <c r="EH21" s="198"/>
      <c r="EI21" s="198"/>
      <c r="EJ21" s="198"/>
      <c r="EK21" s="198"/>
      <c r="EL21" s="198"/>
      <c r="EM21" s="198"/>
      <c r="EN21" s="198"/>
      <c r="EO21" s="198"/>
      <c r="EP21" s="198"/>
      <c r="EQ21" s="198"/>
      <c r="ER21" s="198"/>
      <c r="ES21" s="198"/>
      <c r="ET21" s="198"/>
      <c r="EU21" s="198"/>
      <c r="EV21" s="198"/>
      <c r="EW21" s="198"/>
      <c r="EX21" s="198"/>
      <c r="EY21" s="198"/>
      <c r="EZ21" s="198"/>
      <c r="FA21" s="198"/>
      <c r="FB21" s="198"/>
      <c r="FC21" s="198"/>
      <c r="FD21" s="198"/>
      <c r="FE21" s="198"/>
      <c r="FF21" s="198"/>
      <c r="FG21" s="198"/>
      <c r="FH21" s="198"/>
      <c r="FI21" s="198"/>
      <c r="FJ21" s="198"/>
      <c r="FK21" s="198"/>
      <c r="FL21" s="198"/>
      <c r="FM21" s="198"/>
      <c r="FN21" s="198"/>
      <c r="FO21" s="198"/>
      <c r="FP21" s="198"/>
      <c r="FQ21" s="198"/>
      <c r="FR21" s="198"/>
      <c r="FS21" s="198"/>
      <c r="FT21" s="198"/>
      <c r="FU21" s="198"/>
      <c r="FV21" s="198"/>
      <c r="FW21" s="198"/>
      <c r="FX21" s="198"/>
      <c r="FY21" s="198"/>
      <c r="FZ21" s="198"/>
      <c r="GA21" s="198"/>
      <c r="GB21" s="198"/>
      <c r="GC21" s="198"/>
      <c r="GD21" s="198"/>
      <c r="GE21" s="198"/>
      <c r="GF21" s="198"/>
      <c r="GG21" s="198"/>
      <c r="GH21" s="198"/>
      <c r="GI21" s="198"/>
      <c r="GJ21" s="198"/>
      <c r="GK21" s="198"/>
      <c r="GL21" s="198"/>
      <c r="GM21" s="198"/>
      <c r="GN21" s="198"/>
      <c r="GO21" s="198"/>
      <c r="GP21" s="198"/>
      <c r="GQ21" s="198"/>
      <c r="GR21" s="198"/>
      <c r="GS21" s="198"/>
      <c r="GT21" s="198"/>
      <c r="GU21" s="198"/>
      <c r="GV21" s="198"/>
      <c r="GW21" s="198"/>
      <c r="GX21" s="198"/>
      <c r="GY21" s="198"/>
      <c r="GZ21" s="198"/>
      <c r="HA21" s="198"/>
      <c r="HB21" s="198"/>
      <c r="HC21" s="198"/>
      <c r="HD21" s="198"/>
      <c r="HE21" s="198"/>
      <c r="HF21" s="198"/>
      <c r="HG21" s="198"/>
      <c r="HH21" s="198"/>
      <c r="HI21" s="198"/>
      <c r="HJ21" s="198"/>
      <c r="HK21" s="198"/>
      <c r="HL21" s="198"/>
      <c r="HM21" s="198"/>
      <c r="HN21" s="198"/>
      <c r="HO21" s="198"/>
      <c r="HP21" s="198"/>
      <c r="HQ21" s="198"/>
      <c r="HR21" s="198"/>
      <c r="HS21" s="198"/>
      <c r="HT21" s="198"/>
      <c r="HU21" s="198"/>
      <c r="HV21" s="198"/>
      <c r="HW21" s="198"/>
      <c r="HX21" s="198"/>
      <c r="HY21" s="198"/>
      <c r="HZ21" s="198"/>
      <c r="IA21" s="198"/>
      <c r="IB21" s="198"/>
      <c r="IC21" s="198"/>
      <c r="ID21" s="198"/>
      <c r="IE21" s="198"/>
      <c r="IF21" s="198"/>
      <c r="IG21" s="198"/>
      <c r="IH21" s="198"/>
      <c r="II21" s="198"/>
      <c r="IJ21" s="198"/>
      <c r="IK21" s="198"/>
      <c r="IL21" s="198"/>
      <c r="IM21" s="198"/>
      <c r="IN21" s="198"/>
      <c r="IO21" s="198"/>
      <c r="IP21" s="198"/>
      <c r="IQ21" s="198"/>
      <c r="IR21" s="198"/>
    </row>
    <row r="22" spans="1:252" ht="15">
      <c r="A22" s="195"/>
      <c r="B22" s="195"/>
      <c r="C22" s="195"/>
      <c r="D22" s="219"/>
      <c r="E22" s="219"/>
      <c r="F22" s="219"/>
      <c r="G22" s="219"/>
      <c r="H22" s="219"/>
      <c r="I22" s="195"/>
      <c r="J22" s="195"/>
      <c r="K22" s="197"/>
      <c r="L22" s="197"/>
      <c r="M22" s="197"/>
      <c r="N22" s="197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  <c r="AA22" s="197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  <c r="AU22" s="197"/>
      <c r="AV22" s="197"/>
      <c r="AW22" s="197"/>
      <c r="AX22" s="197"/>
      <c r="AY22" s="197"/>
      <c r="AZ22" s="197"/>
      <c r="BA22" s="197"/>
      <c r="BB22" s="197"/>
      <c r="BC22" s="197"/>
      <c r="BD22" s="197"/>
      <c r="BE22" s="197"/>
      <c r="BF22" s="197"/>
      <c r="BG22" s="197"/>
      <c r="BH22" s="197"/>
      <c r="BI22" s="197"/>
      <c r="BJ22" s="197"/>
      <c r="BK22" s="197"/>
      <c r="BL22" s="197"/>
      <c r="BM22" s="197"/>
      <c r="BN22" s="197"/>
      <c r="BO22" s="197"/>
      <c r="BP22" s="197"/>
      <c r="BQ22" s="197"/>
      <c r="BR22" s="197"/>
      <c r="BS22" s="197"/>
      <c r="BT22" s="197"/>
      <c r="BU22" s="197"/>
      <c r="BV22" s="197"/>
      <c r="BW22" s="197"/>
      <c r="BX22" s="197"/>
      <c r="BY22" s="197"/>
      <c r="BZ22" s="197"/>
      <c r="CA22" s="197"/>
      <c r="CB22" s="197"/>
      <c r="CC22" s="197"/>
      <c r="CD22" s="197"/>
      <c r="CE22" s="197"/>
      <c r="CF22" s="197"/>
      <c r="CG22" s="197"/>
      <c r="CH22" s="197"/>
      <c r="CI22" s="197"/>
      <c r="CJ22" s="197"/>
      <c r="CK22" s="197"/>
      <c r="CL22" s="197"/>
      <c r="CM22" s="197"/>
      <c r="CN22" s="197"/>
      <c r="CO22" s="197"/>
      <c r="CP22" s="197"/>
      <c r="CQ22" s="197"/>
      <c r="CR22" s="197"/>
      <c r="CS22" s="197"/>
      <c r="CT22" s="197"/>
      <c r="CU22" s="197"/>
      <c r="CV22" s="197"/>
      <c r="CW22" s="197"/>
      <c r="CX22" s="197"/>
      <c r="CY22" s="197"/>
      <c r="CZ22" s="197"/>
      <c r="DA22" s="197"/>
      <c r="DB22" s="197"/>
      <c r="DC22" s="197"/>
      <c r="DD22" s="197"/>
      <c r="DE22" s="197"/>
      <c r="DF22" s="197"/>
      <c r="DG22" s="197"/>
      <c r="DH22" s="197"/>
      <c r="DI22" s="197"/>
      <c r="DJ22" s="197"/>
      <c r="DK22" s="197"/>
      <c r="DL22" s="197"/>
      <c r="DM22" s="197"/>
      <c r="DN22" s="197"/>
      <c r="DO22" s="197"/>
      <c r="DP22" s="197"/>
      <c r="DQ22" s="197"/>
      <c r="DR22" s="197"/>
      <c r="DS22" s="197"/>
      <c r="DT22" s="197"/>
      <c r="DU22" s="197"/>
      <c r="DV22" s="197"/>
      <c r="DW22" s="197"/>
      <c r="DX22" s="197"/>
      <c r="DY22" s="197"/>
      <c r="DZ22" s="197"/>
      <c r="EA22" s="197"/>
      <c r="EB22" s="197"/>
      <c r="EC22" s="197"/>
      <c r="ED22" s="197"/>
      <c r="EE22" s="197"/>
      <c r="EF22" s="197"/>
      <c r="EG22" s="197"/>
      <c r="EH22" s="197"/>
      <c r="EI22" s="197"/>
      <c r="EJ22" s="197"/>
      <c r="EK22" s="197"/>
      <c r="EL22" s="197"/>
      <c r="EM22" s="197"/>
      <c r="EN22" s="197"/>
      <c r="EO22" s="197"/>
      <c r="EP22" s="197"/>
      <c r="EQ22" s="197"/>
      <c r="ER22" s="197"/>
      <c r="ES22" s="197"/>
      <c r="ET22" s="197"/>
      <c r="EU22" s="197"/>
      <c r="EV22" s="197"/>
      <c r="EW22" s="197"/>
      <c r="EX22" s="197"/>
      <c r="EY22" s="197"/>
      <c r="EZ22" s="197"/>
      <c r="FA22" s="197"/>
      <c r="FB22" s="197"/>
      <c r="FC22" s="197"/>
      <c r="FD22" s="197"/>
      <c r="FE22" s="197"/>
      <c r="FF22" s="197"/>
      <c r="FG22" s="197"/>
      <c r="FH22" s="197"/>
      <c r="FI22" s="197"/>
      <c r="FJ22" s="197"/>
      <c r="FK22" s="197"/>
      <c r="FL22" s="197"/>
      <c r="FM22" s="197"/>
      <c r="FN22" s="197"/>
      <c r="FO22" s="197"/>
      <c r="FP22" s="197"/>
      <c r="FQ22" s="197"/>
      <c r="FR22" s="197"/>
      <c r="FS22" s="197"/>
      <c r="FT22" s="197"/>
      <c r="FU22" s="197"/>
      <c r="FV22" s="197"/>
      <c r="FW22" s="197"/>
      <c r="FX22" s="197"/>
      <c r="FY22" s="197"/>
      <c r="FZ22" s="197"/>
      <c r="GA22" s="197"/>
      <c r="GB22" s="197"/>
      <c r="GC22" s="197"/>
      <c r="GD22" s="197"/>
      <c r="GE22" s="197"/>
      <c r="GF22" s="197"/>
      <c r="GG22" s="197"/>
      <c r="GH22" s="197"/>
      <c r="GI22" s="197"/>
      <c r="GJ22" s="197"/>
      <c r="GK22" s="197"/>
      <c r="GL22" s="197"/>
      <c r="GM22" s="197"/>
      <c r="GN22" s="197"/>
      <c r="GO22" s="197"/>
      <c r="GP22" s="197"/>
      <c r="GQ22" s="197"/>
      <c r="GR22" s="197"/>
      <c r="GS22" s="197"/>
      <c r="GT22" s="197"/>
      <c r="GU22" s="197"/>
      <c r="GV22" s="197"/>
      <c r="GW22" s="197"/>
      <c r="GX22" s="197"/>
      <c r="GY22" s="197"/>
      <c r="GZ22" s="197"/>
      <c r="HA22" s="197"/>
      <c r="HB22" s="197"/>
      <c r="HC22" s="197"/>
      <c r="HD22" s="197"/>
      <c r="HE22" s="197"/>
      <c r="HF22" s="197"/>
      <c r="HG22" s="197"/>
      <c r="HH22" s="197"/>
      <c r="HI22" s="197"/>
      <c r="HJ22" s="197"/>
      <c r="HK22" s="197"/>
      <c r="HL22" s="197"/>
      <c r="HM22" s="197"/>
      <c r="HN22" s="197"/>
      <c r="HO22" s="197"/>
      <c r="HP22" s="197"/>
      <c r="HQ22" s="197"/>
      <c r="HR22" s="197"/>
      <c r="HS22" s="197"/>
      <c r="HT22" s="197"/>
      <c r="HU22" s="197"/>
      <c r="HV22" s="197"/>
      <c r="HW22" s="197"/>
      <c r="HX22" s="197"/>
      <c r="HY22" s="197"/>
      <c r="HZ22" s="197"/>
      <c r="IA22" s="197"/>
      <c r="IB22" s="197"/>
      <c r="IC22" s="197"/>
      <c r="ID22" s="197"/>
      <c r="IE22" s="197"/>
      <c r="IF22" s="197"/>
      <c r="IG22" s="197"/>
      <c r="IH22" s="197"/>
      <c r="II22" s="197"/>
      <c r="IJ22" s="197"/>
      <c r="IK22" s="197"/>
      <c r="IL22" s="197"/>
      <c r="IM22" s="197"/>
      <c r="IN22" s="197"/>
      <c r="IO22" s="197"/>
      <c r="IP22" s="197"/>
      <c r="IQ22" s="197"/>
      <c r="IR22" s="197"/>
    </row>
    <row r="23" spans="1:252" ht="15">
      <c r="A23" s="195"/>
      <c r="B23" s="215" t="str">
        <f>'Balance Sheet Ann'!E8</f>
        <v>Inventory</v>
      </c>
      <c r="C23" s="195"/>
      <c r="D23" s="218">
        <f ca="1">'Balance Sheet Ann'!J8</f>
        <v>350000</v>
      </c>
      <c r="E23" s="218">
        <f ca="1">'Balance Sheet Ann'!K8</f>
        <v>1050000</v>
      </c>
      <c r="F23" s="218">
        <f ca="1">'Balance Sheet Ann'!L8</f>
        <v>1630176.8000105759</v>
      </c>
      <c r="G23" s="218">
        <f ca="1">'Balance Sheet Ann'!M8</f>
        <v>2790185.3525249097</v>
      </c>
      <c r="H23" s="218">
        <f ca="1">'Balance Sheet Ann'!N8</f>
        <v>3445036.4383722316</v>
      </c>
      <c r="I23" s="195"/>
      <c r="J23" s="195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  <c r="AU23" s="197"/>
      <c r="AV23" s="197"/>
      <c r="AW23" s="197"/>
      <c r="AX23" s="197"/>
      <c r="AY23" s="197"/>
      <c r="AZ23" s="197"/>
      <c r="BA23" s="197"/>
      <c r="BB23" s="197"/>
      <c r="BC23" s="197"/>
      <c r="BD23" s="197"/>
      <c r="BE23" s="197"/>
      <c r="BF23" s="197"/>
      <c r="BG23" s="197"/>
      <c r="BH23" s="197"/>
      <c r="BI23" s="197"/>
      <c r="BJ23" s="197"/>
      <c r="BK23" s="197"/>
      <c r="BL23" s="197"/>
      <c r="BM23" s="197"/>
      <c r="BN23" s="197"/>
      <c r="BO23" s="197"/>
      <c r="BP23" s="197"/>
      <c r="BQ23" s="197"/>
      <c r="BR23" s="197"/>
      <c r="BS23" s="197"/>
      <c r="BT23" s="197"/>
      <c r="BU23" s="197"/>
      <c r="BV23" s="197"/>
      <c r="BW23" s="197"/>
      <c r="BX23" s="197"/>
      <c r="BY23" s="197"/>
      <c r="BZ23" s="197"/>
      <c r="CA23" s="197"/>
      <c r="CB23" s="197"/>
      <c r="CC23" s="197"/>
      <c r="CD23" s="197"/>
      <c r="CE23" s="197"/>
      <c r="CF23" s="197"/>
      <c r="CG23" s="197"/>
      <c r="CH23" s="197"/>
      <c r="CI23" s="197"/>
      <c r="CJ23" s="197"/>
      <c r="CK23" s="197"/>
      <c r="CL23" s="197"/>
      <c r="CM23" s="197"/>
      <c r="CN23" s="197"/>
      <c r="CO23" s="197"/>
      <c r="CP23" s="197"/>
      <c r="CQ23" s="197"/>
      <c r="CR23" s="197"/>
      <c r="CS23" s="197"/>
      <c r="CT23" s="197"/>
      <c r="CU23" s="197"/>
      <c r="CV23" s="197"/>
      <c r="CW23" s="197"/>
      <c r="CX23" s="197"/>
      <c r="CY23" s="197"/>
      <c r="CZ23" s="197"/>
      <c r="DA23" s="197"/>
      <c r="DB23" s="197"/>
      <c r="DC23" s="197"/>
      <c r="DD23" s="197"/>
      <c r="DE23" s="197"/>
      <c r="DF23" s="197"/>
      <c r="DG23" s="197"/>
      <c r="DH23" s="197"/>
      <c r="DI23" s="197"/>
      <c r="DJ23" s="197"/>
      <c r="DK23" s="197"/>
      <c r="DL23" s="197"/>
      <c r="DM23" s="197"/>
      <c r="DN23" s="197"/>
      <c r="DO23" s="197"/>
      <c r="DP23" s="197"/>
      <c r="DQ23" s="197"/>
      <c r="DR23" s="197"/>
      <c r="DS23" s="197"/>
      <c r="DT23" s="197"/>
      <c r="DU23" s="197"/>
      <c r="DV23" s="197"/>
      <c r="DW23" s="197"/>
      <c r="DX23" s="197"/>
      <c r="DY23" s="197"/>
      <c r="DZ23" s="197"/>
      <c r="EA23" s="197"/>
      <c r="EB23" s="197"/>
      <c r="EC23" s="197"/>
      <c r="ED23" s="197"/>
      <c r="EE23" s="197"/>
      <c r="EF23" s="197"/>
      <c r="EG23" s="197"/>
      <c r="EH23" s="197"/>
      <c r="EI23" s="197"/>
      <c r="EJ23" s="197"/>
      <c r="EK23" s="197"/>
      <c r="EL23" s="197"/>
      <c r="EM23" s="197"/>
      <c r="EN23" s="197"/>
      <c r="EO23" s="197"/>
      <c r="EP23" s="197"/>
      <c r="EQ23" s="197"/>
      <c r="ER23" s="197"/>
      <c r="ES23" s="197"/>
      <c r="ET23" s="197"/>
      <c r="EU23" s="197"/>
      <c r="EV23" s="197"/>
      <c r="EW23" s="197"/>
      <c r="EX23" s="197"/>
      <c r="EY23" s="197"/>
      <c r="EZ23" s="197"/>
      <c r="FA23" s="197"/>
      <c r="FB23" s="197"/>
      <c r="FC23" s="197"/>
      <c r="FD23" s="197"/>
      <c r="FE23" s="197"/>
      <c r="FF23" s="197"/>
      <c r="FG23" s="197"/>
      <c r="FH23" s="197"/>
      <c r="FI23" s="197"/>
      <c r="FJ23" s="197"/>
      <c r="FK23" s="197"/>
      <c r="FL23" s="197"/>
      <c r="FM23" s="197"/>
      <c r="FN23" s="197"/>
      <c r="FO23" s="197"/>
      <c r="FP23" s="197"/>
      <c r="FQ23" s="197"/>
      <c r="FR23" s="197"/>
      <c r="FS23" s="197"/>
      <c r="FT23" s="197"/>
      <c r="FU23" s="197"/>
      <c r="FV23" s="197"/>
      <c r="FW23" s="197"/>
      <c r="FX23" s="197"/>
      <c r="FY23" s="197"/>
      <c r="FZ23" s="197"/>
      <c r="GA23" s="197"/>
      <c r="GB23" s="197"/>
      <c r="GC23" s="197"/>
      <c r="GD23" s="197"/>
      <c r="GE23" s="197"/>
      <c r="GF23" s="197"/>
      <c r="GG23" s="197"/>
      <c r="GH23" s="197"/>
      <c r="GI23" s="197"/>
      <c r="GJ23" s="197"/>
      <c r="GK23" s="197"/>
      <c r="GL23" s="197"/>
      <c r="GM23" s="197"/>
      <c r="GN23" s="197"/>
      <c r="GO23" s="197"/>
      <c r="GP23" s="197"/>
      <c r="GQ23" s="197"/>
      <c r="GR23" s="197"/>
      <c r="GS23" s="197"/>
      <c r="GT23" s="197"/>
      <c r="GU23" s="197"/>
      <c r="GV23" s="197"/>
      <c r="GW23" s="197"/>
      <c r="GX23" s="197"/>
      <c r="GY23" s="197"/>
      <c r="GZ23" s="197"/>
      <c r="HA23" s="197"/>
      <c r="HB23" s="197"/>
      <c r="HC23" s="197"/>
      <c r="HD23" s="197"/>
      <c r="HE23" s="197"/>
      <c r="HF23" s="197"/>
      <c r="HG23" s="197"/>
      <c r="HH23" s="197"/>
      <c r="HI23" s="197"/>
      <c r="HJ23" s="197"/>
      <c r="HK23" s="197"/>
      <c r="HL23" s="197"/>
      <c r="HM23" s="197"/>
      <c r="HN23" s="197"/>
      <c r="HO23" s="197"/>
      <c r="HP23" s="197"/>
      <c r="HQ23" s="197"/>
      <c r="HR23" s="197"/>
      <c r="HS23" s="197"/>
      <c r="HT23" s="197"/>
      <c r="HU23" s="197"/>
      <c r="HV23" s="197"/>
      <c r="HW23" s="197"/>
      <c r="HX23" s="197"/>
      <c r="HY23" s="197"/>
      <c r="HZ23" s="197"/>
      <c r="IA23" s="197"/>
      <c r="IB23" s="197"/>
      <c r="IC23" s="197"/>
      <c r="ID23" s="197"/>
      <c r="IE23" s="197"/>
      <c r="IF23" s="197"/>
      <c r="IG23" s="197"/>
      <c r="IH23" s="197"/>
      <c r="II23" s="197"/>
      <c r="IJ23" s="197"/>
      <c r="IK23" s="197"/>
      <c r="IL23" s="197"/>
      <c r="IM23" s="197"/>
      <c r="IN23" s="197"/>
      <c r="IO23" s="197"/>
      <c r="IP23" s="197"/>
      <c r="IQ23" s="197"/>
      <c r="IR23" s="197"/>
    </row>
    <row r="24" spans="1:252" ht="15">
      <c r="A24" s="195"/>
      <c r="B24" s="215" t="str">
        <f>'Balance Sheet Ann'!E9</f>
        <v xml:space="preserve">Depreciation </v>
      </c>
      <c r="C24" s="195"/>
      <c r="D24" s="218">
        <f ca="1">'Balance Sheet Ann'!J9</f>
        <v>-116666.66666666666</v>
      </c>
      <c r="E24" s="218">
        <f ca="1">'Balance Sheet Ann'!K9</f>
        <v>-444791.66666666663</v>
      </c>
      <c r="F24" s="218">
        <f ca="1">'Balance Sheet Ann'!L9</f>
        <v>-783513.93599258631</v>
      </c>
      <c r="G24" s="218">
        <f ca="1">'Balance Sheet Ann'!M9</f>
        <v>-1247508.2156888754</v>
      </c>
      <c r="H24" s="218">
        <f ca="1">'Balance Sheet Ann'!N9</f>
        <v>-1388690.7429198015</v>
      </c>
      <c r="I24" s="195"/>
      <c r="J24" s="195"/>
      <c r="K24" s="197"/>
      <c r="L24" s="197"/>
      <c r="M24" s="197"/>
      <c r="N24" s="197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  <c r="AA24" s="197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7"/>
      <c r="BB24" s="197"/>
      <c r="BC24" s="197"/>
      <c r="BD24" s="197"/>
      <c r="BE24" s="197"/>
      <c r="BF24" s="197"/>
      <c r="BG24" s="197"/>
      <c r="BH24" s="197"/>
      <c r="BI24" s="197"/>
      <c r="BJ24" s="197"/>
      <c r="BK24" s="197"/>
      <c r="BL24" s="197"/>
      <c r="BM24" s="197"/>
      <c r="BN24" s="197"/>
      <c r="BO24" s="197"/>
      <c r="BP24" s="197"/>
      <c r="BQ24" s="197"/>
      <c r="BR24" s="197"/>
      <c r="BS24" s="197"/>
      <c r="BT24" s="197"/>
      <c r="BU24" s="197"/>
      <c r="BV24" s="197"/>
      <c r="BW24" s="197"/>
      <c r="BX24" s="197"/>
      <c r="BY24" s="197"/>
      <c r="BZ24" s="197"/>
      <c r="CA24" s="197"/>
      <c r="CB24" s="197"/>
      <c r="CC24" s="197"/>
      <c r="CD24" s="197"/>
      <c r="CE24" s="197"/>
      <c r="CF24" s="197"/>
      <c r="CG24" s="197"/>
      <c r="CH24" s="197"/>
      <c r="CI24" s="197"/>
      <c r="CJ24" s="197"/>
      <c r="CK24" s="197"/>
      <c r="CL24" s="197"/>
      <c r="CM24" s="197"/>
      <c r="CN24" s="197"/>
      <c r="CO24" s="197"/>
      <c r="CP24" s="197"/>
      <c r="CQ24" s="197"/>
      <c r="CR24" s="197"/>
      <c r="CS24" s="197"/>
      <c r="CT24" s="197"/>
      <c r="CU24" s="197"/>
      <c r="CV24" s="197"/>
      <c r="CW24" s="197"/>
      <c r="CX24" s="197"/>
      <c r="CY24" s="197"/>
      <c r="CZ24" s="197"/>
      <c r="DA24" s="197"/>
      <c r="DB24" s="197"/>
      <c r="DC24" s="197"/>
      <c r="DD24" s="197"/>
      <c r="DE24" s="197"/>
      <c r="DF24" s="197"/>
      <c r="DG24" s="197"/>
      <c r="DH24" s="197"/>
      <c r="DI24" s="197"/>
      <c r="DJ24" s="197"/>
      <c r="DK24" s="197"/>
      <c r="DL24" s="197"/>
      <c r="DM24" s="197"/>
      <c r="DN24" s="197"/>
      <c r="DO24" s="197"/>
      <c r="DP24" s="197"/>
      <c r="DQ24" s="197"/>
      <c r="DR24" s="197"/>
      <c r="DS24" s="197"/>
      <c r="DT24" s="197"/>
      <c r="DU24" s="197"/>
      <c r="DV24" s="197"/>
      <c r="DW24" s="197"/>
      <c r="DX24" s="197"/>
      <c r="DY24" s="197"/>
      <c r="DZ24" s="197"/>
      <c r="EA24" s="197"/>
      <c r="EB24" s="197"/>
      <c r="EC24" s="197"/>
      <c r="ED24" s="197"/>
      <c r="EE24" s="197"/>
      <c r="EF24" s="197"/>
      <c r="EG24" s="197"/>
      <c r="EH24" s="197"/>
      <c r="EI24" s="197"/>
      <c r="EJ24" s="197"/>
      <c r="EK24" s="197"/>
      <c r="EL24" s="197"/>
      <c r="EM24" s="197"/>
      <c r="EN24" s="197"/>
      <c r="EO24" s="197"/>
      <c r="EP24" s="197"/>
      <c r="EQ24" s="197"/>
      <c r="ER24" s="197"/>
      <c r="ES24" s="197"/>
      <c r="ET24" s="197"/>
      <c r="EU24" s="197"/>
      <c r="EV24" s="197"/>
      <c r="EW24" s="197"/>
      <c r="EX24" s="197"/>
      <c r="EY24" s="197"/>
      <c r="EZ24" s="197"/>
      <c r="FA24" s="197"/>
      <c r="FB24" s="197"/>
      <c r="FC24" s="197"/>
      <c r="FD24" s="197"/>
      <c r="FE24" s="197"/>
      <c r="FF24" s="197"/>
      <c r="FG24" s="197"/>
      <c r="FH24" s="197"/>
      <c r="FI24" s="197"/>
      <c r="FJ24" s="197"/>
      <c r="FK24" s="197"/>
      <c r="FL24" s="197"/>
      <c r="FM24" s="197"/>
      <c r="FN24" s="197"/>
      <c r="FO24" s="197"/>
      <c r="FP24" s="197"/>
      <c r="FQ24" s="197"/>
      <c r="FR24" s="197"/>
      <c r="FS24" s="197"/>
      <c r="FT24" s="197"/>
      <c r="FU24" s="197"/>
      <c r="FV24" s="197"/>
      <c r="FW24" s="197"/>
      <c r="FX24" s="197"/>
      <c r="FY24" s="197"/>
      <c r="FZ24" s="197"/>
      <c r="GA24" s="197"/>
      <c r="GB24" s="197"/>
      <c r="GC24" s="197"/>
      <c r="GD24" s="197"/>
      <c r="GE24" s="197"/>
      <c r="GF24" s="197"/>
      <c r="GG24" s="197"/>
      <c r="GH24" s="197"/>
      <c r="GI24" s="197"/>
      <c r="GJ24" s="197"/>
      <c r="GK24" s="197"/>
      <c r="GL24" s="197"/>
      <c r="GM24" s="197"/>
      <c r="GN24" s="197"/>
      <c r="GO24" s="197"/>
      <c r="GP24" s="197"/>
      <c r="GQ24" s="197"/>
      <c r="GR24" s="197"/>
      <c r="GS24" s="197"/>
      <c r="GT24" s="197"/>
      <c r="GU24" s="197"/>
      <c r="GV24" s="197"/>
      <c r="GW24" s="197"/>
      <c r="GX24" s="197"/>
      <c r="GY24" s="197"/>
      <c r="GZ24" s="197"/>
      <c r="HA24" s="197"/>
      <c r="HB24" s="197"/>
      <c r="HC24" s="197"/>
      <c r="HD24" s="197"/>
      <c r="HE24" s="197"/>
      <c r="HF24" s="197"/>
      <c r="HG24" s="197"/>
      <c r="HH24" s="197"/>
      <c r="HI24" s="197"/>
      <c r="HJ24" s="197"/>
      <c r="HK24" s="197"/>
      <c r="HL24" s="197"/>
      <c r="HM24" s="197"/>
      <c r="HN24" s="197"/>
      <c r="HO24" s="197"/>
      <c r="HP24" s="197"/>
      <c r="HQ24" s="197"/>
      <c r="HR24" s="197"/>
      <c r="HS24" s="197"/>
      <c r="HT24" s="197"/>
      <c r="HU24" s="197"/>
      <c r="HV24" s="197"/>
      <c r="HW24" s="197"/>
      <c r="HX24" s="197"/>
      <c r="HY24" s="197"/>
      <c r="HZ24" s="197"/>
      <c r="IA24" s="197"/>
      <c r="IB24" s="197"/>
      <c r="IC24" s="197"/>
      <c r="ID24" s="197"/>
      <c r="IE24" s="197"/>
      <c r="IF24" s="197"/>
      <c r="IG24" s="197"/>
      <c r="IH24" s="197"/>
      <c r="II24" s="197"/>
      <c r="IJ24" s="197"/>
      <c r="IK24" s="197"/>
      <c r="IL24" s="197"/>
      <c r="IM24" s="197"/>
      <c r="IN24" s="197"/>
      <c r="IO24" s="197"/>
      <c r="IP24" s="197"/>
      <c r="IQ24" s="197"/>
      <c r="IR24" s="197"/>
    </row>
    <row r="25" spans="1:252" ht="15">
      <c r="A25" s="195"/>
      <c r="B25" s="215" t="str">
        <f>'Balance Sheet Ann'!E10</f>
        <v>Debtors</v>
      </c>
      <c r="C25" s="195"/>
      <c r="D25" s="218">
        <f ca="1">'Balance Sheet Ann'!J10</f>
        <v>-3.8562575355172157E-10</v>
      </c>
      <c r="E25" s="218">
        <f ca="1">'Balance Sheet Ann'!K10</f>
        <v>2519999.9999999981</v>
      </c>
      <c r="F25" s="218">
        <f ca="1">'Balance Sheet Ann'!L10</f>
        <v>6789278.990363691</v>
      </c>
      <c r="G25" s="218">
        <f ca="1">'Balance Sheet Ann'!M10</f>
        <v>10289934.178493176</v>
      </c>
      <c r="H25" s="218">
        <f ca="1">'Balance Sheet Ann'!N10</f>
        <v>19634984.398088749</v>
      </c>
      <c r="I25" s="195"/>
      <c r="J25" s="195"/>
      <c r="K25" s="197"/>
      <c r="L25" s="197"/>
      <c r="M25" s="197"/>
      <c r="N25" s="197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  <c r="AU25" s="197"/>
      <c r="AV25" s="197"/>
      <c r="AW25" s="197"/>
      <c r="AX25" s="197"/>
      <c r="AY25" s="197"/>
      <c r="AZ25" s="197"/>
      <c r="BA25" s="197"/>
      <c r="BB25" s="197"/>
      <c r="BC25" s="197"/>
      <c r="BD25" s="197"/>
      <c r="BE25" s="197"/>
      <c r="BF25" s="197"/>
      <c r="BG25" s="197"/>
      <c r="BH25" s="197"/>
      <c r="BI25" s="197"/>
      <c r="BJ25" s="197"/>
      <c r="BK25" s="197"/>
      <c r="BL25" s="197"/>
      <c r="BM25" s="197"/>
      <c r="BN25" s="197"/>
      <c r="BO25" s="197"/>
      <c r="BP25" s="197"/>
      <c r="BQ25" s="197"/>
      <c r="BR25" s="197"/>
      <c r="BS25" s="197"/>
      <c r="BT25" s="197"/>
      <c r="BU25" s="197"/>
      <c r="BV25" s="197"/>
      <c r="BW25" s="197"/>
      <c r="BX25" s="197"/>
      <c r="BY25" s="197"/>
      <c r="BZ25" s="197"/>
      <c r="CA25" s="197"/>
      <c r="CB25" s="197"/>
      <c r="CC25" s="197"/>
      <c r="CD25" s="197"/>
      <c r="CE25" s="197"/>
      <c r="CF25" s="197"/>
      <c r="CG25" s="197"/>
      <c r="CH25" s="197"/>
      <c r="CI25" s="197"/>
      <c r="CJ25" s="197"/>
      <c r="CK25" s="197"/>
      <c r="CL25" s="197"/>
      <c r="CM25" s="197"/>
      <c r="CN25" s="197"/>
      <c r="CO25" s="197"/>
      <c r="CP25" s="197"/>
      <c r="CQ25" s="197"/>
      <c r="CR25" s="197"/>
      <c r="CS25" s="197"/>
      <c r="CT25" s="197"/>
      <c r="CU25" s="197"/>
      <c r="CV25" s="197"/>
      <c r="CW25" s="197"/>
      <c r="CX25" s="197"/>
      <c r="CY25" s="197"/>
      <c r="CZ25" s="197"/>
      <c r="DA25" s="197"/>
      <c r="DB25" s="197"/>
      <c r="DC25" s="197"/>
      <c r="DD25" s="197"/>
      <c r="DE25" s="197"/>
      <c r="DF25" s="197"/>
      <c r="DG25" s="197"/>
      <c r="DH25" s="197"/>
      <c r="DI25" s="197"/>
      <c r="DJ25" s="197"/>
      <c r="DK25" s="197"/>
      <c r="DL25" s="197"/>
      <c r="DM25" s="197"/>
      <c r="DN25" s="197"/>
      <c r="DO25" s="197"/>
      <c r="DP25" s="197"/>
      <c r="DQ25" s="197"/>
      <c r="DR25" s="197"/>
      <c r="DS25" s="197"/>
      <c r="DT25" s="197"/>
      <c r="DU25" s="197"/>
      <c r="DV25" s="197"/>
      <c r="DW25" s="197"/>
      <c r="DX25" s="197"/>
      <c r="DY25" s="197"/>
      <c r="DZ25" s="197"/>
      <c r="EA25" s="197"/>
      <c r="EB25" s="197"/>
      <c r="EC25" s="197"/>
      <c r="ED25" s="197"/>
      <c r="EE25" s="197"/>
      <c r="EF25" s="197"/>
      <c r="EG25" s="197"/>
      <c r="EH25" s="197"/>
      <c r="EI25" s="197"/>
      <c r="EJ25" s="197"/>
      <c r="EK25" s="197"/>
      <c r="EL25" s="197"/>
      <c r="EM25" s="197"/>
      <c r="EN25" s="197"/>
      <c r="EO25" s="197"/>
      <c r="EP25" s="197"/>
      <c r="EQ25" s="197"/>
      <c r="ER25" s="197"/>
      <c r="ES25" s="197"/>
      <c r="ET25" s="197"/>
      <c r="EU25" s="197"/>
      <c r="EV25" s="197"/>
      <c r="EW25" s="197"/>
      <c r="EX25" s="197"/>
      <c r="EY25" s="197"/>
      <c r="EZ25" s="197"/>
      <c r="FA25" s="197"/>
      <c r="FB25" s="197"/>
      <c r="FC25" s="197"/>
      <c r="FD25" s="197"/>
      <c r="FE25" s="197"/>
      <c r="FF25" s="197"/>
      <c r="FG25" s="197"/>
      <c r="FH25" s="197"/>
      <c r="FI25" s="197"/>
      <c r="FJ25" s="197"/>
      <c r="FK25" s="197"/>
      <c r="FL25" s="197"/>
      <c r="FM25" s="197"/>
      <c r="FN25" s="197"/>
      <c r="FO25" s="197"/>
      <c r="FP25" s="197"/>
      <c r="FQ25" s="197"/>
      <c r="FR25" s="197"/>
      <c r="FS25" s="197"/>
      <c r="FT25" s="197"/>
      <c r="FU25" s="197"/>
      <c r="FV25" s="197"/>
      <c r="FW25" s="197"/>
      <c r="FX25" s="197"/>
      <c r="FY25" s="197"/>
      <c r="FZ25" s="197"/>
      <c r="GA25" s="197"/>
      <c r="GB25" s="197"/>
      <c r="GC25" s="197"/>
      <c r="GD25" s="197"/>
      <c r="GE25" s="197"/>
      <c r="GF25" s="197"/>
      <c r="GG25" s="197"/>
      <c r="GH25" s="197"/>
      <c r="GI25" s="197"/>
      <c r="GJ25" s="197"/>
      <c r="GK25" s="197"/>
      <c r="GL25" s="197"/>
      <c r="GM25" s="197"/>
      <c r="GN25" s="197"/>
      <c r="GO25" s="197"/>
      <c r="GP25" s="197"/>
      <c r="GQ25" s="197"/>
      <c r="GR25" s="197"/>
      <c r="GS25" s="197"/>
      <c r="GT25" s="197"/>
      <c r="GU25" s="197"/>
      <c r="GV25" s="197"/>
      <c r="GW25" s="197"/>
      <c r="GX25" s="197"/>
      <c r="GY25" s="197"/>
      <c r="GZ25" s="197"/>
      <c r="HA25" s="197"/>
      <c r="HB25" s="197"/>
      <c r="HC25" s="197"/>
      <c r="HD25" s="197"/>
      <c r="HE25" s="197"/>
      <c r="HF25" s="197"/>
      <c r="HG25" s="197"/>
      <c r="HH25" s="197"/>
      <c r="HI25" s="197"/>
      <c r="HJ25" s="197"/>
      <c r="HK25" s="197"/>
      <c r="HL25" s="197"/>
      <c r="HM25" s="197"/>
      <c r="HN25" s="197"/>
      <c r="HO25" s="197"/>
      <c r="HP25" s="197"/>
      <c r="HQ25" s="197"/>
      <c r="HR25" s="197"/>
      <c r="HS25" s="197"/>
      <c r="HT25" s="197"/>
      <c r="HU25" s="197"/>
      <c r="HV25" s="197"/>
      <c r="HW25" s="197"/>
      <c r="HX25" s="197"/>
      <c r="HY25" s="197"/>
      <c r="HZ25" s="197"/>
      <c r="IA25" s="197"/>
      <c r="IB25" s="197"/>
      <c r="IC25" s="197"/>
      <c r="ID25" s="197"/>
      <c r="IE25" s="197"/>
      <c r="IF25" s="197"/>
      <c r="IG25" s="197"/>
      <c r="IH25" s="197"/>
      <c r="II25" s="197"/>
      <c r="IJ25" s="197"/>
      <c r="IK25" s="197"/>
      <c r="IL25" s="197"/>
      <c r="IM25" s="197"/>
      <c r="IN25" s="197"/>
      <c r="IO25" s="197"/>
      <c r="IP25" s="197"/>
      <c r="IQ25" s="197"/>
      <c r="IR25" s="197"/>
    </row>
    <row r="26" spans="1:252" s="216" customFormat="1" ht="14.5">
      <c r="A26" s="215"/>
      <c r="B26" s="215" t="str">
        <f>'Balance Sheet Ann'!E11</f>
        <v>Cash</v>
      </c>
      <c r="C26" s="195"/>
      <c r="D26" s="218">
        <f ca="1">'Balance Sheet Ann'!J11</f>
        <v>1246437.4488265985</v>
      </c>
      <c r="E26" s="218">
        <f ca="1">'Balance Sheet Ann'!K11</f>
        <v>5773019.245225206</v>
      </c>
      <c r="F26" s="218">
        <f ca="1">'Balance Sheet Ann'!L11</f>
        <v>19248519.165587541</v>
      </c>
      <c r="G26" s="218">
        <f ca="1">'Balance Sheet Ann'!M11</f>
        <v>48421534.225866169</v>
      </c>
      <c r="H26" s="218">
        <f ca="1">'Balance Sheet Ann'!N11</f>
        <v>107847639.85822076</v>
      </c>
      <c r="I26" s="215"/>
      <c r="J26" s="215"/>
      <c r="K26" s="215"/>
      <c r="L26" s="198"/>
      <c r="M26" s="198"/>
      <c r="N26" s="198"/>
      <c r="O26" s="198"/>
      <c r="P26" s="198"/>
      <c r="Q26" s="198"/>
      <c r="R26" s="198"/>
      <c r="S26" s="198"/>
      <c r="T26" s="198"/>
      <c r="U26" s="198"/>
      <c r="V26" s="198"/>
      <c r="W26" s="198"/>
      <c r="X26" s="198"/>
      <c r="Y26" s="198"/>
      <c r="Z26" s="198"/>
      <c r="AA26" s="198"/>
      <c r="AB26" s="198"/>
      <c r="AC26" s="198"/>
      <c r="AD26" s="198"/>
      <c r="AE26" s="198"/>
      <c r="AF26" s="198"/>
      <c r="AG26" s="198"/>
      <c r="AH26" s="198"/>
      <c r="AI26" s="198"/>
      <c r="AJ26" s="198"/>
      <c r="AK26" s="198"/>
      <c r="AL26" s="198"/>
      <c r="AM26" s="198"/>
      <c r="AN26" s="198"/>
      <c r="AO26" s="198"/>
      <c r="AP26" s="198"/>
      <c r="AQ26" s="198"/>
      <c r="AR26" s="198"/>
      <c r="AS26" s="198"/>
      <c r="AT26" s="198"/>
      <c r="AU26" s="198"/>
      <c r="AV26" s="198"/>
      <c r="AW26" s="198"/>
      <c r="AX26" s="198"/>
      <c r="AY26" s="198"/>
      <c r="AZ26" s="198"/>
      <c r="BA26" s="198"/>
      <c r="BB26" s="198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8"/>
      <c r="BS26" s="198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8"/>
      <c r="CJ26" s="198"/>
      <c r="CK26" s="198"/>
      <c r="CL26" s="198"/>
      <c r="CM26" s="198"/>
      <c r="CN26" s="198"/>
      <c r="CO26" s="198"/>
      <c r="CP26" s="198"/>
      <c r="CQ26" s="198"/>
      <c r="CR26" s="198"/>
      <c r="CS26" s="198"/>
      <c r="CT26" s="198"/>
      <c r="CU26" s="198"/>
      <c r="CV26" s="198"/>
      <c r="CW26" s="198"/>
      <c r="CX26" s="198"/>
      <c r="CY26" s="198"/>
      <c r="CZ26" s="198"/>
      <c r="DA26" s="198"/>
      <c r="DB26" s="198"/>
      <c r="DC26" s="198"/>
      <c r="DD26" s="198"/>
      <c r="DE26" s="198"/>
      <c r="DF26" s="198"/>
      <c r="DG26" s="198"/>
      <c r="DH26" s="198"/>
      <c r="DI26" s="198"/>
      <c r="DJ26" s="198"/>
      <c r="DK26" s="198"/>
      <c r="DL26" s="198"/>
      <c r="DM26" s="198"/>
      <c r="DN26" s="198"/>
      <c r="DO26" s="198"/>
      <c r="DP26" s="198"/>
      <c r="DQ26" s="198"/>
      <c r="DR26" s="198"/>
      <c r="DS26" s="198"/>
      <c r="DT26" s="198"/>
      <c r="DU26" s="198"/>
      <c r="DV26" s="198"/>
      <c r="DW26" s="198"/>
      <c r="DX26" s="198"/>
      <c r="DY26" s="198"/>
      <c r="DZ26" s="198"/>
      <c r="EA26" s="198"/>
      <c r="EB26" s="198"/>
      <c r="EC26" s="198"/>
      <c r="ED26" s="198"/>
      <c r="EE26" s="198"/>
      <c r="EF26" s="198"/>
      <c r="EG26" s="198"/>
      <c r="EH26" s="198"/>
      <c r="EI26" s="198"/>
      <c r="EJ26" s="198"/>
      <c r="EK26" s="198"/>
      <c r="EL26" s="198"/>
      <c r="EM26" s="198"/>
      <c r="EN26" s="198"/>
      <c r="EO26" s="198"/>
      <c r="EP26" s="198"/>
      <c r="EQ26" s="198"/>
      <c r="ER26" s="198"/>
      <c r="ES26" s="198"/>
      <c r="ET26" s="198"/>
      <c r="EU26" s="198"/>
      <c r="EV26" s="198"/>
      <c r="EW26" s="198"/>
      <c r="EX26" s="198"/>
      <c r="EY26" s="198"/>
      <c r="EZ26" s="198"/>
      <c r="FA26" s="198"/>
      <c r="FB26" s="198"/>
      <c r="FC26" s="198"/>
      <c r="FD26" s="198"/>
      <c r="FE26" s="198"/>
      <c r="FF26" s="198"/>
      <c r="FG26" s="198"/>
      <c r="FH26" s="198"/>
      <c r="FI26" s="198"/>
      <c r="FJ26" s="198"/>
      <c r="FK26" s="198"/>
      <c r="FL26" s="198"/>
      <c r="FM26" s="198"/>
      <c r="FN26" s="198"/>
      <c r="FO26" s="198"/>
      <c r="FP26" s="198"/>
      <c r="FQ26" s="198"/>
      <c r="FR26" s="198"/>
      <c r="FS26" s="198"/>
      <c r="FT26" s="198"/>
      <c r="FU26" s="198"/>
      <c r="FV26" s="198"/>
      <c r="FW26" s="198"/>
      <c r="FX26" s="198"/>
      <c r="FY26" s="198"/>
      <c r="FZ26" s="198"/>
      <c r="GA26" s="198"/>
      <c r="GB26" s="198"/>
      <c r="GC26" s="198"/>
      <c r="GD26" s="198"/>
      <c r="GE26" s="198"/>
      <c r="GF26" s="198"/>
      <c r="GG26" s="198"/>
      <c r="GH26" s="198"/>
      <c r="GI26" s="198"/>
      <c r="GJ26" s="198"/>
      <c r="GK26" s="198"/>
      <c r="GL26" s="198"/>
      <c r="GM26" s="198"/>
      <c r="GN26" s="198"/>
      <c r="GO26" s="198"/>
      <c r="GP26" s="198"/>
      <c r="GQ26" s="198"/>
      <c r="GR26" s="198"/>
      <c r="GS26" s="198"/>
      <c r="GT26" s="198"/>
      <c r="GU26" s="198"/>
      <c r="GV26" s="198"/>
      <c r="GW26" s="198"/>
      <c r="GX26" s="198"/>
      <c r="GY26" s="198"/>
      <c r="GZ26" s="198"/>
      <c r="HA26" s="198"/>
      <c r="HB26" s="198"/>
      <c r="HC26" s="198"/>
      <c r="HD26" s="198"/>
      <c r="HE26" s="198"/>
      <c r="HF26" s="198"/>
      <c r="HG26" s="198"/>
      <c r="HH26" s="198"/>
      <c r="HI26" s="198"/>
      <c r="HJ26" s="198"/>
      <c r="HK26" s="198"/>
      <c r="HL26" s="198"/>
      <c r="HM26" s="198"/>
      <c r="HN26" s="198"/>
      <c r="HO26" s="198"/>
      <c r="HP26" s="198"/>
      <c r="HQ26" s="198"/>
      <c r="HR26" s="198"/>
      <c r="HS26" s="198"/>
      <c r="HT26" s="198"/>
      <c r="HU26" s="198"/>
      <c r="HV26" s="198"/>
      <c r="HW26" s="198"/>
      <c r="HX26" s="198"/>
      <c r="HY26" s="198"/>
      <c r="HZ26" s="198"/>
      <c r="IA26" s="198"/>
      <c r="IB26" s="198"/>
      <c r="IC26" s="198"/>
      <c r="ID26" s="198"/>
      <c r="IE26" s="198"/>
      <c r="IF26" s="198"/>
      <c r="IG26" s="198"/>
      <c r="IH26" s="198"/>
      <c r="II26" s="198"/>
      <c r="IJ26" s="198"/>
      <c r="IK26" s="198"/>
      <c r="IL26" s="198"/>
      <c r="IM26" s="198"/>
      <c r="IN26" s="198"/>
      <c r="IO26" s="198"/>
      <c r="IP26" s="198"/>
      <c r="IQ26" s="198"/>
      <c r="IR26" s="198"/>
    </row>
    <row r="27" spans="1:252" ht="15">
      <c r="A27" s="195"/>
      <c r="B27" s="223" t="str">
        <f>'Balance Sheet Ann'!E12</f>
        <v>Assets</v>
      </c>
      <c r="C27" s="222"/>
      <c r="D27" s="217">
        <f ca="1">'Balance Sheet Ann'!J12</f>
        <v>1479770.7821599315</v>
      </c>
      <c r="E27" s="217">
        <f ca="1">'Balance Sheet Ann'!K12</f>
        <v>8898227.5785585381</v>
      </c>
      <c r="F27" s="217">
        <f ca="1">'Balance Sheet Ann'!L12</f>
        <v>26884461.019969221</v>
      </c>
      <c r="G27" s="217">
        <f ca="1">'Balance Sheet Ann'!M12</f>
        <v>60254145.541195378</v>
      </c>
      <c r="H27" s="217">
        <f ca="1">'Balance Sheet Ann'!N12</f>
        <v>129538969.95176193</v>
      </c>
      <c r="I27" s="195"/>
      <c r="J27" s="195"/>
      <c r="K27" s="197"/>
      <c r="L27" s="197"/>
      <c r="M27" s="197"/>
      <c r="N27" s="197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  <c r="AT27" s="197"/>
      <c r="AU27" s="197"/>
      <c r="AV27" s="197"/>
      <c r="AW27" s="197"/>
      <c r="AX27" s="197"/>
      <c r="AY27" s="197"/>
      <c r="AZ27" s="197"/>
      <c r="BA27" s="197"/>
      <c r="BB27" s="197"/>
      <c r="BC27" s="197"/>
      <c r="BD27" s="197"/>
      <c r="BE27" s="197"/>
      <c r="BF27" s="197"/>
      <c r="BG27" s="197"/>
      <c r="BH27" s="197"/>
      <c r="BI27" s="197"/>
      <c r="BJ27" s="197"/>
      <c r="BK27" s="197"/>
      <c r="BL27" s="197"/>
      <c r="BM27" s="197"/>
      <c r="BN27" s="197"/>
      <c r="BO27" s="197"/>
      <c r="BP27" s="197"/>
      <c r="BQ27" s="197"/>
      <c r="BR27" s="197"/>
      <c r="BS27" s="197"/>
      <c r="BT27" s="197"/>
      <c r="BU27" s="197"/>
      <c r="BV27" s="197"/>
      <c r="BW27" s="197"/>
      <c r="BX27" s="197"/>
      <c r="BY27" s="197"/>
      <c r="BZ27" s="197"/>
      <c r="CA27" s="197"/>
      <c r="CB27" s="197"/>
      <c r="CC27" s="197"/>
      <c r="CD27" s="197"/>
      <c r="CE27" s="197"/>
      <c r="CF27" s="197"/>
      <c r="CG27" s="197"/>
      <c r="CH27" s="197"/>
      <c r="CI27" s="197"/>
      <c r="CJ27" s="197"/>
      <c r="CK27" s="197"/>
      <c r="CL27" s="197"/>
      <c r="CM27" s="197"/>
      <c r="CN27" s="197"/>
      <c r="CO27" s="197"/>
      <c r="CP27" s="197"/>
      <c r="CQ27" s="197"/>
      <c r="CR27" s="197"/>
      <c r="CS27" s="197"/>
      <c r="CT27" s="197"/>
      <c r="CU27" s="197"/>
      <c r="CV27" s="197"/>
      <c r="CW27" s="197"/>
      <c r="CX27" s="197"/>
      <c r="CY27" s="197"/>
      <c r="CZ27" s="197"/>
      <c r="DA27" s="197"/>
      <c r="DB27" s="197"/>
      <c r="DC27" s="197"/>
      <c r="DD27" s="197"/>
      <c r="DE27" s="197"/>
      <c r="DF27" s="197"/>
      <c r="DG27" s="197"/>
      <c r="DH27" s="197"/>
      <c r="DI27" s="197"/>
      <c r="DJ27" s="197"/>
      <c r="DK27" s="197"/>
      <c r="DL27" s="197"/>
      <c r="DM27" s="197"/>
      <c r="DN27" s="197"/>
      <c r="DO27" s="197"/>
      <c r="DP27" s="197"/>
      <c r="DQ27" s="197"/>
      <c r="DR27" s="197"/>
      <c r="DS27" s="197"/>
      <c r="DT27" s="197"/>
      <c r="DU27" s="197"/>
      <c r="DV27" s="197"/>
      <c r="DW27" s="197"/>
      <c r="DX27" s="197"/>
      <c r="DY27" s="197"/>
      <c r="DZ27" s="197"/>
      <c r="EA27" s="197"/>
      <c r="EB27" s="197"/>
      <c r="EC27" s="197"/>
      <c r="ED27" s="197"/>
      <c r="EE27" s="197"/>
      <c r="EF27" s="197"/>
      <c r="EG27" s="197"/>
      <c r="EH27" s="197"/>
      <c r="EI27" s="197"/>
      <c r="EJ27" s="197"/>
      <c r="EK27" s="197"/>
      <c r="EL27" s="197"/>
      <c r="EM27" s="197"/>
      <c r="EN27" s="197"/>
      <c r="EO27" s="197"/>
      <c r="EP27" s="197"/>
      <c r="EQ27" s="197"/>
      <c r="ER27" s="197"/>
      <c r="ES27" s="197"/>
      <c r="ET27" s="197"/>
      <c r="EU27" s="197"/>
      <c r="EV27" s="197"/>
      <c r="EW27" s="197"/>
      <c r="EX27" s="197"/>
      <c r="EY27" s="197"/>
      <c r="EZ27" s="197"/>
      <c r="FA27" s="197"/>
      <c r="FB27" s="197"/>
      <c r="FC27" s="197"/>
      <c r="FD27" s="197"/>
      <c r="FE27" s="197"/>
      <c r="FF27" s="197"/>
      <c r="FG27" s="197"/>
      <c r="FH27" s="197"/>
      <c r="FI27" s="197"/>
      <c r="FJ27" s="197"/>
      <c r="FK27" s="197"/>
      <c r="FL27" s="197"/>
      <c r="FM27" s="197"/>
      <c r="FN27" s="197"/>
      <c r="FO27" s="197"/>
      <c r="FP27" s="197"/>
      <c r="FQ27" s="197"/>
      <c r="FR27" s="197"/>
      <c r="FS27" s="197"/>
      <c r="FT27" s="197"/>
      <c r="FU27" s="197"/>
      <c r="FV27" s="197"/>
      <c r="FW27" s="197"/>
      <c r="FX27" s="197"/>
      <c r="FY27" s="197"/>
      <c r="FZ27" s="197"/>
      <c r="GA27" s="197"/>
      <c r="GB27" s="197"/>
      <c r="GC27" s="197"/>
      <c r="GD27" s="197"/>
      <c r="GE27" s="197"/>
      <c r="GF27" s="197"/>
      <c r="GG27" s="197"/>
      <c r="GH27" s="197"/>
      <c r="GI27" s="197"/>
      <c r="GJ27" s="197"/>
      <c r="GK27" s="197"/>
      <c r="GL27" s="197"/>
      <c r="GM27" s="197"/>
      <c r="GN27" s="197"/>
      <c r="GO27" s="197"/>
      <c r="GP27" s="197"/>
      <c r="GQ27" s="197"/>
      <c r="GR27" s="197"/>
      <c r="GS27" s="197"/>
      <c r="GT27" s="197"/>
      <c r="GU27" s="197"/>
      <c r="GV27" s="197"/>
      <c r="GW27" s="197"/>
      <c r="GX27" s="197"/>
      <c r="GY27" s="197"/>
      <c r="GZ27" s="197"/>
      <c r="HA27" s="197"/>
      <c r="HB27" s="197"/>
      <c r="HC27" s="197"/>
      <c r="HD27" s="197"/>
      <c r="HE27" s="197"/>
      <c r="HF27" s="197"/>
      <c r="HG27" s="197"/>
      <c r="HH27" s="197"/>
      <c r="HI27" s="197"/>
      <c r="HJ27" s="197"/>
      <c r="HK27" s="197"/>
      <c r="HL27" s="197"/>
      <c r="HM27" s="197"/>
      <c r="HN27" s="197"/>
      <c r="HO27" s="197"/>
      <c r="HP27" s="197"/>
      <c r="HQ27" s="197"/>
      <c r="HR27" s="197"/>
      <c r="HS27" s="197"/>
      <c r="HT27" s="197"/>
      <c r="HU27" s="197"/>
      <c r="HV27" s="197"/>
      <c r="HW27" s="197"/>
      <c r="HX27" s="197"/>
      <c r="HY27" s="197"/>
      <c r="HZ27" s="197"/>
      <c r="IA27" s="197"/>
      <c r="IB27" s="197"/>
      <c r="IC27" s="197"/>
      <c r="ID27" s="197"/>
      <c r="IE27" s="197"/>
      <c r="IF27" s="197"/>
      <c r="IG27" s="197"/>
      <c r="IH27" s="197"/>
      <c r="II27" s="197"/>
      <c r="IJ27" s="197"/>
      <c r="IK27" s="197"/>
      <c r="IL27" s="197"/>
      <c r="IM27" s="197"/>
      <c r="IN27" s="197"/>
      <c r="IO27" s="197"/>
      <c r="IP27" s="197"/>
      <c r="IQ27" s="197"/>
      <c r="IR27" s="197"/>
    </row>
    <row r="28" spans="1:252" ht="15">
      <c r="A28" s="195"/>
      <c r="B28"/>
      <c r="C28" s="195"/>
      <c r="D28" s="218"/>
      <c r="E28" s="218"/>
      <c r="F28" s="218"/>
      <c r="G28" s="218"/>
      <c r="H28" s="218"/>
      <c r="I28" s="195"/>
      <c r="J28" s="195"/>
      <c r="K28" s="197"/>
      <c r="L28" s="197"/>
      <c r="M28" s="197"/>
      <c r="N28" s="197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  <c r="AA28" s="197"/>
      <c r="AB28" s="197"/>
      <c r="AC28" s="197"/>
      <c r="AD28" s="197"/>
      <c r="AE28" s="197"/>
      <c r="AF28" s="197"/>
      <c r="AG28" s="197"/>
      <c r="AH28" s="197"/>
      <c r="AI28" s="197"/>
      <c r="AJ28" s="197"/>
      <c r="AK28" s="197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7"/>
      <c r="BB28" s="197"/>
      <c r="BC28" s="197"/>
      <c r="BD28" s="197"/>
      <c r="BE28" s="197"/>
      <c r="BF28" s="197"/>
      <c r="BG28" s="197"/>
      <c r="BH28" s="197"/>
      <c r="BI28" s="197"/>
      <c r="BJ28" s="197"/>
      <c r="BK28" s="197"/>
      <c r="BL28" s="197"/>
      <c r="BM28" s="197"/>
      <c r="BN28" s="197"/>
      <c r="BO28" s="197"/>
      <c r="BP28" s="197"/>
      <c r="BQ28" s="197"/>
      <c r="BR28" s="197"/>
      <c r="BS28" s="197"/>
      <c r="BT28" s="197"/>
      <c r="BU28" s="197"/>
      <c r="BV28" s="197"/>
      <c r="BW28" s="197"/>
      <c r="BX28" s="197"/>
      <c r="BY28" s="197"/>
      <c r="BZ28" s="197"/>
      <c r="CA28" s="197"/>
      <c r="CB28" s="197"/>
      <c r="CC28" s="197"/>
      <c r="CD28" s="197"/>
      <c r="CE28" s="197"/>
      <c r="CF28" s="197"/>
      <c r="CG28" s="197"/>
      <c r="CH28" s="197"/>
      <c r="CI28" s="197"/>
      <c r="CJ28" s="197"/>
      <c r="CK28" s="197"/>
      <c r="CL28" s="197"/>
      <c r="CM28" s="197"/>
      <c r="CN28" s="197"/>
      <c r="CO28" s="197"/>
      <c r="CP28" s="197"/>
      <c r="CQ28" s="197"/>
      <c r="CR28" s="197"/>
      <c r="CS28" s="197"/>
      <c r="CT28" s="197"/>
      <c r="CU28" s="197"/>
      <c r="CV28" s="197"/>
      <c r="CW28" s="197"/>
      <c r="CX28" s="197"/>
      <c r="CY28" s="197"/>
      <c r="CZ28" s="197"/>
      <c r="DA28" s="197"/>
      <c r="DB28" s="197"/>
      <c r="DC28" s="197"/>
      <c r="DD28" s="197"/>
      <c r="DE28" s="197"/>
      <c r="DF28" s="197"/>
      <c r="DG28" s="197"/>
      <c r="DH28" s="197"/>
      <c r="DI28" s="197"/>
      <c r="DJ28" s="197"/>
      <c r="DK28" s="197"/>
      <c r="DL28" s="197"/>
      <c r="DM28" s="197"/>
      <c r="DN28" s="197"/>
      <c r="DO28" s="197"/>
      <c r="DP28" s="197"/>
      <c r="DQ28" s="197"/>
      <c r="DR28" s="197"/>
      <c r="DS28" s="197"/>
      <c r="DT28" s="197"/>
      <c r="DU28" s="197"/>
      <c r="DV28" s="197"/>
      <c r="DW28" s="197"/>
      <c r="DX28" s="197"/>
      <c r="DY28" s="197"/>
      <c r="DZ28" s="197"/>
      <c r="EA28" s="197"/>
      <c r="EB28" s="197"/>
      <c r="EC28" s="197"/>
      <c r="ED28" s="197"/>
      <c r="EE28" s="197"/>
      <c r="EF28" s="197"/>
      <c r="EG28" s="197"/>
      <c r="EH28" s="197"/>
      <c r="EI28" s="197"/>
      <c r="EJ28" s="197"/>
      <c r="EK28" s="197"/>
      <c r="EL28" s="197"/>
      <c r="EM28" s="197"/>
      <c r="EN28" s="197"/>
      <c r="EO28" s="197"/>
      <c r="EP28" s="197"/>
      <c r="EQ28" s="197"/>
      <c r="ER28" s="197"/>
      <c r="ES28" s="197"/>
      <c r="ET28" s="197"/>
      <c r="EU28" s="197"/>
      <c r="EV28" s="197"/>
      <c r="EW28" s="197"/>
      <c r="EX28" s="197"/>
      <c r="EY28" s="197"/>
      <c r="EZ28" s="197"/>
      <c r="FA28" s="197"/>
      <c r="FB28" s="197"/>
      <c r="FC28" s="197"/>
      <c r="FD28" s="197"/>
      <c r="FE28" s="197"/>
      <c r="FF28" s="197"/>
      <c r="FG28" s="197"/>
      <c r="FH28" s="197"/>
      <c r="FI28" s="197"/>
      <c r="FJ28" s="197"/>
      <c r="FK28" s="197"/>
      <c r="FL28" s="197"/>
      <c r="FM28" s="197"/>
      <c r="FN28" s="197"/>
      <c r="FO28" s="197"/>
      <c r="FP28" s="197"/>
      <c r="FQ28" s="197"/>
      <c r="FR28" s="197"/>
      <c r="FS28" s="197"/>
      <c r="FT28" s="197"/>
      <c r="FU28" s="197"/>
      <c r="FV28" s="197"/>
      <c r="FW28" s="197"/>
      <c r="FX28" s="197"/>
      <c r="FY28" s="197"/>
      <c r="FZ28" s="197"/>
      <c r="GA28" s="197"/>
      <c r="GB28" s="197"/>
      <c r="GC28" s="197"/>
      <c r="GD28" s="197"/>
      <c r="GE28" s="197"/>
      <c r="GF28" s="197"/>
      <c r="GG28" s="197"/>
      <c r="GH28" s="197"/>
      <c r="GI28" s="197"/>
      <c r="GJ28" s="197"/>
      <c r="GK28" s="197"/>
      <c r="GL28" s="197"/>
      <c r="GM28" s="197"/>
      <c r="GN28" s="197"/>
      <c r="GO28" s="197"/>
      <c r="GP28" s="197"/>
      <c r="GQ28" s="197"/>
      <c r="GR28" s="197"/>
      <c r="GS28" s="197"/>
      <c r="GT28" s="197"/>
      <c r="GU28" s="197"/>
      <c r="GV28" s="197"/>
      <c r="GW28" s="197"/>
      <c r="GX28" s="197"/>
      <c r="GY28" s="197"/>
      <c r="GZ28" s="197"/>
      <c r="HA28" s="197"/>
      <c r="HB28" s="197"/>
      <c r="HC28" s="197"/>
      <c r="HD28" s="197"/>
      <c r="HE28" s="197"/>
      <c r="HF28" s="197"/>
      <c r="HG28" s="197"/>
      <c r="HH28" s="197"/>
      <c r="HI28" s="197"/>
      <c r="HJ28" s="197"/>
      <c r="HK28" s="197"/>
      <c r="HL28" s="197"/>
      <c r="HM28" s="197"/>
      <c r="HN28" s="197"/>
      <c r="HO28" s="197"/>
      <c r="HP28" s="197"/>
      <c r="HQ28" s="197"/>
      <c r="HR28" s="197"/>
      <c r="HS28" s="197"/>
      <c r="HT28" s="197"/>
      <c r="HU28" s="197"/>
      <c r="HV28" s="197"/>
      <c r="HW28" s="197"/>
      <c r="HX28" s="197"/>
      <c r="HY28" s="197"/>
      <c r="HZ28" s="197"/>
      <c r="IA28" s="197"/>
      <c r="IB28" s="197"/>
      <c r="IC28" s="197"/>
      <c r="ID28" s="197"/>
      <c r="IE28" s="197"/>
      <c r="IF28" s="197"/>
      <c r="IG28" s="197"/>
      <c r="IH28" s="197"/>
      <c r="II28" s="197"/>
      <c r="IJ28" s="197"/>
      <c r="IK28" s="197"/>
      <c r="IL28" s="197"/>
      <c r="IM28" s="197"/>
      <c r="IN28" s="197"/>
      <c r="IO28" s="197"/>
      <c r="IP28" s="197"/>
      <c r="IQ28" s="197"/>
      <c r="IR28" s="197"/>
    </row>
    <row r="29" spans="1:252" ht="15">
      <c r="A29" s="195"/>
      <c r="B29" s="215" t="str">
        <f>'Balance Sheet Ann'!E14</f>
        <v>Deferred Income</v>
      </c>
      <c r="C29" s="195"/>
      <c r="D29" s="218">
        <f ca="1">'Balance Sheet Ann'!J14</f>
        <v>1254974.638524916</v>
      </c>
      <c r="E29" s="218">
        <f ca="1">'Balance Sheet Ann'!K14</f>
        <v>4600151.438535491</v>
      </c>
      <c r="F29" s="218">
        <f ca="1">'Balance Sheet Ann'!L14</f>
        <v>12557217.152018126</v>
      </c>
      <c r="G29" s="218">
        <f ca="1">'Balance Sheet Ann'!M14</f>
        <v>24665367.022437617</v>
      </c>
      <c r="H29" s="218">
        <f ca="1">'Balance Sheet Ann'!N14</f>
        <v>49029641.650374562</v>
      </c>
      <c r="I29" s="195"/>
      <c r="J29" s="195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  <c r="AA29" s="197"/>
      <c r="AB29" s="197"/>
      <c r="AC29" s="197"/>
      <c r="AD29" s="197"/>
      <c r="AE29" s="197"/>
      <c r="AF29" s="197"/>
      <c r="AG29" s="197"/>
      <c r="AH29" s="197"/>
      <c r="AI29" s="197"/>
      <c r="AJ29" s="197"/>
      <c r="AK29" s="197"/>
      <c r="AL29" s="197"/>
      <c r="AM29" s="197"/>
      <c r="AN29" s="197"/>
      <c r="AO29" s="197"/>
      <c r="AP29" s="197"/>
      <c r="AQ29" s="197"/>
      <c r="AR29" s="197"/>
      <c r="AS29" s="197"/>
      <c r="AT29" s="197"/>
      <c r="AU29" s="197"/>
      <c r="AV29" s="197"/>
      <c r="AW29" s="197"/>
      <c r="AX29" s="197"/>
      <c r="AY29" s="197"/>
      <c r="AZ29" s="197"/>
      <c r="BA29" s="197"/>
      <c r="BB29" s="197"/>
      <c r="BC29" s="197"/>
      <c r="BD29" s="197"/>
      <c r="BE29" s="197"/>
      <c r="BF29" s="197"/>
      <c r="BG29" s="197"/>
      <c r="BH29" s="197"/>
      <c r="BI29" s="197"/>
      <c r="BJ29" s="197"/>
      <c r="BK29" s="197"/>
      <c r="BL29" s="197"/>
      <c r="BM29" s="197"/>
      <c r="BN29" s="197"/>
      <c r="BO29" s="197"/>
      <c r="BP29" s="197"/>
      <c r="BQ29" s="197"/>
      <c r="BR29" s="197"/>
      <c r="BS29" s="197"/>
      <c r="BT29" s="197"/>
      <c r="BU29" s="197"/>
      <c r="BV29" s="197"/>
      <c r="BW29" s="197"/>
      <c r="BX29" s="197"/>
      <c r="BY29" s="197"/>
      <c r="BZ29" s="197"/>
      <c r="CA29" s="197"/>
      <c r="CB29" s="197"/>
      <c r="CC29" s="197"/>
      <c r="CD29" s="197"/>
      <c r="CE29" s="197"/>
      <c r="CF29" s="197"/>
      <c r="CG29" s="197"/>
      <c r="CH29" s="197"/>
      <c r="CI29" s="197"/>
      <c r="CJ29" s="197"/>
      <c r="CK29" s="197"/>
      <c r="CL29" s="197"/>
      <c r="CM29" s="197"/>
      <c r="CN29" s="197"/>
      <c r="CO29" s="197"/>
      <c r="CP29" s="197"/>
      <c r="CQ29" s="197"/>
      <c r="CR29" s="197"/>
      <c r="CS29" s="197"/>
      <c r="CT29" s="197"/>
      <c r="CU29" s="197"/>
      <c r="CV29" s="197"/>
      <c r="CW29" s="197"/>
      <c r="CX29" s="197"/>
      <c r="CY29" s="197"/>
      <c r="CZ29" s="197"/>
      <c r="DA29" s="197"/>
      <c r="DB29" s="197"/>
      <c r="DC29" s="197"/>
      <c r="DD29" s="197"/>
      <c r="DE29" s="197"/>
      <c r="DF29" s="197"/>
      <c r="DG29" s="197"/>
      <c r="DH29" s="197"/>
      <c r="DI29" s="197"/>
      <c r="DJ29" s="197"/>
      <c r="DK29" s="197"/>
      <c r="DL29" s="197"/>
      <c r="DM29" s="197"/>
      <c r="DN29" s="197"/>
      <c r="DO29" s="197"/>
      <c r="DP29" s="197"/>
      <c r="DQ29" s="197"/>
      <c r="DR29" s="197"/>
      <c r="DS29" s="197"/>
      <c r="DT29" s="197"/>
      <c r="DU29" s="197"/>
      <c r="DV29" s="197"/>
      <c r="DW29" s="197"/>
      <c r="DX29" s="197"/>
      <c r="DY29" s="197"/>
      <c r="DZ29" s="197"/>
      <c r="EA29" s="197"/>
      <c r="EB29" s="197"/>
      <c r="EC29" s="197"/>
      <c r="ED29" s="197"/>
      <c r="EE29" s="197"/>
      <c r="EF29" s="197"/>
      <c r="EG29" s="197"/>
      <c r="EH29" s="197"/>
      <c r="EI29" s="197"/>
      <c r="EJ29" s="197"/>
      <c r="EK29" s="197"/>
      <c r="EL29" s="197"/>
      <c r="EM29" s="197"/>
      <c r="EN29" s="197"/>
      <c r="EO29" s="197"/>
      <c r="EP29" s="197"/>
      <c r="EQ29" s="197"/>
      <c r="ER29" s="197"/>
      <c r="ES29" s="197"/>
      <c r="ET29" s="197"/>
      <c r="EU29" s="197"/>
      <c r="EV29" s="197"/>
      <c r="EW29" s="197"/>
      <c r="EX29" s="197"/>
      <c r="EY29" s="197"/>
      <c r="EZ29" s="197"/>
      <c r="FA29" s="197"/>
      <c r="FB29" s="197"/>
      <c r="FC29" s="197"/>
      <c r="FD29" s="197"/>
      <c r="FE29" s="197"/>
      <c r="FF29" s="197"/>
      <c r="FG29" s="197"/>
      <c r="FH29" s="197"/>
      <c r="FI29" s="197"/>
      <c r="FJ29" s="197"/>
      <c r="FK29" s="197"/>
      <c r="FL29" s="197"/>
      <c r="FM29" s="197"/>
      <c r="FN29" s="197"/>
      <c r="FO29" s="197"/>
      <c r="FP29" s="197"/>
      <c r="FQ29" s="197"/>
      <c r="FR29" s="197"/>
      <c r="FS29" s="197"/>
      <c r="FT29" s="197"/>
      <c r="FU29" s="197"/>
      <c r="FV29" s="197"/>
      <c r="FW29" s="197"/>
      <c r="FX29" s="197"/>
      <c r="FY29" s="197"/>
      <c r="FZ29" s="197"/>
      <c r="GA29" s="197"/>
      <c r="GB29" s="197"/>
      <c r="GC29" s="197"/>
      <c r="GD29" s="197"/>
      <c r="GE29" s="197"/>
      <c r="GF29" s="197"/>
      <c r="GG29" s="197"/>
      <c r="GH29" s="197"/>
      <c r="GI29" s="197"/>
      <c r="GJ29" s="197"/>
      <c r="GK29" s="197"/>
      <c r="GL29" s="197"/>
      <c r="GM29" s="197"/>
      <c r="GN29" s="197"/>
      <c r="GO29" s="197"/>
      <c r="GP29" s="197"/>
      <c r="GQ29" s="197"/>
      <c r="GR29" s="197"/>
      <c r="GS29" s="197"/>
      <c r="GT29" s="197"/>
      <c r="GU29" s="197"/>
      <c r="GV29" s="197"/>
      <c r="GW29" s="197"/>
      <c r="GX29" s="197"/>
      <c r="GY29" s="197"/>
      <c r="GZ29" s="197"/>
      <c r="HA29" s="197"/>
      <c r="HB29" s="197"/>
      <c r="HC29" s="197"/>
      <c r="HD29" s="197"/>
      <c r="HE29" s="197"/>
      <c r="HF29" s="197"/>
      <c r="HG29" s="197"/>
      <c r="HH29" s="197"/>
      <c r="HI29" s="197"/>
      <c r="HJ29" s="197"/>
      <c r="HK29" s="197"/>
      <c r="HL29" s="197"/>
      <c r="HM29" s="197"/>
      <c r="HN29" s="197"/>
      <c r="HO29" s="197"/>
      <c r="HP29" s="197"/>
      <c r="HQ29" s="197"/>
      <c r="HR29" s="197"/>
      <c r="HS29" s="197"/>
      <c r="HT29" s="197"/>
      <c r="HU29" s="197"/>
      <c r="HV29" s="197"/>
      <c r="HW29" s="197"/>
      <c r="HX29" s="197"/>
      <c r="HY29" s="197"/>
      <c r="HZ29" s="197"/>
      <c r="IA29" s="197"/>
      <c r="IB29" s="197"/>
      <c r="IC29" s="197"/>
      <c r="ID29" s="197"/>
      <c r="IE29" s="197"/>
      <c r="IF29" s="197"/>
      <c r="IG29" s="197"/>
      <c r="IH29" s="197"/>
      <c r="II29" s="197"/>
      <c r="IJ29" s="197"/>
      <c r="IK29" s="197"/>
      <c r="IL29" s="197"/>
      <c r="IM29" s="197"/>
      <c r="IN29" s="197"/>
      <c r="IO29" s="197"/>
      <c r="IP29" s="197"/>
      <c r="IQ29" s="197"/>
      <c r="IR29" s="197"/>
    </row>
    <row r="30" spans="1:252" ht="15">
      <c r="A30" s="195"/>
      <c r="B30" s="215" t="str">
        <f>'Balance Sheet Ann'!E15</f>
        <v>Creditors</v>
      </c>
      <c r="C30" s="195"/>
      <c r="D30" s="218">
        <f ca="1">'Balance Sheet Ann'!J15</f>
        <v>167999.99999999997</v>
      </c>
      <c r="E30" s="218">
        <f ca="1">'Balance Sheet Ann'!K15</f>
        <v>357000.00000000012</v>
      </c>
      <c r="F30" s="218">
        <f ca="1">'Balance Sheet Ann'!L15</f>
        <v>556500.00000000023</v>
      </c>
      <c r="G30" s="218">
        <f ca="1">'Balance Sheet Ann'!M15</f>
        <v>1102500</v>
      </c>
      <c r="H30" s="218">
        <f ca="1">'Balance Sheet Ann'!N15</f>
        <v>1228500.0000000012</v>
      </c>
      <c r="I30" s="195"/>
      <c r="J30" s="195"/>
      <c r="K30" s="197"/>
      <c r="L30" s="197"/>
      <c r="M30" s="197"/>
      <c r="N30" s="197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  <c r="AA30" s="197"/>
      <c r="AB30" s="197"/>
      <c r="AC30" s="197"/>
      <c r="AD30" s="197"/>
      <c r="AE30" s="197"/>
      <c r="AF30" s="197"/>
      <c r="AG30" s="197"/>
      <c r="AH30" s="197"/>
      <c r="AI30" s="197"/>
      <c r="AJ30" s="197"/>
      <c r="AK30" s="197"/>
      <c r="AL30" s="197"/>
      <c r="AM30" s="197"/>
      <c r="AN30" s="197"/>
      <c r="AO30" s="197"/>
      <c r="AP30" s="197"/>
      <c r="AQ30" s="197"/>
      <c r="AR30" s="197"/>
      <c r="AS30" s="197"/>
      <c r="AT30" s="197"/>
      <c r="AU30" s="197"/>
      <c r="AV30" s="197"/>
      <c r="AW30" s="197"/>
      <c r="AX30" s="197"/>
      <c r="AY30" s="197"/>
      <c r="AZ30" s="197"/>
      <c r="BA30" s="197"/>
      <c r="BB30" s="197"/>
      <c r="BC30" s="197"/>
      <c r="BD30" s="197"/>
      <c r="BE30" s="197"/>
      <c r="BF30" s="197"/>
      <c r="BG30" s="197"/>
      <c r="BH30" s="197"/>
      <c r="BI30" s="197"/>
      <c r="BJ30" s="197"/>
      <c r="BK30" s="197"/>
      <c r="BL30" s="197"/>
      <c r="BM30" s="197"/>
      <c r="BN30" s="197"/>
      <c r="BO30" s="197"/>
      <c r="BP30" s="197"/>
      <c r="BQ30" s="197"/>
      <c r="BR30" s="197"/>
      <c r="BS30" s="197"/>
      <c r="BT30" s="197"/>
      <c r="BU30" s="197"/>
      <c r="BV30" s="197"/>
      <c r="BW30" s="197"/>
      <c r="BX30" s="197"/>
      <c r="BY30" s="197"/>
      <c r="BZ30" s="197"/>
      <c r="CA30" s="197"/>
      <c r="CB30" s="197"/>
      <c r="CC30" s="197"/>
      <c r="CD30" s="197"/>
      <c r="CE30" s="197"/>
      <c r="CF30" s="197"/>
      <c r="CG30" s="197"/>
      <c r="CH30" s="197"/>
      <c r="CI30" s="197"/>
      <c r="CJ30" s="197"/>
      <c r="CK30" s="197"/>
      <c r="CL30" s="197"/>
      <c r="CM30" s="197"/>
      <c r="CN30" s="197"/>
      <c r="CO30" s="197"/>
      <c r="CP30" s="197"/>
      <c r="CQ30" s="197"/>
      <c r="CR30" s="197"/>
      <c r="CS30" s="197"/>
      <c r="CT30" s="197"/>
      <c r="CU30" s="197"/>
      <c r="CV30" s="197"/>
      <c r="CW30" s="197"/>
      <c r="CX30" s="197"/>
      <c r="CY30" s="197"/>
      <c r="CZ30" s="197"/>
      <c r="DA30" s="197"/>
      <c r="DB30" s="197"/>
      <c r="DC30" s="197"/>
      <c r="DD30" s="197"/>
      <c r="DE30" s="197"/>
      <c r="DF30" s="197"/>
      <c r="DG30" s="197"/>
      <c r="DH30" s="197"/>
      <c r="DI30" s="197"/>
      <c r="DJ30" s="197"/>
      <c r="DK30" s="197"/>
      <c r="DL30" s="197"/>
      <c r="DM30" s="197"/>
      <c r="DN30" s="197"/>
      <c r="DO30" s="197"/>
      <c r="DP30" s="197"/>
      <c r="DQ30" s="197"/>
      <c r="DR30" s="197"/>
      <c r="DS30" s="197"/>
      <c r="DT30" s="197"/>
      <c r="DU30" s="197"/>
      <c r="DV30" s="197"/>
      <c r="DW30" s="197"/>
      <c r="DX30" s="197"/>
      <c r="DY30" s="197"/>
      <c r="DZ30" s="197"/>
      <c r="EA30" s="197"/>
      <c r="EB30" s="197"/>
      <c r="EC30" s="197"/>
      <c r="ED30" s="197"/>
      <c r="EE30" s="197"/>
      <c r="EF30" s="197"/>
      <c r="EG30" s="197"/>
      <c r="EH30" s="197"/>
      <c r="EI30" s="197"/>
      <c r="EJ30" s="197"/>
      <c r="EK30" s="197"/>
      <c r="EL30" s="197"/>
      <c r="EM30" s="197"/>
      <c r="EN30" s="197"/>
      <c r="EO30" s="197"/>
      <c r="EP30" s="197"/>
      <c r="EQ30" s="197"/>
      <c r="ER30" s="197"/>
      <c r="ES30" s="197"/>
      <c r="ET30" s="197"/>
      <c r="EU30" s="197"/>
      <c r="EV30" s="197"/>
      <c r="EW30" s="197"/>
      <c r="EX30" s="197"/>
      <c r="EY30" s="197"/>
      <c r="EZ30" s="197"/>
      <c r="FA30" s="197"/>
      <c r="FB30" s="197"/>
      <c r="FC30" s="197"/>
      <c r="FD30" s="197"/>
      <c r="FE30" s="197"/>
      <c r="FF30" s="197"/>
      <c r="FG30" s="197"/>
      <c r="FH30" s="197"/>
      <c r="FI30" s="197"/>
      <c r="FJ30" s="197"/>
      <c r="FK30" s="197"/>
      <c r="FL30" s="197"/>
      <c r="FM30" s="197"/>
      <c r="FN30" s="197"/>
      <c r="FO30" s="197"/>
      <c r="FP30" s="197"/>
      <c r="FQ30" s="197"/>
      <c r="FR30" s="197"/>
      <c r="FS30" s="197"/>
      <c r="FT30" s="197"/>
      <c r="FU30" s="197"/>
      <c r="FV30" s="197"/>
      <c r="FW30" s="197"/>
      <c r="FX30" s="197"/>
      <c r="FY30" s="197"/>
      <c r="FZ30" s="197"/>
      <c r="GA30" s="197"/>
      <c r="GB30" s="197"/>
      <c r="GC30" s="197"/>
      <c r="GD30" s="197"/>
      <c r="GE30" s="197"/>
      <c r="GF30" s="197"/>
      <c r="GG30" s="197"/>
      <c r="GH30" s="197"/>
      <c r="GI30" s="197"/>
      <c r="GJ30" s="197"/>
      <c r="GK30" s="197"/>
      <c r="GL30" s="197"/>
      <c r="GM30" s="197"/>
      <c r="GN30" s="197"/>
      <c r="GO30" s="197"/>
      <c r="GP30" s="197"/>
      <c r="GQ30" s="197"/>
      <c r="GR30" s="197"/>
      <c r="GS30" s="197"/>
      <c r="GT30" s="197"/>
      <c r="GU30" s="197"/>
      <c r="GV30" s="197"/>
      <c r="GW30" s="197"/>
      <c r="GX30" s="197"/>
      <c r="GY30" s="197"/>
      <c r="GZ30" s="197"/>
      <c r="HA30" s="197"/>
      <c r="HB30" s="197"/>
      <c r="HC30" s="197"/>
      <c r="HD30" s="197"/>
      <c r="HE30" s="197"/>
      <c r="HF30" s="197"/>
      <c r="HG30" s="197"/>
      <c r="HH30" s="197"/>
      <c r="HI30" s="197"/>
      <c r="HJ30" s="197"/>
      <c r="HK30" s="197"/>
      <c r="HL30" s="197"/>
      <c r="HM30" s="197"/>
      <c r="HN30" s="197"/>
      <c r="HO30" s="197"/>
      <c r="HP30" s="197"/>
      <c r="HQ30" s="197"/>
      <c r="HR30" s="197"/>
      <c r="HS30" s="197"/>
      <c r="HT30" s="197"/>
      <c r="HU30" s="197"/>
      <c r="HV30" s="197"/>
      <c r="HW30" s="197"/>
      <c r="HX30" s="197"/>
      <c r="HY30" s="197"/>
      <c r="HZ30" s="197"/>
      <c r="IA30" s="197"/>
      <c r="IB30" s="197"/>
      <c r="IC30" s="197"/>
      <c r="ID30" s="197"/>
      <c r="IE30" s="197"/>
      <c r="IF30" s="197"/>
      <c r="IG30" s="197"/>
      <c r="IH30" s="197"/>
      <c r="II30" s="197"/>
      <c r="IJ30" s="197"/>
      <c r="IK30" s="197"/>
      <c r="IL30" s="197"/>
      <c r="IM30" s="197"/>
      <c r="IN30" s="197"/>
      <c r="IO30" s="197"/>
      <c r="IP30" s="197"/>
      <c r="IQ30" s="197"/>
      <c r="IR30" s="197"/>
    </row>
    <row r="31" spans="1:252" ht="15">
      <c r="A31" s="195"/>
      <c r="B31" s="215" t="str">
        <f>'Balance Sheet Ann'!E16</f>
        <v>Supply Chain Finance balance</v>
      </c>
      <c r="C31" s="195"/>
      <c r="D31" s="218">
        <f ca="1">'Balance Sheet Ann'!J16</f>
        <v>0</v>
      </c>
      <c r="E31" s="218">
        <f ca="1">'Balance Sheet Ann'!K16</f>
        <v>0</v>
      </c>
      <c r="F31" s="218">
        <f ca="1">'Balance Sheet Ann'!L16</f>
        <v>0</v>
      </c>
      <c r="G31" s="218">
        <f ca="1">'Balance Sheet Ann'!M16</f>
        <v>0</v>
      </c>
      <c r="H31" s="218">
        <f ca="1">'Balance Sheet Ann'!N16</f>
        <v>0</v>
      </c>
      <c r="I31" s="195"/>
      <c r="J31" s="195"/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7"/>
      <c r="AI31" s="197"/>
      <c r="AJ31" s="197"/>
      <c r="AK31" s="197"/>
      <c r="AL31" s="197"/>
      <c r="AM31" s="197"/>
      <c r="AN31" s="197"/>
      <c r="AO31" s="197"/>
      <c r="AP31" s="197"/>
      <c r="AQ31" s="197"/>
      <c r="AR31" s="197"/>
      <c r="AS31" s="197"/>
      <c r="AT31" s="197"/>
      <c r="AU31" s="197"/>
      <c r="AV31" s="197"/>
      <c r="AW31" s="197"/>
      <c r="AX31" s="197"/>
      <c r="AY31" s="197"/>
      <c r="AZ31" s="197"/>
      <c r="BA31" s="197"/>
      <c r="BB31" s="197"/>
      <c r="BC31" s="197"/>
      <c r="BD31" s="197"/>
      <c r="BE31" s="197"/>
      <c r="BF31" s="197"/>
      <c r="BG31" s="197"/>
      <c r="BH31" s="197"/>
      <c r="BI31" s="197"/>
      <c r="BJ31" s="197"/>
      <c r="BK31" s="197"/>
      <c r="BL31" s="197"/>
      <c r="BM31" s="197"/>
      <c r="BN31" s="197"/>
      <c r="BO31" s="197"/>
      <c r="BP31" s="197"/>
      <c r="BQ31" s="197"/>
      <c r="BR31" s="197"/>
      <c r="BS31" s="197"/>
      <c r="BT31" s="197"/>
      <c r="BU31" s="197"/>
      <c r="BV31" s="197"/>
      <c r="BW31" s="197"/>
      <c r="BX31" s="197"/>
      <c r="BY31" s="197"/>
      <c r="BZ31" s="197"/>
      <c r="CA31" s="197"/>
      <c r="CB31" s="197"/>
      <c r="CC31" s="197"/>
      <c r="CD31" s="197"/>
      <c r="CE31" s="197"/>
      <c r="CF31" s="197"/>
      <c r="CG31" s="197"/>
      <c r="CH31" s="197"/>
      <c r="CI31" s="197"/>
      <c r="CJ31" s="197"/>
      <c r="CK31" s="197"/>
      <c r="CL31" s="197"/>
      <c r="CM31" s="197"/>
      <c r="CN31" s="197"/>
      <c r="CO31" s="197"/>
      <c r="CP31" s="197"/>
      <c r="CQ31" s="197"/>
      <c r="CR31" s="197"/>
      <c r="CS31" s="197"/>
      <c r="CT31" s="197"/>
      <c r="CU31" s="197"/>
      <c r="CV31" s="197"/>
      <c r="CW31" s="197"/>
      <c r="CX31" s="197"/>
      <c r="CY31" s="197"/>
      <c r="CZ31" s="197"/>
      <c r="DA31" s="197"/>
      <c r="DB31" s="197"/>
      <c r="DC31" s="197"/>
      <c r="DD31" s="197"/>
      <c r="DE31" s="197"/>
      <c r="DF31" s="197"/>
      <c r="DG31" s="197"/>
      <c r="DH31" s="197"/>
      <c r="DI31" s="197"/>
      <c r="DJ31" s="197"/>
      <c r="DK31" s="197"/>
      <c r="DL31" s="197"/>
      <c r="DM31" s="197"/>
      <c r="DN31" s="197"/>
      <c r="DO31" s="197"/>
      <c r="DP31" s="197"/>
      <c r="DQ31" s="197"/>
      <c r="DR31" s="197"/>
      <c r="DS31" s="197"/>
      <c r="DT31" s="197"/>
      <c r="DU31" s="197"/>
      <c r="DV31" s="197"/>
      <c r="DW31" s="197"/>
      <c r="DX31" s="197"/>
      <c r="DY31" s="197"/>
      <c r="DZ31" s="197"/>
      <c r="EA31" s="197"/>
      <c r="EB31" s="197"/>
      <c r="EC31" s="197"/>
      <c r="ED31" s="197"/>
      <c r="EE31" s="197"/>
      <c r="EF31" s="197"/>
      <c r="EG31" s="197"/>
      <c r="EH31" s="197"/>
      <c r="EI31" s="197"/>
      <c r="EJ31" s="197"/>
      <c r="EK31" s="197"/>
      <c r="EL31" s="197"/>
      <c r="EM31" s="197"/>
      <c r="EN31" s="197"/>
      <c r="EO31" s="197"/>
      <c r="EP31" s="197"/>
      <c r="EQ31" s="197"/>
      <c r="ER31" s="197"/>
      <c r="ES31" s="197"/>
      <c r="ET31" s="197"/>
      <c r="EU31" s="197"/>
      <c r="EV31" s="197"/>
      <c r="EW31" s="197"/>
      <c r="EX31" s="197"/>
      <c r="EY31" s="197"/>
      <c r="EZ31" s="197"/>
      <c r="FA31" s="197"/>
      <c r="FB31" s="197"/>
      <c r="FC31" s="197"/>
      <c r="FD31" s="197"/>
      <c r="FE31" s="197"/>
      <c r="FF31" s="197"/>
      <c r="FG31" s="197"/>
      <c r="FH31" s="197"/>
      <c r="FI31" s="197"/>
      <c r="FJ31" s="197"/>
      <c r="FK31" s="197"/>
      <c r="FL31" s="197"/>
      <c r="FM31" s="197"/>
      <c r="FN31" s="197"/>
      <c r="FO31" s="197"/>
      <c r="FP31" s="197"/>
      <c r="FQ31" s="197"/>
      <c r="FR31" s="197"/>
      <c r="FS31" s="197"/>
      <c r="FT31" s="197"/>
      <c r="FU31" s="197"/>
      <c r="FV31" s="197"/>
      <c r="FW31" s="197"/>
      <c r="FX31" s="197"/>
      <c r="FY31" s="197"/>
      <c r="FZ31" s="197"/>
      <c r="GA31" s="197"/>
      <c r="GB31" s="197"/>
      <c r="GC31" s="197"/>
      <c r="GD31" s="197"/>
      <c r="GE31" s="197"/>
      <c r="GF31" s="197"/>
      <c r="GG31" s="197"/>
      <c r="GH31" s="197"/>
      <c r="GI31" s="197"/>
      <c r="GJ31" s="197"/>
      <c r="GK31" s="197"/>
      <c r="GL31" s="197"/>
      <c r="GM31" s="197"/>
      <c r="GN31" s="197"/>
      <c r="GO31" s="197"/>
      <c r="GP31" s="197"/>
      <c r="GQ31" s="197"/>
      <c r="GR31" s="197"/>
      <c r="GS31" s="197"/>
      <c r="GT31" s="197"/>
      <c r="GU31" s="197"/>
      <c r="GV31" s="197"/>
      <c r="GW31" s="197"/>
      <c r="GX31" s="197"/>
      <c r="GY31" s="197"/>
      <c r="GZ31" s="197"/>
      <c r="HA31" s="197"/>
      <c r="HB31" s="197"/>
      <c r="HC31" s="197"/>
      <c r="HD31" s="197"/>
      <c r="HE31" s="197"/>
      <c r="HF31" s="197"/>
      <c r="HG31" s="197"/>
      <c r="HH31" s="197"/>
      <c r="HI31" s="197"/>
      <c r="HJ31" s="197"/>
      <c r="HK31" s="197"/>
      <c r="HL31" s="197"/>
      <c r="HM31" s="197"/>
      <c r="HN31" s="197"/>
      <c r="HO31" s="197"/>
      <c r="HP31" s="197"/>
      <c r="HQ31" s="197"/>
      <c r="HR31" s="197"/>
      <c r="HS31" s="197"/>
      <c r="HT31" s="197"/>
      <c r="HU31" s="197"/>
      <c r="HV31" s="197"/>
      <c r="HW31" s="197"/>
      <c r="HX31" s="197"/>
      <c r="HY31" s="197"/>
      <c r="HZ31" s="197"/>
      <c r="IA31" s="197"/>
      <c r="IB31" s="197"/>
      <c r="IC31" s="197"/>
      <c r="ID31" s="197"/>
      <c r="IE31" s="197"/>
      <c r="IF31" s="197"/>
      <c r="IG31" s="197"/>
      <c r="IH31" s="197"/>
      <c r="II31" s="197"/>
      <c r="IJ31" s="197"/>
      <c r="IK31" s="197"/>
      <c r="IL31" s="197"/>
      <c r="IM31" s="197"/>
      <c r="IN31" s="197"/>
      <c r="IO31" s="197"/>
      <c r="IP31" s="197"/>
      <c r="IQ31" s="197"/>
      <c r="IR31" s="197"/>
    </row>
    <row r="32" spans="1:252" s="216" customFormat="1" ht="14.5">
      <c r="A32" s="215"/>
      <c r="B32" s="215" t="str">
        <f>'Balance Sheet Ann'!E17</f>
        <v>Invoice finance balance</v>
      </c>
      <c r="C32" s="195"/>
      <c r="D32" s="218">
        <f ca="1">'Balance Sheet Ann'!J17</f>
        <v>0</v>
      </c>
      <c r="E32" s="218">
        <f ca="1">'Balance Sheet Ann'!K17</f>
        <v>0</v>
      </c>
      <c r="F32" s="218">
        <f ca="1">'Balance Sheet Ann'!L17</f>
        <v>0</v>
      </c>
      <c r="G32" s="218">
        <f ca="1">'Balance Sheet Ann'!M17</f>
        <v>0</v>
      </c>
      <c r="H32" s="218">
        <f ca="1">'Balance Sheet Ann'!N17</f>
        <v>0</v>
      </c>
      <c r="I32" s="215"/>
      <c r="J32" s="215"/>
      <c r="K32" s="215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198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  <c r="BN32" s="198"/>
      <c r="BO32" s="198"/>
      <c r="BP32" s="198"/>
      <c r="BQ32" s="198"/>
      <c r="BR32" s="198"/>
      <c r="BS32" s="198"/>
      <c r="BT32" s="198"/>
      <c r="BU32" s="198"/>
      <c r="BV32" s="198"/>
      <c r="BW32" s="198"/>
      <c r="BX32" s="198"/>
      <c r="BY32" s="198"/>
      <c r="BZ32" s="198"/>
      <c r="CA32" s="198"/>
      <c r="CB32" s="198"/>
      <c r="CC32" s="198"/>
      <c r="CD32" s="198"/>
      <c r="CE32" s="198"/>
      <c r="CF32" s="198"/>
      <c r="CG32" s="198"/>
      <c r="CH32" s="198"/>
      <c r="CI32" s="198"/>
      <c r="CJ32" s="198"/>
      <c r="CK32" s="198"/>
      <c r="CL32" s="198"/>
      <c r="CM32" s="198"/>
      <c r="CN32" s="198"/>
      <c r="CO32" s="198"/>
      <c r="CP32" s="198"/>
      <c r="CQ32" s="198"/>
      <c r="CR32" s="198"/>
      <c r="CS32" s="198"/>
      <c r="CT32" s="198"/>
      <c r="CU32" s="198"/>
      <c r="CV32" s="198"/>
      <c r="CW32" s="198"/>
      <c r="CX32" s="198"/>
      <c r="CY32" s="198"/>
      <c r="CZ32" s="198"/>
      <c r="DA32" s="198"/>
      <c r="DB32" s="198"/>
      <c r="DC32" s="198"/>
      <c r="DD32" s="198"/>
      <c r="DE32" s="198"/>
      <c r="DF32" s="198"/>
      <c r="DG32" s="198"/>
      <c r="DH32" s="198"/>
      <c r="DI32" s="198"/>
      <c r="DJ32" s="198"/>
      <c r="DK32" s="198"/>
      <c r="DL32" s="198"/>
      <c r="DM32" s="198"/>
      <c r="DN32" s="198"/>
      <c r="DO32" s="198"/>
      <c r="DP32" s="198"/>
      <c r="DQ32" s="198"/>
      <c r="DR32" s="198"/>
      <c r="DS32" s="198"/>
      <c r="DT32" s="198"/>
      <c r="DU32" s="198"/>
      <c r="DV32" s="198"/>
      <c r="DW32" s="198"/>
      <c r="DX32" s="198"/>
      <c r="DY32" s="198"/>
      <c r="DZ32" s="198"/>
      <c r="EA32" s="198"/>
      <c r="EB32" s="198"/>
      <c r="EC32" s="198"/>
      <c r="ED32" s="198"/>
      <c r="EE32" s="198"/>
      <c r="EF32" s="198"/>
      <c r="EG32" s="198"/>
      <c r="EH32" s="198"/>
      <c r="EI32" s="198"/>
      <c r="EJ32" s="198"/>
      <c r="EK32" s="198"/>
      <c r="EL32" s="198"/>
      <c r="EM32" s="198"/>
      <c r="EN32" s="198"/>
      <c r="EO32" s="198"/>
      <c r="EP32" s="198"/>
      <c r="EQ32" s="198"/>
      <c r="ER32" s="198"/>
      <c r="ES32" s="198"/>
      <c r="ET32" s="198"/>
      <c r="EU32" s="198"/>
      <c r="EV32" s="198"/>
      <c r="EW32" s="198"/>
      <c r="EX32" s="198"/>
      <c r="EY32" s="198"/>
      <c r="EZ32" s="198"/>
      <c r="FA32" s="198"/>
      <c r="FB32" s="198"/>
      <c r="FC32" s="198"/>
      <c r="FD32" s="198"/>
      <c r="FE32" s="198"/>
      <c r="FF32" s="198"/>
      <c r="FG32" s="198"/>
      <c r="FH32" s="198"/>
      <c r="FI32" s="198"/>
      <c r="FJ32" s="198"/>
      <c r="FK32" s="198"/>
      <c r="FL32" s="198"/>
      <c r="FM32" s="198"/>
      <c r="FN32" s="198"/>
      <c r="FO32" s="198"/>
      <c r="FP32" s="198"/>
      <c r="FQ32" s="198"/>
      <c r="FR32" s="198"/>
      <c r="FS32" s="198"/>
      <c r="FT32" s="198"/>
      <c r="FU32" s="198"/>
      <c r="FV32" s="198"/>
      <c r="FW32" s="198"/>
      <c r="FX32" s="198"/>
      <c r="FY32" s="198"/>
      <c r="FZ32" s="198"/>
      <c r="GA32" s="198"/>
      <c r="GB32" s="198"/>
      <c r="GC32" s="198"/>
      <c r="GD32" s="198"/>
      <c r="GE32" s="198"/>
      <c r="GF32" s="198"/>
      <c r="GG32" s="198"/>
      <c r="GH32" s="198"/>
      <c r="GI32" s="198"/>
      <c r="GJ32" s="198"/>
      <c r="GK32" s="198"/>
      <c r="GL32" s="198"/>
      <c r="GM32" s="198"/>
      <c r="GN32" s="198"/>
      <c r="GO32" s="198"/>
      <c r="GP32" s="198"/>
      <c r="GQ32" s="198"/>
      <c r="GR32" s="198"/>
      <c r="GS32" s="198"/>
      <c r="GT32" s="198"/>
      <c r="GU32" s="198"/>
      <c r="GV32" s="198"/>
      <c r="GW32" s="198"/>
      <c r="GX32" s="198"/>
      <c r="GY32" s="198"/>
      <c r="GZ32" s="198"/>
      <c r="HA32" s="198"/>
      <c r="HB32" s="198"/>
      <c r="HC32" s="198"/>
      <c r="HD32" s="198"/>
      <c r="HE32" s="198"/>
      <c r="HF32" s="198"/>
      <c r="HG32" s="198"/>
      <c r="HH32" s="198"/>
      <c r="HI32" s="198"/>
      <c r="HJ32" s="198"/>
      <c r="HK32" s="198"/>
      <c r="HL32" s="198"/>
      <c r="HM32" s="198"/>
      <c r="HN32" s="198"/>
      <c r="HO32" s="198"/>
      <c r="HP32" s="198"/>
      <c r="HQ32" s="198"/>
      <c r="HR32" s="198"/>
      <c r="HS32" s="198"/>
      <c r="HT32" s="198"/>
      <c r="HU32" s="198"/>
      <c r="HV32" s="198"/>
      <c r="HW32" s="198"/>
      <c r="HX32" s="198"/>
      <c r="HY32" s="198"/>
      <c r="HZ32" s="198"/>
      <c r="IA32" s="198"/>
      <c r="IB32" s="198"/>
      <c r="IC32" s="198"/>
      <c r="ID32" s="198"/>
      <c r="IE32" s="198"/>
      <c r="IF32" s="198"/>
      <c r="IG32" s="198"/>
      <c r="IH32" s="198"/>
      <c r="II32" s="198"/>
      <c r="IJ32" s="198"/>
      <c r="IK32" s="198"/>
      <c r="IL32" s="198"/>
      <c r="IM32" s="198"/>
      <c r="IN32" s="198"/>
      <c r="IO32" s="198"/>
      <c r="IP32" s="198"/>
      <c r="IQ32" s="198"/>
      <c r="IR32" s="198"/>
    </row>
    <row r="33" spans="1:252" ht="15">
      <c r="A33" s="195"/>
      <c r="B33" s="215" t="str">
        <f>'Balance Sheet Ann'!E18</f>
        <v>Asset Finance balance</v>
      </c>
      <c r="C33" s="195"/>
      <c r="D33" s="218">
        <f ca="1">'Balance Sheet Ann'!J18</f>
        <v>0</v>
      </c>
      <c r="E33" s="218">
        <f ca="1">'Balance Sheet Ann'!K18</f>
        <v>0</v>
      </c>
      <c r="F33" s="218">
        <f ca="1">'Balance Sheet Ann'!L18</f>
        <v>0</v>
      </c>
      <c r="G33" s="218">
        <f ca="1">'Balance Sheet Ann'!M18</f>
        <v>0</v>
      </c>
      <c r="H33" s="218">
        <f ca="1">'Balance Sheet Ann'!N18</f>
        <v>0</v>
      </c>
      <c r="I33" s="195"/>
      <c r="J33" s="195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  <c r="AA33" s="197"/>
      <c r="AB33" s="197"/>
      <c r="AC33" s="197"/>
      <c r="AD33" s="197"/>
      <c r="AE33" s="197"/>
      <c r="AF33" s="197"/>
      <c r="AG33" s="197"/>
      <c r="AH33" s="197"/>
      <c r="AI33" s="197"/>
      <c r="AJ33" s="197"/>
      <c r="AK33" s="197"/>
      <c r="AL33" s="197"/>
      <c r="AM33" s="197"/>
      <c r="AN33" s="197"/>
      <c r="AO33" s="197"/>
      <c r="AP33" s="197"/>
      <c r="AQ33" s="197"/>
      <c r="AR33" s="197"/>
      <c r="AS33" s="197"/>
      <c r="AT33" s="197"/>
      <c r="AU33" s="197"/>
      <c r="AV33" s="197"/>
      <c r="AW33" s="197"/>
      <c r="AX33" s="197"/>
      <c r="AY33" s="197"/>
      <c r="AZ33" s="197"/>
      <c r="BA33" s="197"/>
      <c r="BB33" s="197"/>
      <c r="BC33" s="197"/>
      <c r="BD33" s="197"/>
      <c r="BE33" s="197"/>
      <c r="BF33" s="197"/>
      <c r="BG33" s="197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  <c r="CJ33" s="197"/>
      <c r="CK33" s="197"/>
      <c r="CL33" s="197"/>
      <c r="CM33" s="197"/>
      <c r="CN33" s="197"/>
      <c r="CO33" s="197"/>
      <c r="CP33" s="197"/>
      <c r="CQ33" s="197"/>
      <c r="CR33" s="197"/>
      <c r="CS33" s="197"/>
      <c r="CT33" s="197"/>
      <c r="CU33" s="197"/>
      <c r="CV33" s="197"/>
      <c r="CW33" s="197"/>
      <c r="CX33" s="197"/>
      <c r="CY33" s="197"/>
      <c r="CZ33" s="197"/>
      <c r="DA33" s="197"/>
      <c r="DB33" s="197"/>
      <c r="DC33" s="197"/>
      <c r="DD33" s="197"/>
      <c r="DE33" s="197"/>
      <c r="DF33" s="197"/>
      <c r="DG33" s="197"/>
      <c r="DH33" s="197"/>
      <c r="DI33" s="197"/>
      <c r="DJ33" s="197"/>
      <c r="DK33" s="197"/>
      <c r="DL33" s="197"/>
      <c r="DM33" s="197"/>
      <c r="DN33" s="197"/>
      <c r="DO33" s="197"/>
      <c r="DP33" s="197"/>
      <c r="DQ33" s="197"/>
      <c r="DR33" s="197"/>
      <c r="DS33" s="197"/>
      <c r="DT33" s="197"/>
      <c r="DU33" s="197"/>
      <c r="DV33" s="197"/>
      <c r="DW33" s="197"/>
      <c r="DX33" s="197"/>
      <c r="DY33" s="197"/>
      <c r="DZ33" s="197"/>
      <c r="EA33" s="197"/>
      <c r="EB33" s="197"/>
      <c r="EC33" s="197"/>
      <c r="ED33" s="197"/>
      <c r="EE33" s="197"/>
      <c r="EF33" s="197"/>
      <c r="EG33" s="197"/>
      <c r="EH33" s="197"/>
      <c r="EI33" s="197"/>
      <c r="EJ33" s="197"/>
      <c r="EK33" s="197"/>
      <c r="EL33" s="197"/>
      <c r="EM33" s="197"/>
      <c r="EN33" s="197"/>
      <c r="EO33" s="197"/>
      <c r="EP33" s="197"/>
      <c r="EQ33" s="197"/>
      <c r="ER33" s="197"/>
      <c r="ES33" s="197"/>
      <c r="ET33" s="197"/>
      <c r="EU33" s="197"/>
      <c r="EV33" s="197"/>
      <c r="EW33" s="197"/>
      <c r="EX33" s="197"/>
      <c r="EY33" s="197"/>
      <c r="EZ33" s="197"/>
      <c r="FA33" s="197"/>
      <c r="FB33" s="197"/>
      <c r="FC33" s="197"/>
      <c r="FD33" s="197"/>
      <c r="FE33" s="197"/>
      <c r="FF33" s="197"/>
      <c r="FG33" s="197"/>
      <c r="FH33" s="197"/>
      <c r="FI33" s="197"/>
      <c r="FJ33" s="197"/>
      <c r="FK33" s="197"/>
      <c r="FL33" s="197"/>
      <c r="FM33" s="197"/>
      <c r="FN33" s="197"/>
      <c r="FO33" s="197"/>
      <c r="FP33" s="197"/>
      <c r="FQ33" s="197"/>
      <c r="FR33" s="197"/>
      <c r="FS33" s="197"/>
      <c r="FT33" s="197"/>
      <c r="FU33" s="197"/>
      <c r="FV33" s="197"/>
      <c r="FW33" s="197"/>
      <c r="FX33" s="197"/>
      <c r="FY33" s="197"/>
      <c r="FZ33" s="197"/>
      <c r="GA33" s="197"/>
      <c r="GB33" s="197"/>
      <c r="GC33" s="197"/>
      <c r="GD33" s="197"/>
      <c r="GE33" s="197"/>
      <c r="GF33" s="197"/>
      <c r="GG33" s="197"/>
      <c r="GH33" s="197"/>
      <c r="GI33" s="197"/>
      <c r="GJ33" s="197"/>
      <c r="GK33" s="197"/>
      <c r="GL33" s="197"/>
      <c r="GM33" s="197"/>
      <c r="GN33" s="197"/>
      <c r="GO33" s="197"/>
      <c r="GP33" s="197"/>
      <c r="GQ33" s="197"/>
      <c r="GR33" s="197"/>
      <c r="GS33" s="197"/>
      <c r="GT33" s="197"/>
      <c r="GU33" s="197"/>
      <c r="GV33" s="197"/>
      <c r="GW33" s="197"/>
      <c r="GX33" s="197"/>
      <c r="GY33" s="197"/>
      <c r="GZ33" s="197"/>
      <c r="HA33" s="197"/>
      <c r="HB33" s="197"/>
      <c r="HC33" s="197"/>
      <c r="HD33" s="197"/>
      <c r="HE33" s="197"/>
      <c r="HF33" s="197"/>
      <c r="HG33" s="197"/>
      <c r="HH33" s="197"/>
      <c r="HI33" s="197"/>
      <c r="HJ33" s="197"/>
      <c r="HK33" s="197"/>
      <c r="HL33" s="197"/>
      <c r="HM33" s="197"/>
      <c r="HN33" s="197"/>
      <c r="HO33" s="197"/>
      <c r="HP33" s="197"/>
      <c r="HQ33" s="197"/>
      <c r="HR33" s="197"/>
      <c r="HS33" s="197"/>
      <c r="HT33" s="197"/>
      <c r="HU33" s="197"/>
      <c r="HV33" s="197"/>
      <c r="HW33" s="197"/>
      <c r="HX33" s="197"/>
      <c r="HY33" s="197"/>
      <c r="HZ33" s="197"/>
      <c r="IA33" s="197"/>
      <c r="IB33" s="197"/>
      <c r="IC33" s="197"/>
      <c r="ID33" s="197"/>
      <c r="IE33" s="197"/>
      <c r="IF33" s="197"/>
      <c r="IG33" s="197"/>
      <c r="IH33" s="197"/>
      <c r="II33" s="197"/>
      <c r="IJ33" s="197"/>
      <c r="IK33" s="197"/>
      <c r="IL33" s="197"/>
      <c r="IM33" s="197"/>
      <c r="IN33" s="197"/>
      <c r="IO33" s="197"/>
      <c r="IP33" s="197"/>
      <c r="IQ33" s="197"/>
      <c r="IR33" s="197"/>
    </row>
    <row r="34" spans="1:252" s="216" customFormat="1" ht="14.5">
      <c r="A34" s="215"/>
      <c r="B34" s="215" t="str">
        <f>'Balance Sheet Ann'!E19</f>
        <v>VAT balance</v>
      </c>
      <c r="C34" s="195"/>
      <c r="D34" s="218">
        <f ca="1">'Balance Sheet Ann'!J19</f>
        <v>-6654.8546194502633</v>
      </c>
      <c r="E34" s="218">
        <f ca="1">'Balance Sheet Ann'!K19</f>
        <v>374103.91789480631</v>
      </c>
      <c r="F34" s="218">
        <f ca="1">'Balance Sheet Ann'!L19</f>
        <v>931970.64477952756</v>
      </c>
      <c r="G34" s="218">
        <f ca="1">'Balance Sheet Ann'!M19</f>
        <v>791664.24126545433</v>
      </c>
      <c r="H34" s="218">
        <f ca="1">'Balance Sheet Ann'!N19</f>
        <v>1336252.8478529695</v>
      </c>
      <c r="I34" s="215"/>
      <c r="J34" s="215"/>
      <c r="K34" s="215"/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98"/>
      <c r="Y34" s="198"/>
      <c r="Z34" s="198"/>
      <c r="AA34" s="198"/>
      <c r="AB34" s="198"/>
      <c r="AC34" s="198"/>
      <c r="AD34" s="198"/>
      <c r="AE34" s="198"/>
      <c r="AF34" s="198"/>
      <c r="AG34" s="198"/>
      <c r="AH34" s="198"/>
      <c r="AI34" s="198"/>
      <c r="AJ34" s="198"/>
      <c r="AK34" s="198"/>
      <c r="AL34" s="198"/>
      <c r="AM34" s="198"/>
      <c r="AN34" s="198"/>
      <c r="AO34" s="198"/>
      <c r="AP34" s="198"/>
      <c r="AQ34" s="198"/>
      <c r="AR34" s="198"/>
      <c r="AS34" s="198"/>
      <c r="AT34" s="198"/>
      <c r="AU34" s="198"/>
      <c r="AV34" s="198"/>
      <c r="AW34" s="198"/>
      <c r="AX34" s="198"/>
      <c r="AY34" s="198"/>
      <c r="AZ34" s="198"/>
      <c r="BA34" s="198"/>
      <c r="BB34" s="198"/>
      <c r="BC34" s="198"/>
      <c r="BD34" s="198"/>
      <c r="BE34" s="198"/>
      <c r="BF34" s="198"/>
      <c r="BG34" s="198"/>
      <c r="BH34" s="198"/>
      <c r="BI34" s="198"/>
      <c r="BJ34" s="198"/>
      <c r="BK34" s="198"/>
      <c r="BL34" s="198"/>
      <c r="BM34" s="198"/>
      <c r="BN34" s="198"/>
      <c r="BO34" s="198"/>
      <c r="BP34" s="198"/>
      <c r="BQ34" s="198"/>
      <c r="BR34" s="198"/>
      <c r="BS34" s="198"/>
      <c r="BT34" s="198"/>
      <c r="BU34" s="198"/>
      <c r="BV34" s="198"/>
      <c r="BW34" s="198"/>
      <c r="BX34" s="198"/>
      <c r="BY34" s="198"/>
      <c r="BZ34" s="198"/>
      <c r="CA34" s="198"/>
      <c r="CB34" s="198"/>
      <c r="CC34" s="198"/>
      <c r="CD34" s="198"/>
      <c r="CE34" s="198"/>
      <c r="CF34" s="198"/>
      <c r="CG34" s="198"/>
      <c r="CH34" s="198"/>
      <c r="CI34" s="198"/>
      <c r="CJ34" s="198"/>
      <c r="CK34" s="198"/>
      <c r="CL34" s="198"/>
      <c r="CM34" s="198"/>
      <c r="CN34" s="198"/>
      <c r="CO34" s="198"/>
      <c r="CP34" s="198"/>
      <c r="CQ34" s="198"/>
      <c r="CR34" s="198"/>
      <c r="CS34" s="198"/>
      <c r="CT34" s="198"/>
      <c r="CU34" s="198"/>
      <c r="CV34" s="198"/>
      <c r="CW34" s="198"/>
      <c r="CX34" s="198"/>
      <c r="CY34" s="198"/>
      <c r="CZ34" s="198"/>
      <c r="DA34" s="198"/>
      <c r="DB34" s="198"/>
      <c r="DC34" s="198"/>
      <c r="DD34" s="198"/>
      <c r="DE34" s="198"/>
      <c r="DF34" s="198"/>
      <c r="DG34" s="198"/>
      <c r="DH34" s="198"/>
      <c r="DI34" s="198"/>
      <c r="DJ34" s="198"/>
      <c r="DK34" s="198"/>
      <c r="DL34" s="198"/>
      <c r="DM34" s="198"/>
      <c r="DN34" s="198"/>
      <c r="DO34" s="198"/>
      <c r="DP34" s="198"/>
      <c r="DQ34" s="198"/>
      <c r="DR34" s="198"/>
      <c r="DS34" s="198"/>
      <c r="DT34" s="198"/>
      <c r="DU34" s="198"/>
      <c r="DV34" s="198"/>
      <c r="DW34" s="198"/>
      <c r="DX34" s="198"/>
      <c r="DY34" s="198"/>
      <c r="DZ34" s="198"/>
      <c r="EA34" s="198"/>
      <c r="EB34" s="198"/>
      <c r="EC34" s="198"/>
      <c r="ED34" s="198"/>
      <c r="EE34" s="198"/>
      <c r="EF34" s="198"/>
      <c r="EG34" s="198"/>
      <c r="EH34" s="198"/>
      <c r="EI34" s="198"/>
      <c r="EJ34" s="198"/>
      <c r="EK34" s="198"/>
      <c r="EL34" s="198"/>
      <c r="EM34" s="198"/>
      <c r="EN34" s="198"/>
      <c r="EO34" s="198"/>
      <c r="EP34" s="198"/>
      <c r="EQ34" s="198"/>
      <c r="ER34" s="198"/>
      <c r="ES34" s="198"/>
      <c r="ET34" s="198"/>
      <c r="EU34" s="198"/>
      <c r="EV34" s="198"/>
      <c r="EW34" s="198"/>
      <c r="EX34" s="198"/>
      <c r="EY34" s="198"/>
      <c r="EZ34" s="198"/>
      <c r="FA34" s="198"/>
      <c r="FB34" s="198"/>
      <c r="FC34" s="198"/>
      <c r="FD34" s="198"/>
      <c r="FE34" s="198"/>
      <c r="FF34" s="198"/>
      <c r="FG34" s="198"/>
      <c r="FH34" s="198"/>
      <c r="FI34" s="198"/>
      <c r="FJ34" s="198"/>
      <c r="FK34" s="198"/>
      <c r="FL34" s="198"/>
      <c r="FM34" s="198"/>
      <c r="FN34" s="198"/>
      <c r="FO34" s="198"/>
      <c r="FP34" s="198"/>
      <c r="FQ34" s="198"/>
      <c r="FR34" s="198"/>
      <c r="FS34" s="198"/>
      <c r="FT34" s="198"/>
      <c r="FU34" s="198"/>
      <c r="FV34" s="198"/>
      <c r="FW34" s="198"/>
      <c r="FX34" s="198"/>
      <c r="FY34" s="198"/>
      <c r="FZ34" s="198"/>
      <c r="GA34" s="198"/>
      <c r="GB34" s="198"/>
      <c r="GC34" s="198"/>
      <c r="GD34" s="198"/>
      <c r="GE34" s="198"/>
      <c r="GF34" s="198"/>
      <c r="GG34" s="198"/>
      <c r="GH34" s="198"/>
      <c r="GI34" s="198"/>
      <c r="GJ34" s="198"/>
      <c r="GK34" s="198"/>
      <c r="GL34" s="198"/>
      <c r="GM34" s="198"/>
      <c r="GN34" s="198"/>
      <c r="GO34" s="198"/>
      <c r="GP34" s="198"/>
      <c r="GQ34" s="198"/>
      <c r="GR34" s="198"/>
      <c r="GS34" s="198"/>
      <c r="GT34" s="198"/>
      <c r="GU34" s="198"/>
      <c r="GV34" s="198"/>
      <c r="GW34" s="198"/>
      <c r="GX34" s="198"/>
      <c r="GY34" s="198"/>
      <c r="GZ34" s="198"/>
      <c r="HA34" s="198"/>
      <c r="HB34" s="198"/>
      <c r="HC34" s="198"/>
      <c r="HD34" s="198"/>
      <c r="HE34" s="198"/>
      <c r="HF34" s="198"/>
      <c r="HG34" s="198"/>
      <c r="HH34" s="198"/>
      <c r="HI34" s="198"/>
      <c r="HJ34" s="198"/>
      <c r="HK34" s="198"/>
      <c r="HL34" s="198"/>
      <c r="HM34" s="198"/>
      <c r="HN34" s="198"/>
      <c r="HO34" s="198"/>
      <c r="HP34" s="198"/>
      <c r="HQ34" s="198"/>
      <c r="HR34" s="198"/>
      <c r="HS34" s="198"/>
      <c r="HT34" s="198"/>
      <c r="HU34" s="198"/>
      <c r="HV34" s="198"/>
      <c r="HW34" s="198"/>
      <c r="HX34" s="198"/>
      <c r="HY34" s="198"/>
      <c r="HZ34" s="198"/>
      <c r="IA34" s="198"/>
      <c r="IB34" s="198"/>
      <c r="IC34" s="198"/>
      <c r="ID34" s="198"/>
      <c r="IE34" s="198"/>
      <c r="IF34" s="198"/>
      <c r="IG34" s="198"/>
      <c r="IH34" s="198"/>
      <c r="II34" s="198"/>
      <c r="IJ34" s="198"/>
      <c r="IK34" s="198"/>
      <c r="IL34" s="198"/>
      <c r="IM34" s="198"/>
      <c r="IN34" s="198"/>
      <c r="IO34" s="198"/>
      <c r="IP34" s="198"/>
      <c r="IQ34" s="198"/>
      <c r="IR34" s="198"/>
    </row>
    <row r="35" spans="1:252" ht="15">
      <c r="A35" s="195"/>
      <c r="B35" s="215" t="str">
        <f>'Balance Sheet Ann'!E20</f>
        <v>Corporation tax creditor</v>
      </c>
      <c r="C35" s="195"/>
      <c r="D35" s="218">
        <f ca="1">'Balance Sheet Ann'!J20</f>
        <v>45223.532984226469</v>
      </c>
      <c r="E35" s="218">
        <f ca="1">'Balance Sheet Ann'!K20</f>
        <v>673207.20368769648</v>
      </c>
      <c r="F35" s="218">
        <f ca="1">'Balance Sheet Ann'!L20</f>
        <v>1847012.990837669</v>
      </c>
      <c r="G35" s="218">
        <f ca="1">'Balance Sheet Ann'!M20</f>
        <v>4031391.4012702624</v>
      </c>
      <c r="H35" s="218">
        <f ca="1">'Balance Sheet Ann'!N20</f>
        <v>8433811.6241043191</v>
      </c>
      <c r="I35" s="195"/>
      <c r="J35" s="195"/>
      <c r="K35" s="197"/>
      <c r="L35" s="197"/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  <c r="AA35" s="197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197"/>
      <c r="AN35" s="197"/>
      <c r="AO35" s="197"/>
      <c r="AP35" s="197"/>
      <c r="AQ35" s="197"/>
      <c r="AR35" s="197"/>
      <c r="AS35" s="197"/>
      <c r="AT35" s="197"/>
      <c r="AU35" s="197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  <c r="CJ35" s="197"/>
      <c r="CK35" s="197"/>
      <c r="CL35" s="197"/>
      <c r="CM35" s="197"/>
      <c r="CN35" s="197"/>
      <c r="CO35" s="197"/>
      <c r="CP35" s="197"/>
      <c r="CQ35" s="197"/>
      <c r="CR35" s="197"/>
      <c r="CS35" s="197"/>
      <c r="CT35" s="197"/>
      <c r="CU35" s="197"/>
      <c r="CV35" s="197"/>
      <c r="CW35" s="197"/>
      <c r="CX35" s="197"/>
      <c r="CY35" s="197"/>
      <c r="CZ35" s="197"/>
      <c r="DA35" s="197"/>
      <c r="DB35" s="197"/>
      <c r="DC35" s="197"/>
      <c r="DD35" s="197"/>
      <c r="DE35" s="197"/>
      <c r="DF35" s="197"/>
      <c r="DG35" s="197"/>
      <c r="DH35" s="197"/>
      <c r="DI35" s="197"/>
      <c r="DJ35" s="197"/>
      <c r="DK35" s="197"/>
      <c r="DL35" s="197"/>
      <c r="DM35" s="197"/>
      <c r="DN35" s="197"/>
      <c r="DO35" s="197"/>
      <c r="DP35" s="197"/>
      <c r="DQ35" s="197"/>
      <c r="DR35" s="197"/>
      <c r="DS35" s="197"/>
      <c r="DT35" s="197"/>
      <c r="DU35" s="197"/>
      <c r="DV35" s="197"/>
      <c r="DW35" s="197"/>
      <c r="DX35" s="197"/>
      <c r="DY35" s="197"/>
      <c r="DZ35" s="197"/>
      <c r="EA35" s="197"/>
      <c r="EB35" s="197"/>
      <c r="EC35" s="197"/>
      <c r="ED35" s="197"/>
      <c r="EE35" s="197"/>
      <c r="EF35" s="197"/>
      <c r="EG35" s="197"/>
      <c r="EH35" s="197"/>
      <c r="EI35" s="197"/>
      <c r="EJ35" s="197"/>
      <c r="EK35" s="197"/>
      <c r="EL35" s="197"/>
      <c r="EM35" s="197"/>
      <c r="EN35" s="197"/>
      <c r="EO35" s="197"/>
      <c r="EP35" s="197"/>
      <c r="EQ35" s="197"/>
      <c r="ER35" s="197"/>
      <c r="ES35" s="197"/>
      <c r="ET35" s="197"/>
      <c r="EU35" s="197"/>
      <c r="EV35" s="197"/>
      <c r="EW35" s="197"/>
      <c r="EX35" s="197"/>
      <c r="EY35" s="197"/>
      <c r="EZ35" s="197"/>
      <c r="FA35" s="197"/>
      <c r="FB35" s="197"/>
      <c r="FC35" s="197"/>
      <c r="FD35" s="197"/>
      <c r="FE35" s="197"/>
      <c r="FF35" s="197"/>
      <c r="FG35" s="197"/>
      <c r="FH35" s="197"/>
      <c r="FI35" s="197"/>
      <c r="FJ35" s="197"/>
      <c r="FK35" s="197"/>
      <c r="FL35" s="197"/>
      <c r="FM35" s="197"/>
      <c r="FN35" s="197"/>
      <c r="FO35" s="197"/>
      <c r="FP35" s="197"/>
      <c r="FQ35" s="197"/>
      <c r="FR35" s="197"/>
      <c r="FS35" s="197"/>
      <c r="FT35" s="197"/>
      <c r="FU35" s="197"/>
      <c r="FV35" s="197"/>
      <c r="FW35" s="197"/>
      <c r="FX35" s="197"/>
      <c r="FY35" s="197"/>
      <c r="FZ35" s="197"/>
      <c r="GA35" s="197"/>
      <c r="GB35" s="197"/>
      <c r="GC35" s="197"/>
      <c r="GD35" s="197"/>
      <c r="GE35" s="197"/>
      <c r="GF35" s="197"/>
      <c r="GG35" s="197"/>
      <c r="GH35" s="197"/>
      <c r="GI35" s="197"/>
      <c r="GJ35" s="197"/>
      <c r="GK35" s="197"/>
      <c r="GL35" s="197"/>
      <c r="GM35" s="197"/>
      <c r="GN35" s="197"/>
      <c r="GO35" s="197"/>
      <c r="GP35" s="197"/>
      <c r="GQ35" s="197"/>
      <c r="GR35" s="197"/>
      <c r="GS35" s="197"/>
      <c r="GT35" s="197"/>
      <c r="GU35" s="197"/>
      <c r="GV35" s="197"/>
      <c r="GW35" s="197"/>
      <c r="GX35" s="197"/>
      <c r="GY35" s="197"/>
      <c r="GZ35" s="197"/>
      <c r="HA35" s="197"/>
      <c r="HB35" s="197"/>
      <c r="HC35" s="197"/>
      <c r="HD35" s="197"/>
      <c r="HE35" s="197"/>
      <c r="HF35" s="197"/>
      <c r="HG35" s="197"/>
      <c r="HH35" s="197"/>
      <c r="HI35" s="197"/>
      <c r="HJ35" s="197"/>
      <c r="HK35" s="197"/>
      <c r="HL35" s="197"/>
      <c r="HM35" s="197"/>
      <c r="HN35" s="197"/>
      <c r="HO35" s="197"/>
      <c r="HP35" s="197"/>
      <c r="HQ35" s="197"/>
      <c r="HR35" s="197"/>
      <c r="HS35" s="197"/>
      <c r="HT35" s="197"/>
      <c r="HU35" s="197"/>
      <c r="HV35" s="197"/>
      <c r="HW35" s="197"/>
      <c r="HX35" s="197"/>
      <c r="HY35" s="197"/>
      <c r="HZ35" s="197"/>
      <c r="IA35" s="197"/>
      <c r="IB35" s="197"/>
      <c r="IC35" s="197"/>
      <c r="ID35" s="197"/>
      <c r="IE35" s="197"/>
      <c r="IF35" s="197"/>
      <c r="IG35" s="197"/>
      <c r="IH35" s="197"/>
      <c r="II35" s="197"/>
      <c r="IJ35" s="197"/>
      <c r="IK35" s="197"/>
      <c r="IL35" s="197"/>
      <c r="IM35" s="197"/>
      <c r="IN35" s="197"/>
      <c r="IO35" s="197"/>
      <c r="IP35" s="197"/>
      <c r="IQ35" s="197"/>
      <c r="IR35" s="197"/>
    </row>
    <row r="36" spans="1:252" ht="15">
      <c r="A36" s="195"/>
      <c r="B36" s="223" t="str">
        <f>'Balance Sheet Ann'!E21</f>
        <v>Liabilities</v>
      </c>
      <c r="C36" s="222"/>
      <c r="D36" s="217">
        <f ca="1">'Balance Sheet Ann'!J21</f>
        <v>1461543.3168896923</v>
      </c>
      <c r="E36" s="217">
        <f ca="1">'Balance Sheet Ann'!K21</f>
        <v>6004462.5601179944</v>
      </c>
      <c r="F36" s="217">
        <f ca="1">'Balance Sheet Ann'!L21</f>
        <v>15892700.787635323</v>
      </c>
      <c r="G36" s="217">
        <f ca="1">'Balance Sheet Ann'!M21</f>
        <v>30590922.664973333</v>
      </c>
      <c r="H36" s="217">
        <f ca="1">'Balance Sheet Ann'!N21</f>
        <v>60028206.12233185</v>
      </c>
      <c r="I36" s="195"/>
      <c r="J36" s="195"/>
      <c r="K36" s="197"/>
      <c r="L36" s="197"/>
      <c r="M36" s="197"/>
      <c r="N36" s="197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  <c r="AA36" s="197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197"/>
      <c r="AN36" s="197"/>
      <c r="AO36" s="197"/>
      <c r="AP36" s="197"/>
      <c r="AQ36" s="197"/>
      <c r="AR36" s="197"/>
      <c r="AS36" s="197"/>
      <c r="AT36" s="197"/>
      <c r="AU36" s="197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  <c r="CJ36" s="197"/>
      <c r="CK36" s="197"/>
      <c r="CL36" s="197"/>
      <c r="CM36" s="197"/>
      <c r="CN36" s="197"/>
      <c r="CO36" s="197"/>
      <c r="CP36" s="197"/>
      <c r="CQ36" s="197"/>
      <c r="CR36" s="197"/>
      <c r="CS36" s="197"/>
      <c r="CT36" s="197"/>
      <c r="CU36" s="197"/>
      <c r="CV36" s="197"/>
      <c r="CW36" s="197"/>
      <c r="CX36" s="197"/>
      <c r="CY36" s="197"/>
      <c r="CZ36" s="197"/>
      <c r="DA36" s="197"/>
      <c r="DB36" s="197"/>
      <c r="DC36" s="197"/>
      <c r="DD36" s="197"/>
      <c r="DE36" s="197"/>
      <c r="DF36" s="197"/>
      <c r="DG36" s="197"/>
      <c r="DH36" s="197"/>
      <c r="DI36" s="197"/>
      <c r="DJ36" s="197"/>
      <c r="DK36" s="197"/>
      <c r="DL36" s="197"/>
      <c r="DM36" s="197"/>
      <c r="DN36" s="197"/>
      <c r="DO36" s="197"/>
      <c r="DP36" s="197"/>
      <c r="DQ36" s="197"/>
      <c r="DR36" s="197"/>
      <c r="DS36" s="197"/>
      <c r="DT36" s="197"/>
      <c r="DU36" s="197"/>
      <c r="DV36" s="197"/>
      <c r="DW36" s="197"/>
      <c r="DX36" s="197"/>
      <c r="DY36" s="197"/>
      <c r="DZ36" s="197"/>
      <c r="EA36" s="197"/>
      <c r="EB36" s="197"/>
      <c r="EC36" s="197"/>
      <c r="ED36" s="197"/>
      <c r="EE36" s="197"/>
      <c r="EF36" s="197"/>
      <c r="EG36" s="197"/>
      <c r="EH36" s="197"/>
      <c r="EI36" s="197"/>
      <c r="EJ36" s="197"/>
      <c r="EK36" s="197"/>
      <c r="EL36" s="197"/>
      <c r="EM36" s="197"/>
      <c r="EN36" s="197"/>
      <c r="EO36" s="197"/>
      <c r="EP36" s="197"/>
      <c r="EQ36" s="197"/>
      <c r="ER36" s="197"/>
      <c r="ES36" s="197"/>
      <c r="ET36" s="197"/>
      <c r="EU36" s="197"/>
      <c r="EV36" s="197"/>
      <c r="EW36" s="197"/>
      <c r="EX36" s="197"/>
      <c r="EY36" s="197"/>
      <c r="EZ36" s="197"/>
      <c r="FA36" s="197"/>
      <c r="FB36" s="197"/>
      <c r="FC36" s="197"/>
      <c r="FD36" s="197"/>
      <c r="FE36" s="197"/>
      <c r="FF36" s="197"/>
      <c r="FG36" s="197"/>
      <c r="FH36" s="197"/>
      <c r="FI36" s="197"/>
      <c r="FJ36" s="197"/>
      <c r="FK36" s="197"/>
      <c r="FL36" s="197"/>
      <c r="FM36" s="197"/>
      <c r="FN36" s="197"/>
      <c r="FO36" s="197"/>
      <c r="FP36" s="197"/>
      <c r="FQ36" s="197"/>
      <c r="FR36" s="197"/>
      <c r="FS36" s="197"/>
      <c r="FT36" s="197"/>
      <c r="FU36" s="197"/>
      <c r="FV36" s="197"/>
      <c r="FW36" s="197"/>
      <c r="FX36" s="197"/>
      <c r="FY36" s="197"/>
      <c r="FZ36" s="197"/>
      <c r="GA36" s="197"/>
      <c r="GB36" s="197"/>
      <c r="GC36" s="197"/>
      <c r="GD36" s="197"/>
      <c r="GE36" s="197"/>
      <c r="GF36" s="197"/>
      <c r="GG36" s="197"/>
      <c r="GH36" s="197"/>
      <c r="GI36" s="197"/>
      <c r="GJ36" s="197"/>
      <c r="GK36" s="197"/>
      <c r="GL36" s="197"/>
      <c r="GM36" s="197"/>
      <c r="GN36" s="197"/>
      <c r="GO36" s="197"/>
      <c r="GP36" s="197"/>
      <c r="GQ36" s="197"/>
      <c r="GR36" s="197"/>
      <c r="GS36" s="197"/>
      <c r="GT36" s="197"/>
      <c r="GU36" s="197"/>
      <c r="GV36" s="197"/>
      <c r="GW36" s="197"/>
      <c r="GX36" s="197"/>
      <c r="GY36" s="197"/>
      <c r="GZ36" s="197"/>
      <c r="HA36" s="197"/>
      <c r="HB36" s="197"/>
      <c r="HC36" s="197"/>
      <c r="HD36" s="197"/>
      <c r="HE36" s="197"/>
      <c r="HF36" s="197"/>
      <c r="HG36" s="197"/>
      <c r="HH36" s="197"/>
      <c r="HI36" s="197"/>
      <c r="HJ36" s="197"/>
      <c r="HK36" s="197"/>
      <c r="HL36" s="197"/>
      <c r="HM36" s="197"/>
      <c r="HN36" s="197"/>
      <c r="HO36" s="197"/>
      <c r="HP36" s="197"/>
      <c r="HQ36" s="197"/>
      <c r="HR36" s="197"/>
      <c r="HS36" s="197"/>
      <c r="HT36" s="197"/>
      <c r="HU36" s="197"/>
      <c r="HV36" s="197"/>
      <c r="HW36" s="197"/>
      <c r="HX36" s="197"/>
      <c r="HY36" s="197"/>
      <c r="HZ36" s="197"/>
      <c r="IA36" s="197"/>
      <c r="IB36" s="197"/>
      <c r="IC36" s="197"/>
      <c r="ID36" s="197"/>
      <c r="IE36" s="197"/>
      <c r="IF36" s="197"/>
      <c r="IG36" s="197"/>
      <c r="IH36" s="197"/>
      <c r="II36" s="197"/>
      <c r="IJ36" s="197"/>
      <c r="IK36" s="197"/>
      <c r="IL36" s="197"/>
      <c r="IM36" s="197"/>
      <c r="IN36" s="197"/>
      <c r="IO36" s="197"/>
      <c r="IP36" s="197"/>
      <c r="IQ36" s="197"/>
      <c r="IR36" s="197"/>
    </row>
    <row r="37" spans="1:252" ht="15">
      <c r="A37" s="195"/>
      <c r="B37"/>
      <c r="C37" s="195"/>
      <c r="D37" s="218"/>
      <c r="E37" s="218"/>
      <c r="F37" s="218"/>
      <c r="G37" s="218"/>
      <c r="H37" s="218"/>
      <c r="I37" s="195"/>
      <c r="J37" s="195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  <c r="AA37" s="197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197"/>
      <c r="AN37" s="197"/>
      <c r="AO37" s="197"/>
      <c r="AP37" s="197"/>
      <c r="AQ37" s="197"/>
      <c r="AR37" s="197"/>
      <c r="AS37" s="197"/>
      <c r="AT37" s="197"/>
      <c r="AU37" s="197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  <c r="CJ37" s="197"/>
      <c r="CK37" s="197"/>
      <c r="CL37" s="197"/>
      <c r="CM37" s="197"/>
      <c r="CN37" s="197"/>
      <c r="CO37" s="197"/>
      <c r="CP37" s="197"/>
      <c r="CQ37" s="197"/>
      <c r="CR37" s="197"/>
      <c r="CS37" s="197"/>
      <c r="CT37" s="197"/>
      <c r="CU37" s="197"/>
      <c r="CV37" s="197"/>
      <c r="CW37" s="197"/>
      <c r="CX37" s="197"/>
      <c r="CY37" s="197"/>
      <c r="CZ37" s="197"/>
      <c r="DA37" s="197"/>
      <c r="DB37" s="197"/>
      <c r="DC37" s="197"/>
      <c r="DD37" s="197"/>
      <c r="DE37" s="197"/>
      <c r="DF37" s="197"/>
      <c r="DG37" s="197"/>
      <c r="DH37" s="197"/>
      <c r="DI37" s="197"/>
      <c r="DJ37" s="197"/>
      <c r="DK37" s="197"/>
      <c r="DL37" s="197"/>
      <c r="DM37" s="197"/>
      <c r="DN37" s="197"/>
      <c r="DO37" s="197"/>
      <c r="DP37" s="197"/>
      <c r="DQ37" s="197"/>
      <c r="DR37" s="197"/>
      <c r="DS37" s="197"/>
      <c r="DT37" s="197"/>
      <c r="DU37" s="197"/>
      <c r="DV37" s="197"/>
      <c r="DW37" s="197"/>
      <c r="DX37" s="197"/>
      <c r="DY37" s="197"/>
      <c r="DZ37" s="197"/>
      <c r="EA37" s="197"/>
      <c r="EB37" s="197"/>
      <c r="EC37" s="197"/>
      <c r="ED37" s="197"/>
      <c r="EE37" s="197"/>
      <c r="EF37" s="197"/>
      <c r="EG37" s="197"/>
      <c r="EH37" s="197"/>
      <c r="EI37" s="197"/>
      <c r="EJ37" s="197"/>
      <c r="EK37" s="197"/>
      <c r="EL37" s="197"/>
      <c r="EM37" s="197"/>
      <c r="EN37" s="197"/>
      <c r="EO37" s="197"/>
      <c r="EP37" s="197"/>
      <c r="EQ37" s="197"/>
      <c r="ER37" s="197"/>
      <c r="ES37" s="197"/>
      <c r="ET37" s="197"/>
      <c r="EU37" s="197"/>
      <c r="EV37" s="197"/>
      <c r="EW37" s="197"/>
      <c r="EX37" s="197"/>
      <c r="EY37" s="197"/>
      <c r="EZ37" s="197"/>
      <c r="FA37" s="197"/>
      <c r="FB37" s="197"/>
      <c r="FC37" s="197"/>
      <c r="FD37" s="197"/>
      <c r="FE37" s="197"/>
      <c r="FF37" s="197"/>
      <c r="FG37" s="197"/>
      <c r="FH37" s="197"/>
      <c r="FI37" s="197"/>
      <c r="FJ37" s="197"/>
      <c r="FK37" s="197"/>
      <c r="FL37" s="197"/>
      <c r="FM37" s="197"/>
      <c r="FN37" s="197"/>
      <c r="FO37" s="197"/>
      <c r="FP37" s="197"/>
      <c r="FQ37" s="197"/>
      <c r="FR37" s="197"/>
      <c r="FS37" s="197"/>
      <c r="FT37" s="197"/>
      <c r="FU37" s="197"/>
      <c r="FV37" s="197"/>
      <c r="FW37" s="197"/>
      <c r="FX37" s="197"/>
      <c r="FY37" s="197"/>
      <c r="FZ37" s="197"/>
      <c r="GA37" s="197"/>
      <c r="GB37" s="197"/>
      <c r="GC37" s="197"/>
      <c r="GD37" s="197"/>
      <c r="GE37" s="197"/>
      <c r="GF37" s="197"/>
      <c r="GG37" s="197"/>
      <c r="GH37" s="197"/>
      <c r="GI37" s="197"/>
      <c r="GJ37" s="197"/>
      <c r="GK37" s="197"/>
      <c r="GL37" s="197"/>
      <c r="GM37" s="197"/>
      <c r="GN37" s="197"/>
      <c r="GO37" s="197"/>
      <c r="GP37" s="197"/>
      <c r="GQ37" s="197"/>
      <c r="GR37" s="197"/>
      <c r="GS37" s="197"/>
      <c r="GT37" s="197"/>
      <c r="GU37" s="197"/>
      <c r="GV37" s="197"/>
      <c r="GW37" s="197"/>
      <c r="GX37" s="197"/>
      <c r="GY37" s="197"/>
      <c r="GZ37" s="197"/>
      <c r="HA37" s="197"/>
      <c r="HB37" s="197"/>
      <c r="HC37" s="197"/>
      <c r="HD37" s="197"/>
      <c r="HE37" s="197"/>
      <c r="HF37" s="197"/>
      <c r="HG37" s="197"/>
      <c r="HH37" s="197"/>
      <c r="HI37" s="197"/>
      <c r="HJ37" s="197"/>
      <c r="HK37" s="197"/>
      <c r="HL37" s="197"/>
      <c r="HM37" s="197"/>
      <c r="HN37" s="197"/>
      <c r="HO37" s="197"/>
      <c r="HP37" s="197"/>
      <c r="HQ37" s="197"/>
      <c r="HR37" s="197"/>
      <c r="HS37" s="197"/>
      <c r="HT37" s="197"/>
      <c r="HU37" s="197"/>
      <c r="HV37" s="197"/>
      <c r="HW37" s="197"/>
      <c r="HX37" s="197"/>
      <c r="HY37" s="197"/>
      <c r="HZ37" s="197"/>
      <c r="IA37" s="197"/>
      <c r="IB37" s="197"/>
      <c r="IC37" s="197"/>
      <c r="ID37" s="197"/>
      <c r="IE37" s="197"/>
      <c r="IF37" s="197"/>
      <c r="IG37" s="197"/>
      <c r="IH37" s="197"/>
      <c r="II37" s="197"/>
      <c r="IJ37" s="197"/>
      <c r="IK37" s="197"/>
      <c r="IL37" s="197"/>
      <c r="IM37" s="197"/>
      <c r="IN37" s="197"/>
      <c r="IO37" s="197"/>
      <c r="IP37" s="197"/>
      <c r="IQ37" s="197"/>
      <c r="IR37" s="197"/>
    </row>
    <row r="38" spans="1:252" s="216" customFormat="1" ht="14.5">
      <c r="A38" s="215"/>
      <c r="B38" s="223" t="str">
        <f>'Balance Sheet Ann'!E23</f>
        <v>Net Assets</v>
      </c>
      <c r="C38" s="222"/>
      <c r="D38" s="217">
        <f ca="1">'Balance Sheet Ann'!J23</f>
        <v>18227.465270239161</v>
      </c>
      <c r="E38" s="217">
        <f ca="1">'Balance Sheet Ann'!K23</f>
        <v>2893765.0184405437</v>
      </c>
      <c r="F38" s="217">
        <f ca="1">'Balance Sheet Ann'!L23</f>
        <v>10991760.232333899</v>
      </c>
      <c r="G38" s="217">
        <f ca="1">'Balance Sheet Ann'!M23</f>
        <v>29663222.876222044</v>
      </c>
      <c r="H38" s="217">
        <f ca="1">'Balance Sheet Ann'!N23</f>
        <v>69510763.829430073</v>
      </c>
      <c r="I38" s="215"/>
      <c r="J38" s="215"/>
      <c r="K38" s="215"/>
      <c r="L38" s="198"/>
      <c r="M38" s="198"/>
      <c r="N38" s="198"/>
      <c r="O38" s="198"/>
      <c r="P38" s="198"/>
      <c r="Q38" s="198"/>
      <c r="R38" s="198"/>
      <c r="S38" s="198"/>
      <c r="T38" s="198"/>
      <c r="U38" s="198"/>
      <c r="V38" s="198"/>
      <c r="W38" s="198"/>
      <c r="X38" s="198"/>
      <c r="Y38" s="198"/>
      <c r="Z38" s="198"/>
      <c r="AA38" s="198"/>
      <c r="AB38" s="198"/>
      <c r="AC38" s="198"/>
      <c r="AD38" s="198"/>
      <c r="AE38" s="198"/>
      <c r="AF38" s="198"/>
      <c r="AG38" s="198"/>
      <c r="AH38" s="198"/>
      <c r="AI38" s="198"/>
      <c r="AJ38" s="198"/>
      <c r="AK38" s="198"/>
      <c r="AL38" s="198"/>
      <c r="AM38" s="198"/>
      <c r="AN38" s="198"/>
      <c r="AO38" s="198"/>
      <c r="AP38" s="198"/>
      <c r="AQ38" s="198"/>
      <c r="AR38" s="198"/>
      <c r="AS38" s="198"/>
      <c r="AT38" s="198"/>
      <c r="AU38" s="198"/>
      <c r="AV38" s="198"/>
      <c r="AW38" s="198"/>
      <c r="AX38" s="198"/>
      <c r="AY38" s="198"/>
      <c r="AZ38" s="198"/>
      <c r="BA38" s="198"/>
      <c r="BB38" s="198"/>
      <c r="BC38" s="198"/>
      <c r="BD38" s="198"/>
      <c r="BE38" s="198"/>
      <c r="BF38" s="198"/>
      <c r="BG38" s="198"/>
      <c r="BH38" s="198"/>
      <c r="BI38" s="198"/>
      <c r="BJ38" s="198"/>
      <c r="BK38" s="198"/>
      <c r="BL38" s="198"/>
      <c r="BM38" s="198"/>
      <c r="BN38" s="198"/>
      <c r="BO38" s="198"/>
      <c r="BP38" s="198"/>
      <c r="BQ38" s="198"/>
      <c r="BR38" s="198"/>
      <c r="BS38" s="198"/>
      <c r="BT38" s="198"/>
      <c r="BU38" s="198"/>
      <c r="BV38" s="198"/>
      <c r="BW38" s="198"/>
      <c r="BX38" s="198"/>
      <c r="BY38" s="198"/>
      <c r="BZ38" s="198"/>
      <c r="CA38" s="198"/>
      <c r="CB38" s="198"/>
      <c r="CC38" s="198"/>
      <c r="CD38" s="198"/>
      <c r="CE38" s="198"/>
      <c r="CF38" s="198"/>
      <c r="CG38" s="198"/>
      <c r="CH38" s="198"/>
      <c r="CI38" s="198"/>
      <c r="CJ38" s="198"/>
      <c r="CK38" s="198"/>
      <c r="CL38" s="198"/>
      <c r="CM38" s="198"/>
      <c r="CN38" s="198"/>
      <c r="CO38" s="198"/>
      <c r="CP38" s="198"/>
      <c r="CQ38" s="198"/>
      <c r="CR38" s="198"/>
      <c r="CS38" s="198"/>
      <c r="CT38" s="198"/>
      <c r="CU38" s="198"/>
      <c r="CV38" s="198"/>
      <c r="CW38" s="198"/>
      <c r="CX38" s="198"/>
      <c r="CY38" s="198"/>
      <c r="CZ38" s="198"/>
      <c r="DA38" s="198"/>
      <c r="DB38" s="198"/>
      <c r="DC38" s="198"/>
      <c r="DD38" s="198"/>
      <c r="DE38" s="198"/>
      <c r="DF38" s="198"/>
      <c r="DG38" s="198"/>
      <c r="DH38" s="198"/>
      <c r="DI38" s="198"/>
      <c r="DJ38" s="198"/>
      <c r="DK38" s="198"/>
      <c r="DL38" s="198"/>
      <c r="DM38" s="198"/>
      <c r="DN38" s="198"/>
      <c r="DO38" s="198"/>
      <c r="DP38" s="198"/>
      <c r="DQ38" s="198"/>
      <c r="DR38" s="198"/>
      <c r="DS38" s="198"/>
      <c r="DT38" s="198"/>
      <c r="DU38" s="198"/>
      <c r="DV38" s="198"/>
      <c r="DW38" s="198"/>
      <c r="DX38" s="198"/>
      <c r="DY38" s="198"/>
      <c r="DZ38" s="198"/>
      <c r="EA38" s="198"/>
      <c r="EB38" s="198"/>
      <c r="EC38" s="198"/>
      <c r="ED38" s="198"/>
      <c r="EE38" s="198"/>
      <c r="EF38" s="198"/>
      <c r="EG38" s="198"/>
      <c r="EH38" s="198"/>
      <c r="EI38" s="198"/>
      <c r="EJ38" s="198"/>
      <c r="EK38" s="198"/>
      <c r="EL38" s="198"/>
      <c r="EM38" s="198"/>
      <c r="EN38" s="198"/>
      <c r="EO38" s="198"/>
      <c r="EP38" s="198"/>
      <c r="EQ38" s="198"/>
      <c r="ER38" s="198"/>
      <c r="ES38" s="198"/>
      <c r="ET38" s="198"/>
      <c r="EU38" s="198"/>
      <c r="EV38" s="198"/>
      <c r="EW38" s="198"/>
      <c r="EX38" s="198"/>
      <c r="EY38" s="198"/>
      <c r="EZ38" s="198"/>
      <c r="FA38" s="198"/>
      <c r="FB38" s="198"/>
      <c r="FC38" s="198"/>
      <c r="FD38" s="198"/>
      <c r="FE38" s="198"/>
      <c r="FF38" s="198"/>
      <c r="FG38" s="198"/>
      <c r="FH38" s="198"/>
      <c r="FI38" s="198"/>
      <c r="FJ38" s="198"/>
      <c r="FK38" s="198"/>
      <c r="FL38" s="198"/>
      <c r="FM38" s="198"/>
      <c r="FN38" s="198"/>
      <c r="FO38" s="198"/>
      <c r="FP38" s="198"/>
      <c r="FQ38" s="198"/>
      <c r="FR38" s="198"/>
      <c r="FS38" s="198"/>
      <c r="FT38" s="198"/>
      <c r="FU38" s="198"/>
      <c r="FV38" s="198"/>
      <c r="FW38" s="198"/>
      <c r="FX38" s="198"/>
      <c r="FY38" s="198"/>
      <c r="FZ38" s="198"/>
      <c r="GA38" s="198"/>
      <c r="GB38" s="198"/>
      <c r="GC38" s="198"/>
      <c r="GD38" s="198"/>
      <c r="GE38" s="198"/>
      <c r="GF38" s="198"/>
      <c r="GG38" s="198"/>
      <c r="GH38" s="198"/>
      <c r="GI38" s="198"/>
      <c r="GJ38" s="198"/>
      <c r="GK38" s="198"/>
      <c r="GL38" s="198"/>
      <c r="GM38" s="198"/>
      <c r="GN38" s="198"/>
      <c r="GO38" s="198"/>
      <c r="GP38" s="198"/>
      <c r="GQ38" s="198"/>
      <c r="GR38" s="198"/>
      <c r="GS38" s="198"/>
      <c r="GT38" s="198"/>
      <c r="GU38" s="198"/>
      <c r="GV38" s="198"/>
      <c r="GW38" s="198"/>
      <c r="GX38" s="198"/>
      <c r="GY38" s="198"/>
      <c r="GZ38" s="198"/>
      <c r="HA38" s="198"/>
      <c r="HB38" s="198"/>
      <c r="HC38" s="198"/>
      <c r="HD38" s="198"/>
      <c r="HE38" s="198"/>
      <c r="HF38" s="198"/>
      <c r="HG38" s="198"/>
      <c r="HH38" s="198"/>
      <c r="HI38" s="198"/>
      <c r="HJ38" s="198"/>
      <c r="HK38" s="198"/>
      <c r="HL38" s="198"/>
      <c r="HM38" s="198"/>
      <c r="HN38" s="198"/>
      <c r="HO38" s="198"/>
      <c r="HP38" s="198"/>
      <c r="HQ38" s="198"/>
      <c r="HR38" s="198"/>
      <c r="HS38" s="198"/>
      <c r="HT38" s="198"/>
      <c r="HU38" s="198"/>
      <c r="HV38" s="198"/>
      <c r="HW38" s="198"/>
      <c r="HX38" s="198"/>
      <c r="HY38" s="198"/>
      <c r="HZ38" s="198"/>
      <c r="IA38" s="198"/>
      <c r="IB38" s="198"/>
      <c r="IC38" s="198"/>
      <c r="ID38" s="198"/>
      <c r="IE38" s="198"/>
      <c r="IF38" s="198"/>
      <c r="IG38" s="198"/>
      <c r="IH38" s="198"/>
      <c r="II38" s="198"/>
      <c r="IJ38" s="198"/>
      <c r="IK38" s="198"/>
      <c r="IL38" s="198"/>
      <c r="IM38" s="198"/>
      <c r="IN38" s="198"/>
      <c r="IO38" s="198"/>
      <c r="IP38" s="198"/>
      <c r="IQ38" s="198"/>
      <c r="IR38" s="198"/>
    </row>
    <row r="39" spans="1:252" ht="15">
      <c r="A39" s="195"/>
      <c r="B39"/>
      <c r="C39" s="195"/>
      <c r="D39" s="218"/>
      <c r="E39" s="218"/>
      <c r="F39" s="218"/>
      <c r="G39" s="218"/>
      <c r="H39" s="218"/>
      <c r="I39" s="195"/>
      <c r="J39" s="195"/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  <c r="AA39" s="197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197"/>
      <c r="AN39" s="197"/>
      <c r="AO39" s="197"/>
      <c r="AP39" s="197"/>
      <c r="AQ39" s="197"/>
      <c r="AR39" s="197"/>
      <c r="AS39" s="197"/>
      <c r="AT39" s="197"/>
      <c r="AU39" s="19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  <c r="CJ39" s="197"/>
      <c r="CK39" s="197"/>
      <c r="CL39" s="197"/>
      <c r="CM39" s="197"/>
      <c r="CN39" s="197"/>
      <c r="CO39" s="197"/>
      <c r="CP39" s="197"/>
      <c r="CQ39" s="197"/>
      <c r="CR39" s="197"/>
      <c r="CS39" s="197"/>
      <c r="CT39" s="197"/>
      <c r="CU39" s="197"/>
      <c r="CV39" s="197"/>
      <c r="CW39" s="197"/>
      <c r="CX39" s="197"/>
      <c r="CY39" s="197"/>
      <c r="CZ39" s="197"/>
      <c r="DA39" s="197"/>
      <c r="DB39" s="197"/>
      <c r="DC39" s="197"/>
      <c r="DD39" s="197"/>
      <c r="DE39" s="197"/>
      <c r="DF39" s="197"/>
      <c r="DG39" s="197"/>
      <c r="DH39" s="197"/>
      <c r="DI39" s="197"/>
      <c r="DJ39" s="197"/>
      <c r="DK39" s="197"/>
      <c r="DL39" s="197"/>
      <c r="DM39" s="197"/>
      <c r="DN39" s="197"/>
      <c r="DO39" s="197"/>
      <c r="DP39" s="197"/>
      <c r="DQ39" s="197"/>
      <c r="DR39" s="197"/>
      <c r="DS39" s="197"/>
      <c r="DT39" s="197"/>
      <c r="DU39" s="197"/>
      <c r="DV39" s="197"/>
      <c r="DW39" s="197"/>
      <c r="DX39" s="197"/>
      <c r="DY39" s="197"/>
      <c r="DZ39" s="197"/>
      <c r="EA39" s="197"/>
      <c r="EB39" s="197"/>
      <c r="EC39" s="197"/>
      <c r="ED39" s="197"/>
      <c r="EE39" s="197"/>
      <c r="EF39" s="197"/>
      <c r="EG39" s="197"/>
      <c r="EH39" s="197"/>
      <c r="EI39" s="197"/>
      <c r="EJ39" s="197"/>
      <c r="EK39" s="197"/>
      <c r="EL39" s="197"/>
      <c r="EM39" s="197"/>
      <c r="EN39" s="197"/>
      <c r="EO39" s="197"/>
      <c r="EP39" s="197"/>
      <c r="EQ39" s="197"/>
      <c r="ER39" s="197"/>
      <c r="ES39" s="197"/>
      <c r="ET39" s="197"/>
      <c r="EU39" s="197"/>
      <c r="EV39" s="197"/>
      <c r="EW39" s="197"/>
      <c r="EX39" s="197"/>
      <c r="EY39" s="197"/>
      <c r="EZ39" s="197"/>
      <c r="FA39" s="197"/>
      <c r="FB39" s="197"/>
      <c r="FC39" s="197"/>
      <c r="FD39" s="197"/>
      <c r="FE39" s="197"/>
      <c r="FF39" s="197"/>
      <c r="FG39" s="197"/>
      <c r="FH39" s="197"/>
      <c r="FI39" s="197"/>
      <c r="FJ39" s="197"/>
      <c r="FK39" s="197"/>
      <c r="FL39" s="197"/>
      <c r="FM39" s="197"/>
      <c r="FN39" s="197"/>
      <c r="FO39" s="197"/>
      <c r="FP39" s="197"/>
      <c r="FQ39" s="197"/>
      <c r="FR39" s="197"/>
      <c r="FS39" s="197"/>
      <c r="FT39" s="197"/>
      <c r="FU39" s="197"/>
      <c r="FV39" s="197"/>
      <c r="FW39" s="197"/>
      <c r="FX39" s="197"/>
      <c r="FY39" s="197"/>
      <c r="FZ39" s="197"/>
      <c r="GA39" s="197"/>
      <c r="GB39" s="197"/>
      <c r="GC39" s="197"/>
      <c r="GD39" s="197"/>
      <c r="GE39" s="197"/>
      <c r="GF39" s="197"/>
      <c r="GG39" s="197"/>
      <c r="GH39" s="197"/>
      <c r="GI39" s="197"/>
      <c r="GJ39" s="197"/>
      <c r="GK39" s="197"/>
      <c r="GL39" s="197"/>
      <c r="GM39" s="197"/>
      <c r="GN39" s="197"/>
      <c r="GO39" s="197"/>
      <c r="GP39" s="197"/>
      <c r="GQ39" s="197"/>
      <c r="GR39" s="197"/>
      <c r="GS39" s="197"/>
      <c r="GT39" s="197"/>
      <c r="GU39" s="197"/>
      <c r="GV39" s="197"/>
      <c r="GW39" s="197"/>
      <c r="GX39" s="197"/>
      <c r="GY39" s="197"/>
      <c r="GZ39" s="197"/>
      <c r="HA39" s="197"/>
      <c r="HB39" s="197"/>
      <c r="HC39" s="197"/>
      <c r="HD39" s="197"/>
      <c r="HE39" s="197"/>
      <c r="HF39" s="197"/>
      <c r="HG39" s="197"/>
      <c r="HH39" s="197"/>
      <c r="HI39" s="197"/>
      <c r="HJ39" s="197"/>
      <c r="HK39" s="197"/>
      <c r="HL39" s="197"/>
      <c r="HM39" s="197"/>
      <c r="HN39" s="197"/>
      <c r="HO39" s="197"/>
      <c r="HP39" s="197"/>
      <c r="HQ39" s="197"/>
      <c r="HR39" s="197"/>
      <c r="HS39" s="197"/>
      <c r="HT39" s="197"/>
      <c r="HU39" s="197"/>
      <c r="HV39" s="197"/>
      <c r="HW39" s="197"/>
      <c r="HX39" s="197"/>
      <c r="HY39" s="197"/>
      <c r="HZ39" s="197"/>
      <c r="IA39" s="197"/>
      <c r="IB39" s="197"/>
      <c r="IC39" s="197"/>
      <c r="ID39" s="197"/>
      <c r="IE39" s="197"/>
      <c r="IF39" s="197"/>
      <c r="IG39" s="197"/>
      <c r="IH39" s="197"/>
      <c r="II39" s="197"/>
      <c r="IJ39" s="197"/>
      <c r="IK39" s="197"/>
      <c r="IL39" s="197"/>
      <c r="IM39" s="197"/>
      <c r="IN39" s="197"/>
      <c r="IO39" s="197"/>
      <c r="IP39" s="197"/>
      <c r="IQ39" s="197"/>
      <c r="IR39" s="197"/>
    </row>
    <row r="40" spans="1:252" ht="15">
      <c r="A40" s="195"/>
      <c r="B40" s="215" t="str">
        <f>'Balance Sheet Ann'!E25</f>
        <v>Retained Earnings</v>
      </c>
      <c r="C40" s="195"/>
      <c r="D40" s="218">
        <f ca="1">'Balance Sheet Ann'!J25</f>
        <v>18227.46527023922</v>
      </c>
      <c r="E40" s="218">
        <f ca="1">'Balance Sheet Ann'!K25</f>
        <v>2893765.0184405441</v>
      </c>
      <c r="F40" s="218">
        <f ca="1">'Balance Sheet Ann'!L25</f>
        <v>10991760.232333895</v>
      </c>
      <c r="G40" s="218">
        <f ca="1">'Balance Sheet Ann'!M25</f>
        <v>29663222.876222033</v>
      </c>
      <c r="H40" s="218">
        <f ca="1">'Balance Sheet Ann'!N25</f>
        <v>69510763.829430103</v>
      </c>
      <c r="I40" s="195"/>
      <c r="J40" s="195"/>
      <c r="K40" s="197"/>
      <c r="L40" s="197"/>
      <c r="M40" s="197"/>
      <c r="N40" s="197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  <c r="AA40" s="197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197"/>
      <c r="AN40" s="197"/>
      <c r="AO40" s="197"/>
      <c r="AP40" s="197"/>
      <c r="AQ40" s="197"/>
      <c r="AR40" s="197"/>
      <c r="AS40" s="197"/>
      <c r="AT40" s="197"/>
      <c r="AU40" s="197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  <c r="CJ40" s="197"/>
      <c r="CK40" s="197"/>
      <c r="CL40" s="197"/>
      <c r="CM40" s="197"/>
      <c r="CN40" s="197"/>
      <c r="CO40" s="197"/>
      <c r="CP40" s="197"/>
      <c r="CQ40" s="197"/>
      <c r="CR40" s="197"/>
      <c r="CS40" s="197"/>
      <c r="CT40" s="197"/>
      <c r="CU40" s="197"/>
      <c r="CV40" s="197"/>
      <c r="CW40" s="197"/>
      <c r="CX40" s="197"/>
      <c r="CY40" s="197"/>
      <c r="CZ40" s="197"/>
      <c r="DA40" s="197"/>
      <c r="DB40" s="197"/>
      <c r="DC40" s="197"/>
      <c r="DD40" s="197"/>
      <c r="DE40" s="197"/>
      <c r="DF40" s="197"/>
      <c r="DG40" s="197"/>
      <c r="DH40" s="197"/>
      <c r="DI40" s="197"/>
      <c r="DJ40" s="197"/>
      <c r="DK40" s="197"/>
      <c r="DL40" s="197"/>
      <c r="DM40" s="197"/>
      <c r="DN40" s="197"/>
      <c r="DO40" s="197"/>
      <c r="DP40" s="197"/>
      <c r="DQ40" s="197"/>
      <c r="DR40" s="197"/>
      <c r="DS40" s="197"/>
      <c r="DT40" s="197"/>
      <c r="DU40" s="197"/>
      <c r="DV40" s="197"/>
      <c r="DW40" s="197"/>
      <c r="DX40" s="197"/>
      <c r="DY40" s="197"/>
      <c r="DZ40" s="197"/>
      <c r="EA40" s="197"/>
      <c r="EB40" s="197"/>
      <c r="EC40" s="197"/>
      <c r="ED40" s="197"/>
      <c r="EE40" s="197"/>
      <c r="EF40" s="197"/>
      <c r="EG40" s="197"/>
      <c r="EH40" s="197"/>
      <c r="EI40" s="197"/>
      <c r="EJ40" s="197"/>
      <c r="EK40" s="197"/>
      <c r="EL40" s="197"/>
      <c r="EM40" s="197"/>
      <c r="EN40" s="197"/>
      <c r="EO40" s="197"/>
      <c r="EP40" s="197"/>
      <c r="EQ40" s="197"/>
      <c r="ER40" s="197"/>
      <c r="ES40" s="197"/>
      <c r="ET40" s="197"/>
      <c r="EU40" s="197"/>
      <c r="EV40" s="197"/>
      <c r="EW40" s="197"/>
      <c r="EX40" s="197"/>
      <c r="EY40" s="197"/>
      <c r="EZ40" s="197"/>
      <c r="FA40" s="197"/>
      <c r="FB40" s="197"/>
      <c r="FC40" s="197"/>
      <c r="FD40" s="197"/>
      <c r="FE40" s="197"/>
      <c r="FF40" s="197"/>
      <c r="FG40" s="197"/>
      <c r="FH40" s="197"/>
      <c r="FI40" s="197"/>
      <c r="FJ40" s="197"/>
      <c r="FK40" s="197"/>
      <c r="FL40" s="197"/>
      <c r="FM40" s="197"/>
      <c r="FN40" s="197"/>
      <c r="FO40" s="197"/>
      <c r="FP40" s="197"/>
      <c r="FQ40" s="197"/>
      <c r="FR40" s="197"/>
      <c r="FS40" s="197"/>
      <c r="FT40" s="197"/>
      <c r="FU40" s="197"/>
      <c r="FV40" s="197"/>
      <c r="FW40" s="197"/>
      <c r="FX40" s="197"/>
      <c r="FY40" s="197"/>
      <c r="FZ40" s="197"/>
      <c r="GA40" s="197"/>
      <c r="GB40" s="197"/>
      <c r="GC40" s="197"/>
      <c r="GD40" s="197"/>
      <c r="GE40" s="197"/>
      <c r="GF40" s="197"/>
      <c r="GG40" s="197"/>
      <c r="GH40" s="197"/>
      <c r="GI40" s="197"/>
      <c r="GJ40" s="197"/>
      <c r="GK40" s="197"/>
      <c r="GL40" s="197"/>
      <c r="GM40" s="197"/>
      <c r="GN40" s="197"/>
      <c r="GO40" s="197"/>
      <c r="GP40" s="197"/>
      <c r="GQ40" s="197"/>
      <c r="GR40" s="197"/>
      <c r="GS40" s="197"/>
      <c r="GT40" s="197"/>
      <c r="GU40" s="197"/>
      <c r="GV40" s="197"/>
      <c r="GW40" s="197"/>
      <c r="GX40" s="197"/>
      <c r="GY40" s="197"/>
      <c r="GZ40" s="197"/>
      <c r="HA40" s="197"/>
      <c r="HB40" s="197"/>
      <c r="HC40" s="197"/>
      <c r="HD40" s="197"/>
      <c r="HE40" s="197"/>
      <c r="HF40" s="197"/>
      <c r="HG40" s="197"/>
      <c r="HH40" s="197"/>
      <c r="HI40" s="197"/>
      <c r="HJ40" s="197"/>
      <c r="HK40" s="197"/>
      <c r="HL40" s="197"/>
      <c r="HM40" s="197"/>
      <c r="HN40" s="197"/>
      <c r="HO40" s="197"/>
      <c r="HP40" s="197"/>
      <c r="HQ40" s="197"/>
      <c r="HR40" s="197"/>
      <c r="HS40" s="197"/>
      <c r="HT40" s="197"/>
      <c r="HU40" s="197"/>
      <c r="HV40" s="197"/>
      <c r="HW40" s="197"/>
      <c r="HX40" s="197"/>
      <c r="HY40" s="197"/>
      <c r="HZ40" s="197"/>
      <c r="IA40" s="197"/>
      <c r="IB40" s="197"/>
      <c r="IC40" s="197"/>
      <c r="ID40" s="197"/>
      <c r="IE40" s="197"/>
      <c r="IF40" s="197"/>
      <c r="IG40" s="197"/>
      <c r="IH40" s="197"/>
      <c r="II40" s="197"/>
      <c r="IJ40" s="197"/>
      <c r="IK40" s="197"/>
      <c r="IL40" s="197"/>
      <c r="IM40" s="197"/>
      <c r="IN40" s="197"/>
      <c r="IO40" s="197"/>
      <c r="IP40" s="197"/>
      <c r="IQ40" s="197"/>
      <c r="IR40" s="197"/>
    </row>
    <row r="41" spans="1:252" ht="15">
      <c r="A41" s="195"/>
      <c r="B41" s="215" t="str">
        <f>'Balance Sheet Ann'!E26</f>
        <v>Share Capital</v>
      </c>
      <c r="C41" s="195"/>
      <c r="D41" s="218">
        <f>'Balance Sheet Ann'!J26</f>
        <v>0</v>
      </c>
      <c r="E41" s="218">
        <f>'Balance Sheet Ann'!K26</f>
        <v>0</v>
      </c>
      <c r="F41" s="218">
        <f>'Balance Sheet Ann'!L26</f>
        <v>0</v>
      </c>
      <c r="G41" s="218">
        <f>'Balance Sheet Ann'!M26</f>
        <v>0</v>
      </c>
      <c r="H41" s="218">
        <f>'Balance Sheet Ann'!N26</f>
        <v>0</v>
      </c>
      <c r="I41" s="195"/>
      <c r="J41" s="195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  <c r="AA41" s="197"/>
      <c r="AB41" s="197"/>
      <c r="AC41" s="197"/>
      <c r="AD41" s="197"/>
      <c r="AE41" s="197"/>
      <c r="AF41" s="197"/>
      <c r="AG41" s="197"/>
      <c r="AH41" s="197"/>
      <c r="AI41" s="197"/>
      <c r="AJ41" s="197"/>
      <c r="AK41" s="197"/>
      <c r="AL41" s="197"/>
      <c r="AM41" s="197"/>
      <c r="AN41" s="197"/>
      <c r="AO41" s="197"/>
      <c r="AP41" s="197"/>
      <c r="AQ41" s="197"/>
      <c r="AR41" s="197"/>
      <c r="AS41" s="197"/>
      <c r="AT41" s="197"/>
      <c r="AU41" s="197"/>
      <c r="AV41" s="197"/>
      <c r="AW41" s="197"/>
      <c r="AX41" s="197"/>
      <c r="AY41" s="197"/>
      <c r="AZ41" s="197"/>
      <c r="BA41" s="197"/>
      <c r="BB41" s="197"/>
      <c r="BC41" s="197"/>
      <c r="BD41" s="197"/>
      <c r="BE41" s="197"/>
      <c r="BF41" s="197"/>
      <c r="BG41" s="197"/>
      <c r="BH41" s="197"/>
      <c r="BI41" s="197"/>
      <c r="BJ41" s="197"/>
      <c r="BK41" s="197"/>
      <c r="BL41" s="197"/>
      <c r="BM41" s="197"/>
      <c r="BN41" s="197"/>
      <c r="BO41" s="197"/>
      <c r="BP41" s="197"/>
      <c r="BQ41" s="197"/>
      <c r="BR41" s="197"/>
      <c r="BS41" s="197"/>
      <c r="BT41" s="197"/>
      <c r="BU41" s="197"/>
      <c r="BV41" s="197"/>
      <c r="BW41" s="197"/>
      <c r="BX41" s="197"/>
      <c r="BY41" s="197"/>
      <c r="BZ41" s="197"/>
      <c r="CA41" s="197"/>
      <c r="CB41" s="197"/>
      <c r="CC41" s="197"/>
      <c r="CD41" s="197"/>
      <c r="CE41" s="197"/>
      <c r="CF41" s="197"/>
      <c r="CG41" s="197"/>
      <c r="CH41" s="197"/>
      <c r="CI41" s="197"/>
      <c r="CJ41" s="197"/>
      <c r="CK41" s="197"/>
      <c r="CL41" s="197"/>
      <c r="CM41" s="197"/>
      <c r="CN41" s="197"/>
      <c r="CO41" s="197"/>
      <c r="CP41" s="197"/>
      <c r="CQ41" s="197"/>
      <c r="CR41" s="197"/>
      <c r="CS41" s="197"/>
      <c r="CT41" s="197"/>
      <c r="CU41" s="197"/>
      <c r="CV41" s="197"/>
      <c r="CW41" s="197"/>
      <c r="CX41" s="197"/>
      <c r="CY41" s="197"/>
      <c r="CZ41" s="197"/>
      <c r="DA41" s="197"/>
      <c r="DB41" s="197"/>
      <c r="DC41" s="197"/>
      <c r="DD41" s="197"/>
      <c r="DE41" s="197"/>
      <c r="DF41" s="197"/>
      <c r="DG41" s="197"/>
      <c r="DH41" s="197"/>
      <c r="DI41" s="197"/>
      <c r="DJ41" s="197"/>
      <c r="DK41" s="197"/>
      <c r="DL41" s="197"/>
      <c r="DM41" s="197"/>
      <c r="DN41" s="197"/>
      <c r="DO41" s="197"/>
      <c r="DP41" s="197"/>
      <c r="DQ41" s="197"/>
      <c r="DR41" s="197"/>
      <c r="DS41" s="197"/>
      <c r="DT41" s="197"/>
      <c r="DU41" s="197"/>
      <c r="DV41" s="197"/>
      <c r="DW41" s="197"/>
      <c r="DX41" s="197"/>
      <c r="DY41" s="197"/>
      <c r="DZ41" s="197"/>
      <c r="EA41" s="197"/>
      <c r="EB41" s="197"/>
      <c r="EC41" s="197"/>
      <c r="ED41" s="197"/>
      <c r="EE41" s="197"/>
      <c r="EF41" s="197"/>
      <c r="EG41" s="197"/>
      <c r="EH41" s="197"/>
      <c r="EI41" s="197"/>
      <c r="EJ41" s="197"/>
      <c r="EK41" s="197"/>
      <c r="EL41" s="197"/>
      <c r="EM41" s="197"/>
      <c r="EN41" s="197"/>
      <c r="EO41" s="197"/>
      <c r="EP41" s="197"/>
      <c r="EQ41" s="197"/>
      <c r="ER41" s="197"/>
      <c r="ES41" s="197"/>
      <c r="ET41" s="197"/>
      <c r="EU41" s="197"/>
      <c r="EV41" s="197"/>
      <c r="EW41" s="197"/>
      <c r="EX41" s="197"/>
      <c r="EY41" s="197"/>
      <c r="EZ41" s="197"/>
      <c r="FA41" s="197"/>
      <c r="FB41" s="197"/>
      <c r="FC41" s="197"/>
      <c r="FD41" s="197"/>
      <c r="FE41" s="197"/>
      <c r="FF41" s="197"/>
      <c r="FG41" s="197"/>
      <c r="FH41" s="197"/>
      <c r="FI41" s="197"/>
      <c r="FJ41" s="197"/>
      <c r="FK41" s="197"/>
      <c r="FL41" s="197"/>
      <c r="FM41" s="197"/>
      <c r="FN41" s="197"/>
      <c r="FO41" s="197"/>
      <c r="FP41" s="197"/>
      <c r="FQ41" s="197"/>
      <c r="FR41" s="197"/>
      <c r="FS41" s="197"/>
      <c r="FT41" s="197"/>
      <c r="FU41" s="197"/>
      <c r="FV41" s="197"/>
      <c r="FW41" s="197"/>
      <c r="FX41" s="197"/>
      <c r="FY41" s="197"/>
      <c r="FZ41" s="197"/>
      <c r="GA41" s="197"/>
      <c r="GB41" s="197"/>
      <c r="GC41" s="197"/>
      <c r="GD41" s="197"/>
      <c r="GE41" s="197"/>
      <c r="GF41" s="197"/>
      <c r="GG41" s="197"/>
      <c r="GH41" s="197"/>
      <c r="GI41" s="197"/>
      <c r="GJ41" s="197"/>
      <c r="GK41" s="197"/>
      <c r="GL41" s="197"/>
      <c r="GM41" s="197"/>
      <c r="GN41" s="197"/>
      <c r="GO41" s="197"/>
      <c r="GP41" s="197"/>
      <c r="GQ41" s="197"/>
      <c r="GR41" s="197"/>
      <c r="GS41" s="197"/>
      <c r="GT41" s="197"/>
      <c r="GU41" s="197"/>
      <c r="GV41" s="197"/>
      <c r="GW41" s="197"/>
      <c r="GX41" s="197"/>
      <c r="GY41" s="197"/>
      <c r="GZ41" s="197"/>
      <c r="HA41" s="197"/>
      <c r="HB41" s="197"/>
      <c r="HC41" s="197"/>
      <c r="HD41" s="197"/>
      <c r="HE41" s="197"/>
      <c r="HF41" s="197"/>
      <c r="HG41" s="197"/>
      <c r="HH41" s="197"/>
      <c r="HI41" s="197"/>
      <c r="HJ41" s="197"/>
      <c r="HK41" s="197"/>
      <c r="HL41" s="197"/>
      <c r="HM41" s="197"/>
      <c r="HN41" s="197"/>
      <c r="HO41" s="197"/>
      <c r="HP41" s="197"/>
      <c r="HQ41" s="197"/>
      <c r="HR41" s="197"/>
      <c r="HS41" s="197"/>
      <c r="HT41" s="197"/>
      <c r="HU41" s="197"/>
      <c r="HV41" s="197"/>
      <c r="HW41" s="197"/>
      <c r="HX41" s="197"/>
      <c r="HY41" s="197"/>
      <c r="HZ41" s="197"/>
      <c r="IA41" s="197"/>
      <c r="IB41" s="197"/>
      <c r="IC41" s="197"/>
      <c r="ID41" s="197"/>
      <c r="IE41" s="197"/>
      <c r="IF41" s="197"/>
      <c r="IG41" s="197"/>
      <c r="IH41" s="197"/>
      <c r="II41" s="197"/>
      <c r="IJ41" s="197"/>
      <c r="IK41" s="197"/>
      <c r="IL41" s="197"/>
      <c r="IM41" s="197"/>
      <c r="IN41" s="197"/>
      <c r="IO41" s="197"/>
      <c r="IP41" s="197"/>
      <c r="IQ41" s="197"/>
      <c r="IR41" s="197"/>
    </row>
    <row r="42" spans="1:252" ht="15">
      <c r="A42" s="195"/>
      <c r="B42" s="223" t="str">
        <f>'Balance Sheet Ann'!E27</f>
        <v>Shareholder Equity</v>
      </c>
      <c r="C42" s="222"/>
      <c r="D42" s="217">
        <f ca="1">'Balance Sheet Ann'!J27</f>
        <v>18227.46527023922</v>
      </c>
      <c r="E42" s="217">
        <f ca="1">'Balance Sheet Ann'!K27</f>
        <v>2893765.0184405441</v>
      </c>
      <c r="F42" s="217">
        <f ca="1">'Balance Sheet Ann'!L27</f>
        <v>10991760.232333895</v>
      </c>
      <c r="G42" s="217">
        <f ca="1">'Balance Sheet Ann'!M27</f>
        <v>29663222.876222033</v>
      </c>
      <c r="H42" s="217">
        <f ca="1">'Balance Sheet Ann'!N27</f>
        <v>69510763.829430103</v>
      </c>
      <c r="I42" s="195"/>
      <c r="J42" s="195"/>
      <c r="K42" s="197"/>
      <c r="L42" s="197"/>
      <c r="M42" s="197"/>
      <c r="N42" s="197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  <c r="AA42" s="197"/>
      <c r="AB42" s="197"/>
      <c r="AC42" s="197"/>
      <c r="AD42" s="197"/>
      <c r="AE42" s="197"/>
      <c r="AF42" s="197"/>
      <c r="AG42" s="197"/>
      <c r="AH42" s="197"/>
      <c r="AI42" s="197"/>
      <c r="AJ42" s="197"/>
      <c r="AK42" s="197"/>
      <c r="AL42" s="197"/>
      <c r="AM42" s="197"/>
      <c r="AN42" s="197"/>
      <c r="AO42" s="197"/>
      <c r="AP42" s="197"/>
      <c r="AQ42" s="197"/>
      <c r="AR42" s="197"/>
      <c r="AS42" s="197"/>
      <c r="AT42" s="197"/>
      <c r="AU42" s="197"/>
      <c r="AV42" s="197"/>
      <c r="AW42" s="197"/>
      <c r="AX42" s="197"/>
      <c r="AY42" s="197"/>
      <c r="AZ42" s="197"/>
      <c r="BA42" s="197"/>
      <c r="BB42" s="197"/>
      <c r="BC42" s="197"/>
      <c r="BD42" s="197"/>
      <c r="BE42" s="197"/>
      <c r="BF42" s="197"/>
      <c r="BG42" s="197"/>
      <c r="BH42" s="197"/>
      <c r="BI42" s="197"/>
      <c r="BJ42" s="197"/>
      <c r="BK42" s="197"/>
      <c r="BL42" s="197"/>
      <c r="BM42" s="197"/>
      <c r="BN42" s="197"/>
      <c r="BO42" s="197"/>
      <c r="BP42" s="197"/>
      <c r="BQ42" s="197"/>
      <c r="BR42" s="197"/>
      <c r="BS42" s="197"/>
      <c r="BT42" s="197"/>
      <c r="BU42" s="197"/>
      <c r="BV42" s="197"/>
      <c r="BW42" s="197"/>
      <c r="BX42" s="197"/>
      <c r="BY42" s="197"/>
      <c r="BZ42" s="197"/>
      <c r="CA42" s="197"/>
      <c r="CB42" s="197"/>
      <c r="CC42" s="197"/>
      <c r="CD42" s="197"/>
      <c r="CE42" s="197"/>
      <c r="CF42" s="197"/>
      <c r="CG42" s="197"/>
      <c r="CH42" s="197"/>
      <c r="CI42" s="197"/>
      <c r="CJ42" s="197"/>
      <c r="CK42" s="197"/>
      <c r="CL42" s="197"/>
      <c r="CM42" s="197"/>
      <c r="CN42" s="197"/>
      <c r="CO42" s="197"/>
      <c r="CP42" s="197"/>
      <c r="CQ42" s="197"/>
      <c r="CR42" s="197"/>
      <c r="CS42" s="197"/>
      <c r="CT42" s="197"/>
      <c r="CU42" s="197"/>
      <c r="CV42" s="197"/>
      <c r="CW42" s="197"/>
      <c r="CX42" s="197"/>
      <c r="CY42" s="197"/>
      <c r="CZ42" s="197"/>
      <c r="DA42" s="197"/>
      <c r="DB42" s="197"/>
      <c r="DC42" s="197"/>
      <c r="DD42" s="197"/>
      <c r="DE42" s="197"/>
      <c r="DF42" s="197"/>
      <c r="DG42" s="197"/>
      <c r="DH42" s="197"/>
      <c r="DI42" s="197"/>
      <c r="DJ42" s="197"/>
      <c r="DK42" s="197"/>
      <c r="DL42" s="197"/>
      <c r="DM42" s="197"/>
      <c r="DN42" s="197"/>
      <c r="DO42" s="197"/>
      <c r="DP42" s="197"/>
      <c r="DQ42" s="197"/>
      <c r="DR42" s="197"/>
      <c r="DS42" s="197"/>
      <c r="DT42" s="197"/>
      <c r="DU42" s="197"/>
      <c r="DV42" s="197"/>
      <c r="DW42" s="197"/>
      <c r="DX42" s="197"/>
      <c r="DY42" s="197"/>
      <c r="DZ42" s="197"/>
      <c r="EA42" s="197"/>
      <c r="EB42" s="197"/>
      <c r="EC42" s="197"/>
      <c r="ED42" s="197"/>
      <c r="EE42" s="197"/>
      <c r="EF42" s="197"/>
      <c r="EG42" s="197"/>
      <c r="EH42" s="197"/>
      <c r="EI42" s="197"/>
      <c r="EJ42" s="197"/>
      <c r="EK42" s="197"/>
      <c r="EL42" s="197"/>
      <c r="EM42" s="197"/>
      <c r="EN42" s="197"/>
      <c r="EO42" s="197"/>
      <c r="EP42" s="197"/>
      <c r="EQ42" s="197"/>
      <c r="ER42" s="197"/>
      <c r="ES42" s="197"/>
      <c r="ET42" s="197"/>
      <c r="EU42" s="197"/>
      <c r="EV42" s="197"/>
      <c r="EW42" s="197"/>
      <c r="EX42" s="197"/>
      <c r="EY42" s="197"/>
      <c r="EZ42" s="197"/>
      <c r="FA42" s="197"/>
      <c r="FB42" s="197"/>
      <c r="FC42" s="197"/>
      <c r="FD42" s="197"/>
      <c r="FE42" s="197"/>
      <c r="FF42" s="197"/>
      <c r="FG42" s="197"/>
      <c r="FH42" s="197"/>
      <c r="FI42" s="197"/>
      <c r="FJ42" s="197"/>
      <c r="FK42" s="197"/>
      <c r="FL42" s="197"/>
      <c r="FM42" s="197"/>
      <c r="FN42" s="197"/>
      <c r="FO42" s="197"/>
      <c r="FP42" s="197"/>
      <c r="FQ42" s="197"/>
      <c r="FR42" s="197"/>
      <c r="FS42" s="197"/>
      <c r="FT42" s="197"/>
      <c r="FU42" s="197"/>
      <c r="FV42" s="197"/>
      <c r="FW42" s="197"/>
      <c r="FX42" s="197"/>
      <c r="FY42" s="197"/>
      <c r="FZ42" s="197"/>
      <c r="GA42" s="197"/>
      <c r="GB42" s="197"/>
      <c r="GC42" s="197"/>
      <c r="GD42" s="197"/>
      <c r="GE42" s="197"/>
      <c r="GF42" s="197"/>
      <c r="GG42" s="197"/>
      <c r="GH42" s="197"/>
      <c r="GI42" s="197"/>
      <c r="GJ42" s="197"/>
      <c r="GK42" s="197"/>
      <c r="GL42" s="197"/>
      <c r="GM42" s="197"/>
      <c r="GN42" s="197"/>
      <c r="GO42" s="197"/>
      <c r="GP42" s="197"/>
      <c r="GQ42" s="197"/>
      <c r="GR42" s="197"/>
      <c r="GS42" s="197"/>
      <c r="GT42" s="197"/>
      <c r="GU42" s="197"/>
      <c r="GV42" s="197"/>
      <c r="GW42" s="197"/>
      <c r="GX42" s="197"/>
      <c r="GY42" s="197"/>
      <c r="GZ42" s="197"/>
      <c r="HA42" s="197"/>
      <c r="HB42" s="197"/>
      <c r="HC42" s="197"/>
      <c r="HD42" s="197"/>
      <c r="HE42" s="197"/>
      <c r="HF42" s="197"/>
      <c r="HG42" s="197"/>
      <c r="HH42" s="197"/>
      <c r="HI42" s="197"/>
      <c r="HJ42" s="197"/>
      <c r="HK42" s="197"/>
      <c r="HL42" s="197"/>
      <c r="HM42" s="197"/>
      <c r="HN42" s="197"/>
      <c r="HO42" s="197"/>
      <c r="HP42" s="197"/>
      <c r="HQ42" s="197"/>
      <c r="HR42" s="197"/>
      <c r="HS42" s="197"/>
      <c r="HT42" s="197"/>
      <c r="HU42" s="197"/>
      <c r="HV42" s="197"/>
      <c r="HW42" s="197"/>
      <c r="HX42" s="197"/>
      <c r="HY42" s="197"/>
      <c r="HZ42" s="197"/>
      <c r="IA42" s="197"/>
      <c r="IB42" s="197"/>
      <c r="IC42" s="197"/>
      <c r="ID42" s="197"/>
      <c r="IE42" s="197"/>
      <c r="IF42" s="197"/>
      <c r="IG42" s="197"/>
      <c r="IH42" s="197"/>
      <c r="II42" s="197"/>
      <c r="IJ42" s="197"/>
      <c r="IK42" s="197"/>
      <c r="IL42" s="197"/>
      <c r="IM42" s="197"/>
      <c r="IN42" s="197"/>
      <c r="IO42" s="197"/>
      <c r="IP42" s="197"/>
      <c r="IQ42" s="197"/>
      <c r="IR42" s="197"/>
    </row>
    <row r="43" spans="1:252" ht="15">
      <c r="A43" s="195"/>
      <c r="B43"/>
      <c r="C43" s="195"/>
      <c r="D43" s="218"/>
      <c r="E43" s="218"/>
      <c r="F43" s="218"/>
      <c r="G43" s="218"/>
      <c r="H43" s="218"/>
      <c r="I43" s="195"/>
      <c r="J43" s="195"/>
      <c r="K43" s="197"/>
      <c r="L43" s="197"/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  <c r="AA43" s="197"/>
      <c r="AB43" s="197"/>
      <c r="AC43" s="197"/>
      <c r="AD43" s="197"/>
      <c r="AE43" s="197"/>
      <c r="AF43" s="197"/>
      <c r="AG43" s="197"/>
      <c r="AH43" s="197"/>
      <c r="AI43" s="197"/>
      <c r="AJ43" s="197"/>
      <c r="AK43" s="197"/>
      <c r="AL43" s="197"/>
      <c r="AM43" s="197"/>
      <c r="AN43" s="197"/>
      <c r="AO43" s="197"/>
      <c r="AP43" s="197"/>
      <c r="AQ43" s="197"/>
      <c r="AR43" s="197"/>
      <c r="AS43" s="197"/>
      <c r="AT43" s="197"/>
      <c r="AU43" s="197"/>
      <c r="AV43" s="197"/>
      <c r="AW43" s="197"/>
      <c r="AX43" s="197"/>
      <c r="AY43" s="197"/>
      <c r="AZ43" s="197"/>
      <c r="BA43" s="197"/>
      <c r="BB43" s="197"/>
      <c r="BC43" s="197"/>
      <c r="BD43" s="197"/>
      <c r="BE43" s="197"/>
      <c r="BF43" s="197"/>
      <c r="BG43" s="197"/>
      <c r="BH43" s="197"/>
      <c r="BI43" s="197"/>
      <c r="BJ43" s="197"/>
      <c r="BK43" s="197"/>
      <c r="BL43" s="197"/>
      <c r="BM43" s="197"/>
      <c r="BN43" s="197"/>
      <c r="BO43" s="197"/>
      <c r="BP43" s="197"/>
      <c r="BQ43" s="197"/>
      <c r="BR43" s="197"/>
      <c r="BS43" s="197"/>
      <c r="BT43" s="197"/>
      <c r="BU43" s="197"/>
      <c r="BV43" s="197"/>
      <c r="BW43" s="197"/>
      <c r="BX43" s="197"/>
      <c r="BY43" s="197"/>
      <c r="BZ43" s="197"/>
      <c r="CA43" s="197"/>
      <c r="CB43" s="197"/>
      <c r="CC43" s="197"/>
      <c r="CD43" s="197"/>
      <c r="CE43" s="197"/>
      <c r="CF43" s="197"/>
      <c r="CG43" s="197"/>
      <c r="CH43" s="197"/>
      <c r="CI43" s="197"/>
      <c r="CJ43" s="197"/>
      <c r="CK43" s="197"/>
      <c r="CL43" s="197"/>
      <c r="CM43" s="197"/>
      <c r="CN43" s="197"/>
      <c r="CO43" s="197"/>
      <c r="CP43" s="197"/>
      <c r="CQ43" s="197"/>
      <c r="CR43" s="197"/>
      <c r="CS43" s="197"/>
      <c r="CT43" s="197"/>
      <c r="CU43" s="197"/>
      <c r="CV43" s="197"/>
      <c r="CW43" s="197"/>
      <c r="CX43" s="197"/>
      <c r="CY43" s="197"/>
      <c r="CZ43" s="197"/>
      <c r="DA43" s="197"/>
      <c r="DB43" s="197"/>
      <c r="DC43" s="197"/>
      <c r="DD43" s="197"/>
      <c r="DE43" s="197"/>
      <c r="DF43" s="197"/>
      <c r="DG43" s="197"/>
      <c r="DH43" s="197"/>
      <c r="DI43" s="197"/>
      <c r="DJ43" s="197"/>
      <c r="DK43" s="197"/>
      <c r="DL43" s="197"/>
      <c r="DM43" s="197"/>
      <c r="DN43" s="197"/>
      <c r="DO43" s="197"/>
      <c r="DP43" s="197"/>
      <c r="DQ43" s="197"/>
      <c r="DR43" s="197"/>
      <c r="DS43" s="197"/>
      <c r="DT43" s="197"/>
      <c r="DU43" s="197"/>
      <c r="DV43" s="197"/>
      <c r="DW43" s="197"/>
      <c r="DX43" s="197"/>
      <c r="DY43" s="197"/>
      <c r="DZ43" s="197"/>
      <c r="EA43" s="197"/>
      <c r="EB43" s="197"/>
      <c r="EC43" s="197"/>
      <c r="ED43" s="197"/>
      <c r="EE43" s="197"/>
      <c r="EF43" s="197"/>
      <c r="EG43" s="197"/>
      <c r="EH43" s="197"/>
      <c r="EI43" s="197"/>
      <c r="EJ43" s="197"/>
      <c r="EK43" s="197"/>
      <c r="EL43" s="197"/>
      <c r="EM43" s="197"/>
      <c r="EN43" s="197"/>
      <c r="EO43" s="197"/>
      <c r="EP43" s="197"/>
      <c r="EQ43" s="197"/>
      <c r="ER43" s="197"/>
      <c r="ES43" s="197"/>
      <c r="ET43" s="197"/>
      <c r="EU43" s="197"/>
      <c r="EV43" s="197"/>
      <c r="EW43" s="197"/>
      <c r="EX43" s="197"/>
      <c r="EY43" s="197"/>
      <c r="EZ43" s="197"/>
      <c r="FA43" s="197"/>
      <c r="FB43" s="197"/>
      <c r="FC43" s="197"/>
      <c r="FD43" s="197"/>
      <c r="FE43" s="197"/>
      <c r="FF43" s="197"/>
      <c r="FG43" s="197"/>
      <c r="FH43" s="197"/>
      <c r="FI43" s="197"/>
      <c r="FJ43" s="197"/>
      <c r="FK43" s="197"/>
      <c r="FL43" s="197"/>
      <c r="FM43" s="197"/>
      <c r="FN43" s="197"/>
      <c r="FO43" s="197"/>
      <c r="FP43" s="197"/>
      <c r="FQ43" s="197"/>
      <c r="FR43" s="197"/>
      <c r="FS43" s="197"/>
      <c r="FT43" s="197"/>
      <c r="FU43" s="197"/>
      <c r="FV43" s="197"/>
      <c r="FW43" s="197"/>
      <c r="FX43" s="197"/>
      <c r="FY43" s="197"/>
      <c r="FZ43" s="197"/>
      <c r="GA43" s="197"/>
      <c r="GB43" s="197"/>
      <c r="GC43" s="197"/>
      <c r="GD43" s="197"/>
      <c r="GE43" s="197"/>
      <c r="GF43" s="197"/>
      <c r="GG43" s="197"/>
      <c r="GH43" s="197"/>
      <c r="GI43" s="197"/>
      <c r="GJ43" s="197"/>
      <c r="GK43" s="197"/>
      <c r="GL43" s="197"/>
      <c r="GM43" s="197"/>
      <c r="GN43" s="197"/>
      <c r="GO43" s="197"/>
      <c r="GP43" s="197"/>
      <c r="GQ43" s="197"/>
      <c r="GR43" s="197"/>
      <c r="GS43" s="197"/>
      <c r="GT43" s="197"/>
      <c r="GU43" s="197"/>
      <c r="GV43" s="197"/>
      <c r="GW43" s="197"/>
      <c r="GX43" s="197"/>
      <c r="GY43" s="197"/>
      <c r="GZ43" s="197"/>
      <c r="HA43" s="197"/>
      <c r="HB43" s="197"/>
      <c r="HC43" s="197"/>
      <c r="HD43" s="197"/>
      <c r="HE43" s="197"/>
      <c r="HF43" s="197"/>
      <c r="HG43" s="197"/>
      <c r="HH43" s="197"/>
      <c r="HI43" s="197"/>
      <c r="HJ43" s="197"/>
      <c r="HK43" s="197"/>
      <c r="HL43" s="197"/>
      <c r="HM43" s="197"/>
      <c r="HN43" s="197"/>
      <c r="HO43" s="197"/>
      <c r="HP43" s="197"/>
      <c r="HQ43" s="197"/>
      <c r="HR43" s="197"/>
      <c r="HS43" s="197"/>
      <c r="HT43" s="197"/>
      <c r="HU43" s="197"/>
      <c r="HV43" s="197"/>
      <c r="HW43" s="197"/>
      <c r="HX43" s="197"/>
      <c r="HY43" s="197"/>
      <c r="HZ43" s="197"/>
      <c r="IA43" s="197"/>
      <c r="IB43" s="197"/>
      <c r="IC43" s="197"/>
      <c r="ID43" s="197"/>
      <c r="IE43" s="197"/>
      <c r="IF43" s="197"/>
      <c r="IG43" s="197"/>
      <c r="IH43" s="197"/>
      <c r="II43" s="197"/>
      <c r="IJ43" s="197"/>
      <c r="IK43" s="197"/>
      <c r="IL43" s="197"/>
      <c r="IM43" s="197"/>
      <c r="IN43" s="197"/>
      <c r="IO43" s="197"/>
      <c r="IP43" s="197"/>
      <c r="IQ43" s="197"/>
      <c r="IR43" s="197"/>
    </row>
    <row r="44" spans="1:252" ht="15">
      <c r="A44" s="195"/>
      <c r="B44" s="195"/>
      <c r="C44" s="195"/>
      <c r="D44" s="219"/>
      <c r="E44" s="219"/>
      <c r="F44" s="219"/>
      <c r="G44" s="219"/>
      <c r="H44" s="219"/>
      <c r="I44" s="195"/>
      <c r="J44" s="195"/>
      <c r="K44" s="197"/>
      <c r="L44" s="197"/>
      <c r="M44" s="197"/>
      <c r="N44" s="197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  <c r="AA44" s="197"/>
      <c r="AB44" s="197"/>
      <c r="AC44" s="197"/>
      <c r="AD44" s="197"/>
      <c r="AE44" s="197"/>
      <c r="AF44" s="197"/>
      <c r="AG44" s="197"/>
      <c r="AH44" s="197"/>
      <c r="AI44" s="197"/>
      <c r="AJ44" s="197"/>
      <c r="AK44" s="197"/>
      <c r="AL44" s="197"/>
      <c r="AM44" s="197"/>
      <c r="AN44" s="197"/>
      <c r="AO44" s="197"/>
      <c r="AP44" s="197"/>
      <c r="AQ44" s="197"/>
      <c r="AR44" s="197"/>
      <c r="AS44" s="197"/>
      <c r="AT44" s="197"/>
      <c r="AU44" s="197"/>
      <c r="AV44" s="197"/>
      <c r="AW44" s="197"/>
      <c r="AX44" s="197"/>
      <c r="AY44" s="197"/>
      <c r="AZ44" s="197"/>
      <c r="BA44" s="197"/>
      <c r="BB44" s="197"/>
      <c r="BC44" s="197"/>
      <c r="BD44" s="197"/>
      <c r="BE44" s="197"/>
      <c r="BF44" s="197"/>
      <c r="BG44" s="197"/>
      <c r="BH44" s="197"/>
      <c r="BI44" s="197"/>
      <c r="BJ44" s="197"/>
      <c r="BK44" s="197"/>
      <c r="BL44" s="197"/>
      <c r="BM44" s="197"/>
      <c r="BN44" s="197"/>
      <c r="BO44" s="197"/>
      <c r="BP44" s="197"/>
      <c r="BQ44" s="197"/>
      <c r="BR44" s="197"/>
      <c r="BS44" s="197"/>
      <c r="BT44" s="197"/>
      <c r="BU44" s="197"/>
      <c r="BV44" s="197"/>
      <c r="BW44" s="197"/>
      <c r="BX44" s="197"/>
      <c r="BY44" s="197"/>
      <c r="BZ44" s="197"/>
      <c r="CA44" s="197"/>
      <c r="CB44" s="197"/>
      <c r="CC44" s="197"/>
      <c r="CD44" s="197"/>
      <c r="CE44" s="197"/>
      <c r="CF44" s="197"/>
      <c r="CG44" s="197"/>
      <c r="CH44" s="197"/>
      <c r="CI44" s="197"/>
      <c r="CJ44" s="197"/>
      <c r="CK44" s="197"/>
      <c r="CL44" s="197"/>
      <c r="CM44" s="197"/>
      <c r="CN44" s="197"/>
      <c r="CO44" s="197"/>
      <c r="CP44" s="197"/>
      <c r="CQ44" s="197"/>
      <c r="CR44" s="197"/>
      <c r="CS44" s="197"/>
      <c r="CT44" s="197"/>
      <c r="CU44" s="197"/>
      <c r="CV44" s="197"/>
      <c r="CW44" s="197"/>
      <c r="CX44" s="197"/>
      <c r="CY44" s="197"/>
      <c r="CZ44" s="197"/>
      <c r="DA44" s="197"/>
      <c r="DB44" s="197"/>
      <c r="DC44" s="197"/>
      <c r="DD44" s="197"/>
      <c r="DE44" s="197"/>
      <c r="DF44" s="197"/>
      <c r="DG44" s="197"/>
      <c r="DH44" s="197"/>
      <c r="DI44" s="197"/>
      <c r="DJ44" s="197"/>
      <c r="DK44" s="197"/>
      <c r="DL44" s="197"/>
      <c r="DM44" s="197"/>
      <c r="DN44" s="197"/>
      <c r="DO44" s="197"/>
      <c r="DP44" s="197"/>
      <c r="DQ44" s="197"/>
      <c r="DR44" s="197"/>
      <c r="DS44" s="197"/>
      <c r="DT44" s="197"/>
      <c r="DU44" s="197"/>
      <c r="DV44" s="197"/>
      <c r="DW44" s="197"/>
      <c r="DX44" s="197"/>
      <c r="DY44" s="197"/>
      <c r="DZ44" s="197"/>
      <c r="EA44" s="197"/>
      <c r="EB44" s="197"/>
      <c r="EC44" s="197"/>
      <c r="ED44" s="197"/>
      <c r="EE44" s="197"/>
      <c r="EF44" s="197"/>
      <c r="EG44" s="197"/>
      <c r="EH44" s="197"/>
      <c r="EI44" s="197"/>
      <c r="EJ44" s="197"/>
      <c r="EK44" s="197"/>
      <c r="EL44" s="197"/>
      <c r="EM44" s="197"/>
      <c r="EN44" s="197"/>
      <c r="EO44" s="197"/>
      <c r="EP44" s="197"/>
      <c r="EQ44" s="197"/>
      <c r="ER44" s="197"/>
      <c r="ES44" s="197"/>
      <c r="ET44" s="197"/>
      <c r="EU44" s="197"/>
      <c r="EV44" s="197"/>
      <c r="EW44" s="197"/>
      <c r="EX44" s="197"/>
      <c r="EY44" s="197"/>
      <c r="EZ44" s="197"/>
      <c r="FA44" s="197"/>
      <c r="FB44" s="197"/>
      <c r="FC44" s="197"/>
      <c r="FD44" s="197"/>
      <c r="FE44" s="197"/>
      <c r="FF44" s="197"/>
      <c r="FG44" s="197"/>
      <c r="FH44" s="197"/>
      <c r="FI44" s="197"/>
      <c r="FJ44" s="197"/>
      <c r="FK44" s="197"/>
      <c r="FL44" s="197"/>
      <c r="FM44" s="197"/>
      <c r="FN44" s="197"/>
      <c r="FO44" s="197"/>
      <c r="FP44" s="197"/>
      <c r="FQ44" s="197"/>
      <c r="FR44" s="197"/>
      <c r="FS44" s="197"/>
      <c r="FT44" s="197"/>
      <c r="FU44" s="197"/>
      <c r="FV44" s="197"/>
      <c r="FW44" s="197"/>
      <c r="FX44" s="197"/>
      <c r="FY44" s="197"/>
      <c r="FZ44" s="197"/>
      <c r="GA44" s="197"/>
      <c r="GB44" s="197"/>
      <c r="GC44" s="197"/>
      <c r="GD44" s="197"/>
      <c r="GE44" s="197"/>
      <c r="GF44" s="197"/>
      <c r="GG44" s="197"/>
      <c r="GH44" s="197"/>
      <c r="GI44" s="197"/>
      <c r="GJ44" s="197"/>
      <c r="GK44" s="197"/>
      <c r="GL44" s="197"/>
      <c r="GM44" s="197"/>
      <c r="GN44" s="197"/>
      <c r="GO44" s="197"/>
      <c r="GP44" s="197"/>
      <c r="GQ44" s="197"/>
      <c r="GR44" s="197"/>
      <c r="GS44" s="197"/>
      <c r="GT44" s="197"/>
      <c r="GU44" s="197"/>
      <c r="GV44" s="197"/>
      <c r="GW44" s="197"/>
      <c r="GX44" s="197"/>
      <c r="GY44" s="197"/>
      <c r="GZ44" s="197"/>
      <c r="HA44" s="197"/>
      <c r="HB44" s="197"/>
      <c r="HC44" s="197"/>
      <c r="HD44" s="197"/>
      <c r="HE44" s="197"/>
      <c r="HF44" s="197"/>
      <c r="HG44" s="197"/>
      <c r="HH44" s="197"/>
      <c r="HI44" s="197"/>
      <c r="HJ44" s="197"/>
      <c r="HK44" s="197"/>
      <c r="HL44" s="197"/>
      <c r="HM44" s="197"/>
      <c r="HN44" s="197"/>
      <c r="HO44" s="197"/>
      <c r="HP44" s="197"/>
      <c r="HQ44" s="197"/>
      <c r="HR44" s="197"/>
      <c r="HS44" s="197"/>
      <c r="HT44" s="197"/>
      <c r="HU44" s="197"/>
      <c r="HV44" s="197"/>
      <c r="HW44" s="197"/>
      <c r="HX44" s="197"/>
      <c r="HY44" s="197"/>
      <c r="HZ44" s="197"/>
      <c r="IA44" s="197"/>
      <c r="IB44" s="197"/>
      <c r="IC44" s="197"/>
      <c r="ID44" s="197"/>
      <c r="IE44" s="197"/>
      <c r="IF44" s="197"/>
      <c r="IG44" s="197"/>
      <c r="IH44" s="197"/>
      <c r="II44" s="197"/>
      <c r="IJ44" s="197"/>
      <c r="IK44" s="197"/>
      <c r="IL44" s="197"/>
      <c r="IM44" s="197"/>
      <c r="IN44" s="197"/>
      <c r="IO44" s="197"/>
      <c r="IP44" s="197"/>
      <c r="IQ44" s="197"/>
      <c r="IR44" s="197"/>
    </row>
    <row r="45" spans="1:252" s="216" customFormat="1" ht="14.5">
      <c r="A45" s="198"/>
      <c r="B45" s="237" t="s">
        <v>344</v>
      </c>
      <c r="C45" s="236"/>
      <c r="D45" s="238">
        <f>'Cashflow Ann'!J2</f>
        <v>45412</v>
      </c>
      <c r="E45" s="238">
        <f>'Cashflow Ann'!K2</f>
        <v>45777</v>
      </c>
      <c r="F45" s="238">
        <f>'Cashflow Ann'!L2</f>
        <v>46142</v>
      </c>
      <c r="G45" s="238">
        <f>'Cashflow Ann'!M2</f>
        <v>46507</v>
      </c>
      <c r="H45" s="238">
        <f>'Cashflow Ann'!N2</f>
        <v>46873</v>
      </c>
      <c r="I45" s="198"/>
      <c r="J45" s="198"/>
      <c r="K45" s="198"/>
      <c r="L45" s="198"/>
      <c r="M45" s="198"/>
      <c r="N45" s="198"/>
      <c r="O45" s="198"/>
      <c r="P45" s="198"/>
      <c r="Q45" s="198"/>
      <c r="R45" s="198"/>
      <c r="S45" s="198"/>
      <c r="T45" s="198"/>
      <c r="U45" s="198"/>
      <c r="V45" s="198"/>
      <c r="W45" s="198"/>
      <c r="X45" s="198"/>
      <c r="Y45" s="198"/>
      <c r="Z45" s="198"/>
      <c r="AA45" s="198"/>
      <c r="AB45" s="198"/>
      <c r="AC45" s="198"/>
      <c r="AD45" s="198"/>
      <c r="AE45" s="198"/>
      <c r="AF45" s="198"/>
      <c r="AG45" s="198"/>
      <c r="AH45" s="198"/>
      <c r="AI45" s="198"/>
      <c r="AJ45" s="198"/>
      <c r="AK45" s="198"/>
      <c r="AL45" s="198"/>
      <c r="AM45" s="198"/>
      <c r="AN45" s="198"/>
      <c r="AO45" s="198"/>
      <c r="AP45" s="198"/>
      <c r="AQ45" s="198"/>
      <c r="AR45" s="198"/>
      <c r="AS45" s="198"/>
      <c r="AT45" s="198"/>
      <c r="AU45" s="198"/>
      <c r="AV45" s="198"/>
      <c r="AW45" s="198"/>
      <c r="AX45" s="198"/>
      <c r="AY45" s="198"/>
      <c r="AZ45" s="198"/>
      <c r="BA45" s="198"/>
      <c r="BB45" s="198"/>
      <c r="BC45" s="198"/>
      <c r="BD45" s="198"/>
      <c r="BE45" s="198"/>
      <c r="BF45" s="198"/>
      <c r="BG45" s="198"/>
      <c r="BH45" s="198"/>
      <c r="BI45" s="198"/>
      <c r="BJ45" s="198"/>
      <c r="BK45" s="198"/>
      <c r="BL45" s="198"/>
      <c r="BM45" s="198"/>
      <c r="BN45" s="198"/>
      <c r="BO45" s="198"/>
      <c r="BP45" s="198"/>
      <c r="BQ45" s="198"/>
      <c r="BR45" s="198"/>
      <c r="BS45" s="198"/>
      <c r="BT45" s="198"/>
      <c r="BU45" s="198"/>
      <c r="BV45" s="198"/>
      <c r="BW45" s="198"/>
      <c r="BX45" s="198"/>
      <c r="BY45" s="198"/>
      <c r="BZ45" s="198"/>
      <c r="CA45" s="198"/>
      <c r="CB45" s="198"/>
      <c r="CC45" s="198"/>
      <c r="CD45" s="198"/>
      <c r="CE45" s="198"/>
      <c r="CF45" s="198"/>
      <c r="CG45" s="198"/>
      <c r="CH45" s="198"/>
      <c r="CI45" s="198"/>
      <c r="CJ45" s="198"/>
      <c r="CK45" s="198"/>
      <c r="CL45" s="198"/>
      <c r="CM45" s="198"/>
      <c r="CN45" s="198"/>
      <c r="CO45" s="198"/>
      <c r="CP45" s="198"/>
      <c r="CQ45" s="198"/>
      <c r="CR45" s="198"/>
      <c r="CS45" s="198"/>
      <c r="CT45" s="198"/>
      <c r="CU45" s="198"/>
      <c r="CV45" s="198"/>
      <c r="CW45" s="198"/>
      <c r="CX45" s="198"/>
      <c r="CY45" s="198"/>
      <c r="CZ45" s="198"/>
      <c r="DA45" s="198"/>
      <c r="DB45" s="198"/>
      <c r="DC45" s="198"/>
      <c r="DD45" s="198"/>
      <c r="DE45" s="198"/>
      <c r="DF45" s="198"/>
      <c r="DG45" s="198"/>
      <c r="DH45" s="198"/>
      <c r="DI45" s="198"/>
      <c r="DJ45" s="198"/>
      <c r="DK45" s="198"/>
      <c r="DL45" s="198"/>
      <c r="DM45" s="198"/>
      <c r="DN45" s="198"/>
      <c r="DO45" s="198"/>
      <c r="DP45" s="198"/>
      <c r="DQ45" s="198"/>
      <c r="DR45" s="198"/>
      <c r="DS45" s="198"/>
      <c r="DT45" s="198"/>
      <c r="DU45" s="198"/>
      <c r="DV45" s="198"/>
      <c r="DW45" s="198"/>
      <c r="DX45" s="198"/>
      <c r="DY45" s="198"/>
      <c r="DZ45" s="198"/>
      <c r="EA45" s="198"/>
      <c r="EB45" s="198"/>
      <c r="EC45" s="198"/>
      <c r="ED45" s="198"/>
      <c r="EE45" s="198"/>
      <c r="EF45" s="198"/>
      <c r="EG45" s="198"/>
      <c r="EH45" s="198"/>
      <c r="EI45" s="198"/>
      <c r="EJ45" s="198"/>
      <c r="EK45" s="198"/>
      <c r="EL45" s="198"/>
      <c r="EM45" s="198"/>
      <c r="EN45" s="198"/>
      <c r="EO45" s="198"/>
      <c r="EP45" s="198"/>
      <c r="EQ45" s="198"/>
      <c r="ER45" s="198"/>
      <c r="ES45" s="198"/>
      <c r="ET45" s="198"/>
      <c r="EU45" s="198"/>
      <c r="EV45" s="198"/>
      <c r="EW45" s="198"/>
      <c r="EX45" s="198"/>
      <c r="EY45" s="198"/>
      <c r="EZ45" s="198"/>
      <c r="FA45" s="198"/>
      <c r="FB45" s="198"/>
      <c r="FC45" s="198"/>
      <c r="FD45" s="198"/>
      <c r="FE45" s="198"/>
      <c r="FF45" s="198"/>
      <c r="FG45" s="198"/>
      <c r="FH45" s="198"/>
      <c r="FI45" s="198"/>
      <c r="FJ45" s="198"/>
      <c r="FK45" s="198"/>
      <c r="FL45" s="198"/>
      <c r="FM45" s="198"/>
      <c r="FN45" s="198"/>
      <c r="FO45" s="198"/>
      <c r="FP45" s="198"/>
      <c r="FQ45" s="198"/>
      <c r="FR45" s="198"/>
      <c r="FS45" s="198"/>
      <c r="FT45" s="198"/>
      <c r="FU45" s="198"/>
      <c r="FV45" s="198"/>
      <c r="FW45" s="198"/>
      <c r="FX45" s="198"/>
      <c r="FY45" s="198"/>
      <c r="FZ45" s="198"/>
      <c r="GA45" s="198"/>
      <c r="GB45" s="198"/>
      <c r="GC45" s="198"/>
      <c r="GD45" s="198"/>
      <c r="GE45" s="198"/>
      <c r="GF45" s="198"/>
      <c r="GG45" s="198"/>
      <c r="GH45" s="198"/>
      <c r="GI45" s="198"/>
      <c r="GJ45" s="198"/>
      <c r="GK45" s="198"/>
      <c r="GL45" s="198"/>
      <c r="GM45" s="198"/>
      <c r="GN45" s="198"/>
      <c r="GO45" s="198"/>
      <c r="GP45" s="198"/>
      <c r="GQ45" s="198"/>
      <c r="GR45" s="198"/>
      <c r="GS45" s="198"/>
      <c r="GT45" s="198"/>
      <c r="GU45" s="198"/>
      <c r="GV45" s="198"/>
      <c r="GW45" s="198"/>
      <c r="GX45" s="198"/>
      <c r="GY45" s="198"/>
      <c r="GZ45" s="198"/>
      <c r="HA45" s="198"/>
      <c r="HB45" s="198"/>
      <c r="HC45" s="198"/>
      <c r="HD45" s="198"/>
      <c r="HE45" s="198"/>
      <c r="HF45" s="198"/>
      <c r="HG45" s="198"/>
      <c r="HH45" s="198"/>
      <c r="HI45" s="198"/>
      <c r="HJ45" s="198"/>
      <c r="HK45" s="198"/>
      <c r="HL45" s="198"/>
      <c r="HM45" s="198"/>
      <c r="HN45" s="198"/>
      <c r="HO45" s="198"/>
      <c r="HP45" s="198"/>
      <c r="HQ45" s="198"/>
      <c r="HR45" s="198"/>
      <c r="HS45" s="198"/>
      <c r="HT45" s="198"/>
      <c r="HU45" s="198"/>
      <c r="HV45" s="198"/>
      <c r="HW45" s="198"/>
      <c r="HX45" s="198"/>
      <c r="HY45" s="198"/>
      <c r="HZ45" s="198"/>
      <c r="IA45" s="198"/>
      <c r="IB45" s="198"/>
      <c r="IC45" s="198"/>
      <c r="ID45" s="198"/>
      <c r="IE45" s="198"/>
      <c r="IF45" s="198"/>
      <c r="IG45" s="198"/>
      <c r="IH45" s="198"/>
      <c r="II45" s="198"/>
      <c r="IJ45" s="198"/>
      <c r="IK45" s="198"/>
      <c r="IL45" s="198"/>
      <c r="IM45" s="198"/>
      <c r="IN45" s="198"/>
      <c r="IO45" s="198"/>
      <c r="IP45" s="198"/>
      <c r="IQ45" s="198"/>
      <c r="IR45" s="198"/>
    </row>
    <row r="46" spans="1:252" ht="15">
      <c r="A46" s="195"/>
      <c r="B46" s="195"/>
      <c r="C46" s="195"/>
      <c r="D46" s="219"/>
      <c r="E46" s="219"/>
      <c r="F46" s="219"/>
      <c r="G46" s="219"/>
      <c r="H46" s="219"/>
      <c r="I46" s="195"/>
      <c r="J46" s="195"/>
      <c r="K46" s="197"/>
      <c r="L46" s="197"/>
      <c r="M46" s="197"/>
      <c r="N46" s="197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  <c r="AA46" s="197"/>
      <c r="AB46" s="197"/>
      <c r="AC46" s="197"/>
      <c r="AD46" s="197"/>
      <c r="AE46" s="197"/>
      <c r="AF46" s="197"/>
      <c r="AG46" s="197"/>
      <c r="AH46" s="197"/>
      <c r="AI46" s="197"/>
      <c r="AJ46" s="197"/>
      <c r="AK46" s="197"/>
      <c r="AL46" s="197"/>
      <c r="AM46" s="197"/>
      <c r="AN46" s="197"/>
      <c r="AO46" s="197"/>
      <c r="AP46" s="197"/>
      <c r="AQ46" s="197"/>
      <c r="AR46" s="197"/>
      <c r="AS46" s="197"/>
      <c r="AT46" s="197"/>
      <c r="AU46" s="197"/>
      <c r="AV46" s="197"/>
      <c r="AW46" s="197"/>
      <c r="AX46" s="197"/>
      <c r="AY46" s="197"/>
      <c r="AZ46" s="197"/>
      <c r="BA46" s="197"/>
      <c r="BB46" s="197"/>
      <c r="BC46" s="197"/>
      <c r="BD46" s="197"/>
      <c r="BE46" s="197"/>
      <c r="BF46" s="197"/>
      <c r="BG46" s="197"/>
      <c r="BH46" s="197"/>
      <c r="BI46" s="197"/>
      <c r="BJ46" s="197"/>
      <c r="BK46" s="197"/>
      <c r="BL46" s="197"/>
      <c r="BM46" s="197"/>
      <c r="BN46" s="197"/>
      <c r="BO46" s="197"/>
      <c r="BP46" s="197"/>
      <c r="BQ46" s="197"/>
      <c r="BR46" s="197"/>
      <c r="BS46" s="197"/>
      <c r="BT46" s="197"/>
      <c r="BU46" s="197"/>
      <c r="BV46" s="197"/>
      <c r="BW46" s="197"/>
      <c r="BX46" s="197"/>
      <c r="BY46" s="197"/>
      <c r="BZ46" s="197"/>
      <c r="CA46" s="197"/>
      <c r="CB46" s="197"/>
      <c r="CC46" s="197"/>
      <c r="CD46" s="197"/>
      <c r="CE46" s="197"/>
      <c r="CF46" s="197"/>
      <c r="CG46" s="197"/>
      <c r="CH46" s="197"/>
      <c r="CI46" s="197"/>
      <c r="CJ46" s="197"/>
      <c r="CK46" s="197"/>
      <c r="CL46" s="197"/>
      <c r="CM46" s="197"/>
      <c r="CN46" s="197"/>
      <c r="CO46" s="197"/>
      <c r="CP46" s="197"/>
      <c r="CQ46" s="197"/>
      <c r="CR46" s="197"/>
      <c r="CS46" s="197"/>
      <c r="CT46" s="197"/>
      <c r="CU46" s="197"/>
      <c r="CV46" s="197"/>
      <c r="CW46" s="197"/>
      <c r="CX46" s="197"/>
      <c r="CY46" s="197"/>
      <c r="CZ46" s="197"/>
      <c r="DA46" s="197"/>
      <c r="DB46" s="197"/>
      <c r="DC46" s="197"/>
      <c r="DD46" s="197"/>
      <c r="DE46" s="197"/>
      <c r="DF46" s="197"/>
      <c r="DG46" s="197"/>
      <c r="DH46" s="197"/>
      <c r="DI46" s="197"/>
      <c r="DJ46" s="197"/>
      <c r="DK46" s="197"/>
      <c r="DL46" s="197"/>
      <c r="DM46" s="197"/>
      <c r="DN46" s="197"/>
      <c r="DO46" s="197"/>
      <c r="DP46" s="197"/>
      <c r="DQ46" s="197"/>
      <c r="DR46" s="197"/>
      <c r="DS46" s="197"/>
      <c r="DT46" s="197"/>
      <c r="DU46" s="197"/>
      <c r="DV46" s="197"/>
      <c r="DW46" s="197"/>
      <c r="DX46" s="197"/>
      <c r="DY46" s="197"/>
      <c r="DZ46" s="197"/>
      <c r="EA46" s="197"/>
      <c r="EB46" s="197"/>
      <c r="EC46" s="197"/>
      <c r="ED46" s="197"/>
      <c r="EE46" s="197"/>
      <c r="EF46" s="197"/>
      <c r="EG46" s="197"/>
      <c r="EH46" s="197"/>
      <c r="EI46" s="197"/>
      <c r="EJ46" s="197"/>
      <c r="EK46" s="197"/>
      <c r="EL46" s="197"/>
      <c r="EM46" s="197"/>
      <c r="EN46" s="197"/>
      <c r="EO46" s="197"/>
      <c r="EP46" s="197"/>
      <c r="EQ46" s="197"/>
      <c r="ER46" s="197"/>
      <c r="ES46" s="197"/>
      <c r="ET46" s="197"/>
      <c r="EU46" s="197"/>
      <c r="EV46" s="197"/>
      <c r="EW46" s="197"/>
      <c r="EX46" s="197"/>
      <c r="EY46" s="197"/>
      <c r="EZ46" s="197"/>
      <c r="FA46" s="197"/>
      <c r="FB46" s="197"/>
      <c r="FC46" s="197"/>
      <c r="FD46" s="197"/>
      <c r="FE46" s="197"/>
      <c r="FF46" s="197"/>
      <c r="FG46" s="197"/>
      <c r="FH46" s="197"/>
      <c r="FI46" s="197"/>
      <c r="FJ46" s="197"/>
      <c r="FK46" s="197"/>
      <c r="FL46" s="197"/>
      <c r="FM46" s="197"/>
      <c r="FN46" s="197"/>
      <c r="FO46" s="197"/>
      <c r="FP46" s="197"/>
      <c r="FQ46" s="197"/>
      <c r="FR46" s="197"/>
      <c r="FS46" s="197"/>
      <c r="FT46" s="197"/>
      <c r="FU46" s="197"/>
      <c r="FV46" s="197"/>
      <c r="FW46" s="197"/>
      <c r="FX46" s="197"/>
      <c r="FY46" s="197"/>
      <c r="FZ46" s="197"/>
      <c r="GA46" s="197"/>
      <c r="GB46" s="197"/>
      <c r="GC46" s="197"/>
      <c r="GD46" s="197"/>
      <c r="GE46" s="197"/>
      <c r="GF46" s="197"/>
      <c r="GG46" s="197"/>
      <c r="GH46" s="197"/>
      <c r="GI46" s="197"/>
      <c r="GJ46" s="197"/>
      <c r="GK46" s="197"/>
      <c r="GL46" s="197"/>
      <c r="GM46" s="197"/>
      <c r="GN46" s="197"/>
      <c r="GO46" s="197"/>
      <c r="GP46" s="197"/>
      <c r="GQ46" s="197"/>
      <c r="GR46" s="197"/>
      <c r="GS46" s="197"/>
      <c r="GT46" s="197"/>
      <c r="GU46" s="197"/>
      <c r="GV46" s="197"/>
      <c r="GW46" s="197"/>
      <c r="GX46" s="197"/>
      <c r="GY46" s="197"/>
      <c r="GZ46" s="197"/>
      <c r="HA46" s="197"/>
      <c r="HB46" s="197"/>
      <c r="HC46" s="197"/>
      <c r="HD46" s="197"/>
      <c r="HE46" s="197"/>
      <c r="HF46" s="197"/>
      <c r="HG46" s="197"/>
      <c r="HH46" s="197"/>
      <c r="HI46" s="197"/>
      <c r="HJ46" s="197"/>
      <c r="HK46" s="197"/>
      <c r="HL46" s="197"/>
      <c r="HM46" s="197"/>
      <c r="HN46" s="197"/>
      <c r="HO46" s="197"/>
      <c r="HP46" s="197"/>
      <c r="HQ46" s="197"/>
      <c r="HR46" s="197"/>
      <c r="HS46" s="197"/>
      <c r="HT46" s="197"/>
      <c r="HU46" s="197"/>
      <c r="HV46" s="197"/>
      <c r="HW46" s="197"/>
      <c r="HX46" s="197"/>
      <c r="HY46" s="197"/>
      <c r="HZ46" s="197"/>
      <c r="IA46" s="197"/>
      <c r="IB46" s="197"/>
      <c r="IC46" s="197"/>
      <c r="ID46" s="197"/>
      <c r="IE46" s="197"/>
      <c r="IF46" s="197"/>
      <c r="IG46" s="197"/>
      <c r="IH46" s="197"/>
      <c r="II46" s="197"/>
      <c r="IJ46" s="197"/>
      <c r="IK46" s="197"/>
      <c r="IL46" s="197"/>
      <c r="IM46" s="197"/>
      <c r="IN46" s="197"/>
      <c r="IO46" s="197"/>
      <c r="IP46" s="197"/>
      <c r="IQ46" s="197"/>
      <c r="IR46" s="197"/>
    </row>
    <row r="47" spans="1:252" ht="15">
      <c r="A47" s="195"/>
      <c r="B47" s="215" t="str">
        <f>'Cashflow Ann'!E8</f>
        <v>Cash in from Sales</v>
      </c>
      <c r="C47" s="195"/>
      <c r="D47" s="218">
        <f ca="1">'Cashflow Ann'!J8</f>
        <v>2520000</v>
      </c>
      <c r="E47" s="218">
        <f ca="1">'Cashflow Ann'!K8</f>
        <v>7560000</v>
      </c>
      <c r="F47" s="218">
        <f ca="1">'Cashflow Ann'!L8</f>
        <v>20909302.509546261</v>
      </c>
      <c r="G47" s="218">
        <f ca="1">'Cashflow Ann'!M8</f>
        <v>45276345.976550803</v>
      </c>
      <c r="H47" s="218">
        <f ca="1">'Cashflow Ann'!N8</f>
        <v>90911555.125097737</v>
      </c>
      <c r="I47" s="195"/>
      <c r="J47" s="195"/>
      <c r="K47" s="197"/>
      <c r="L47" s="197"/>
      <c r="M47" s="197"/>
      <c r="N47" s="197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  <c r="AA47" s="197"/>
      <c r="AB47" s="197"/>
      <c r="AC47" s="197"/>
      <c r="AD47" s="197"/>
      <c r="AE47" s="197"/>
      <c r="AF47" s="197"/>
      <c r="AG47" s="197"/>
      <c r="AH47" s="197"/>
      <c r="AI47" s="197"/>
      <c r="AJ47" s="197"/>
      <c r="AK47" s="197"/>
      <c r="AL47" s="197"/>
      <c r="AM47" s="197"/>
      <c r="AN47" s="197"/>
      <c r="AO47" s="197"/>
      <c r="AP47" s="197"/>
      <c r="AQ47" s="197"/>
      <c r="AR47" s="197"/>
      <c r="AS47" s="197"/>
      <c r="AT47" s="197"/>
      <c r="AU47" s="197"/>
      <c r="AV47" s="197"/>
      <c r="AW47" s="197"/>
      <c r="AX47" s="197"/>
      <c r="AY47" s="197"/>
      <c r="AZ47" s="197"/>
      <c r="BA47" s="197"/>
      <c r="BB47" s="197"/>
      <c r="BC47" s="197"/>
      <c r="BD47" s="197"/>
      <c r="BE47" s="197"/>
      <c r="BF47" s="197"/>
      <c r="BG47" s="197"/>
      <c r="BH47" s="197"/>
      <c r="BI47" s="197"/>
      <c r="BJ47" s="197"/>
      <c r="BK47" s="197"/>
      <c r="BL47" s="197"/>
      <c r="BM47" s="197"/>
      <c r="BN47" s="197"/>
      <c r="BO47" s="197"/>
      <c r="BP47" s="197"/>
      <c r="BQ47" s="197"/>
      <c r="BR47" s="197"/>
      <c r="BS47" s="197"/>
      <c r="BT47" s="197"/>
      <c r="BU47" s="197"/>
      <c r="BV47" s="197"/>
      <c r="BW47" s="197"/>
      <c r="BX47" s="197"/>
      <c r="BY47" s="197"/>
      <c r="BZ47" s="197"/>
      <c r="CA47" s="197"/>
      <c r="CB47" s="197"/>
      <c r="CC47" s="197"/>
      <c r="CD47" s="197"/>
      <c r="CE47" s="197"/>
      <c r="CF47" s="197"/>
      <c r="CG47" s="197"/>
      <c r="CH47" s="197"/>
      <c r="CI47" s="197"/>
      <c r="CJ47" s="197"/>
      <c r="CK47" s="197"/>
      <c r="CL47" s="197"/>
      <c r="CM47" s="197"/>
      <c r="CN47" s="197"/>
      <c r="CO47" s="197"/>
      <c r="CP47" s="197"/>
      <c r="CQ47" s="197"/>
      <c r="CR47" s="197"/>
      <c r="CS47" s="197"/>
      <c r="CT47" s="197"/>
      <c r="CU47" s="197"/>
      <c r="CV47" s="197"/>
      <c r="CW47" s="197"/>
      <c r="CX47" s="197"/>
      <c r="CY47" s="197"/>
      <c r="CZ47" s="197"/>
      <c r="DA47" s="197"/>
      <c r="DB47" s="197"/>
      <c r="DC47" s="197"/>
      <c r="DD47" s="197"/>
      <c r="DE47" s="197"/>
      <c r="DF47" s="197"/>
      <c r="DG47" s="197"/>
      <c r="DH47" s="197"/>
      <c r="DI47" s="197"/>
      <c r="DJ47" s="197"/>
      <c r="DK47" s="197"/>
      <c r="DL47" s="197"/>
      <c r="DM47" s="197"/>
      <c r="DN47" s="197"/>
      <c r="DO47" s="197"/>
      <c r="DP47" s="197"/>
      <c r="DQ47" s="197"/>
      <c r="DR47" s="197"/>
      <c r="DS47" s="197"/>
      <c r="DT47" s="197"/>
      <c r="DU47" s="197"/>
      <c r="DV47" s="197"/>
      <c r="DW47" s="197"/>
      <c r="DX47" s="197"/>
      <c r="DY47" s="197"/>
      <c r="DZ47" s="197"/>
      <c r="EA47" s="197"/>
      <c r="EB47" s="197"/>
      <c r="EC47" s="197"/>
      <c r="ED47" s="197"/>
      <c r="EE47" s="197"/>
      <c r="EF47" s="197"/>
      <c r="EG47" s="197"/>
      <c r="EH47" s="197"/>
      <c r="EI47" s="197"/>
      <c r="EJ47" s="197"/>
      <c r="EK47" s="197"/>
      <c r="EL47" s="197"/>
      <c r="EM47" s="197"/>
      <c r="EN47" s="197"/>
      <c r="EO47" s="197"/>
      <c r="EP47" s="197"/>
      <c r="EQ47" s="197"/>
      <c r="ER47" s="197"/>
      <c r="ES47" s="197"/>
      <c r="ET47" s="197"/>
      <c r="EU47" s="197"/>
      <c r="EV47" s="197"/>
      <c r="EW47" s="197"/>
      <c r="EX47" s="197"/>
      <c r="EY47" s="197"/>
      <c r="EZ47" s="197"/>
      <c r="FA47" s="197"/>
      <c r="FB47" s="197"/>
      <c r="FC47" s="197"/>
      <c r="FD47" s="197"/>
      <c r="FE47" s="197"/>
      <c r="FF47" s="197"/>
      <c r="FG47" s="197"/>
      <c r="FH47" s="197"/>
      <c r="FI47" s="197"/>
      <c r="FJ47" s="197"/>
      <c r="FK47" s="197"/>
      <c r="FL47" s="197"/>
      <c r="FM47" s="197"/>
      <c r="FN47" s="197"/>
      <c r="FO47" s="197"/>
      <c r="FP47" s="197"/>
      <c r="FQ47" s="197"/>
      <c r="FR47" s="197"/>
      <c r="FS47" s="197"/>
      <c r="FT47" s="197"/>
      <c r="FU47" s="197"/>
      <c r="FV47" s="197"/>
      <c r="FW47" s="197"/>
      <c r="FX47" s="197"/>
      <c r="FY47" s="197"/>
      <c r="FZ47" s="197"/>
      <c r="GA47" s="197"/>
      <c r="GB47" s="197"/>
      <c r="GC47" s="197"/>
      <c r="GD47" s="197"/>
      <c r="GE47" s="197"/>
      <c r="GF47" s="197"/>
      <c r="GG47" s="197"/>
      <c r="GH47" s="197"/>
      <c r="GI47" s="197"/>
      <c r="GJ47" s="197"/>
      <c r="GK47" s="197"/>
      <c r="GL47" s="197"/>
      <c r="GM47" s="197"/>
      <c r="GN47" s="197"/>
      <c r="GO47" s="197"/>
      <c r="GP47" s="197"/>
      <c r="GQ47" s="197"/>
      <c r="GR47" s="197"/>
      <c r="GS47" s="197"/>
      <c r="GT47" s="197"/>
      <c r="GU47" s="197"/>
      <c r="GV47" s="197"/>
      <c r="GW47" s="197"/>
      <c r="GX47" s="197"/>
      <c r="GY47" s="197"/>
      <c r="GZ47" s="197"/>
      <c r="HA47" s="197"/>
      <c r="HB47" s="197"/>
      <c r="HC47" s="197"/>
      <c r="HD47" s="197"/>
      <c r="HE47" s="197"/>
      <c r="HF47" s="197"/>
      <c r="HG47" s="197"/>
      <c r="HH47" s="197"/>
      <c r="HI47" s="197"/>
      <c r="HJ47" s="197"/>
      <c r="HK47" s="197"/>
      <c r="HL47" s="197"/>
      <c r="HM47" s="197"/>
      <c r="HN47" s="197"/>
      <c r="HO47" s="197"/>
      <c r="HP47" s="197"/>
      <c r="HQ47" s="197"/>
      <c r="HR47" s="197"/>
      <c r="HS47" s="197"/>
      <c r="HT47" s="197"/>
      <c r="HU47" s="197"/>
      <c r="HV47" s="197"/>
      <c r="HW47" s="197"/>
      <c r="HX47" s="197"/>
      <c r="HY47" s="197"/>
      <c r="HZ47" s="197"/>
      <c r="IA47" s="197"/>
      <c r="IB47" s="197"/>
      <c r="IC47" s="197"/>
      <c r="ID47" s="197"/>
      <c r="IE47" s="197"/>
      <c r="IF47" s="197"/>
      <c r="IG47" s="197"/>
      <c r="IH47" s="197"/>
      <c r="II47" s="197"/>
      <c r="IJ47" s="197"/>
      <c r="IK47" s="197"/>
      <c r="IL47" s="197"/>
      <c r="IM47" s="197"/>
      <c r="IN47" s="197"/>
      <c r="IO47" s="197"/>
      <c r="IP47" s="197"/>
      <c r="IQ47" s="197"/>
      <c r="IR47" s="197"/>
    </row>
    <row r="48" spans="1:252" ht="15">
      <c r="A48" s="195"/>
      <c r="B48" s="215" t="str">
        <f>'Cashflow Ann'!E9</f>
        <v xml:space="preserve">Cash out on Operating Expense </v>
      </c>
      <c r="C48" s="195"/>
      <c r="D48" s="218">
        <f ca="1">'Cashflow Ann'!J9</f>
        <v>-731398.46620934643</v>
      </c>
      <c r="E48" s="218">
        <f ca="1">'Cashflow Ann'!K9</f>
        <v>-1155269.5093791969</v>
      </c>
      <c r="F48" s="218">
        <f ca="1">'Cashflow Ann'!L9</f>
        <v>-2321725.6506745988</v>
      </c>
      <c r="G48" s="218">
        <f ca="1">'Cashflow Ann'!M9</f>
        <v>-4270794.6999407709</v>
      </c>
      <c r="H48" s="218">
        <f ca="1">'Cashflow Ann'!N9</f>
        <v>-8129611.5993413674</v>
      </c>
      <c r="I48" s="195"/>
      <c r="J48" s="195"/>
      <c r="K48" s="197"/>
      <c r="L48" s="197"/>
      <c r="M48" s="197"/>
      <c r="N48" s="197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  <c r="AA48" s="197"/>
      <c r="AB48" s="197"/>
      <c r="AC48" s="197"/>
      <c r="AD48" s="197"/>
      <c r="AE48" s="197"/>
      <c r="AF48" s="197"/>
      <c r="AG48" s="197"/>
      <c r="AH48" s="197"/>
      <c r="AI48" s="197"/>
      <c r="AJ48" s="197"/>
      <c r="AK48" s="197"/>
      <c r="AL48" s="197"/>
      <c r="AM48" s="197"/>
      <c r="AN48" s="197"/>
      <c r="AO48" s="197"/>
      <c r="AP48" s="197"/>
      <c r="AQ48" s="197"/>
      <c r="AR48" s="197"/>
      <c r="AS48" s="197"/>
      <c r="AT48" s="197"/>
      <c r="AU48" s="197"/>
      <c r="AV48" s="197"/>
      <c r="AW48" s="197"/>
      <c r="AX48" s="197"/>
      <c r="AY48" s="197"/>
      <c r="AZ48" s="197"/>
      <c r="BA48" s="197"/>
      <c r="BB48" s="197"/>
      <c r="BC48" s="197"/>
      <c r="BD48" s="197"/>
      <c r="BE48" s="197"/>
      <c r="BF48" s="197"/>
      <c r="BG48" s="197"/>
      <c r="BH48" s="197"/>
      <c r="BI48" s="197"/>
      <c r="BJ48" s="197"/>
      <c r="BK48" s="197"/>
      <c r="BL48" s="197"/>
      <c r="BM48" s="197"/>
      <c r="BN48" s="197"/>
      <c r="BO48" s="197"/>
      <c r="BP48" s="197"/>
      <c r="BQ48" s="197"/>
      <c r="BR48" s="197"/>
      <c r="BS48" s="197"/>
      <c r="BT48" s="197"/>
      <c r="BU48" s="197"/>
      <c r="BV48" s="197"/>
      <c r="BW48" s="197"/>
      <c r="BX48" s="197"/>
      <c r="BY48" s="197"/>
      <c r="BZ48" s="197"/>
      <c r="CA48" s="197"/>
      <c r="CB48" s="197"/>
      <c r="CC48" s="197"/>
      <c r="CD48" s="197"/>
      <c r="CE48" s="197"/>
      <c r="CF48" s="197"/>
      <c r="CG48" s="197"/>
      <c r="CH48" s="197"/>
      <c r="CI48" s="197"/>
      <c r="CJ48" s="197"/>
      <c r="CK48" s="197"/>
      <c r="CL48" s="197"/>
      <c r="CM48" s="197"/>
      <c r="CN48" s="197"/>
      <c r="CO48" s="197"/>
      <c r="CP48" s="197"/>
      <c r="CQ48" s="197"/>
      <c r="CR48" s="197"/>
      <c r="CS48" s="197"/>
      <c r="CT48" s="197"/>
      <c r="CU48" s="197"/>
      <c r="CV48" s="197"/>
      <c r="CW48" s="197"/>
      <c r="CX48" s="197"/>
      <c r="CY48" s="197"/>
      <c r="CZ48" s="197"/>
      <c r="DA48" s="197"/>
      <c r="DB48" s="197"/>
      <c r="DC48" s="197"/>
      <c r="DD48" s="197"/>
      <c r="DE48" s="197"/>
      <c r="DF48" s="197"/>
      <c r="DG48" s="197"/>
      <c r="DH48" s="197"/>
      <c r="DI48" s="197"/>
      <c r="DJ48" s="197"/>
      <c r="DK48" s="197"/>
      <c r="DL48" s="197"/>
      <c r="DM48" s="197"/>
      <c r="DN48" s="197"/>
      <c r="DO48" s="197"/>
      <c r="DP48" s="197"/>
      <c r="DQ48" s="197"/>
      <c r="DR48" s="197"/>
      <c r="DS48" s="197"/>
      <c r="DT48" s="197"/>
      <c r="DU48" s="197"/>
      <c r="DV48" s="197"/>
      <c r="DW48" s="197"/>
      <c r="DX48" s="197"/>
      <c r="DY48" s="197"/>
      <c r="DZ48" s="197"/>
      <c r="EA48" s="197"/>
      <c r="EB48" s="197"/>
      <c r="EC48" s="197"/>
      <c r="ED48" s="197"/>
      <c r="EE48" s="197"/>
      <c r="EF48" s="197"/>
      <c r="EG48" s="197"/>
      <c r="EH48" s="197"/>
      <c r="EI48" s="197"/>
      <c r="EJ48" s="197"/>
      <c r="EK48" s="197"/>
      <c r="EL48" s="197"/>
      <c r="EM48" s="197"/>
      <c r="EN48" s="197"/>
      <c r="EO48" s="197"/>
      <c r="EP48" s="197"/>
      <c r="EQ48" s="197"/>
      <c r="ER48" s="197"/>
      <c r="ES48" s="197"/>
      <c r="ET48" s="197"/>
      <c r="EU48" s="197"/>
      <c r="EV48" s="197"/>
      <c r="EW48" s="197"/>
      <c r="EX48" s="197"/>
      <c r="EY48" s="197"/>
      <c r="EZ48" s="197"/>
      <c r="FA48" s="197"/>
      <c r="FB48" s="197"/>
      <c r="FC48" s="197"/>
      <c r="FD48" s="197"/>
      <c r="FE48" s="197"/>
      <c r="FF48" s="197"/>
      <c r="FG48" s="197"/>
      <c r="FH48" s="197"/>
      <c r="FI48" s="197"/>
      <c r="FJ48" s="197"/>
      <c r="FK48" s="197"/>
      <c r="FL48" s="197"/>
      <c r="FM48" s="197"/>
      <c r="FN48" s="197"/>
      <c r="FO48" s="197"/>
      <c r="FP48" s="197"/>
      <c r="FQ48" s="197"/>
      <c r="FR48" s="197"/>
      <c r="FS48" s="197"/>
      <c r="FT48" s="197"/>
      <c r="FU48" s="197"/>
      <c r="FV48" s="197"/>
      <c r="FW48" s="197"/>
      <c r="FX48" s="197"/>
      <c r="FY48" s="197"/>
      <c r="FZ48" s="197"/>
      <c r="GA48" s="197"/>
      <c r="GB48" s="197"/>
      <c r="GC48" s="197"/>
      <c r="GD48" s="197"/>
      <c r="GE48" s="197"/>
      <c r="GF48" s="197"/>
      <c r="GG48" s="197"/>
      <c r="GH48" s="197"/>
      <c r="GI48" s="197"/>
      <c r="GJ48" s="197"/>
      <c r="GK48" s="197"/>
      <c r="GL48" s="197"/>
      <c r="GM48" s="197"/>
      <c r="GN48" s="197"/>
      <c r="GO48" s="197"/>
      <c r="GP48" s="197"/>
      <c r="GQ48" s="197"/>
      <c r="GR48" s="197"/>
      <c r="GS48" s="197"/>
      <c r="GT48" s="197"/>
      <c r="GU48" s="197"/>
      <c r="GV48" s="197"/>
      <c r="GW48" s="197"/>
      <c r="GX48" s="197"/>
      <c r="GY48" s="197"/>
      <c r="GZ48" s="197"/>
      <c r="HA48" s="197"/>
      <c r="HB48" s="197"/>
      <c r="HC48" s="197"/>
      <c r="HD48" s="197"/>
      <c r="HE48" s="197"/>
      <c r="HF48" s="197"/>
      <c r="HG48" s="197"/>
      <c r="HH48" s="197"/>
      <c r="HI48" s="197"/>
      <c r="HJ48" s="197"/>
      <c r="HK48" s="197"/>
      <c r="HL48" s="197"/>
      <c r="HM48" s="197"/>
      <c r="HN48" s="197"/>
      <c r="HO48" s="197"/>
      <c r="HP48" s="197"/>
      <c r="HQ48" s="197"/>
      <c r="HR48" s="197"/>
      <c r="HS48" s="197"/>
      <c r="HT48" s="197"/>
      <c r="HU48" s="197"/>
      <c r="HV48" s="197"/>
      <c r="HW48" s="197"/>
      <c r="HX48" s="197"/>
      <c r="HY48" s="197"/>
      <c r="HZ48" s="197"/>
      <c r="IA48" s="197"/>
      <c r="IB48" s="197"/>
      <c r="IC48" s="197"/>
      <c r="ID48" s="197"/>
      <c r="IE48" s="197"/>
      <c r="IF48" s="197"/>
      <c r="IG48" s="197"/>
      <c r="IH48" s="197"/>
      <c r="II48" s="197"/>
      <c r="IJ48" s="197"/>
      <c r="IK48" s="197"/>
      <c r="IL48" s="197"/>
      <c r="IM48" s="197"/>
      <c r="IN48" s="197"/>
      <c r="IO48" s="197"/>
      <c r="IP48" s="197"/>
      <c r="IQ48" s="197"/>
      <c r="IR48" s="197"/>
    </row>
    <row r="49" spans="1:252" s="216" customFormat="1" ht="14.5">
      <c r="A49" s="215"/>
      <c r="B49" s="215" t="str">
        <f>'Cashflow Ann'!E10</f>
        <v xml:space="preserve">VAT paid </v>
      </c>
      <c r="C49" s="195"/>
      <c r="D49" s="218">
        <f ca="1">'Cashflow Ann'!J10</f>
        <v>-290164.0849640551</v>
      </c>
      <c r="E49" s="218">
        <f ca="1">'Cashflow Ann'!K10</f>
        <v>-1054216.7266330891</v>
      </c>
      <c r="F49" s="218">
        <f ca="1">'Cashflow Ann'!L10</f>
        <v>-3252497.5548571264</v>
      </c>
      <c r="G49" s="218">
        <f ca="1">'Cashflow Ann'!M10</f>
        <v>-7531552.5339964768</v>
      </c>
      <c r="H49" s="218">
        <f ca="1">'Cashflow Ann'!N10</f>
        <v>-15005790.017587913</v>
      </c>
      <c r="I49" s="215"/>
      <c r="J49" s="215"/>
      <c r="K49" s="198"/>
      <c r="L49" s="198"/>
      <c r="M49" s="198"/>
      <c r="N49" s="198"/>
      <c r="O49" s="198"/>
      <c r="P49" s="198"/>
      <c r="Q49" s="198"/>
      <c r="R49" s="198"/>
      <c r="S49" s="198"/>
      <c r="T49" s="198"/>
      <c r="U49" s="198"/>
      <c r="V49" s="198"/>
      <c r="W49" s="198"/>
      <c r="X49" s="198"/>
      <c r="Y49" s="198"/>
      <c r="Z49" s="198"/>
      <c r="AA49" s="198"/>
      <c r="AB49" s="198"/>
      <c r="AC49" s="198"/>
      <c r="AD49" s="198"/>
      <c r="AE49" s="198"/>
      <c r="AF49" s="198"/>
      <c r="AG49" s="198"/>
      <c r="AH49" s="198"/>
      <c r="AI49" s="198"/>
      <c r="AJ49" s="198"/>
      <c r="AK49" s="198"/>
      <c r="AL49" s="198"/>
      <c r="AM49" s="198"/>
      <c r="AN49" s="198"/>
      <c r="AO49" s="198"/>
      <c r="AP49" s="198"/>
      <c r="AQ49" s="198"/>
      <c r="AR49" s="198"/>
      <c r="AS49" s="198"/>
      <c r="AT49" s="198"/>
      <c r="AU49" s="198"/>
      <c r="AV49" s="198"/>
      <c r="AW49" s="198"/>
      <c r="AX49" s="198"/>
      <c r="AY49" s="198"/>
      <c r="AZ49" s="198"/>
      <c r="BA49" s="198"/>
      <c r="BB49" s="198"/>
      <c r="BC49" s="198"/>
      <c r="BD49" s="198"/>
      <c r="BE49" s="198"/>
      <c r="BF49" s="198"/>
      <c r="BG49" s="198"/>
      <c r="BH49" s="198"/>
      <c r="BI49" s="198"/>
      <c r="BJ49" s="198"/>
      <c r="BK49" s="198"/>
      <c r="BL49" s="198"/>
      <c r="BM49" s="198"/>
      <c r="BN49" s="198"/>
      <c r="BO49" s="198"/>
      <c r="BP49" s="198"/>
      <c r="BQ49" s="198"/>
      <c r="BR49" s="198"/>
      <c r="BS49" s="198"/>
      <c r="BT49" s="198"/>
      <c r="BU49" s="198"/>
      <c r="BV49" s="198"/>
      <c r="BW49" s="198"/>
      <c r="BX49" s="198"/>
      <c r="BY49" s="198"/>
      <c r="BZ49" s="198"/>
      <c r="CA49" s="198"/>
      <c r="CB49" s="198"/>
      <c r="CC49" s="198"/>
      <c r="CD49" s="198"/>
      <c r="CE49" s="198"/>
      <c r="CF49" s="198"/>
      <c r="CG49" s="198"/>
      <c r="CH49" s="198"/>
      <c r="CI49" s="198"/>
      <c r="CJ49" s="198"/>
      <c r="CK49" s="198"/>
      <c r="CL49" s="198"/>
      <c r="CM49" s="198"/>
      <c r="CN49" s="198"/>
      <c r="CO49" s="198"/>
      <c r="CP49" s="198"/>
      <c r="CQ49" s="198"/>
      <c r="CR49" s="198"/>
      <c r="CS49" s="198"/>
      <c r="CT49" s="198"/>
      <c r="CU49" s="198"/>
      <c r="CV49" s="198"/>
      <c r="CW49" s="198"/>
      <c r="CX49" s="198"/>
      <c r="CY49" s="198"/>
      <c r="CZ49" s="198"/>
      <c r="DA49" s="198"/>
      <c r="DB49" s="198"/>
      <c r="DC49" s="198"/>
      <c r="DD49" s="198"/>
      <c r="DE49" s="198"/>
      <c r="DF49" s="198"/>
      <c r="DG49" s="198"/>
      <c r="DH49" s="198"/>
      <c r="DI49" s="198"/>
      <c r="DJ49" s="198"/>
      <c r="DK49" s="198"/>
      <c r="DL49" s="198"/>
      <c r="DM49" s="198"/>
      <c r="DN49" s="198"/>
      <c r="DO49" s="198"/>
      <c r="DP49" s="198"/>
      <c r="DQ49" s="198"/>
      <c r="DR49" s="198"/>
      <c r="DS49" s="198"/>
      <c r="DT49" s="198"/>
      <c r="DU49" s="198"/>
      <c r="DV49" s="198"/>
      <c r="DW49" s="198"/>
      <c r="DX49" s="198"/>
      <c r="DY49" s="198"/>
      <c r="DZ49" s="198"/>
      <c r="EA49" s="198"/>
      <c r="EB49" s="198"/>
      <c r="EC49" s="198"/>
      <c r="ED49" s="198"/>
      <c r="EE49" s="198"/>
      <c r="EF49" s="198"/>
      <c r="EG49" s="198"/>
      <c r="EH49" s="198"/>
      <c r="EI49" s="198"/>
      <c r="EJ49" s="198"/>
      <c r="EK49" s="198"/>
      <c r="EL49" s="198"/>
      <c r="EM49" s="198"/>
      <c r="EN49" s="198"/>
      <c r="EO49" s="198"/>
      <c r="EP49" s="198"/>
      <c r="EQ49" s="198"/>
      <c r="ER49" s="198"/>
      <c r="ES49" s="198"/>
      <c r="ET49" s="198"/>
      <c r="EU49" s="198"/>
      <c r="EV49" s="198"/>
      <c r="EW49" s="198"/>
      <c r="EX49" s="198"/>
      <c r="EY49" s="198"/>
      <c r="EZ49" s="198"/>
      <c r="FA49" s="198"/>
      <c r="FB49" s="198"/>
      <c r="FC49" s="198"/>
      <c r="FD49" s="198"/>
      <c r="FE49" s="198"/>
      <c r="FF49" s="198"/>
      <c r="FG49" s="198"/>
      <c r="FH49" s="198"/>
      <c r="FI49" s="198"/>
      <c r="FJ49" s="198"/>
      <c r="FK49" s="198"/>
      <c r="FL49" s="198"/>
      <c r="FM49" s="198"/>
      <c r="FN49" s="198"/>
      <c r="FO49" s="198"/>
      <c r="FP49" s="198"/>
      <c r="FQ49" s="198"/>
      <c r="FR49" s="198"/>
      <c r="FS49" s="198"/>
      <c r="FT49" s="198"/>
      <c r="FU49" s="198"/>
      <c r="FV49" s="198"/>
      <c r="FW49" s="198"/>
      <c r="FX49" s="198"/>
      <c r="FY49" s="198"/>
      <c r="FZ49" s="198"/>
      <c r="GA49" s="198"/>
      <c r="GB49" s="198"/>
      <c r="GC49" s="198"/>
      <c r="GD49" s="198"/>
      <c r="GE49" s="198"/>
      <c r="GF49" s="198"/>
      <c r="GG49" s="198"/>
      <c r="GH49" s="198"/>
      <c r="GI49" s="198"/>
      <c r="GJ49" s="198"/>
      <c r="GK49" s="198"/>
      <c r="GL49" s="198"/>
      <c r="GM49" s="198"/>
      <c r="GN49" s="198"/>
      <c r="GO49" s="198"/>
      <c r="GP49" s="198"/>
      <c r="GQ49" s="198"/>
      <c r="GR49" s="198"/>
      <c r="GS49" s="198"/>
      <c r="GT49" s="198"/>
      <c r="GU49" s="198"/>
      <c r="GV49" s="198"/>
      <c r="GW49" s="198"/>
      <c r="GX49" s="198"/>
      <c r="GY49" s="198"/>
      <c r="GZ49" s="198"/>
      <c r="HA49" s="198"/>
      <c r="HB49" s="198"/>
      <c r="HC49" s="198"/>
      <c r="HD49" s="198"/>
      <c r="HE49" s="198"/>
      <c r="HF49" s="198"/>
      <c r="HG49" s="198"/>
      <c r="HH49" s="198"/>
      <c r="HI49" s="198"/>
      <c r="HJ49" s="198"/>
      <c r="HK49" s="198"/>
      <c r="HL49" s="198"/>
      <c r="HM49" s="198"/>
      <c r="HN49" s="198"/>
      <c r="HO49" s="198"/>
      <c r="HP49" s="198"/>
      <c r="HQ49" s="198"/>
      <c r="HR49" s="198"/>
      <c r="HS49" s="198"/>
      <c r="HT49" s="198"/>
      <c r="HU49" s="198"/>
      <c r="HV49" s="198"/>
      <c r="HW49" s="198"/>
      <c r="HX49" s="198"/>
      <c r="HY49" s="198"/>
      <c r="HZ49" s="198"/>
      <c r="IA49" s="198"/>
      <c r="IB49" s="198"/>
      <c r="IC49" s="198"/>
      <c r="ID49" s="198"/>
      <c r="IE49" s="198"/>
      <c r="IF49" s="198"/>
      <c r="IG49" s="198"/>
      <c r="IH49" s="198"/>
      <c r="II49" s="198"/>
      <c r="IJ49" s="198"/>
      <c r="IK49" s="198"/>
      <c r="IL49" s="198"/>
      <c r="IM49" s="198"/>
      <c r="IN49" s="198"/>
      <c r="IO49" s="198"/>
      <c r="IP49" s="198"/>
      <c r="IQ49" s="198"/>
      <c r="IR49" s="198"/>
    </row>
    <row r="50" spans="1:252" ht="15">
      <c r="A50" s="195"/>
      <c r="B50" s="215" t="str">
        <f>'Cashflow Ann'!E11</f>
        <v xml:space="preserve">Corporation tax paid </v>
      </c>
      <c r="C50" s="195"/>
      <c r="D50" s="218">
        <f ca="1">'Cashflow Ann'!J11</f>
        <v>0</v>
      </c>
      <c r="E50" s="218">
        <f ca="1">'Cashflow Ann'!K11</f>
        <v>-172931.96758910635</v>
      </c>
      <c r="F50" s="218">
        <f ca="1">'Cashflow Ann'!L11</f>
        <v>-1009079.3836522016</v>
      </c>
      <c r="G50" s="218">
        <f ca="1">'Cashflow Ann'!M11</f>
        <v>-2746983.6823349316</v>
      </c>
      <c r="H50" s="218">
        <f ca="1">'Cashflow Ann'!N11</f>
        <v>-5956047.8758138604</v>
      </c>
      <c r="I50" s="195"/>
      <c r="J50" s="195"/>
      <c r="K50" s="197"/>
      <c r="L50" s="197"/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  <c r="AA50" s="197"/>
      <c r="AB50" s="197"/>
      <c r="AC50" s="197"/>
      <c r="AD50" s="197"/>
      <c r="AE50" s="197"/>
      <c r="AF50" s="197"/>
      <c r="AG50" s="197"/>
      <c r="AH50" s="197"/>
      <c r="AI50" s="197"/>
      <c r="AJ50" s="197"/>
      <c r="AK50" s="197"/>
      <c r="AL50" s="197"/>
      <c r="AM50" s="197"/>
      <c r="AN50" s="197"/>
      <c r="AO50" s="197"/>
      <c r="AP50" s="197"/>
      <c r="AQ50" s="197"/>
      <c r="AR50" s="197"/>
      <c r="AS50" s="197"/>
      <c r="AT50" s="197"/>
      <c r="AU50" s="197"/>
      <c r="AV50" s="197"/>
      <c r="AW50" s="197"/>
      <c r="AX50" s="197"/>
      <c r="AY50" s="197"/>
      <c r="AZ50" s="197"/>
      <c r="BA50" s="197"/>
      <c r="BB50" s="197"/>
      <c r="BC50" s="197"/>
      <c r="BD50" s="197"/>
      <c r="BE50" s="197"/>
      <c r="BF50" s="197"/>
      <c r="BG50" s="197"/>
      <c r="BH50" s="197"/>
      <c r="BI50" s="197"/>
      <c r="BJ50" s="197"/>
      <c r="BK50" s="197"/>
      <c r="BL50" s="197"/>
      <c r="BM50" s="197"/>
      <c r="BN50" s="197"/>
      <c r="BO50" s="197"/>
      <c r="BP50" s="197"/>
      <c r="BQ50" s="197"/>
      <c r="BR50" s="197"/>
      <c r="BS50" s="197"/>
      <c r="BT50" s="197"/>
      <c r="BU50" s="197"/>
      <c r="BV50" s="197"/>
      <c r="BW50" s="197"/>
      <c r="BX50" s="197"/>
      <c r="BY50" s="197"/>
      <c r="BZ50" s="197"/>
      <c r="CA50" s="197"/>
      <c r="CB50" s="197"/>
      <c r="CC50" s="197"/>
      <c r="CD50" s="197"/>
      <c r="CE50" s="197"/>
      <c r="CF50" s="197"/>
      <c r="CG50" s="197"/>
      <c r="CH50" s="197"/>
      <c r="CI50" s="197"/>
      <c r="CJ50" s="197"/>
      <c r="CK50" s="197"/>
      <c r="CL50" s="197"/>
      <c r="CM50" s="197"/>
      <c r="CN50" s="197"/>
      <c r="CO50" s="197"/>
      <c r="CP50" s="197"/>
      <c r="CQ50" s="197"/>
      <c r="CR50" s="197"/>
      <c r="CS50" s="197"/>
      <c r="CT50" s="197"/>
      <c r="CU50" s="197"/>
      <c r="CV50" s="197"/>
      <c r="CW50" s="197"/>
      <c r="CX50" s="197"/>
      <c r="CY50" s="197"/>
      <c r="CZ50" s="197"/>
      <c r="DA50" s="197"/>
      <c r="DB50" s="197"/>
      <c r="DC50" s="197"/>
      <c r="DD50" s="197"/>
      <c r="DE50" s="197"/>
      <c r="DF50" s="197"/>
      <c r="DG50" s="197"/>
      <c r="DH50" s="197"/>
      <c r="DI50" s="197"/>
      <c r="DJ50" s="197"/>
      <c r="DK50" s="197"/>
      <c r="DL50" s="197"/>
      <c r="DM50" s="197"/>
      <c r="DN50" s="197"/>
      <c r="DO50" s="197"/>
      <c r="DP50" s="197"/>
      <c r="DQ50" s="197"/>
      <c r="DR50" s="197"/>
      <c r="DS50" s="197"/>
      <c r="DT50" s="197"/>
      <c r="DU50" s="197"/>
      <c r="DV50" s="197"/>
      <c r="DW50" s="197"/>
      <c r="DX50" s="197"/>
      <c r="DY50" s="197"/>
      <c r="DZ50" s="197"/>
      <c r="EA50" s="197"/>
      <c r="EB50" s="197"/>
      <c r="EC50" s="197"/>
      <c r="ED50" s="197"/>
      <c r="EE50" s="197"/>
      <c r="EF50" s="197"/>
      <c r="EG50" s="197"/>
      <c r="EH50" s="197"/>
      <c r="EI50" s="197"/>
      <c r="EJ50" s="197"/>
      <c r="EK50" s="197"/>
      <c r="EL50" s="197"/>
      <c r="EM50" s="197"/>
      <c r="EN50" s="197"/>
      <c r="EO50" s="197"/>
      <c r="EP50" s="197"/>
      <c r="EQ50" s="197"/>
      <c r="ER50" s="197"/>
      <c r="ES50" s="197"/>
      <c r="ET50" s="197"/>
      <c r="EU50" s="197"/>
      <c r="EV50" s="197"/>
      <c r="EW50" s="197"/>
      <c r="EX50" s="197"/>
      <c r="EY50" s="197"/>
      <c r="EZ50" s="197"/>
      <c r="FA50" s="197"/>
      <c r="FB50" s="197"/>
      <c r="FC50" s="197"/>
      <c r="FD50" s="197"/>
      <c r="FE50" s="197"/>
      <c r="FF50" s="197"/>
      <c r="FG50" s="197"/>
      <c r="FH50" s="197"/>
      <c r="FI50" s="197"/>
      <c r="FJ50" s="197"/>
      <c r="FK50" s="197"/>
      <c r="FL50" s="197"/>
      <c r="FM50" s="197"/>
      <c r="FN50" s="197"/>
      <c r="FO50" s="197"/>
      <c r="FP50" s="197"/>
      <c r="FQ50" s="197"/>
      <c r="FR50" s="197"/>
      <c r="FS50" s="197"/>
      <c r="FT50" s="197"/>
      <c r="FU50" s="197"/>
      <c r="FV50" s="197"/>
      <c r="FW50" s="197"/>
      <c r="FX50" s="197"/>
      <c r="FY50" s="197"/>
      <c r="FZ50" s="197"/>
      <c r="GA50" s="197"/>
      <c r="GB50" s="197"/>
      <c r="GC50" s="197"/>
      <c r="GD50" s="197"/>
      <c r="GE50" s="197"/>
      <c r="GF50" s="197"/>
      <c r="GG50" s="197"/>
      <c r="GH50" s="197"/>
      <c r="GI50" s="197"/>
      <c r="GJ50" s="197"/>
      <c r="GK50" s="197"/>
      <c r="GL50" s="197"/>
      <c r="GM50" s="197"/>
      <c r="GN50" s="197"/>
      <c r="GO50" s="197"/>
      <c r="GP50" s="197"/>
      <c r="GQ50" s="197"/>
      <c r="GR50" s="197"/>
      <c r="GS50" s="197"/>
      <c r="GT50" s="197"/>
      <c r="GU50" s="197"/>
      <c r="GV50" s="197"/>
      <c r="GW50" s="197"/>
      <c r="GX50" s="197"/>
      <c r="GY50" s="197"/>
      <c r="GZ50" s="197"/>
      <c r="HA50" s="197"/>
      <c r="HB50" s="197"/>
      <c r="HC50" s="197"/>
      <c r="HD50" s="197"/>
      <c r="HE50" s="197"/>
      <c r="HF50" s="197"/>
      <c r="HG50" s="197"/>
      <c r="HH50" s="197"/>
      <c r="HI50" s="197"/>
      <c r="HJ50" s="197"/>
      <c r="HK50" s="197"/>
      <c r="HL50" s="197"/>
      <c r="HM50" s="197"/>
      <c r="HN50" s="197"/>
      <c r="HO50" s="197"/>
      <c r="HP50" s="197"/>
      <c r="HQ50" s="197"/>
      <c r="HR50" s="197"/>
      <c r="HS50" s="197"/>
      <c r="HT50" s="197"/>
      <c r="HU50" s="197"/>
      <c r="HV50" s="197"/>
      <c r="HW50" s="197"/>
      <c r="HX50" s="197"/>
      <c r="HY50" s="197"/>
      <c r="HZ50" s="197"/>
      <c r="IA50" s="197"/>
      <c r="IB50" s="197"/>
      <c r="IC50" s="197"/>
      <c r="ID50" s="197"/>
      <c r="IE50" s="197"/>
      <c r="IF50" s="197"/>
      <c r="IG50" s="197"/>
      <c r="IH50" s="197"/>
      <c r="II50" s="197"/>
      <c r="IJ50" s="197"/>
      <c r="IK50" s="197"/>
      <c r="IL50" s="197"/>
      <c r="IM50" s="197"/>
      <c r="IN50" s="197"/>
      <c r="IO50" s="197"/>
      <c r="IP50" s="197"/>
      <c r="IQ50" s="197"/>
      <c r="IR50" s="197"/>
    </row>
    <row r="51" spans="1:252" ht="15">
      <c r="A51" s="195"/>
      <c r="B51" s="223" t="str">
        <f>'Cashflow Ann'!E12</f>
        <v>Operating Cashflow</v>
      </c>
      <c r="C51" s="222"/>
      <c r="D51" s="217">
        <f ca="1">'Cashflow Ann'!J12</f>
        <v>1498437.4488265985</v>
      </c>
      <c r="E51" s="217">
        <f ca="1">'Cashflow Ann'!K12</f>
        <v>5177581.796398608</v>
      </c>
      <c r="F51" s="217">
        <f ca="1">'Cashflow Ann'!L12</f>
        <v>14325999.920362335</v>
      </c>
      <c r="G51" s="217">
        <f ca="1">'Cashflow Ann'!M12</f>
        <v>30727015.060278632</v>
      </c>
      <c r="H51" s="217">
        <f ca="1">'Cashflow Ann'!N12</f>
        <v>61820105.632354617</v>
      </c>
      <c r="I51" s="195"/>
      <c r="J51" s="195"/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  <c r="AA51" s="197"/>
      <c r="AB51" s="197"/>
      <c r="AC51" s="197"/>
      <c r="AD51" s="197"/>
      <c r="AE51" s="197"/>
      <c r="AF51" s="197"/>
      <c r="AG51" s="197"/>
      <c r="AH51" s="197"/>
      <c r="AI51" s="197"/>
      <c r="AJ51" s="197"/>
      <c r="AK51" s="197"/>
      <c r="AL51" s="197"/>
      <c r="AM51" s="197"/>
      <c r="AN51" s="197"/>
      <c r="AO51" s="197"/>
      <c r="AP51" s="197"/>
      <c r="AQ51" s="197"/>
      <c r="AR51" s="197"/>
      <c r="AS51" s="197"/>
      <c r="AT51" s="197"/>
      <c r="AU51" s="197"/>
      <c r="AV51" s="197"/>
      <c r="AW51" s="197"/>
      <c r="AX51" s="197"/>
      <c r="AY51" s="197"/>
      <c r="AZ51" s="197"/>
      <c r="BA51" s="197"/>
      <c r="BB51" s="197"/>
      <c r="BC51" s="197"/>
      <c r="BD51" s="197"/>
      <c r="BE51" s="197"/>
      <c r="BF51" s="197"/>
      <c r="BG51" s="197"/>
      <c r="BH51" s="197"/>
      <c r="BI51" s="197"/>
      <c r="BJ51" s="197"/>
      <c r="BK51" s="197"/>
      <c r="BL51" s="197"/>
      <c r="BM51" s="197"/>
      <c r="BN51" s="197"/>
      <c r="BO51" s="197"/>
      <c r="BP51" s="197"/>
      <c r="BQ51" s="197"/>
      <c r="BR51" s="197"/>
      <c r="BS51" s="197"/>
      <c r="BT51" s="197"/>
      <c r="BU51" s="197"/>
      <c r="BV51" s="197"/>
      <c r="BW51" s="197"/>
      <c r="BX51" s="197"/>
      <c r="BY51" s="197"/>
      <c r="BZ51" s="197"/>
      <c r="CA51" s="197"/>
      <c r="CB51" s="197"/>
      <c r="CC51" s="197"/>
      <c r="CD51" s="197"/>
      <c r="CE51" s="197"/>
      <c r="CF51" s="197"/>
      <c r="CG51" s="197"/>
      <c r="CH51" s="197"/>
      <c r="CI51" s="197"/>
      <c r="CJ51" s="197"/>
      <c r="CK51" s="197"/>
      <c r="CL51" s="197"/>
      <c r="CM51" s="197"/>
      <c r="CN51" s="197"/>
      <c r="CO51" s="197"/>
      <c r="CP51" s="197"/>
      <c r="CQ51" s="197"/>
      <c r="CR51" s="197"/>
      <c r="CS51" s="197"/>
      <c r="CT51" s="197"/>
      <c r="CU51" s="197"/>
      <c r="CV51" s="197"/>
      <c r="CW51" s="197"/>
      <c r="CX51" s="197"/>
      <c r="CY51" s="197"/>
      <c r="CZ51" s="197"/>
      <c r="DA51" s="197"/>
      <c r="DB51" s="197"/>
      <c r="DC51" s="197"/>
      <c r="DD51" s="197"/>
      <c r="DE51" s="197"/>
      <c r="DF51" s="197"/>
      <c r="DG51" s="197"/>
      <c r="DH51" s="197"/>
      <c r="DI51" s="197"/>
      <c r="DJ51" s="197"/>
      <c r="DK51" s="197"/>
      <c r="DL51" s="197"/>
      <c r="DM51" s="197"/>
      <c r="DN51" s="197"/>
      <c r="DO51" s="197"/>
      <c r="DP51" s="197"/>
      <c r="DQ51" s="197"/>
      <c r="DR51" s="197"/>
      <c r="DS51" s="197"/>
      <c r="DT51" s="197"/>
      <c r="DU51" s="197"/>
      <c r="DV51" s="197"/>
      <c r="DW51" s="197"/>
      <c r="DX51" s="197"/>
      <c r="DY51" s="197"/>
      <c r="DZ51" s="197"/>
      <c r="EA51" s="197"/>
      <c r="EB51" s="197"/>
      <c r="EC51" s="197"/>
      <c r="ED51" s="197"/>
      <c r="EE51" s="197"/>
      <c r="EF51" s="197"/>
      <c r="EG51" s="197"/>
      <c r="EH51" s="197"/>
      <c r="EI51" s="197"/>
      <c r="EJ51" s="197"/>
      <c r="EK51" s="197"/>
      <c r="EL51" s="197"/>
      <c r="EM51" s="197"/>
      <c r="EN51" s="197"/>
      <c r="EO51" s="197"/>
      <c r="EP51" s="197"/>
      <c r="EQ51" s="197"/>
      <c r="ER51" s="197"/>
      <c r="ES51" s="197"/>
      <c r="ET51" s="197"/>
      <c r="EU51" s="197"/>
      <c r="EV51" s="197"/>
      <c r="EW51" s="197"/>
      <c r="EX51" s="197"/>
      <c r="EY51" s="197"/>
      <c r="EZ51" s="197"/>
      <c r="FA51" s="197"/>
      <c r="FB51" s="197"/>
      <c r="FC51" s="197"/>
      <c r="FD51" s="197"/>
      <c r="FE51" s="197"/>
      <c r="FF51" s="197"/>
      <c r="FG51" s="197"/>
      <c r="FH51" s="197"/>
      <c r="FI51" s="197"/>
      <c r="FJ51" s="197"/>
      <c r="FK51" s="197"/>
      <c r="FL51" s="197"/>
      <c r="FM51" s="197"/>
      <c r="FN51" s="197"/>
      <c r="FO51" s="197"/>
      <c r="FP51" s="197"/>
      <c r="FQ51" s="197"/>
      <c r="FR51" s="197"/>
      <c r="FS51" s="197"/>
      <c r="FT51" s="197"/>
      <c r="FU51" s="197"/>
      <c r="FV51" s="197"/>
      <c r="FW51" s="197"/>
      <c r="FX51" s="197"/>
      <c r="FY51" s="197"/>
      <c r="FZ51" s="197"/>
      <c r="GA51" s="197"/>
      <c r="GB51" s="197"/>
      <c r="GC51" s="197"/>
      <c r="GD51" s="197"/>
      <c r="GE51" s="197"/>
      <c r="GF51" s="197"/>
      <c r="GG51" s="197"/>
      <c r="GH51" s="197"/>
      <c r="GI51" s="197"/>
      <c r="GJ51" s="197"/>
      <c r="GK51" s="197"/>
      <c r="GL51" s="197"/>
      <c r="GM51" s="197"/>
      <c r="GN51" s="197"/>
      <c r="GO51" s="197"/>
      <c r="GP51" s="197"/>
      <c r="GQ51" s="197"/>
      <c r="GR51" s="197"/>
      <c r="GS51" s="197"/>
      <c r="GT51" s="197"/>
      <c r="GU51" s="197"/>
      <c r="GV51" s="197"/>
      <c r="GW51" s="197"/>
      <c r="GX51" s="197"/>
      <c r="GY51" s="197"/>
      <c r="GZ51" s="197"/>
      <c r="HA51" s="197"/>
      <c r="HB51" s="197"/>
      <c r="HC51" s="197"/>
      <c r="HD51" s="197"/>
      <c r="HE51" s="197"/>
      <c r="HF51" s="197"/>
      <c r="HG51" s="197"/>
      <c r="HH51" s="197"/>
      <c r="HI51" s="197"/>
      <c r="HJ51" s="197"/>
      <c r="HK51" s="197"/>
      <c r="HL51" s="197"/>
      <c r="HM51" s="197"/>
      <c r="HN51" s="197"/>
      <c r="HO51" s="197"/>
      <c r="HP51" s="197"/>
      <c r="HQ51" s="197"/>
      <c r="HR51" s="197"/>
      <c r="HS51" s="197"/>
      <c r="HT51" s="197"/>
      <c r="HU51" s="197"/>
      <c r="HV51" s="197"/>
      <c r="HW51" s="197"/>
      <c r="HX51" s="197"/>
      <c r="HY51" s="197"/>
      <c r="HZ51" s="197"/>
      <c r="IA51" s="197"/>
      <c r="IB51" s="197"/>
      <c r="IC51" s="197"/>
      <c r="ID51" s="197"/>
      <c r="IE51" s="197"/>
      <c r="IF51" s="197"/>
      <c r="IG51" s="197"/>
      <c r="IH51" s="197"/>
      <c r="II51" s="197"/>
      <c r="IJ51" s="197"/>
      <c r="IK51" s="197"/>
      <c r="IL51" s="197"/>
      <c r="IM51" s="197"/>
      <c r="IN51" s="197"/>
      <c r="IO51" s="197"/>
      <c r="IP51" s="197"/>
      <c r="IQ51" s="197"/>
      <c r="IR51" s="197"/>
    </row>
    <row r="52" spans="1:252" s="216" customFormat="1" ht="14.5">
      <c r="A52" s="215"/>
      <c r="B52" s="215"/>
      <c r="C52" s="195"/>
      <c r="D52" s="218"/>
      <c r="E52" s="218"/>
      <c r="F52" s="218"/>
      <c r="G52" s="218"/>
      <c r="H52" s="218"/>
      <c r="I52" s="215"/>
      <c r="J52" s="215"/>
      <c r="K52" s="198"/>
      <c r="L52" s="198"/>
      <c r="M52" s="198"/>
      <c r="N52" s="198"/>
      <c r="O52" s="198"/>
      <c r="P52" s="198"/>
      <c r="Q52" s="198"/>
      <c r="R52" s="198"/>
      <c r="S52" s="198"/>
      <c r="T52" s="198"/>
      <c r="U52" s="198"/>
      <c r="V52" s="198"/>
      <c r="W52" s="198"/>
      <c r="X52" s="198"/>
      <c r="Y52" s="198"/>
      <c r="Z52" s="198"/>
      <c r="AA52" s="198"/>
      <c r="AB52" s="198"/>
      <c r="AC52" s="198"/>
      <c r="AD52" s="198"/>
      <c r="AE52" s="198"/>
      <c r="AF52" s="198"/>
      <c r="AG52" s="198"/>
      <c r="AH52" s="198"/>
      <c r="AI52" s="198"/>
      <c r="AJ52" s="198"/>
      <c r="AK52" s="198"/>
      <c r="AL52" s="198"/>
      <c r="AM52" s="198"/>
      <c r="AN52" s="198"/>
      <c r="AO52" s="198"/>
      <c r="AP52" s="198"/>
      <c r="AQ52" s="198"/>
      <c r="AR52" s="198"/>
      <c r="AS52" s="198"/>
      <c r="AT52" s="198"/>
      <c r="AU52" s="198"/>
      <c r="AV52" s="198"/>
      <c r="AW52" s="198"/>
      <c r="AX52" s="198"/>
      <c r="AY52" s="198"/>
      <c r="AZ52" s="198"/>
      <c r="BA52" s="198"/>
      <c r="BB52" s="198"/>
      <c r="BC52" s="198"/>
      <c r="BD52" s="198"/>
      <c r="BE52" s="198"/>
      <c r="BF52" s="198"/>
      <c r="BG52" s="198"/>
      <c r="BH52" s="198"/>
      <c r="BI52" s="198"/>
      <c r="BJ52" s="198"/>
      <c r="BK52" s="198"/>
      <c r="BL52" s="198"/>
      <c r="BM52" s="198"/>
      <c r="BN52" s="198"/>
      <c r="BO52" s="198"/>
      <c r="BP52" s="198"/>
      <c r="BQ52" s="198"/>
      <c r="BR52" s="198"/>
      <c r="BS52" s="198"/>
      <c r="BT52" s="198"/>
      <c r="BU52" s="198"/>
      <c r="BV52" s="198"/>
      <c r="BW52" s="198"/>
      <c r="BX52" s="198"/>
      <c r="BY52" s="198"/>
      <c r="BZ52" s="198"/>
      <c r="CA52" s="198"/>
      <c r="CB52" s="198"/>
      <c r="CC52" s="198"/>
      <c r="CD52" s="198"/>
      <c r="CE52" s="198"/>
      <c r="CF52" s="198"/>
      <c r="CG52" s="198"/>
      <c r="CH52" s="198"/>
      <c r="CI52" s="198"/>
      <c r="CJ52" s="198"/>
      <c r="CK52" s="198"/>
      <c r="CL52" s="198"/>
      <c r="CM52" s="198"/>
      <c r="CN52" s="198"/>
      <c r="CO52" s="198"/>
      <c r="CP52" s="198"/>
      <c r="CQ52" s="198"/>
      <c r="CR52" s="198"/>
      <c r="CS52" s="198"/>
      <c r="CT52" s="198"/>
      <c r="CU52" s="198"/>
      <c r="CV52" s="198"/>
      <c r="CW52" s="198"/>
      <c r="CX52" s="198"/>
      <c r="CY52" s="198"/>
      <c r="CZ52" s="198"/>
      <c r="DA52" s="198"/>
      <c r="DB52" s="198"/>
      <c r="DC52" s="198"/>
      <c r="DD52" s="198"/>
      <c r="DE52" s="198"/>
      <c r="DF52" s="198"/>
      <c r="DG52" s="198"/>
      <c r="DH52" s="198"/>
      <c r="DI52" s="198"/>
      <c r="DJ52" s="198"/>
      <c r="DK52" s="198"/>
      <c r="DL52" s="198"/>
      <c r="DM52" s="198"/>
      <c r="DN52" s="198"/>
      <c r="DO52" s="198"/>
      <c r="DP52" s="198"/>
      <c r="DQ52" s="198"/>
      <c r="DR52" s="198"/>
      <c r="DS52" s="198"/>
      <c r="DT52" s="198"/>
      <c r="DU52" s="198"/>
      <c r="DV52" s="198"/>
      <c r="DW52" s="198"/>
      <c r="DX52" s="198"/>
      <c r="DY52" s="198"/>
      <c r="DZ52" s="198"/>
      <c r="EA52" s="198"/>
      <c r="EB52" s="198"/>
      <c r="EC52" s="198"/>
      <c r="ED52" s="198"/>
      <c r="EE52" s="198"/>
      <c r="EF52" s="198"/>
      <c r="EG52" s="198"/>
      <c r="EH52" s="198"/>
      <c r="EI52" s="198"/>
      <c r="EJ52" s="198"/>
      <c r="EK52" s="198"/>
      <c r="EL52" s="198"/>
      <c r="EM52" s="198"/>
      <c r="EN52" s="198"/>
      <c r="EO52" s="198"/>
      <c r="EP52" s="198"/>
      <c r="EQ52" s="198"/>
      <c r="ER52" s="198"/>
      <c r="ES52" s="198"/>
      <c r="ET52" s="198"/>
      <c r="EU52" s="198"/>
      <c r="EV52" s="198"/>
      <c r="EW52" s="198"/>
      <c r="EX52" s="198"/>
      <c r="EY52" s="198"/>
      <c r="EZ52" s="198"/>
      <c r="FA52" s="198"/>
      <c r="FB52" s="198"/>
      <c r="FC52" s="198"/>
      <c r="FD52" s="198"/>
      <c r="FE52" s="198"/>
      <c r="FF52" s="198"/>
      <c r="FG52" s="198"/>
      <c r="FH52" s="198"/>
      <c r="FI52" s="198"/>
      <c r="FJ52" s="198"/>
      <c r="FK52" s="198"/>
      <c r="FL52" s="198"/>
      <c r="FM52" s="198"/>
      <c r="FN52" s="198"/>
      <c r="FO52" s="198"/>
      <c r="FP52" s="198"/>
      <c r="FQ52" s="198"/>
      <c r="FR52" s="198"/>
      <c r="FS52" s="198"/>
      <c r="FT52" s="198"/>
      <c r="FU52" s="198"/>
      <c r="FV52" s="198"/>
      <c r="FW52" s="198"/>
      <c r="FX52" s="198"/>
      <c r="FY52" s="198"/>
      <c r="FZ52" s="198"/>
      <c r="GA52" s="198"/>
      <c r="GB52" s="198"/>
      <c r="GC52" s="198"/>
      <c r="GD52" s="198"/>
      <c r="GE52" s="198"/>
      <c r="GF52" s="198"/>
      <c r="GG52" s="198"/>
      <c r="GH52" s="198"/>
      <c r="GI52" s="198"/>
      <c r="GJ52" s="198"/>
      <c r="GK52" s="198"/>
      <c r="GL52" s="198"/>
      <c r="GM52" s="198"/>
      <c r="GN52" s="198"/>
      <c r="GO52" s="198"/>
      <c r="GP52" s="198"/>
      <c r="GQ52" s="198"/>
      <c r="GR52" s="198"/>
      <c r="GS52" s="198"/>
      <c r="GT52" s="198"/>
      <c r="GU52" s="198"/>
      <c r="GV52" s="198"/>
      <c r="GW52" s="198"/>
      <c r="GX52" s="198"/>
      <c r="GY52" s="198"/>
      <c r="GZ52" s="198"/>
      <c r="HA52" s="198"/>
      <c r="HB52" s="198"/>
      <c r="HC52" s="198"/>
      <c r="HD52" s="198"/>
      <c r="HE52" s="198"/>
      <c r="HF52" s="198"/>
      <c r="HG52" s="198"/>
      <c r="HH52" s="198"/>
      <c r="HI52" s="198"/>
      <c r="HJ52" s="198"/>
      <c r="HK52" s="198"/>
      <c r="HL52" s="198"/>
      <c r="HM52" s="198"/>
      <c r="HN52" s="198"/>
      <c r="HO52" s="198"/>
      <c r="HP52" s="198"/>
      <c r="HQ52" s="198"/>
      <c r="HR52" s="198"/>
      <c r="HS52" s="198"/>
      <c r="HT52" s="198"/>
      <c r="HU52" s="198"/>
      <c r="HV52" s="198"/>
      <c r="HW52" s="198"/>
      <c r="HX52" s="198"/>
      <c r="HY52" s="198"/>
      <c r="HZ52" s="198"/>
      <c r="IA52" s="198"/>
      <c r="IB52" s="198"/>
      <c r="IC52" s="198"/>
      <c r="ID52" s="198"/>
      <c r="IE52" s="198"/>
      <c r="IF52" s="198"/>
      <c r="IG52" s="198"/>
      <c r="IH52" s="198"/>
      <c r="II52" s="198"/>
      <c r="IJ52" s="198"/>
      <c r="IK52" s="198"/>
      <c r="IL52" s="198"/>
      <c r="IM52" s="198"/>
      <c r="IN52" s="198"/>
      <c r="IO52" s="198"/>
      <c r="IP52" s="198"/>
      <c r="IQ52" s="198"/>
      <c r="IR52" s="198"/>
    </row>
    <row r="53" spans="1:252" ht="15">
      <c r="A53" s="195"/>
      <c r="B53" s="215" t="str">
        <f>'Cashflow Ann'!E14</f>
        <v xml:space="preserve">Cash out on Inventory </v>
      </c>
      <c r="C53" s="195"/>
      <c r="D53" s="218">
        <f ca="1">'Cashflow Ann'!J14</f>
        <v>-251999.99999999997</v>
      </c>
      <c r="E53" s="218">
        <f ca="1">'Cashflow Ann'!K14</f>
        <v>-650999.99999999988</v>
      </c>
      <c r="F53" s="218">
        <f ca="1">'Cashflow Ann'!L14</f>
        <v>-850499.99999999988</v>
      </c>
      <c r="G53" s="218">
        <f ca="1">'Cashflow Ann'!M14</f>
        <v>-1553999.9999999998</v>
      </c>
      <c r="H53" s="218">
        <f ca="1">'Cashflow Ann'!N14</f>
        <v>-2393999.9999999995</v>
      </c>
      <c r="I53" s="195"/>
      <c r="J53" s="195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  <c r="AA53" s="197"/>
      <c r="AB53" s="197"/>
      <c r="AC53" s="197"/>
      <c r="AD53" s="197"/>
      <c r="AE53" s="197"/>
      <c r="AF53" s="197"/>
      <c r="AG53" s="197"/>
      <c r="AH53" s="197"/>
      <c r="AI53" s="197"/>
      <c r="AJ53" s="197"/>
      <c r="AK53" s="197"/>
      <c r="AL53" s="197"/>
      <c r="AM53" s="197"/>
      <c r="AN53" s="197"/>
      <c r="AO53" s="197"/>
      <c r="AP53" s="197"/>
      <c r="AQ53" s="197"/>
      <c r="AR53" s="197"/>
      <c r="AS53" s="197"/>
      <c r="AT53" s="197"/>
      <c r="AU53" s="197"/>
      <c r="AV53" s="197"/>
      <c r="AW53" s="197"/>
      <c r="AX53" s="197"/>
      <c r="AY53" s="197"/>
      <c r="AZ53" s="197"/>
      <c r="BA53" s="197"/>
      <c r="BB53" s="197"/>
      <c r="BC53" s="197"/>
      <c r="BD53" s="197"/>
      <c r="BE53" s="197"/>
      <c r="BF53" s="197"/>
      <c r="BG53" s="197"/>
      <c r="BH53" s="197"/>
      <c r="BI53" s="197"/>
      <c r="BJ53" s="197"/>
      <c r="BK53" s="197"/>
      <c r="BL53" s="197"/>
      <c r="BM53" s="197"/>
      <c r="BN53" s="197"/>
      <c r="BO53" s="197"/>
      <c r="BP53" s="197"/>
      <c r="BQ53" s="197"/>
      <c r="BR53" s="197"/>
      <c r="BS53" s="197"/>
      <c r="BT53" s="197"/>
      <c r="BU53" s="197"/>
      <c r="BV53" s="197"/>
      <c r="BW53" s="197"/>
      <c r="BX53" s="197"/>
      <c r="BY53" s="197"/>
      <c r="BZ53" s="197"/>
      <c r="CA53" s="197"/>
      <c r="CB53" s="197"/>
      <c r="CC53" s="197"/>
      <c r="CD53" s="197"/>
      <c r="CE53" s="197"/>
      <c r="CF53" s="197"/>
      <c r="CG53" s="197"/>
      <c r="CH53" s="197"/>
      <c r="CI53" s="197"/>
      <c r="CJ53" s="197"/>
      <c r="CK53" s="197"/>
      <c r="CL53" s="197"/>
      <c r="CM53" s="197"/>
      <c r="CN53" s="197"/>
      <c r="CO53" s="197"/>
      <c r="CP53" s="197"/>
      <c r="CQ53" s="197"/>
      <c r="CR53" s="197"/>
      <c r="CS53" s="197"/>
      <c r="CT53" s="197"/>
      <c r="CU53" s="197"/>
      <c r="CV53" s="197"/>
      <c r="CW53" s="197"/>
      <c r="CX53" s="197"/>
      <c r="CY53" s="197"/>
      <c r="CZ53" s="197"/>
      <c r="DA53" s="197"/>
      <c r="DB53" s="197"/>
      <c r="DC53" s="197"/>
      <c r="DD53" s="197"/>
      <c r="DE53" s="197"/>
      <c r="DF53" s="197"/>
      <c r="DG53" s="197"/>
      <c r="DH53" s="197"/>
      <c r="DI53" s="197"/>
      <c r="DJ53" s="197"/>
      <c r="DK53" s="197"/>
      <c r="DL53" s="197"/>
      <c r="DM53" s="197"/>
      <c r="DN53" s="197"/>
      <c r="DO53" s="197"/>
      <c r="DP53" s="197"/>
      <c r="DQ53" s="197"/>
      <c r="DR53" s="197"/>
      <c r="DS53" s="197"/>
      <c r="DT53" s="197"/>
      <c r="DU53" s="197"/>
      <c r="DV53" s="197"/>
      <c r="DW53" s="197"/>
      <c r="DX53" s="197"/>
      <c r="DY53" s="197"/>
      <c r="DZ53" s="197"/>
      <c r="EA53" s="197"/>
      <c r="EB53" s="197"/>
      <c r="EC53" s="197"/>
      <c r="ED53" s="197"/>
      <c r="EE53" s="197"/>
      <c r="EF53" s="197"/>
      <c r="EG53" s="197"/>
      <c r="EH53" s="197"/>
      <c r="EI53" s="197"/>
      <c r="EJ53" s="197"/>
      <c r="EK53" s="197"/>
      <c r="EL53" s="197"/>
      <c r="EM53" s="197"/>
      <c r="EN53" s="197"/>
      <c r="EO53" s="197"/>
      <c r="EP53" s="197"/>
      <c r="EQ53" s="197"/>
      <c r="ER53" s="197"/>
      <c r="ES53" s="197"/>
      <c r="ET53" s="197"/>
      <c r="EU53" s="197"/>
      <c r="EV53" s="197"/>
      <c r="EW53" s="197"/>
      <c r="EX53" s="197"/>
      <c r="EY53" s="197"/>
      <c r="EZ53" s="197"/>
      <c r="FA53" s="197"/>
      <c r="FB53" s="197"/>
      <c r="FC53" s="197"/>
      <c r="FD53" s="197"/>
      <c r="FE53" s="197"/>
      <c r="FF53" s="197"/>
      <c r="FG53" s="197"/>
      <c r="FH53" s="197"/>
      <c r="FI53" s="197"/>
      <c r="FJ53" s="197"/>
      <c r="FK53" s="197"/>
      <c r="FL53" s="197"/>
      <c r="FM53" s="197"/>
      <c r="FN53" s="197"/>
      <c r="FO53" s="197"/>
      <c r="FP53" s="197"/>
      <c r="FQ53" s="197"/>
      <c r="FR53" s="197"/>
      <c r="FS53" s="197"/>
      <c r="FT53" s="197"/>
      <c r="FU53" s="197"/>
      <c r="FV53" s="197"/>
      <c r="FW53" s="197"/>
      <c r="FX53" s="197"/>
      <c r="FY53" s="197"/>
      <c r="FZ53" s="197"/>
      <c r="GA53" s="197"/>
      <c r="GB53" s="197"/>
      <c r="GC53" s="197"/>
      <c r="GD53" s="197"/>
      <c r="GE53" s="197"/>
      <c r="GF53" s="197"/>
      <c r="GG53" s="197"/>
      <c r="GH53" s="197"/>
      <c r="GI53" s="197"/>
      <c r="GJ53" s="197"/>
      <c r="GK53" s="197"/>
      <c r="GL53" s="197"/>
      <c r="GM53" s="197"/>
      <c r="GN53" s="197"/>
      <c r="GO53" s="197"/>
      <c r="GP53" s="197"/>
      <c r="GQ53" s="197"/>
      <c r="GR53" s="197"/>
      <c r="GS53" s="197"/>
      <c r="GT53" s="197"/>
      <c r="GU53" s="197"/>
      <c r="GV53" s="197"/>
      <c r="GW53" s="197"/>
      <c r="GX53" s="197"/>
      <c r="GY53" s="197"/>
      <c r="GZ53" s="197"/>
      <c r="HA53" s="197"/>
      <c r="HB53" s="197"/>
      <c r="HC53" s="197"/>
      <c r="HD53" s="197"/>
      <c r="HE53" s="197"/>
      <c r="HF53" s="197"/>
      <c r="HG53" s="197"/>
      <c r="HH53" s="197"/>
      <c r="HI53" s="197"/>
      <c r="HJ53" s="197"/>
      <c r="HK53" s="197"/>
      <c r="HL53" s="197"/>
      <c r="HM53" s="197"/>
      <c r="HN53" s="197"/>
      <c r="HO53" s="197"/>
      <c r="HP53" s="197"/>
      <c r="HQ53" s="197"/>
      <c r="HR53" s="197"/>
      <c r="HS53" s="197"/>
      <c r="HT53" s="197"/>
      <c r="HU53" s="197"/>
      <c r="HV53" s="197"/>
      <c r="HW53" s="197"/>
      <c r="HX53" s="197"/>
      <c r="HY53" s="197"/>
      <c r="HZ53" s="197"/>
      <c r="IA53" s="197"/>
      <c r="IB53" s="197"/>
      <c r="IC53" s="197"/>
      <c r="ID53" s="197"/>
      <c r="IE53" s="197"/>
      <c r="IF53" s="197"/>
      <c r="IG53" s="197"/>
      <c r="IH53" s="197"/>
      <c r="II53" s="197"/>
      <c r="IJ53" s="197"/>
      <c r="IK53" s="197"/>
      <c r="IL53" s="197"/>
      <c r="IM53" s="197"/>
      <c r="IN53" s="197"/>
      <c r="IO53" s="197"/>
      <c r="IP53" s="197"/>
      <c r="IQ53" s="197"/>
      <c r="IR53" s="197"/>
    </row>
    <row r="54" spans="1:252" ht="15">
      <c r="A54" s="195"/>
      <c r="B54" s="223" t="str">
        <f>'Cashflow Ann'!E15</f>
        <v>CF after capex</v>
      </c>
      <c r="C54" s="222"/>
      <c r="D54" s="217">
        <f ca="1">'Cashflow Ann'!J15</f>
        <v>1246437.4488265985</v>
      </c>
      <c r="E54" s="217">
        <f ca="1">'Cashflow Ann'!K15</f>
        <v>4526581.796398608</v>
      </c>
      <c r="F54" s="217">
        <f ca="1">'Cashflow Ann'!L15</f>
        <v>13475499.920362335</v>
      </c>
      <c r="G54" s="217">
        <f ca="1">'Cashflow Ann'!M15</f>
        <v>29173015.060278632</v>
      </c>
      <c r="H54" s="217">
        <f ca="1">'Cashflow Ann'!N15</f>
        <v>59426105.632354617</v>
      </c>
      <c r="I54" s="195"/>
      <c r="J54" s="195"/>
      <c r="K54" s="197"/>
      <c r="L54" s="197"/>
      <c r="M54" s="197"/>
      <c r="N54" s="197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  <c r="AA54" s="197"/>
      <c r="AB54" s="197"/>
      <c r="AC54" s="197"/>
      <c r="AD54" s="197"/>
      <c r="AE54" s="197"/>
      <c r="AF54" s="197"/>
      <c r="AG54" s="197"/>
      <c r="AH54" s="197"/>
      <c r="AI54" s="197"/>
      <c r="AJ54" s="197"/>
      <c r="AK54" s="197"/>
      <c r="AL54" s="197"/>
      <c r="AM54" s="197"/>
      <c r="AN54" s="197"/>
      <c r="AO54" s="197"/>
      <c r="AP54" s="197"/>
      <c r="AQ54" s="197"/>
      <c r="AR54" s="197"/>
      <c r="AS54" s="197"/>
      <c r="AT54" s="197"/>
      <c r="AU54" s="197"/>
      <c r="AV54" s="197"/>
      <c r="AW54" s="197"/>
      <c r="AX54" s="197"/>
      <c r="AY54" s="197"/>
      <c r="AZ54" s="197"/>
      <c r="BA54" s="197"/>
      <c r="BB54" s="197"/>
      <c r="BC54" s="197"/>
      <c r="BD54" s="197"/>
      <c r="BE54" s="197"/>
      <c r="BF54" s="197"/>
      <c r="BG54" s="197"/>
      <c r="BH54" s="197"/>
      <c r="BI54" s="197"/>
      <c r="BJ54" s="197"/>
      <c r="BK54" s="197"/>
      <c r="BL54" s="197"/>
      <c r="BM54" s="197"/>
      <c r="BN54" s="197"/>
      <c r="BO54" s="197"/>
      <c r="BP54" s="197"/>
      <c r="BQ54" s="197"/>
      <c r="BR54" s="197"/>
      <c r="BS54" s="197"/>
      <c r="BT54" s="197"/>
      <c r="BU54" s="197"/>
      <c r="BV54" s="197"/>
      <c r="BW54" s="197"/>
      <c r="BX54" s="197"/>
      <c r="BY54" s="197"/>
      <c r="BZ54" s="197"/>
      <c r="CA54" s="197"/>
      <c r="CB54" s="197"/>
      <c r="CC54" s="197"/>
      <c r="CD54" s="197"/>
      <c r="CE54" s="197"/>
      <c r="CF54" s="197"/>
      <c r="CG54" s="197"/>
      <c r="CH54" s="197"/>
      <c r="CI54" s="197"/>
      <c r="CJ54" s="197"/>
      <c r="CK54" s="197"/>
      <c r="CL54" s="197"/>
      <c r="CM54" s="197"/>
      <c r="CN54" s="197"/>
      <c r="CO54" s="197"/>
      <c r="CP54" s="197"/>
      <c r="CQ54" s="197"/>
      <c r="CR54" s="197"/>
      <c r="CS54" s="197"/>
      <c r="CT54" s="197"/>
      <c r="CU54" s="197"/>
      <c r="CV54" s="197"/>
      <c r="CW54" s="197"/>
      <c r="CX54" s="197"/>
      <c r="CY54" s="197"/>
      <c r="CZ54" s="197"/>
      <c r="DA54" s="197"/>
      <c r="DB54" s="197"/>
      <c r="DC54" s="197"/>
      <c r="DD54" s="197"/>
      <c r="DE54" s="197"/>
      <c r="DF54" s="197"/>
      <c r="DG54" s="197"/>
      <c r="DH54" s="197"/>
      <c r="DI54" s="197"/>
      <c r="DJ54" s="197"/>
      <c r="DK54" s="197"/>
      <c r="DL54" s="197"/>
      <c r="DM54" s="197"/>
      <c r="DN54" s="197"/>
      <c r="DO54" s="197"/>
      <c r="DP54" s="197"/>
      <c r="DQ54" s="197"/>
      <c r="DR54" s="197"/>
      <c r="DS54" s="197"/>
      <c r="DT54" s="197"/>
      <c r="DU54" s="197"/>
      <c r="DV54" s="197"/>
      <c r="DW54" s="197"/>
      <c r="DX54" s="197"/>
      <c r="DY54" s="197"/>
      <c r="DZ54" s="197"/>
      <c r="EA54" s="197"/>
      <c r="EB54" s="197"/>
      <c r="EC54" s="197"/>
      <c r="ED54" s="197"/>
      <c r="EE54" s="197"/>
      <c r="EF54" s="197"/>
      <c r="EG54" s="197"/>
      <c r="EH54" s="197"/>
      <c r="EI54" s="197"/>
      <c r="EJ54" s="197"/>
      <c r="EK54" s="197"/>
      <c r="EL54" s="197"/>
      <c r="EM54" s="197"/>
      <c r="EN54" s="197"/>
      <c r="EO54" s="197"/>
      <c r="EP54" s="197"/>
      <c r="EQ54" s="197"/>
      <c r="ER54" s="197"/>
      <c r="ES54" s="197"/>
      <c r="ET54" s="197"/>
      <c r="EU54" s="197"/>
      <c r="EV54" s="197"/>
      <c r="EW54" s="197"/>
      <c r="EX54" s="197"/>
      <c r="EY54" s="197"/>
      <c r="EZ54" s="197"/>
      <c r="FA54" s="197"/>
      <c r="FB54" s="197"/>
      <c r="FC54" s="197"/>
      <c r="FD54" s="197"/>
      <c r="FE54" s="197"/>
      <c r="FF54" s="197"/>
      <c r="FG54" s="197"/>
      <c r="FH54" s="197"/>
      <c r="FI54" s="197"/>
      <c r="FJ54" s="197"/>
      <c r="FK54" s="197"/>
      <c r="FL54" s="197"/>
      <c r="FM54" s="197"/>
      <c r="FN54" s="197"/>
      <c r="FO54" s="197"/>
      <c r="FP54" s="197"/>
      <c r="FQ54" s="197"/>
      <c r="FR54" s="197"/>
      <c r="FS54" s="197"/>
      <c r="FT54" s="197"/>
      <c r="FU54" s="197"/>
      <c r="FV54" s="197"/>
      <c r="FW54" s="197"/>
      <c r="FX54" s="197"/>
      <c r="FY54" s="197"/>
      <c r="FZ54" s="197"/>
      <c r="GA54" s="197"/>
      <c r="GB54" s="197"/>
      <c r="GC54" s="197"/>
      <c r="GD54" s="197"/>
      <c r="GE54" s="197"/>
      <c r="GF54" s="197"/>
      <c r="GG54" s="197"/>
      <c r="GH54" s="197"/>
      <c r="GI54" s="197"/>
      <c r="GJ54" s="197"/>
      <c r="GK54" s="197"/>
      <c r="GL54" s="197"/>
      <c r="GM54" s="197"/>
      <c r="GN54" s="197"/>
      <c r="GO54" s="197"/>
      <c r="GP54" s="197"/>
      <c r="GQ54" s="197"/>
      <c r="GR54" s="197"/>
      <c r="GS54" s="197"/>
      <c r="GT54" s="197"/>
      <c r="GU54" s="197"/>
      <c r="GV54" s="197"/>
      <c r="GW54" s="197"/>
      <c r="GX54" s="197"/>
      <c r="GY54" s="197"/>
      <c r="GZ54" s="197"/>
      <c r="HA54" s="197"/>
      <c r="HB54" s="197"/>
      <c r="HC54" s="197"/>
      <c r="HD54" s="197"/>
      <c r="HE54" s="197"/>
      <c r="HF54" s="197"/>
      <c r="HG54" s="197"/>
      <c r="HH54" s="197"/>
      <c r="HI54" s="197"/>
      <c r="HJ54" s="197"/>
      <c r="HK54" s="197"/>
      <c r="HL54" s="197"/>
      <c r="HM54" s="197"/>
      <c r="HN54" s="197"/>
      <c r="HO54" s="197"/>
      <c r="HP54" s="197"/>
      <c r="HQ54" s="197"/>
      <c r="HR54" s="197"/>
      <c r="HS54" s="197"/>
      <c r="HT54" s="197"/>
      <c r="HU54" s="197"/>
      <c r="HV54" s="197"/>
      <c r="HW54" s="197"/>
      <c r="HX54" s="197"/>
      <c r="HY54" s="197"/>
      <c r="HZ54" s="197"/>
      <c r="IA54" s="197"/>
      <c r="IB54" s="197"/>
      <c r="IC54" s="197"/>
      <c r="ID54" s="197"/>
      <c r="IE54" s="197"/>
      <c r="IF54" s="197"/>
      <c r="IG54" s="197"/>
      <c r="IH54" s="197"/>
      <c r="II54" s="197"/>
      <c r="IJ54" s="197"/>
      <c r="IK54" s="197"/>
      <c r="IL54" s="197"/>
      <c r="IM54" s="197"/>
      <c r="IN54" s="197"/>
      <c r="IO54" s="197"/>
      <c r="IP54" s="197"/>
      <c r="IQ54" s="197"/>
      <c r="IR54" s="197"/>
    </row>
    <row r="55" spans="1:252" ht="15">
      <c r="A55" s="195"/>
      <c r="B55"/>
      <c r="C55" s="195"/>
      <c r="D55" s="218"/>
      <c r="E55" s="218"/>
      <c r="F55" s="218"/>
      <c r="G55" s="218"/>
      <c r="H55" s="218"/>
      <c r="I55" s="195"/>
      <c r="J55" s="195"/>
      <c r="K55" s="197"/>
      <c r="L55" s="197"/>
      <c r="M55" s="197"/>
      <c r="N55" s="197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  <c r="AA55" s="197"/>
      <c r="AB55" s="197"/>
      <c r="AC55" s="197"/>
      <c r="AD55" s="197"/>
      <c r="AE55" s="197"/>
      <c r="AF55" s="197"/>
      <c r="AG55" s="197"/>
      <c r="AH55" s="197"/>
      <c r="AI55" s="197"/>
      <c r="AJ55" s="197"/>
      <c r="AK55" s="197"/>
      <c r="AL55" s="197"/>
      <c r="AM55" s="197"/>
      <c r="AN55" s="197"/>
      <c r="AO55" s="197"/>
      <c r="AP55" s="197"/>
      <c r="AQ55" s="197"/>
      <c r="AR55" s="197"/>
      <c r="AS55" s="197"/>
      <c r="AT55" s="197"/>
      <c r="AU55" s="197"/>
      <c r="AV55" s="197"/>
      <c r="AW55" s="197"/>
      <c r="AX55" s="197"/>
      <c r="AY55" s="197"/>
      <c r="AZ55" s="197"/>
      <c r="BA55" s="197"/>
      <c r="BB55" s="197"/>
      <c r="BC55" s="197"/>
      <c r="BD55" s="197"/>
      <c r="BE55" s="197"/>
      <c r="BF55" s="197"/>
      <c r="BG55" s="197"/>
      <c r="BH55" s="197"/>
      <c r="BI55" s="197"/>
      <c r="BJ55" s="197"/>
      <c r="BK55" s="197"/>
      <c r="BL55" s="197"/>
      <c r="BM55" s="197"/>
      <c r="BN55" s="197"/>
      <c r="BO55" s="197"/>
      <c r="BP55" s="197"/>
      <c r="BQ55" s="197"/>
      <c r="BR55" s="197"/>
      <c r="BS55" s="197"/>
      <c r="BT55" s="197"/>
      <c r="BU55" s="197"/>
      <c r="BV55" s="197"/>
      <c r="BW55" s="197"/>
      <c r="BX55" s="197"/>
      <c r="BY55" s="197"/>
      <c r="BZ55" s="197"/>
      <c r="CA55" s="197"/>
      <c r="CB55" s="197"/>
      <c r="CC55" s="197"/>
      <c r="CD55" s="197"/>
      <c r="CE55" s="197"/>
      <c r="CF55" s="197"/>
      <c r="CG55" s="197"/>
      <c r="CH55" s="197"/>
      <c r="CI55" s="197"/>
      <c r="CJ55" s="197"/>
      <c r="CK55" s="197"/>
      <c r="CL55" s="197"/>
      <c r="CM55" s="197"/>
      <c r="CN55" s="197"/>
      <c r="CO55" s="197"/>
      <c r="CP55" s="197"/>
      <c r="CQ55" s="197"/>
      <c r="CR55" s="197"/>
      <c r="CS55" s="197"/>
      <c r="CT55" s="197"/>
      <c r="CU55" s="197"/>
      <c r="CV55" s="197"/>
      <c r="CW55" s="197"/>
      <c r="CX55" s="197"/>
      <c r="CY55" s="197"/>
      <c r="CZ55" s="197"/>
      <c r="DA55" s="197"/>
      <c r="DB55" s="197"/>
      <c r="DC55" s="197"/>
      <c r="DD55" s="197"/>
      <c r="DE55" s="197"/>
      <c r="DF55" s="197"/>
      <c r="DG55" s="197"/>
      <c r="DH55" s="197"/>
      <c r="DI55" s="197"/>
      <c r="DJ55" s="197"/>
      <c r="DK55" s="197"/>
      <c r="DL55" s="197"/>
      <c r="DM55" s="197"/>
      <c r="DN55" s="197"/>
      <c r="DO55" s="197"/>
      <c r="DP55" s="197"/>
      <c r="DQ55" s="197"/>
      <c r="DR55" s="197"/>
      <c r="DS55" s="197"/>
      <c r="DT55" s="197"/>
      <c r="DU55" s="197"/>
      <c r="DV55" s="197"/>
      <c r="DW55" s="197"/>
      <c r="DX55" s="197"/>
      <c r="DY55" s="197"/>
      <c r="DZ55" s="197"/>
      <c r="EA55" s="197"/>
      <c r="EB55" s="197"/>
      <c r="EC55" s="197"/>
      <c r="ED55" s="197"/>
      <c r="EE55" s="197"/>
      <c r="EF55" s="197"/>
      <c r="EG55" s="197"/>
      <c r="EH55" s="197"/>
      <c r="EI55" s="197"/>
      <c r="EJ55" s="197"/>
      <c r="EK55" s="197"/>
      <c r="EL55" s="197"/>
      <c r="EM55" s="197"/>
      <c r="EN55" s="197"/>
      <c r="EO55" s="197"/>
      <c r="EP55" s="197"/>
      <c r="EQ55" s="197"/>
      <c r="ER55" s="197"/>
      <c r="ES55" s="197"/>
      <c r="ET55" s="197"/>
      <c r="EU55" s="197"/>
      <c r="EV55" s="197"/>
      <c r="EW55" s="197"/>
      <c r="EX55" s="197"/>
      <c r="EY55" s="197"/>
      <c r="EZ55" s="197"/>
      <c r="FA55" s="197"/>
      <c r="FB55" s="197"/>
      <c r="FC55" s="197"/>
      <c r="FD55" s="197"/>
      <c r="FE55" s="197"/>
      <c r="FF55" s="197"/>
      <c r="FG55" s="197"/>
      <c r="FH55" s="197"/>
      <c r="FI55" s="197"/>
      <c r="FJ55" s="197"/>
      <c r="FK55" s="197"/>
      <c r="FL55" s="197"/>
      <c r="FM55" s="197"/>
      <c r="FN55" s="197"/>
      <c r="FO55" s="197"/>
      <c r="FP55" s="197"/>
      <c r="FQ55" s="197"/>
      <c r="FR55" s="197"/>
      <c r="FS55" s="197"/>
      <c r="FT55" s="197"/>
      <c r="FU55" s="197"/>
      <c r="FV55" s="197"/>
      <c r="FW55" s="197"/>
      <c r="FX55" s="197"/>
      <c r="FY55" s="197"/>
      <c r="FZ55" s="197"/>
      <c r="GA55" s="197"/>
      <c r="GB55" s="197"/>
      <c r="GC55" s="197"/>
      <c r="GD55" s="197"/>
      <c r="GE55" s="197"/>
      <c r="GF55" s="197"/>
      <c r="GG55" s="197"/>
      <c r="GH55" s="197"/>
      <c r="GI55" s="197"/>
      <c r="GJ55" s="197"/>
      <c r="GK55" s="197"/>
      <c r="GL55" s="197"/>
      <c r="GM55" s="197"/>
      <c r="GN55" s="197"/>
      <c r="GO55" s="197"/>
      <c r="GP55" s="197"/>
      <c r="GQ55" s="197"/>
      <c r="GR55" s="197"/>
      <c r="GS55" s="197"/>
      <c r="GT55" s="197"/>
      <c r="GU55" s="197"/>
      <c r="GV55" s="197"/>
      <c r="GW55" s="197"/>
      <c r="GX55" s="197"/>
      <c r="GY55" s="197"/>
      <c r="GZ55" s="197"/>
      <c r="HA55" s="197"/>
      <c r="HB55" s="197"/>
      <c r="HC55" s="197"/>
      <c r="HD55" s="197"/>
      <c r="HE55" s="197"/>
      <c r="HF55" s="197"/>
      <c r="HG55" s="197"/>
      <c r="HH55" s="197"/>
      <c r="HI55" s="197"/>
      <c r="HJ55" s="197"/>
      <c r="HK55" s="197"/>
      <c r="HL55" s="197"/>
      <c r="HM55" s="197"/>
      <c r="HN55" s="197"/>
      <c r="HO55" s="197"/>
      <c r="HP55" s="197"/>
      <c r="HQ55" s="197"/>
      <c r="HR55" s="197"/>
      <c r="HS55" s="197"/>
      <c r="HT55" s="197"/>
      <c r="HU55" s="197"/>
      <c r="HV55" s="197"/>
      <c r="HW55" s="197"/>
      <c r="HX55" s="197"/>
      <c r="HY55" s="197"/>
      <c r="HZ55" s="197"/>
      <c r="IA55" s="197"/>
      <c r="IB55" s="197"/>
      <c r="IC55" s="197"/>
      <c r="ID55" s="197"/>
      <c r="IE55" s="197"/>
      <c r="IF55" s="197"/>
      <c r="IG55" s="197"/>
      <c r="IH55" s="197"/>
      <c r="II55" s="197"/>
      <c r="IJ55" s="197"/>
      <c r="IK55" s="197"/>
      <c r="IL55" s="197"/>
      <c r="IM55" s="197"/>
      <c r="IN55" s="197"/>
      <c r="IO55" s="197"/>
      <c r="IP55" s="197"/>
      <c r="IQ55" s="197"/>
      <c r="IR55" s="197"/>
    </row>
    <row r="56" spans="1:252" ht="15">
      <c r="A56" s="195"/>
      <c r="B56" s="215" t="str">
        <f>'Cashflow Ann'!E17</f>
        <v>Supply Chain Finance drawdown</v>
      </c>
      <c r="C56" s="195"/>
      <c r="D56" s="218">
        <f ca="1">'Cashflow Ann'!J17</f>
        <v>0</v>
      </c>
      <c r="E56" s="218">
        <f ca="1">'Cashflow Ann'!K17</f>
        <v>0</v>
      </c>
      <c r="F56" s="218">
        <f ca="1">'Cashflow Ann'!L17</f>
        <v>0</v>
      </c>
      <c r="G56" s="218">
        <f ca="1">'Cashflow Ann'!M17</f>
        <v>0</v>
      </c>
      <c r="H56" s="218">
        <f ca="1">'Cashflow Ann'!N17</f>
        <v>0</v>
      </c>
      <c r="I56" s="195"/>
      <c r="J56" s="195"/>
      <c r="K56" s="197"/>
      <c r="L56" s="197"/>
      <c r="M56" s="197"/>
      <c r="N56" s="197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  <c r="AA56" s="197"/>
      <c r="AB56" s="197"/>
      <c r="AC56" s="197"/>
      <c r="AD56" s="197"/>
      <c r="AE56" s="197"/>
      <c r="AF56" s="197"/>
      <c r="AG56" s="197"/>
      <c r="AH56" s="197"/>
      <c r="AI56" s="197"/>
      <c r="AJ56" s="197"/>
      <c r="AK56" s="197"/>
      <c r="AL56" s="197"/>
      <c r="AM56" s="197"/>
      <c r="AN56" s="197"/>
      <c r="AO56" s="197"/>
      <c r="AP56" s="197"/>
      <c r="AQ56" s="197"/>
      <c r="AR56" s="197"/>
      <c r="AS56" s="197"/>
      <c r="AT56" s="197"/>
      <c r="AU56" s="197"/>
      <c r="AV56" s="197"/>
      <c r="AW56" s="197"/>
      <c r="AX56" s="197"/>
      <c r="AY56" s="197"/>
      <c r="AZ56" s="197"/>
      <c r="BA56" s="197"/>
      <c r="BB56" s="197"/>
      <c r="BC56" s="197"/>
      <c r="BD56" s="197"/>
      <c r="BE56" s="197"/>
      <c r="BF56" s="197"/>
      <c r="BG56" s="197"/>
      <c r="BH56" s="197"/>
      <c r="BI56" s="197"/>
      <c r="BJ56" s="197"/>
      <c r="BK56" s="197"/>
      <c r="BL56" s="197"/>
      <c r="BM56" s="197"/>
      <c r="BN56" s="197"/>
      <c r="BO56" s="197"/>
      <c r="BP56" s="197"/>
      <c r="BQ56" s="197"/>
      <c r="BR56" s="197"/>
      <c r="BS56" s="197"/>
      <c r="BT56" s="197"/>
      <c r="BU56" s="197"/>
      <c r="BV56" s="197"/>
      <c r="BW56" s="197"/>
      <c r="BX56" s="197"/>
      <c r="BY56" s="197"/>
      <c r="BZ56" s="197"/>
      <c r="CA56" s="197"/>
      <c r="CB56" s="197"/>
      <c r="CC56" s="197"/>
      <c r="CD56" s="197"/>
      <c r="CE56" s="197"/>
      <c r="CF56" s="197"/>
      <c r="CG56" s="197"/>
      <c r="CH56" s="197"/>
      <c r="CI56" s="197"/>
      <c r="CJ56" s="197"/>
      <c r="CK56" s="197"/>
      <c r="CL56" s="197"/>
      <c r="CM56" s="197"/>
      <c r="CN56" s="197"/>
      <c r="CO56" s="197"/>
      <c r="CP56" s="197"/>
      <c r="CQ56" s="197"/>
      <c r="CR56" s="197"/>
      <c r="CS56" s="197"/>
      <c r="CT56" s="197"/>
      <c r="CU56" s="197"/>
      <c r="CV56" s="197"/>
      <c r="CW56" s="197"/>
      <c r="CX56" s="197"/>
      <c r="CY56" s="197"/>
      <c r="CZ56" s="197"/>
      <c r="DA56" s="197"/>
      <c r="DB56" s="197"/>
      <c r="DC56" s="197"/>
      <c r="DD56" s="197"/>
      <c r="DE56" s="197"/>
      <c r="DF56" s="197"/>
      <c r="DG56" s="197"/>
      <c r="DH56" s="197"/>
      <c r="DI56" s="197"/>
      <c r="DJ56" s="197"/>
      <c r="DK56" s="197"/>
      <c r="DL56" s="197"/>
      <c r="DM56" s="197"/>
      <c r="DN56" s="197"/>
      <c r="DO56" s="197"/>
      <c r="DP56" s="197"/>
      <c r="DQ56" s="197"/>
      <c r="DR56" s="197"/>
      <c r="DS56" s="197"/>
      <c r="DT56" s="197"/>
      <c r="DU56" s="197"/>
      <c r="DV56" s="197"/>
      <c r="DW56" s="197"/>
      <c r="DX56" s="197"/>
      <c r="DY56" s="197"/>
      <c r="DZ56" s="197"/>
      <c r="EA56" s="197"/>
      <c r="EB56" s="197"/>
      <c r="EC56" s="197"/>
      <c r="ED56" s="197"/>
      <c r="EE56" s="197"/>
      <c r="EF56" s="197"/>
      <c r="EG56" s="197"/>
      <c r="EH56" s="197"/>
      <c r="EI56" s="197"/>
      <c r="EJ56" s="197"/>
      <c r="EK56" s="197"/>
      <c r="EL56" s="197"/>
      <c r="EM56" s="197"/>
      <c r="EN56" s="197"/>
      <c r="EO56" s="197"/>
      <c r="EP56" s="197"/>
      <c r="EQ56" s="197"/>
      <c r="ER56" s="197"/>
      <c r="ES56" s="197"/>
      <c r="ET56" s="197"/>
      <c r="EU56" s="197"/>
      <c r="EV56" s="197"/>
      <c r="EW56" s="197"/>
      <c r="EX56" s="197"/>
      <c r="EY56" s="197"/>
      <c r="EZ56" s="197"/>
      <c r="FA56" s="197"/>
      <c r="FB56" s="197"/>
      <c r="FC56" s="197"/>
      <c r="FD56" s="197"/>
      <c r="FE56" s="197"/>
      <c r="FF56" s="197"/>
      <c r="FG56" s="197"/>
      <c r="FH56" s="197"/>
      <c r="FI56" s="197"/>
      <c r="FJ56" s="197"/>
      <c r="FK56" s="197"/>
      <c r="FL56" s="197"/>
      <c r="FM56" s="197"/>
      <c r="FN56" s="197"/>
      <c r="FO56" s="197"/>
      <c r="FP56" s="197"/>
      <c r="FQ56" s="197"/>
      <c r="FR56" s="197"/>
      <c r="FS56" s="197"/>
      <c r="FT56" s="197"/>
      <c r="FU56" s="197"/>
      <c r="FV56" s="197"/>
      <c r="FW56" s="197"/>
      <c r="FX56" s="197"/>
      <c r="FY56" s="197"/>
      <c r="FZ56" s="197"/>
      <c r="GA56" s="197"/>
      <c r="GB56" s="197"/>
      <c r="GC56" s="197"/>
      <c r="GD56" s="197"/>
      <c r="GE56" s="197"/>
      <c r="GF56" s="197"/>
      <c r="GG56" s="197"/>
      <c r="GH56" s="197"/>
      <c r="GI56" s="197"/>
      <c r="GJ56" s="197"/>
      <c r="GK56" s="197"/>
      <c r="GL56" s="197"/>
      <c r="GM56" s="197"/>
      <c r="GN56" s="197"/>
      <c r="GO56" s="197"/>
      <c r="GP56" s="197"/>
      <c r="GQ56" s="197"/>
      <c r="GR56" s="197"/>
      <c r="GS56" s="197"/>
      <c r="GT56" s="197"/>
      <c r="GU56" s="197"/>
      <c r="GV56" s="197"/>
      <c r="GW56" s="197"/>
      <c r="GX56" s="197"/>
      <c r="GY56" s="197"/>
      <c r="GZ56" s="197"/>
      <c r="HA56" s="197"/>
      <c r="HB56" s="197"/>
      <c r="HC56" s="197"/>
      <c r="HD56" s="197"/>
      <c r="HE56" s="197"/>
      <c r="HF56" s="197"/>
      <c r="HG56" s="197"/>
      <c r="HH56" s="197"/>
      <c r="HI56" s="197"/>
      <c r="HJ56" s="197"/>
      <c r="HK56" s="197"/>
      <c r="HL56" s="197"/>
      <c r="HM56" s="197"/>
      <c r="HN56" s="197"/>
      <c r="HO56" s="197"/>
      <c r="HP56" s="197"/>
      <c r="HQ56" s="197"/>
      <c r="HR56" s="197"/>
      <c r="HS56" s="197"/>
      <c r="HT56" s="197"/>
      <c r="HU56" s="197"/>
      <c r="HV56" s="197"/>
      <c r="HW56" s="197"/>
      <c r="HX56" s="197"/>
      <c r="HY56" s="197"/>
      <c r="HZ56" s="197"/>
      <c r="IA56" s="197"/>
      <c r="IB56" s="197"/>
      <c r="IC56" s="197"/>
      <c r="ID56" s="197"/>
      <c r="IE56" s="197"/>
      <c r="IF56" s="197"/>
      <c r="IG56" s="197"/>
      <c r="IH56" s="197"/>
      <c r="II56" s="197"/>
      <c r="IJ56" s="197"/>
      <c r="IK56" s="197"/>
      <c r="IL56" s="197"/>
      <c r="IM56" s="197"/>
      <c r="IN56" s="197"/>
      <c r="IO56" s="197"/>
      <c r="IP56" s="197"/>
      <c r="IQ56" s="197"/>
      <c r="IR56" s="197"/>
    </row>
    <row r="57" spans="1:252" ht="15">
      <c r="A57" s="195"/>
      <c r="B57" s="215" t="str">
        <f>'Cashflow Ann'!E18</f>
        <v xml:space="preserve">Supply Chain Finance principal repayment </v>
      </c>
      <c r="C57" s="195"/>
      <c r="D57" s="218">
        <f ca="1">'Cashflow Ann'!J18</f>
        <v>0</v>
      </c>
      <c r="E57" s="218">
        <f ca="1">'Cashflow Ann'!K18</f>
        <v>0</v>
      </c>
      <c r="F57" s="218">
        <f ca="1">'Cashflow Ann'!L18</f>
        <v>0</v>
      </c>
      <c r="G57" s="218">
        <f ca="1">'Cashflow Ann'!M18</f>
        <v>0</v>
      </c>
      <c r="H57" s="218">
        <f ca="1">'Cashflow Ann'!N18</f>
        <v>0</v>
      </c>
      <c r="I57" s="195"/>
      <c r="J57" s="195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  <c r="AA57" s="197"/>
      <c r="AB57" s="197"/>
      <c r="AC57" s="197"/>
      <c r="AD57" s="197"/>
      <c r="AE57" s="197"/>
      <c r="AF57" s="197"/>
      <c r="AG57" s="197"/>
      <c r="AH57" s="197"/>
      <c r="AI57" s="197"/>
      <c r="AJ57" s="197"/>
      <c r="AK57" s="197"/>
      <c r="AL57" s="197"/>
      <c r="AM57" s="197"/>
      <c r="AN57" s="197"/>
      <c r="AO57" s="197"/>
      <c r="AP57" s="197"/>
      <c r="AQ57" s="197"/>
      <c r="AR57" s="197"/>
      <c r="AS57" s="197"/>
      <c r="AT57" s="197"/>
      <c r="AU57" s="197"/>
      <c r="AV57" s="197"/>
      <c r="AW57" s="197"/>
      <c r="AX57" s="197"/>
      <c r="AY57" s="197"/>
      <c r="AZ57" s="197"/>
      <c r="BA57" s="197"/>
      <c r="BB57" s="197"/>
      <c r="BC57" s="197"/>
      <c r="BD57" s="197"/>
      <c r="BE57" s="197"/>
      <c r="BF57" s="197"/>
      <c r="BG57" s="197"/>
      <c r="BH57" s="197"/>
      <c r="BI57" s="197"/>
      <c r="BJ57" s="197"/>
      <c r="BK57" s="197"/>
      <c r="BL57" s="197"/>
      <c r="BM57" s="197"/>
      <c r="BN57" s="197"/>
      <c r="BO57" s="197"/>
      <c r="BP57" s="197"/>
      <c r="BQ57" s="197"/>
      <c r="BR57" s="197"/>
      <c r="BS57" s="197"/>
      <c r="BT57" s="197"/>
      <c r="BU57" s="197"/>
      <c r="BV57" s="197"/>
      <c r="BW57" s="197"/>
      <c r="BX57" s="197"/>
      <c r="BY57" s="197"/>
      <c r="BZ57" s="197"/>
      <c r="CA57" s="197"/>
      <c r="CB57" s="197"/>
      <c r="CC57" s="197"/>
      <c r="CD57" s="197"/>
      <c r="CE57" s="197"/>
      <c r="CF57" s="197"/>
      <c r="CG57" s="197"/>
      <c r="CH57" s="197"/>
      <c r="CI57" s="197"/>
      <c r="CJ57" s="197"/>
      <c r="CK57" s="197"/>
      <c r="CL57" s="197"/>
      <c r="CM57" s="197"/>
      <c r="CN57" s="197"/>
      <c r="CO57" s="197"/>
      <c r="CP57" s="197"/>
      <c r="CQ57" s="197"/>
      <c r="CR57" s="197"/>
      <c r="CS57" s="197"/>
      <c r="CT57" s="197"/>
      <c r="CU57" s="197"/>
      <c r="CV57" s="197"/>
      <c r="CW57" s="197"/>
      <c r="CX57" s="197"/>
      <c r="CY57" s="197"/>
      <c r="CZ57" s="197"/>
      <c r="DA57" s="197"/>
      <c r="DB57" s="197"/>
      <c r="DC57" s="197"/>
      <c r="DD57" s="197"/>
      <c r="DE57" s="197"/>
      <c r="DF57" s="197"/>
      <c r="DG57" s="197"/>
      <c r="DH57" s="197"/>
      <c r="DI57" s="197"/>
      <c r="DJ57" s="197"/>
      <c r="DK57" s="197"/>
      <c r="DL57" s="197"/>
      <c r="DM57" s="197"/>
      <c r="DN57" s="197"/>
      <c r="DO57" s="197"/>
      <c r="DP57" s="197"/>
      <c r="DQ57" s="197"/>
      <c r="DR57" s="197"/>
      <c r="DS57" s="197"/>
      <c r="DT57" s="197"/>
      <c r="DU57" s="197"/>
      <c r="DV57" s="197"/>
      <c r="DW57" s="197"/>
      <c r="DX57" s="197"/>
      <c r="DY57" s="197"/>
      <c r="DZ57" s="197"/>
      <c r="EA57" s="197"/>
      <c r="EB57" s="197"/>
      <c r="EC57" s="197"/>
      <c r="ED57" s="197"/>
      <c r="EE57" s="197"/>
      <c r="EF57" s="197"/>
      <c r="EG57" s="197"/>
      <c r="EH57" s="197"/>
      <c r="EI57" s="197"/>
      <c r="EJ57" s="197"/>
      <c r="EK57" s="197"/>
      <c r="EL57" s="197"/>
      <c r="EM57" s="197"/>
      <c r="EN57" s="197"/>
      <c r="EO57" s="197"/>
      <c r="EP57" s="197"/>
      <c r="EQ57" s="197"/>
      <c r="ER57" s="197"/>
      <c r="ES57" s="197"/>
      <c r="ET57" s="197"/>
      <c r="EU57" s="197"/>
      <c r="EV57" s="197"/>
      <c r="EW57" s="197"/>
      <c r="EX57" s="197"/>
      <c r="EY57" s="197"/>
      <c r="EZ57" s="197"/>
      <c r="FA57" s="197"/>
      <c r="FB57" s="197"/>
      <c r="FC57" s="197"/>
      <c r="FD57" s="197"/>
      <c r="FE57" s="197"/>
      <c r="FF57" s="197"/>
      <c r="FG57" s="197"/>
      <c r="FH57" s="197"/>
      <c r="FI57" s="197"/>
      <c r="FJ57" s="197"/>
      <c r="FK57" s="197"/>
      <c r="FL57" s="197"/>
      <c r="FM57" s="197"/>
      <c r="FN57" s="197"/>
      <c r="FO57" s="197"/>
      <c r="FP57" s="197"/>
      <c r="FQ57" s="197"/>
      <c r="FR57" s="197"/>
      <c r="FS57" s="197"/>
      <c r="FT57" s="197"/>
      <c r="FU57" s="197"/>
      <c r="FV57" s="197"/>
      <c r="FW57" s="197"/>
      <c r="FX57" s="197"/>
      <c r="FY57" s="197"/>
      <c r="FZ57" s="197"/>
      <c r="GA57" s="197"/>
      <c r="GB57" s="197"/>
      <c r="GC57" s="197"/>
      <c r="GD57" s="197"/>
      <c r="GE57" s="197"/>
      <c r="GF57" s="197"/>
      <c r="GG57" s="197"/>
      <c r="GH57" s="197"/>
      <c r="GI57" s="197"/>
      <c r="GJ57" s="197"/>
      <c r="GK57" s="197"/>
      <c r="GL57" s="197"/>
      <c r="GM57" s="197"/>
      <c r="GN57" s="197"/>
      <c r="GO57" s="197"/>
      <c r="GP57" s="197"/>
      <c r="GQ57" s="197"/>
      <c r="GR57" s="197"/>
      <c r="GS57" s="197"/>
      <c r="GT57" s="197"/>
      <c r="GU57" s="197"/>
      <c r="GV57" s="197"/>
      <c r="GW57" s="197"/>
      <c r="GX57" s="197"/>
      <c r="GY57" s="197"/>
      <c r="GZ57" s="197"/>
      <c r="HA57" s="197"/>
      <c r="HB57" s="197"/>
      <c r="HC57" s="197"/>
      <c r="HD57" s="197"/>
      <c r="HE57" s="197"/>
      <c r="HF57" s="197"/>
      <c r="HG57" s="197"/>
      <c r="HH57" s="197"/>
      <c r="HI57" s="197"/>
      <c r="HJ57" s="197"/>
      <c r="HK57" s="197"/>
      <c r="HL57" s="197"/>
      <c r="HM57" s="197"/>
      <c r="HN57" s="197"/>
      <c r="HO57" s="197"/>
      <c r="HP57" s="197"/>
      <c r="HQ57" s="197"/>
      <c r="HR57" s="197"/>
      <c r="HS57" s="197"/>
      <c r="HT57" s="197"/>
      <c r="HU57" s="197"/>
      <c r="HV57" s="197"/>
      <c r="HW57" s="197"/>
      <c r="HX57" s="197"/>
      <c r="HY57" s="197"/>
      <c r="HZ57" s="197"/>
      <c r="IA57" s="197"/>
      <c r="IB57" s="197"/>
      <c r="IC57" s="197"/>
      <c r="ID57" s="197"/>
      <c r="IE57" s="197"/>
      <c r="IF57" s="197"/>
      <c r="IG57" s="197"/>
      <c r="IH57" s="197"/>
      <c r="II57" s="197"/>
      <c r="IJ57" s="197"/>
      <c r="IK57" s="197"/>
      <c r="IL57" s="197"/>
      <c r="IM57" s="197"/>
      <c r="IN57" s="197"/>
      <c r="IO57" s="197"/>
      <c r="IP57" s="197"/>
      <c r="IQ57" s="197"/>
      <c r="IR57" s="197"/>
    </row>
    <row r="58" spans="1:252" ht="15">
      <c r="A58" s="195"/>
      <c r="B58" s="215" t="str">
        <f>'Cashflow Ann'!E19</f>
        <v>Invoice finance drawdown</v>
      </c>
      <c r="C58" s="195"/>
      <c r="D58" s="218">
        <f ca="1">'Cashflow Ann'!J19</f>
        <v>0</v>
      </c>
      <c r="E58" s="218">
        <f ca="1">'Cashflow Ann'!K19</f>
        <v>0</v>
      </c>
      <c r="F58" s="218">
        <f ca="1">'Cashflow Ann'!L19</f>
        <v>0</v>
      </c>
      <c r="G58" s="218">
        <f ca="1">'Cashflow Ann'!M19</f>
        <v>0</v>
      </c>
      <c r="H58" s="218">
        <f ca="1">'Cashflow Ann'!N19</f>
        <v>0</v>
      </c>
      <c r="I58" s="195"/>
      <c r="J58" s="195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  <c r="AA58" s="197"/>
      <c r="AB58" s="197"/>
      <c r="AC58" s="197"/>
      <c r="AD58" s="197"/>
      <c r="AE58" s="197"/>
      <c r="AF58" s="197"/>
      <c r="AG58" s="197"/>
      <c r="AH58" s="197"/>
      <c r="AI58" s="197"/>
      <c r="AJ58" s="197"/>
      <c r="AK58" s="197"/>
      <c r="AL58" s="197"/>
      <c r="AM58" s="197"/>
      <c r="AN58" s="197"/>
      <c r="AO58" s="197"/>
      <c r="AP58" s="197"/>
      <c r="AQ58" s="197"/>
      <c r="AR58" s="197"/>
      <c r="AS58" s="197"/>
      <c r="AT58" s="197"/>
      <c r="AU58" s="197"/>
      <c r="AV58" s="197"/>
      <c r="AW58" s="197"/>
      <c r="AX58" s="197"/>
      <c r="AY58" s="197"/>
      <c r="AZ58" s="197"/>
      <c r="BA58" s="197"/>
      <c r="BB58" s="197"/>
      <c r="BC58" s="197"/>
      <c r="BD58" s="197"/>
      <c r="BE58" s="197"/>
      <c r="BF58" s="197"/>
      <c r="BG58" s="197"/>
      <c r="BH58" s="197"/>
      <c r="BI58" s="197"/>
      <c r="BJ58" s="197"/>
      <c r="BK58" s="197"/>
      <c r="BL58" s="197"/>
      <c r="BM58" s="197"/>
      <c r="BN58" s="197"/>
      <c r="BO58" s="197"/>
      <c r="BP58" s="197"/>
      <c r="BQ58" s="197"/>
      <c r="BR58" s="197"/>
      <c r="BS58" s="197"/>
      <c r="BT58" s="197"/>
      <c r="BU58" s="197"/>
      <c r="BV58" s="197"/>
      <c r="BW58" s="197"/>
      <c r="BX58" s="197"/>
      <c r="BY58" s="197"/>
      <c r="BZ58" s="197"/>
      <c r="CA58" s="197"/>
      <c r="CB58" s="197"/>
      <c r="CC58" s="197"/>
      <c r="CD58" s="197"/>
      <c r="CE58" s="197"/>
      <c r="CF58" s="197"/>
      <c r="CG58" s="197"/>
      <c r="CH58" s="197"/>
      <c r="CI58" s="197"/>
      <c r="CJ58" s="197"/>
      <c r="CK58" s="197"/>
      <c r="CL58" s="197"/>
      <c r="CM58" s="197"/>
      <c r="CN58" s="197"/>
      <c r="CO58" s="197"/>
      <c r="CP58" s="197"/>
      <c r="CQ58" s="197"/>
      <c r="CR58" s="197"/>
      <c r="CS58" s="197"/>
      <c r="CT58" s="197"/>
      <c r="CU58" s="197"/>
      <c r="CV58" s="197"/>
      <c r="CW58" s="197"/>
      <c r="CX58" s="197"/>
      <c r="CY58" s="197"/>
      <c r="CZ58" s="197"/>
      <c r="DA58" s="197"/>
      <c r="DB58" s="197"/>
      <c r="DC58" s="197"/>
      <c r="DD58" s="197"/>
      <c r="DE58" s="197"/>
      <c r="DF58" s="197"/>
      <c r="DG58" s="197"/>
      <c r="DH58" s="197"/>
      <c r="DI58" s="197"/>
      <c r="DJ58" s="197"/>
      <c r="DK58" s="197"/>
      <c r="DL58" s="197"/>
      <c r="DM58" s="197"/>
      <c r="DN58" s="197"/>
      <c r="DO58" s="197"/>
      <c r="DP58" s="197"/>
      <c r="DQ58" s="197"/>
      <c r="DR58" s="197"/>
      <c r="DS58" s="197"/>
      <c r="DT58" s="197"/>
      <c r="DU58" s="197"/>
      <c r="DV58" s="197"/>
      <c r="DW58" s="197"/>
      <c r="DX58" s="197"/>
      <c r="DY58" s="197"/>
      <c r="DZ58" s="197"/>
      <c r="EA58" s="197"/>
      <c r="EB58" s="197"/>
      <c r="EC58" s="197"/>
      <c r="ED58" s="197"/>
      <c r="EE58" s="197"/>
      <c r="EF58" s="197"/>
      <c r="EG58" s="197"/>
      <c r="EH58" s="197"/>
      <c r="EI58" s="197"/>
      <c r="EJ58" s="197"/>
      <c r="EK58" s="197"/>
      <c r="EL58" s="197"/>
      <c r="EM58" s="197"/>
      <c r="EN58" s="197"/>
      <c r="EO58" s="197"/>
      <c r="EP58" s="197"/>
      <c r="EQ58" s="197"/>
      <c r="ER58" s="197"/>
      <c r="ES58" s="197"/>
      <c r="ET58" s="197"/>
      <c r="EU58" s="197"/>
      <c r="EV58" s="197"/>
      <c r="EW58" s="197"/>
      <c r="EX58" s="197"/>
      <c r="EY58" s="197"/>
      <c r="EZ58" s="197"/>
      <c r="FA58" s="197"/>
      <c r="FB58" s="197"/>
      <c r="FC58" s="197"/>
      <c r="FD58" s="197"/>
      <c r="FE58" s="197"/>
      <c r="FF58" s="197"/>
      <c r="FG58" s="197"/>
      <c r="FH58" s="197"/>
      <c r="FI58" s="197"/>
      <c r="FJ58" s="197"/>
      <c r="FK58" s="197"/>
      <c r="FL58" s="197"/>
      <c r="FM58" s="197"/>
      <c r="FN58" s="197"/>
      <c r="FO58" s="197"/>
      <c r="FP58" s="197"/>
      <c r="FQ58" s="197"/>
      <c r="FR58" s="197"/>
      <c r="FS58" s="197"/>
      <c r="FT58" s="197"/>
      <c r="FU58" s="197"/>
      <c r="FV58" s="197"/>
      <c r="FW58" s="197"/>
      <c r="FX58" s="197"/>
      <c r="FY58" s="197"/>
      <c r="FZ58" s="197"/>
      <c r="GA58" s="197"/>
      <c r="GB58" s="197"/>
      <c r="GC58" s="197"/>
      <c r="GD58" s="197"/>
      <c r="GE58" s="197"/>
      <c r="GF58" s="197"/>
      <c r="GG58" s="197"/>
      <c r="GH58" s="197"/>
      <c r="GI58" s="197"/>
      <c r="GJ58" s="197"/>
      <c r="GK58" s="197"/>
      <c r="GL58" s="197"/>
      <c r="GM58" s="197"/>
      <c r="GN58" s="197"/>
      <c r="GO58" s="197"/>
      <c r="GP58" s="197"/>
      <c r="GQ58" s="197"/>
      <c r="GR58" s="197"/>
      <c r="GS58" s="197"/>
      <c r="GT58" s="197"/>
      <c r="GU58" s="197"/>
      <c r="GV58" s="197"/>
      <c r="GW58" s="197"/>
      <c r="GX58" s="197"/>
      <c r="GY58" s="197"/>
      <c r="GZ58" s="197"/>
      <c r="HA58" s="197"/>
      <c r="HB58" s="197"/>
      <c r="HC58" s="197"/>
      <c r="HD58" s="197"/>
      <c r="HE58" s="197"/>
      <c r="HF58" s="197"/>
      <c r="HG58" s="197"/>
      <c r="HH58" s="197"/>
      <c r="HI58" s="197"/>
      <c r="HJ58" s="197"/>
      <c r="HK58" s="197"/>
      <c r="HL58" s="197"/>
      <c r="HM58" s="197"/>
      <c r="HN58" s="197"/>
      <c r="HO58" s="197"/>
      <c r="HP58" s="197"/>
      <c r="HQ58" s="197"/>
      <c r="HR58" s="197"/>
      <c r="HS58" s="197"/>
      <c r="HT58" s="197"/>
      <c r="HU58" s="197"/>
      <c r="HV58" s="197"/>
      <c r="HW58" s="197"/>
      <c r="HX58" s="197"/>
      <c r="HY58" s="197"/>
      <c r="HZ58" s="197"/>
      <c r="IA58" s="197"/>
      <c r="IB58" s="197"/>
      <c r="IC58" s="197"/>
      <c r="ID58" s="197"/>
      <c r="IE58" s="197"/>
      <c r="IF58" s="197"/>
      <c r="IG58" s="197"/>
      <c r="IH58" s="197"/>
      <c r="II58" s="197"/>
      <c r="IJ58" s="197"/>
      <c r="IK58" s="197"/>
      <c r="IL58" s="197"/>
      <c r="IM58" s="197"/>
      <c r="IN58" s="197"/>
      <c r="IO58" s="197"/>
      <c r="IP58" s="197"/>
      <c r="IQ58" s="197"/>
      <c r="IR58" s="197"/>
    </row>
    <row r="59" spans="1:252" ht="15">
      <c r="A59" s="195"/>
      <c r="B59" s="215" t="str">
        <f>'Cashflow Ann'!E20</f>
        <v xml:space="preserve">Invoice finance principal repayment </v>
      </c>
      <c r="C59" s="195"/>
      <c r="D59" s="218">
        <f ca="1">'Cashflow Ann'!J20</f>
        <v>0</v>
      </c>
      <c r="E59" s="218">
        <f ca="1">'Cashflow Ann'!K20</f>
        <v>0</v>
      </c>
      <c r="F59" s="218">
        <f ca="1">'Cashflow Ann'!L20</f>
        <v>0</v>
      </c>
      <c r="G59" s="218">
        <f ca="1">'Cashflow Ann'!M20</f>
        <v>0</v>
      </c>
      <c r="H59" s="218">
        <f ca="1">'Cashflow Ann'!N20</f>
        <v>0</v>
      </c>
      <c r="I59" s="195"/>
      <c r="J59" s="195"/>
      <c r="K59" s="197"/>
      <c r="L59" s="197"/>
      <c r="M59" s="197"/>
      <c r="N59" s="197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  <c r="AA59" s="197"/>
      <c r="AB59" s="197"/>
      <c r="AC59" s="197"/>
      <c r="AD59" s="197"/>
      <c r="AE59" s="197"/>
      <c r="AF59" s="197"/>
      <c r="AG59" s="197"/>
      <c r="AH59" s="197"/>
      <c r="AI59" s="197"/>
      <c r="AJ59" s="197"/>
      <c r="AK59" s="197"/>
      <c r="AL59" s="197"/>
      <c r="AM59" s="197"/>
      <c r="AN59" s="197"/>
      <c r="AO59" s="197"/>
      <c r="AP59" s="197"/>
      <c r="AQ59" s="197"/>
      <c r="AR59" s="197"/>
      <c r="AS59" s="197"/>
      <c r="AT59" s="197"/>
      <c r="AU59" s="197"/>
      <c r="AV59" s="197"/>
      <c r="AW59" s="197"/>
      <c r="AX59" s="197"/>
      <c r="AY59" s="197"/>
      <c r="AZ59" s="197"/>
      <c r="BA59" s="197"/>
      <c r="BB59" s="197"/>
      <c r="BC59" s="197"/>
      <c r="BD59" s="197"/>
      <c r="BE59" s="197"/>
      <c r="BF59" s="197"/>
      <c r="BG59" s="197"/>
      <c r="BH59" s="197"/>
      <c r="BI59" s="197"/>
      <c r="BJ59" s="197"/>
      <c r="BK59" s="197"/>
      <c r="BL59" s="197"/>
      <c r="BM59" s="197"/>
      <c r="BN59" s="197"/>
      <c r="BO59" s="197"/>
      <c r="BP59" s="197"/>
      <c r="BQ59" s="197"/>
      <c r="BR59" s="197"/>
      <c r="BS59" s="197"/>
      <c r="BT59" s="197"/>
      <c r="BU59" s="197"/>
      <c r="BV59" s="197"/>
      <c r="BW59" s="197"/>
      <c r="BX59" s="197"/>
      <c r="BY59" s="197"/>
      <c r="BZ59" s="197"/>
      <c r="CA59" s="197"/>
      <c r="CB59" s="197"/>
      <c r="CC59" s="197"/>
      <c r="CD59" s="197"/>
      <c r="CE59" s="197"/>
      <c r="CF59" s="197"/>
      <c r="CG59" s="197"/>
      <c r="CH59" s="197"/>
      <c r="CI59" s="197"/>
      <c r="CJ59" s="197"/>
      <c r="CK59" s="197"/>
      <c r="CL59" s="197"/>
      <c r="CM59" s="197"/>
      <c r="CN59" s="197"/>
      <c r="CO59" s="197"/>
      <c r="CP59" s="197"/>
      <c r="CQ59" s="197"/>
      <c r="CR59" s="197"/>
      <c r="CS59" s="197"/>
      <c r="CT59" s="197"/>
      <c r="CU59" s="197"/>
      <c r="CV59" s="197"/>
      <c r="CW59" s="197"/>
      <c r="CX59" s="197"/>
      <c r="CY59" s="197"/>
      <c r="CZ59" s="197"/>
      <c r="DA59" s="197"/>
      <c r="DB59" s="197"/>
      <c r="DC59" s="197"/>
      <c r="DD59" s="197"/>
      <c r="DE59" s="197"/>
      <c r="DF59" s="197"/>
      <c r="DG59" s="197"/>
      <c r="DH59" s="197"/>
      <c r="DI59" s="197"/>
      <c r="DJ59" s="197"/>
      <c r="DK59" s="197"/>
      <c r="DL59" s="197"/>
      <c r="DM59" s="197"/>
      <c r="DN59" s="197"/>
      <c r="DO59" s="197"/>
      <c r="DP59" s="197"/>
      <c r="DQ59" s="197"/>
      <c r="DR59" s="197"/>
      <c r="DS59" s="197"/>
      <c r="DT59" s="197"/>
      <c r="DU59" s="197"/>
      <c r="DV59" s="197"/>
      <c r="DW59" s="197"/>
      <c r="DX59" s="197"/>
      <c r="DY59" s="197"/>
      <c r="DZ59" s="197"/>
      <c r="EA59" s="197"/>
      <c r="EB59" s="197"/>
      <c r="EC59" s="197"/>
      <c r="ED59" s="197"/>
      <c r="EE59" s="197"/>
      <c r="EF59" s="197"/>
      <c r="EG59" s="197"/>
      <c r="EH59" s="197"/>
      <c r="EI59" s="197"/>
      <c r="EJ59" s="197"/>
      <c r="EK59" s="197"/>
      <c r="EL59" s="197"/>
      <c r="EM59" s="197"/>
      <c r="EN59" s="197"/>
      <c r="EO59" s="197"/>
      <c r="EP59" s="197"/>
      <c r="EQ59" s="197"/>
      <c r="ER59" s="197"/>
      <c r="ES59" s="197"/>
      <c r="ET59" s="197"/>
      <c r="EU59" s="197"/>
      <c r="EV59" s="197"/>
      <c r="EW59" s="197"/>
      <c r="EX59" s="197"/>
      <c r="EY59" s="197"/>
      <c r="EZ59" s="197"/>
      <c r="FA59" s="197"/>
      <c r="FB59" s="197"/>
      <c r="FC59" s="197"/>
      <c r="FD59" s="197"/>
      <c r="FE59" s="197"/>
      <c r="FF59" s="197"/>
      <c r="FG59" s="197"/>
      <c r="FH59" s="197"/>
      <c r="FI59" s="197"/>
      <c r="FJ59" s="197"/>
      <c r="FK59" s="197"/>
      <c r="FL59" s="197"/>
      <c r="FM59" s="197"/>
      <c r="FN59" s="197"/>
      <c r="FO59" s="197"/>
      <c r="FP59" s="197"/>
      <c r="FQ59" s="197"/>
      <c r="FR59" s="197"/>
      <c r="FS59" s="197"/>
      <c r="FT59" s="197"/>
      <c r="FU59" s="197"/>
      <c r="FV59" s="197"/>
      <c r="FW59" s="197"/>
      <c r="FX59" s="197"/>
      <c r="FY59" s="197"/>
      <c r="FZ59" s="197"/>
      <c r="GA59" s="197"/>
      <c r="GB59" s="197"/>
      <c r="GC59" s="197"/>
      <c r="GD59" s="197"/>
      <c r="GE59" s="197"/>
      <c r="GF59" s="197"/>
      <c r="GG59" s="197"/>
      <c r="GH59" s="197"/>
      <c r="GI59" s="197"/>
      <c r="GJ59" s="197"/>
      <c r="GK59" s="197"/>
      <c r="GL59" s="197"/>
      <c r="GM59" s="197"/>
      <c r="GN59" s="197"/>
      <c r="GO59" s="197"/>
      <c r="GP59" s="197"/>
      <c r="GQ59" s="197"/>
      <c r="GR59" s="197"/>
      <c r="GS59" s="197"/>
      <c r="GT59" s="197"/>
      <c r="GU59" s="197"/>
      <c r="GV59" s="197"/>
      <c r="GW59" s="197"/>
      <c r="GX59" s="197"/>
      <c r="GY59" s="197"/>
      <c r="GZ59" s="197"/>
      <c r="HA59" s="197"/>
      <c r="HB59" s="197"/>
      <c r="HC59" s="197"/>
      <c r="HD59" s="197"/>
      <c r="HE59" s="197"/>
      <c r="HF59" s="197"/>
      <c r="HG59" s="197"/>
      <c r="HH59" s="197"/>
      <c r="HI59" s="197"/>
      <c r="HJ59" s="197"/>
      <c r="HK59" s="197"/>
      <c r="HL59" s="197"/>
      <c r="HM59" s="197"/>
      <c r="HN59" s="197"/>
      <c r="HO59" s="197"/>
      <c r="HP59" s="197"/>
      <c r="HQ59" s="197"/>
      <c r="HR59" s="197"/>
      <c r="HS59" s="197"/>
      <c r="HT59" s="197"/>
      <c r="HU59" s="197"/>
      <c r="HV59" s="197"/>
      <c r="HW59" s="197"/>
      <c r="HX59" s="197"/>
      <c r="HY59" s="197"/>
      <c r="HZ59" s="197"/>
      <c r="IA59" s="197"/>
      <c r="IB59" s="197"/>
      <c r="IC59" s="197"/>
      <c r="ID59" s="197"/>
      <c r="IE59" s="197"/>
      <c r="IF59" s="197"/>
      <c r="IG59" s="197"/>
      <c r="IH59" s="197"/>
      <c r="II59" s="197"/>
      <c r="IJ59" s="197"/>
      <c r="IK59" s="197"/>
      <c r="IL59" s="197"/>
      <c r="IM59" s="197"/>
      <c r="IN59" s="197"/>
      <c r="IO59" s="197"/>
      <c r="IP59" s="197"/>
      <c r="IQ59" s="197"/>
      <c r="IR59" s="197"/>
    </row>
    <row r="60" spans="1:252" s="216" customFormat="1" ht="14.5">
      <c r="A60" s="215"/>
      <c r="B60" s="215" t="str">
        <f>'Cashflow Ann'!E21</f>
        <v>Asset Finance drawdown</v>
      </c>
      <c r="C60" s="195"/>
      <c r="D60" s="218">
        <f ca="1">'Cashflow Ann'!J21</f>
        <v>0</v>
      </c>
      <c r="E60" s="218">
        <f ca="1">'Cashflow Ann'!K21</f>
        <v>0</v>
      </c>
      <c r="F60" s="218">
        <f ca="1">'Cashflow Ann'!L21</f>
        <v>0</v>
      </c>
      <c r="G60" s="218">
        <f ca="1">'Cashflow Ann'!M21</f>
        <v>0</v>
      </c>
      <c r="H60" s="218">
        <f ca="1">'Cashflow Ann'!N21</f>
        <v>0</v>
      </c>
      <c r="I60" s="215"/>
      <c r="J60" s="215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  <c r="AF60" s="198"/>
      <c r="AG60" s="198"/>
      <c r="AH60" s="198"/>
      <c r="AI60" s="198"/>
      <c r="AJ60" s="198"/>
      <c r="AK60" s="198"/>
      <c r="AL60" s="198"/>
      <c r="AM60" s="198"/>
      <c r="AN60" s="198"/>
      <c r="AO60" s="198"/>
      <c r="AP60" s="198"/>
      <c r="AQ60" s="198"/>
      <c r="AR60" s="198"/>
      <c r="AS60" s="198"/>
      <c r="AT60" s="198"/>
      <c r="AU60" s="198"/>
      <c r="AV60" s="198"/>
      <c r="AW60" s="198"/>
      <c r="AX60" s="198"/>
      <c r="AY60" s="198"/>
      <c r="AZ60" s="198"/>
      <c r="BA60" s="198"/>
      <c r="BB60" s="198"/>
      <c r="BC60" s="198"/>
      <c r="BD60" s="198"/>
      <c r="BE60" s="198"/>
      <c r="BF60" s="198"/>
      <c r="BG60" s="198"/>
      <c r="BH60" s="198"/>
      <c r="BI60" s="198"/>
      <c r="BJ60" s="198"/>
      <c r="BK60" s="198"/>
      <c r="BL60" s="198"/>
      <c r="BM60" s="198"/>
      <c r="BN60" s="198"/>
      <c r="BO60" s="198"/>
      <c r="BP60" s="198"/>
      <c r="BQ60" s="198"/>
      <c r="BR60" s="198"/>
      <c r="BS60" s="198"/>
      <c r="BT60" s="198"/>
      <c r="BU60" s="198"/>
      <c r="BV60" s="198"/>
      <c r="BW60" s="198"/>
      <c r="BX60" s="198"/>
      <c r="BY60" s="198"/>
      <c r="BZ60" s="198"/>
      <c r="CA60" s="198"/>
      <c r="CB60" s="198"/>
      <c r="CC60" s="198"/>
      <c r="CD60" s="198"/>
      <c r="CE60" s="198"/>
      <c r="CF60" s="198"/>
      <c r="CG60" s="198"/>
      <c r="CH60" s="198"/>
      <c r="CI60" s="198"/>
      <c r="CJ60" s="198"/>
      <c r="CK60" s="198"/>
      <c r="CL60" s="198"/>
      <c r="CM60" s="198"/>
      <c r="CN60" s="198"/>
      <c r="CO60" s="198"/>
      <c r="CP60" s="198"/>
      <c r="CQ60" s="198"/>
      <c r="CR60" s="198"/>
      <c r="CS60" s="198"/>
      <c r="CT60" s="198"/>
      <c r="CU60" s="198"/>
      <c r="CV60" s="198"/>
      <c r="CW60" s="198"/>
      <c r="CX60" s="198"/>
      <c r="CY60" s="198"/>
      <c r="CZ60" s="198"/>
      <c r="DA60" s="198"/>
      <c r="DB60" s="198"/>
      <c r="DC60" s="198"/>
      <c r="DD60" s="198"/>
      <c r="DE60" s="198"/>
      <c r="DF60" s="198"/>
      <c r="DG60" s="198"/>
      <c r="DH60" s="198"/>
      <c r="DI60" s="198"/>
      <c r="DJ60" s="198"/>
      <c r="DK60" s="198"/>
      <c r="DL60" s="198"/>
      <c r="DM60" s="198"/>
      <c r="DN60" s="198"/>
      <c r="DO60" s="198"/>
      <c r="DP60" s="198"/>
      <c r="DQ60" s="198"/>
      <c r="DR60" s="198"/>
      <c r="DS60" s="198"/>
      <c r="DT60" s="198"/>
      <c r="DU60" s="198"/>
      <c r="DV60" s="198"/>
      <c r="DW60" s="198"/>
      <c r="DX60" s="198"/>
      <c r="DY60" s="198"/>
      <c r="DZ60" s="198"/>
      <c r="EA60" s="198"/>
      <c r="EB60" s="198"/>
      <c r="EC60" s="198"/>
      <c r="ED60" s="198"/>
      <c r="EE60" s="198"/>
      <c r="EF60" s="198"/>
      <c r="EG60" s="198"/>
      <c r="EH60" s="198"/>
      <c r="EI60" s="198"/>
      <c r="EJ60" s="198"/>
      <c r="EK60" s="198"/>
      <c r="EL60" s="198"/>
      <c r="EM60" s="198"/>
      <c r="EN60" s="198"/>
      <c r="EO60" s="198"/>
      <c r="EP60" s="198"/>
      <c r="EQ60" s="198"/>
      <c r="ER60" s="198"/>
      <c r="ES60" s="198"/>
      <c r="ET60" s="198"/>
      <c r="EU60" s="198"/>
      <c r="EV60" s="198"/>
      <c r="EW60" s="198"/>
      <c r="EX60" s="198"/>
      <c r="EY60" s="198"/>
      <c r="EZ60" s="198"/>
      <c r="FA60" s="198"/>
      <c r="FB60" s="198"/>
      <c r="FC60" s="198"/>
      <c r="FD60" s="198"/>
      <c r="FE60" s="198"/>
      <c r="FF60" s="198"/>
      <c r="FG60" s="198"/>
      <c r="FH60" s="198"/>
      <c r="FI60" s="198"/>
      <c r="FJ60" s="198"/>
      <c r="FK60" s="198"/>
      <c r="FL60" s="198"/>
      <c r="FM60" s="198"/>
      <c r="FN60" s="198"/>
      <c r="FO60" s="198"/>
      <c r="FP60" s="198"/>
      <c r="FQ60" s="198"/>
      <c r="FR60" s="198"/>
      <c r="FS60" s="198"/>
      <c r="FT60" s="198"/>
      <c r="FU60" s="198"/>
      <c r="FV60" s="198"/>
      <c r="FW60" s="198"/>
      <c r="FX60" s="198"/>
      <c r="FY60" s="198"/>
      <c r="FZ60" s="198"/>
      <c r="GA60" s="198"/>
      <c r="GB60" s="198"/>
      <c r="GC60" s="198"/>
      <c r="GD60" s="198"/>
      <c r="GE60" s="198"/>
      <c r="GF60" s="198"/>
      <c r="GG60" s="198"/>
      <c r="GH60" s="198"/>
      <c r="GI60" s="198"/>
      <c r="GJ60" s="198"/>
      <c r="GK60" s="198"/>
      <c r="GL60" s="198"/>
      <c r="GM60" s="198"/>
      <c r="GN60" s="198"/>
      <c r="GO60" s="198"/>
      <c r="GP60" s="198"/>
      <c r="GQ60" s="198"/>
      <c r="GR60" s="198"/>
      <c r="GS60" s="198"/>
      <c r="GT60" s="198"/>
      <c r="GU60" s="198"/>
      <c r="GV60" s="198"/>
      <c r="GW60" s="198"/>
      <c r="GX60" s="198"/>
      <c r="GY60" s="198"/>
      <c r="GZ60" s="198"/>
      <c r="HA60" s="198"/>
      <c r="HB60" s="198"/>
      <c r="HC60" s="198"/>
      <c r="HD60" s="198"/>
      <c r="HE60" s="198"/>
      <c r="HF60" s="198"/>
      <c r="HG60" s="198"/>
      <c r="HH60" s="198"/>
      <c r="HI60" s="198"/>
      <c r="HJ60" s="198"/>
      <c r="HK60" s="198"/>
      <c r="HL60" s="198"/>
      <c r="HM60" s="198"/>
      <c r="HN60" s="198"/>
      <c r="HO60" s="198"/>
      <c r="HP60" s="198"/>
      <c r="HQ60" s="198"/>
      <c r="HR60" s="198"/>
      <c r="HS60" s="198"/>
      <c r="HT60" s="198"/>
      <c r="HU60" s="198"/>
      <c r="HV60" s="198"/>
      <c r="HW60" s="198"/>
      <c r="HX60" s="198"/>
      <c r="HY60" s="198"/>
      <c r="HZ60" s="198"/>
      <c r="IA60" s="198"/>
      <c r="IB60" s="198"/>
      <c r="IC60" s="198"/>
      <c r="ID60" s="198"/>
      <c r="IE60" s="198"/>
      <c r="IF60" s="198"/>
      <c r="IG60" s="198"/>
      <c r="IH60" s="198"/>
      <c r="II60" s="198"/>
      <c r="IJ60" s="198"/>
      <c r="IK60" s="198"/>
      <c r="IL60" s="198"/>
      <c r="IM60" s="198"/>
      <c r="IN60" s="198"/>
      <c r="IO60" s="198"/>
      <c r="IP60" s="198"/>
      <c r="IQ60" s="198"/>
      <c r="IR60" s="198"/>
    </row>
    <row r="61" spans="1:252" ht="15">
      <c r="A61" s="195"/>
      <c r="B61" s="215" t="str">
        <f>'Cashflow Ann'!E22</f>
        <v xml:space="preserve">Asset Finance principal repayment </v>
      </c>
      <c r="C61" s="195"/>
      <c r="D61" s="218">
        <f ca="1">'Cashflow Ann'!J22</f>
        <v>0</v>
      </c>
      <c r="E61" s="218">
        <f ca="1">'Cashflow Ann'!K22</f>
        <v>0</v>
      </c>
      <c r="F61" s="218">
        <f ca="1">'Cashflow Ann'!L22</f>
        <v>0</v>
      </c>
      <c r="G61" s="218">
        <f ca="1">'Cashflow Ann'!M22</f>
        <v>0</v>
      </c>
      <c r="H61" s="218">
        <f ca="1">'Cashflow Ann'!N22</f>
        <v>0</v>
      </c>
      <c r="I61" s="195"/>
      <c r="J61" s="195"/>
      <c r="K61" s="197"/>
      <c r="L61" s="197"/>
      <c r="M61" s="197"/>
      <c r="N61" s="197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  <c r="AA61" s="197"/>
      <c r="AB61" s="197"/>
      <c r="AC61" s="197"/>
      <c r="AD61" s="197"/>
      <c r="AE61" s="197"/>
      <c r="AF61" s="197"/>
      <c r="AG61" s="197"/>
      <c r="AH61" s="197"/>
      <c r="AI61" s="197"/>
      <c r="AJ61" s="197"/>
      <c r="AK61" s="197"/>
      <c r="AL61" s="197"/>
      <c r="AM61" s="197"/>
      <c r="AN61" s="197"/>
      <c r="AO61" s="197"/>
      <c r="AP61" s="197"/>
      <c r="AQ61" s="197"/>
      <c r="AR61" s="197"/>
      <c r="AS61" s="197"/>
      <c r="AT61" s="197"/>
      <c r="AU61" s="197"/>
      <c r="AV61" s="197"/>
      <c r="AW61" s="197"/>
      <c r="AX61" s="197"/>
      <c r="AY61" s="197"/>
      <c r="AZ61" s="197"/>
      <c r="BA61" s="197"/>
      <c r="BB61" s="197"/>
      <c r="BC61" s="197"/>
      <c r="BD61" s="197"/>
      <c r="BE61" s="197"/>
      <c r="BF61" s="197"/>
      <c r="BG61" s="197"/>
      <c r="BH61" s="197"/>
      <c r="BI61" s="197"/>
      <c r="BJ61" s="197"/>
      <c r="BK61" s="197"/>
      <c r="BL61" s="197"/>
      <c r="BM61" s="197"/>
      <c r="BN61" s="197"/>
      <c r="BO61" s="197"/>
      <c r="BP61" s="197"/>
      <c r="BQ61" s="197"/>
      <c r="BR61" s="197"/>
      <c r="BS61" s="197"/>
      <c r="BT61" s="197"/>
      <c r="BU61" s="197"/>
      <c r="BV61" s="197"/>
      <c r="BW61" s="197"/>
      <c r="BX61" s="197"/>
      <c r="BY61" s="197"/>
      <c r="BZ61" s="197"/>
      <c r="CA61" s="197"/>
      <c r="CB61" s="197"/>
      <c r="CC61" s="197"/>
      <c r="CD61" s="197"/>
      <c r="CE61" s="197"/>
      <c r="CF61" s="197"/>
      <c r="CG61" s="197"/>
      <c r="CH61" s="197"/>
      <c r="CI61" s="197"/>
      <c r="CJ61" s="197"/>
      <c r="CK61" s="197"/>
      <c r="CL61" s="197"/>
      <c r="CM61" s="197"/>
      <c r="CN61" s="197"/>
      <c r="CO61" s="197"/>
      <c r="CP61" s="197"/>
      <c r="CQ61" s="197"/>
      <c r="CR61" s="197"/>
      <c r="CS61" s="197"/>
      <c r="CT61" s="197"/>
      <c r="CU61" s="197"/>
      <c r="CV61" s="197"/>
      <c r="CW61" s="197"/>
      <c r="CX61" s="197"/>
      <c r="CY61" s="197"/>
      <c r="CZ61" s="197"/>
      <c r="DA61" s="197"/>
      <c r="DB61" s="197"/>
      <c r="DC61" s="197"/>
      <c r="DD61" s="197"/>
      <c r="DE61" s="197"/>
      <c r="DF61" s="197"/>
      <c r="DG61" s="197"/>
      <c r="DH61" s="197"/>
      <c r="DI61" s="197"/>
      <c r="DJ61" s="197"/>
      <c r="DK61" s="197"/>
      <c r="DL61" s="197"/>
      <c r="DM61" s="197"/>
      <c r="DN61" s="197"/>
      <c r="DO61" s="197"/>
      <c r="DP61" s="197"/>
      <c r="DQ61" s="197"/>
      <c r="DR61" s="197"/>
      <c r="DS61" s="197"/>
      <c r="DT61" s="197"/>
      <c r="DU61" s="197"/>
      <c r="DV61" s="197"/>
      <c r="DW61" s="197"/>
      <c r="DX61" s="197"/>
      <c r="DY61" s="197"/>
      <c r="DZ61" s="197"/>
      <c r="EA61" s="197"/>
      <c r="EB61" s="197"/>
      <c r="EC61" s="197"/>
      <c r="ED61" s="197"/>
      <c r="EE61" s="197"/>
      <c r="EF61" s="197"/>
      <c r="EG61" s="197"/>
      <c r="EH61" s="197"/>
      <c r="EI61" s="197"/>
      <c r="EJ61" s="197"/>
      <c r="EK61" s="197"/>
      <c r="EL61" s="197"/>
      <c r="EM61" s="197"/>
      <c r="EN61" s="197"/>
      <c r="EO61" s="197"/>
      <c r="EP61" s="197"/>
      <c r="EQ61" s="197"/>
      <c r="ER61" s="197"/>
      <c r="ES61" s="197"/>
      <c r="ET61" s="197"/>
      <c r="EU61" s="197"/>
      <c r="EV61" s="197"/>
      <c r="EW61" s="197"/>
      <c r="EX61" s="197"/>
      <c r="EY61" s="197"/>
      <c r="EZ61" s="197"/>
      <c r="FA61" s="197"/>
      <c r="FB61" s="197"/>
      <c r="FC61" s="197"/>
      <c r="FD61" s="197"/>
      <c r="FE61" s="197"/>
      <c r="FF61" s="197"/>
      <c r="FG61" s="197"/>
      <c r="FH61" s="197"/>
      <c r="FI61" s="197"/>
      <c r="FJ61" s="197"/>
      <c r="FK61" s="197"/>
      <c r="FL61" s="197"/>
      <c r="FM61" s="197"/>
      <c r="FN61" s="197"/>
      <c r="FO61" s="197"/>
      <c r="FP61" s="197"/>
      <c r="FQ61" s="197"/>
      <c r="FR61" s="197"/>
      <c r="FS61" s="197"/>
      <c r="FT61" s="197"/>
      <c r="FU61" s="197"/>
      <c r="FV61" s="197"/>
      <c r="FW61" s="197"/>
      <c r="FX61" s="197"/>
      <c r="FY61" s="197"/>
      <c r="FZ61" s="197"/>
      <c r="GA61" s="197"/>
      <c r="GB61" s="197"/>
      <c r="GC61" s="197"/>
      <c r="GD61" s="197"/>
      <c r="GE61" s="197"/>
      <c r="GF61" s="197"/>
      <c r="GG61" s="197"/>
      <c r="GH61" s="197"/>
      <c r="GI61" s="197"/>
      <c r="GJ61" s="197"/>
      <c r="GK61" s="197"/>
      <c r="GL61" s="197"/>
      <c r="GM61" s="197"/>
      <c r="GN61" s="197"/>
      <c r="GO61" s="197"/>
      <c r="GP61" s="197"/>
      <c r="GQ61" s="197"/>
      <c r="GR61" s="197"/>
      <c r="GS61" s="197"/>
      <c r="GT61" s="197"/>
      <c r="GU61" s="197"/>
      <c r="GV61" s="197"/>
      <c r="GW61" s="197"/>
      <c r="GX61" s="197"/>
      <c r="GY61" s="197"/>
      <c r="GZ61" s="197"/>
      <c r="HA61" s="197"/>
      <c r="HB61" s="197"/>
      <c r="HC61" s="197"/>
      <c r="HD61" s="197"/>
      <c r="HE61" s="197"/>
      <c r="HF61" s="197"/>
      <c r="HG61" s="197"/>
      <c r="HH61" s="197"/>
      <c r="HI61" s="197"/>
      <c r="HJ61" s="197"/>
      <c r="HK61" s="197"/>
      <c r="HL61" s="197"/>
      <c r="HM61" s="197"/>
      <c r="HN61" s="197"/>
      <c r="HO61" s="197"/>
      <c r="HP61" s="197"/>
      <c r="HQ61" s="197"/>
      <c r="HR61" s="197"/>
      <c r="HS61" s="197"/>
      <c r="HT61" s="197"/>
      <c r="HU61" s="197"/>
      <c r="HV61" s="197"/>
      <c r="HW61" s="197"/>
      <c r="HX61" s="197"/>
      <c r="HY61" s="197"/>
      <c r="HZ61" s="197"/>
      <c r="IA61" s="197"/>
      <c r="IB61" s="197"/>
      <c r="IC61" s="197"/>
      <c r="ID61" s="197"/>
      <c r="IE61" s="197"/>
      <c r="IF61" s="197"/>
      <c r="IG61" s="197"/>
      <c r="IH61" s="197"/>
      <c r="II61" s="197"/>
      <c r="IJ61" s="197"/>
      <c r="IK61" s="197"/>
      <c r="IL61" s="197"/>
      <c r="IM61" s="197"/>
      <c r="IN61" s="197"/>
      <c r="IO61" s="197"/>
      <c r="IP61" s="197"/>
      <c r="IQ61" s="197"/>
      <c r="IR61" s="197"/>
    </row>
    <row r="62" spans="1:252" ht="15">
      <c r="A62" s="195"/>
      <c r="B62" s="215" t="str">
        <f>'Cashflow Ann'!E23</f>
        <v xml:space="preserve">Supply Chain Finance interest paid </v>
      </c>
      <c r="C62" s="195"/>
      <c r="D62" s="218">
        <f ca="1">'Cashflow Ann'!J23</f>
        <v>0</v>
      </c>
      <c r="E62" s="218">
        <f ca="1">'Cashflow Ann'!K23</f>
        <v>0</v>
      </c>
      <c r="F62" s="218">
        <f ca="1">'Cashflow Ann'!L23</f>
        <v>0</v>
      </c>
      <c r="G62" s="218">
        <f ca="1">'Cashflow Ann'!M23</f>
        <v>0</v>
      </c>
      <c r="H62" s="218">
        <f ca="1">'Cashflow Ann'!N23</f>
        <v>0</v>
      </c>
      <c r="I62" s="195"/>
      <c r="J62" s="195"/>
      <c r="K62" s="197"/>
      <c r="L62" s="197"/>
      <c r="M62" s="197"/>
      <c r="N62" s="197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  <c r="AA62" s="197"/>
      <c r="AB62" s="197"/>
      <c r="AC62" s="197"/>
      <c r="AD62" s="197"/>
      <c r="AE62" s="197"/>
      <c r="AF62" s="197"/>
      <c r="AG62" s="197"/>
      <c r="AH62" s="197"/>
      <c r="AI62" s="197"/>
      <c r="AJ62" s="197"/>
      <c r="AK62" s="197"/>
      <c r="AL62" s="197"/>
      <c r="AM62" s="197"/>
      <c r="AN62" s="197"/>
      <c r="AO62" s="197"/>
      <c r="AP62" s="197"/>
      <c r="AQ62" s="197"/>
      <c r="AR62" s="197"/>
      <c r="AS62" s="197"/>
      <c r="AT62" s="197"/>
      <c r="AU62" s="197"/>
      <c r="AV62" s="197"/>
      <c r="AW62" s="197"/>
      <c r="AX62" s="197"/>
      <c r="AY62" s="197"/>
      <c r="AZ62" s="197"/>
      <c r="BA62" s="197"/>
      <c r="BB62" s="197"/>
      <c r="BC62" s="197"/>
      <c r="BD62" s="197"/>
      <c r="BE62" s="197"/>
      <c r="BF62" s="197"/>
      <c r="BG62" s="197"/>
      <c r="BH62" s="197"/>
      <c r="BI62" s="197"/>
      <c r="BJ62" s="197"/>
      <c r="BK62" s="197"/>
      <c r="BL62" s="197"/>
      <c r="BM62" s="197"/>
      <c r="BN62" s="197"/>
      <c r="BO62" s="197"/>
      <c r="BP62" s="197"/>
      <c r="BQ62" s="197"/>
      <c r="BR62" s="197"/>
      <c r="BS62" s="197"/>
      <c r="BT62" s="197"/>
      <c r="BU62" s="197"/>
      <c r="BV62" s="197"/>
      <c r="BW62" s="197"/>
      <c r="BX62" s="197"/>
      <c r="BY62" s="197"/>
      <c r="BZ62" s="197"/>
      <c r="CA62" s="197"/>
      <c r="CB62" s="197"/>
      <c r="CC62" s="197"/>
      <c r="CD62" s="197"/>
      <c r="CE62" s="197"/>
      <c r="CF62" s="197"/>
      <c r="CG62" s="197"/>
      <c r="CH62" s="197"/>
      <c r="CI62" s="197"/>
      <c r="CJ62" s="197"/>
      <c r="CK62" s="197"/>
      <c r="CL62" s="197"/>
      <c r="CM62" s="197"/>
      <c r="CN62" s="197"/>
      <c r="CO62" s="197"/>
      <c r="CP62" s="197"/>
      <c r="CQ62" s="197"/>
      <c r="CR62" s="197"/>
      <c r="CS62" s="197"/>
      <c r="CT62" s="197"/>
      <c r="CU62" s="197"/>
      <c r="CV62" s="197"/>
      <c r="CW62" s="197"/>
      <c r="CX62" s="197"/>
      <c r="CY62" s="197"/>
      <c r="CZ62" s="197"/>
      <c r="DA62" s="197"/>
      <c r="DB62" s="197"/>
      <c r="DC62" s="197"/>
      <c r="DD62" s="197"/>
      <c r="DE62" s="197"/>
      <c r="DF62" s="197"/>
      <c r="DG62" s="197"/>
      <c r="DH62" s="197"/>
      <c r="DI62" s="197"/>
      <c r="DJ62" s="197"/>
      <c r="DK62" s="197"/>
      <c r="DL62" s="197"/>
      <c r="DM62" s="197"/>
      <c r="DN62" s="197"/>
      <c r="DO62" s="197"/>
      <c r="DP62" s="197"/>
      <c r="DQ62" s="197"/>
      <c r="DR62" s="197"/>
      <c r="DS62" s="197"/>
      <c r="DT62" s="197"/>
      <c r="DU62" s="197"/>
      <c r="DV62" s="197"/>
      <c r="DW62" s="197"/>
      <c r="DX62" s="197"/>
      <c r="DY62" s="197"/>
      <c r="DZ62" s="197"/>
      <c r="EA62" s="197"/>
      <c r="EB62" s="197"/>
      <c r="EC62" s="197"/>
      <c r="ED62" s="197"/>
      <c r="EE62" s="197"/>
      <c r="EF62" s="197"/>
      <c r="EG62" s="197"/>
      <c r="EH62" s="197"/>
      <c r="EI62" s="197"/>
      <c r="EJ62" s="197"/>
      <c r="EK62" s="197"/>
      <c r="EL62" s="197"/>
      <c r="EM62" s="197"/>
      <c r="EN62" s="197"/>
      <c r="EO62" s="197"/>
      <c r="EP62" s="197"/>
      <c r="EQ62" s="197"/>
      <c r="ER62" s="197"/>
      <c r="ES62" s="197"/>
      <c r="ET62" s="197"/>
      <c r="EU62" s="197"/>
      <c r="EV62" s="197"/>
      <c r="EW62" s="197"/>
      <c r="EX62" s="197"/>
      <c r="EY62" s="197"/>
      <c r="EZ62" s="197"/>
      <c r="FA62" s="197"/>
      <c r="FB62" s="197"/>
      <c r="FC62" s="197"/>
      <c r="FD62" s="197"/>
      <c r="FE62" s="197"/>
      <c r="FF62" s="197"/>
      <c r="FG62" s="197"/>
      <c r="FH62" s="197"/>
      <c r="FI62" s="197"/>
      <c r="FJ62" s="197"/>
      <c r="FK62" s="197"/>
      <c r="FL62" s="197"/>
      <c r="FM62" s="197"/>
      <c r="FN62" s="197"/>
      <c r="FO62" s="197"/>
      <c r="FP62" s="197"/>
      <c r="FQ62" s="197"/>
      <c r="FR62" s="197"/>
      <c r="FS62" s="197"/>
      <c r="FT62" s="197"/>
      <c r="FU62" s="197"/>
      <c r="FV62" s="197"/>
      <c r="FW62" s="197"/>
      <c r="FX62" s="197"/>
      <c r="FY62" s="197"/>
      <c r="FZ62" s="197"/>
      <c r="GA62" s="197"/>
      <c r="GB62" s="197"/>
      <c r="GC62" s="197"/>
      <c r="GD62" s="197"/>
      <c r="GE62" s="197"/>
      <c r="GF62" s="197"/>
      <c r="GG62" s="197"/>
      <c r="GH62" s="197"/>
      <c r="GI62" s="197"/>
      <c r="GJ62" s="197"/>
      <c r="GK62" s="197"/>
      <c r="GL62" s="197"/>
      <c r="GM62" s="197"/>
      <c r="GN62" s="197"/>
      <c r="GO62" s="197"/>
      <c r="GP62" s="197"/>
      <c r="GQ62" s="197"/>
      <c r="GR62" s="197"/>
      <c r="GS62" s="197"/>
      <c r="GT62" s="197"/>
      <c r="GU62" s="197"/>
      <c r="GV62" s="197"/>
      <c r="GW62" s="197"/>
      <c r="GX62" s="197"/>
      <c r="GY62" s="197"/>
      <c r="GZ62" s="197"/>
      <c r="HA62" s="197"/>
      <c r="HB62" s="197"/>
      <c r="HC62" s="197"/>
      <c r="HD62" s="197"/>
      <c r="HE62" s="197"/>
      <c r="HF62" s="197"/>
      <c r="HG62" s="197"/>
      <c r="HH62" s="197"/>
      <c r="HI62" s="197"/>
      <c r="HJ62" s="197"/>
      <c r="HK62" s="197"/>
      <c r="HL62" s="197"/>
      <c r="HM62" s="197"/>
      <c r="HN62" s="197"/>
      <c r="HO62" s="197"/>
      <c r="HP62" s="197"/>
      <c r="HQ62" s="197"/>
      <c r="HR62" s="197"/>
      <c r="HS62" s="197"/>
      <c r="HT62" s="197"/>
      <c r="HU62" s="197"/>
      <c r="HV62" s="197"/>
      <c r="HW62" s="197"/>
      <c r="HX62" s="197"/>
      <c r="HY62" s="197"/>
      <c r="HZ62" s="197"/>
      <c r="IA62" s="197"/>
      <c r="IB62" s="197"/>
      <c r="IC62" s="197"/>
      <c r="ID62" s="197"/>
      <c r="IE62" s="197"/>
      <c r="IF62" s="197"/>
      <c r="IG62" s="197"/>
      <c r="IH62" s="197"/>
      <c r="II62" s="197"/>
      <c r="IJ62" s="197"/>
      <c r="IK62" s="197"/>
      <c r="IL62" s="197"/>
      <c r="IM62" s="197"/>
      <c r="IN62" s="197"/>
      <c r="IO62" s="197"/>
      <c r="IP62" s="197"/>
      <c r="IQ62" s="197"/>
      <c r="IR62" s="197"/>
    </row>
    <row r="63" spans="1:252" s="216" customFormat="1" ht="14.5">
      <c r="A63" s="215"/>
      <c r="B63" s="215" t="str">
        <f>'Cashflow Ann'!E24</f>
        <v xml:space="preserve">Invoice finance interest paid </v>
      </c>
      <c r="C63" s="195"/>
      <c r="D63" s="218">
        <f ca="1">'Cashflow Ann'!J24</f>
        <v>0</v>
      </c>
      <c r="E63" s="218">
        <f ca="1">'Cashflow Ann'!K24</f>
        <v>0</v>
      </c>
      <c r="F63" s="218">
        <f ca="1">'Cashflow Ann'!L24</f>
        <v>0</v>
      </c>
      <c r="G63" s="218">
        <f ca="1">'Cashflow Ann'!M24</f>
        <v>0</v>
      </c>
      <c r="H63" s="218">
        <f ca="1">'Cashflow Ann'!N24</f>
        <v>0</v>
      </c>
      <c r="I63" s="215"/>
      <c r="J63" s="215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  <c r="AF63" s="198"/>
      <c r="AG63" s="198"/>
      <c r="AH63" s="198"/>
      <c r="AI63" s="198"/>
      <c r="AJ63" s="198"/>
      <c r="AK63" s="198"/>
      <c r="AL63" s="198"/>
      <c r="AM63" s="198"/>
      <c r="AN63" s="198"/>
      <c r="AO63" s="198"/>
      <c r="AP63" s="198"/>
      <c r="AQ63" s="198"/>
      <c r="AR63" s="198"/>
      <c r="AS63" s="198"/>
      <c r="AT63" s="198"/>
      <c r="AU63" s="198"/>
      <c r="AV63" s="198"/>
      <c r="AW63" s="198"/>
      <c r="AX63" s="198"/>
      <c r="AY63" s="198"/>
      <c r="AZ63" s="198"/>
      <c r="BA63" s="198"/>
      <c r="BB63" s="198"/>
      <c r="BC63" s="198"/>
      <c r="BD63" s="198"/>
      <c r="BE63" s="198"/>
      <c r="BF63" s="198"/>
      <c r="BG63" s="198"/>
      <c r="BH63" s="198"/>
      <c r="BI63" s="198"/>
      <c r="BJ63" s="198"/>
      <c r="BK63" s="198"/>
      <c r="BL63" s="198"/>
      <c r="BM63" s="198"/>
      <c r="BN63" s="198"/>
      <c r="BO63" s="198"/>
      <c r="BP63" s="198"/>
      <c r="BQ63" s="198"/>
      <c r="BR63" s="198"/>
      <c r="BS63" s="198"/>
      <c r="BT63" s="198"/>
      <c r="BU63" s="198"/>
      <c r="BV63" s="198"/>
      <c r="BW63" s="198"/>
      <c r="BX63" s="198"/>
      <c r="BY63" s="198"/>
      <c r="BZ63" s="198"/>
      <c r="CA63" s="198"/>
      <c r="CB63" s="198"/>
      <c r="CC63" s="198"/>
      <c r="CD63" s="198"/>
      <c r="CE63" s="198"/>
      <c r="CF63" s="198"/>
      <c r="CG63" s="198"/>
      <c r="CH63" s="198"/>
      <c r="CI63" s="198"/>
      <c r="CJ63" s="198"/>
      <c r="CK63" s="198"/>
      <c r="CL63" s="198"/>
      <c r="CM63" s="198"/>
      <c r="CN63" s="198"/>
      <c r="CO63" s="198"/>
      <c r="CP63" s="198"/>
      <c r="CQ63" s="198"/>
      <c r="CR63" s="198"/>
      <c r="CS63" s="198"/>
      <c r="CT63" s="198"/>
      <c r="CU63" s="198"/>
      <c r="CV63" s="198"/>
      <c r="CW63" s="198"/>
      <c r="CX63" s="198"/>
      <c r="CY63" s="198"/>
      <c r="CZ63" s="198"/>
      <c r="DA63" s="198"/>
      <c r="DB63" s="198"/>
      <c r="DC63" s="198"/>
      <c r="DD63" s="198"/>
      <c r="DE63" s="198"/>
      <c r="DF63" s="198"/>
      <c r="DG63" s="198"/>
      <c r="DH63" s="198"/>
      <c r="DI63" s="198"/>
      <c r="DJ63" s="198"/>
      <c r="DK63" s="198"/>
      <c r="DL63" s="198"/>
      <c r="DM63" s="198"/>
      <c r="DN63" s="198"/>
      <c r="DO63" s="198"/>
      <c r="DP63" s="198"/>
      <c r="DQ63" s="198"/>
      <c r="DR63" s="198"/>
      <c r="DS63" s="198"/>
      <c r="DT63" s="198"/>
      <c r="DU63" s="198"/>
      <c r="DV63" s="198"/>
      <c r="DW63" s="198"/>
      <c r="DX63" s="198"/>
      <c r="DY63" s="198"/>
      <c r="DZ63" s="198"/>
      <c r="EA63" s="198"/>
      <c r="EB63" s="198"/>
      <c r="EC63" s="198"/>
      <c r="ED63" s="198"/>
      <c r="EE63" s="198"/>
      <c r="EF63" s="198"/>
      <c r="EG63" s="198"/>
      <c r="EH63" s="198"/>
      <c r="EI63" s="198"/>
      <c r="EJ63" s="198"/>
      <c r="EK63" s="198"/>
      <c r="EL63" s="198"/>
      <c r="EM63" s="198"/>
      <c r="EN63" s="198"/>
      <c r="EO63" s="198"/>
      <c r="EP63" s="198"/>
      <c r="EQ63" s="198"/>
      <c r="ER63" s="198"/>
      <c r="ES63" s="198"/>
      <c r="ET63" s="198"/>
      <c r="EU63" s="198"/>
      <c r="EV63" s="198"/>
      <c r="EW63" s="198"/>
      <c r="EX63" s="198"/>
      <c r="EY63" s="198"/>
      <c r="EZ63" s="198"/>
      <c r="FA63" s="198"/>
      <c r="FB63" s="198"/>
      <c r="FC63" s="198"/>
      <c r="FD63" s="198"/>
      <c r="FE63" s="198"/>
      <c r="FF63" s="198"/>
      <c r="FG63" s="198"/>
      <c r="FH63" s="198"/>
      <c r="FI63" s="198"/>
      <c r="FJ63" s="198"/>
      <c r="FK63" s="198"/>
      <c r="FL63" s="198"/>
      <c r="FM63" s="198"/>
      <c r="FN63" s="198"/>
      <c r="FO63" s="198"/>
      <c r="FP63" s="198"/>
      <c r="FQ63" s="198"/>
      <c r="FR63" s="198"/>
      <c r="FS63" s="198"/>
      <c r="FT63" s="198"/>
      <c r="FU63" s="198"/>
      <c r="FV63" s="198"/>
      <c r="FW63" s="198"/>
      <c r="FX63" s="198"/>
      <c r="FY63" s="198"/>
      <c r="FZ63" s="198"/>
      <c r="GA63" s="198"/>
      <c r="GB63" s="198"/>
      <c r="GC63" s="198"/>
      <c r="GD63" s="198"/>
      <c r="GE63" s="198"/>
      <c r="GF63" s="198"/>
      <c r="GG63" s="198"/>
      <c r="GH63" s="198"/>
      <c r="GI63" s="198"/>
      <c r="GJ63" s="198"/>
      <c r="GK63" s="198"/>
      <c r="GL63" s="198"/>
      <c r="GM63" s="198"/>
      <c r="GN63" s="198"/>
      <c r="GO63" s="198"/>
      <c r="GP63" s="198"/>
      <c r="GQ63" s="198"/>
      <c r="GR63" s="198"/>
      <c r="GS63" s="198"/>
      <c r="GT63" s="198"/>
      <c r="GU63" s="198"/>
      <c r="GV63" s="198"/>
      <c r="GW63" s="198"/>
      <c r="GX63" s="198"/>
      <c r="GY63" s="198"/>
      <c r="GZ63" s="198"/>
      <c r="HA63" s="198"/>
      <c r="HB63" s="198"/>
      <c r="HC63" s="198"/>
      <c r="HD63" s="198"/>
      <c r="HE63" s="198"/>
      <c r="HF63" s="198"/>
      <c r="HG63" s="198"/>
      <c r="HH63" s="198"/>
      <c r="HI63" s="198"/>
      <c r="HJ63" s="198"/>
      <c r="HK63" s="198"/>
      <c r="HL63" s="198"/>
      <c r="HM63" s="198"/>
      <c r="HN63" s="198"/>
      <c r="HO63" s="198"/>
      <c r="HP63" s="198"/>
      <c r="HQ63" s="198"/>
      <c r="HR63" s="198"/>
      <c r="HS63" s="198"/>
      <c r="HT63" s="198"/>
      <c r="HU63" s="198"/>
      <c r="HV63" s="198"/>
      <c r="HW63" s="198"/>
      <c r="HX63" s="198"/>
      <c r="HY63" s="198"/>
      <c r="HZ63" s="198"/>
      <c r="IA63" s="198"/>
      <c r="IB63" s="198"/>
      <c r="IC63" s="198"/>
      <c r="ID63" s="198"/>
      <c r="IE63" s="198"/>
      <c r="IF63" s="198"/>
      <c r="IG63" s="198"/>
      <c r="IH63" s="198"/>
      <c r="II63" s="198"/>
      <c r="IJ63" s="198"/>
      <c r="IK63" s="198"/>
      <c r="IL63" s="198"/>
      <c r="IM63" s="198"/>
      <c r="IN63" s="198"/>
      <c r="IO63" s="198"/>
      <c r="IP63" s="198"/>
      <c r="IQ63" s="198"/>
      <c r="IR63" s="198"/>
    </row>
    <row r="64" spans="1:252" ht="15">
      <c r="A64" s="195"/>
      <c r="B64" s="215" t="str">
        <f>'Cashflow Ann'!E25</f>
        <v xml:space="preserve">Asset Finance interest paid </v>
      </c>
      <c r="C64" s="195"/>
      <c r="D64" s="218">
        <f ca="1">'Cashflow Ann'!J25</f>
        <v>0</v>
      </c>
      <c r="E64" s="218">
        <f ca="1">'Cashflow Ann'!K25</f>
        <v>0</v>
      </c>
      <c r="F64" s="218">
        <f ca="1">'Cashflow Ann'!L25</f>
        <v>0</v>
      </c>
      <c r="G64" s="218">
        <f ca="1">'Cashflow Ann'!M25</f>
        <v>0</v>
      </c>
      <c r="H64" s="218">
        <f ca="1">'Cashflow Ann'!N25</f>
        <v>0</v>
      </c>
      <c r="I64" s="195"/>
      <c r="J64" s="195"/>
      <c r="K64" s="197"/>
      <c r="L64" s="197"/>
      <c r="M64" s="197"/>
      <c r="N64" s="197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  <c r="AA64" s="197"/>
      <c r="AB64" s="197"/>
      <c r="AC64" s="197"/>
      <c r="AD64" s="197"/>
      <c r="AE64" s="197"/>
      <c r="AF64" s="197"/>
      <c r="AG64" s="197"/>
      <c r="AH64" s="197"/>
      <c r="AI64" s="197"/>
      <c r="AJ64" s="197"/>
      <c r="AK64" s="197"/>
      <c r="AL64" s="197"/>
      <c r="AM64" s="197"/>
      <c r="AN64" s="197"/>
      <c r="AO64" s="197"/>
      <c r="AP64" s="197"/>
      <c r="AQ64" s="197"/>
      <c r="AR64" s="197"/>
      <c r="AS64" s="197"/>
      <c r="AT64" s="197"/>
      <c r="AU64" s="197"/>
      <c r="AV64" s="197"/>
      <c r="AW64" s="197"/>
      <c r="AX64" s="197"/>
      <c r="AY64" s="197"/>
      <c r="AZ64" s="197"/>
      <c r="BA64" s="197"/>
      <c r="BB64" s="197"/>
      <c r="BC64" s="197"/>
      <c r="BD64" s="197"/>
      <c r="BE64" s="197"/>
      <c r="BF64" s="197"/>
      <c r="BG64" s="197"/>
      <c r="BH64" s="197"/>
      <c r="BI64" s="197"/>
      <c r="BJ64" s="197"/>
      <c r="BK64" s="197"/>
      <c r="BL64" s="197"/>
      <c r="BM64" s="197"/>
      <c r="BN64" s="197"/>
      <c r="BO64" s="197"/>
      <c r="BP64" s="197"/>
      <c r="BQ64" s="197"/>
      <c r="BR64" s="197"/>
      <c r="BS64" s="197"/>
      <c r="BT64" s="197"/>
      <c r="BU64" s="197"/>
      <c r="BV64" s="197"/>
      <c r="BW64" s="197"/>
      <c r="BX64" s="197"/>
      <c r="BY64" s="197"/>
      <c r="BZ64" s="197"/>
      <c r="CA64" s="197"/>
      <c r="CB64" s="197"/>
      <c r="CC64" s="197"/>
      <c r="CD64" s="197"/>
      <c r="CE64" s="197"/>
      <c r="CF64" s="197"/>
      <c r="CG64" s="197"/>
      <c r="CH64" s="197"/>
      <c r="CI64" s="197"/>
      <c r="CJ64" s="197"/>
      <c r="CK64" s="197"/>
      <c r="CL64" s="197"/>
      <c r="CM64" s="197"/>
      <c r="CN64" s="197"/>
      <c r="CO64" s="197"/>
      <c r="CP64" s="197"/>
      <c r="CQ64" s="197"/>
      <c r="CR64" s="197"/>
      <c r="CS64" s="197"/>
      <c r="CT64" s="197"/>
      <c r="CU64" s="197"/>
      <c r="CV64" s="197"/>
      <c r="CW64" s="197"/>
      <c r="CX64" s="197"/>
      <c r="CY64" s="197"/>
      <c r="CZ64" s="197"/>
      <c r="DA64" s="197"/>
      <c r="DB64" s="197"/>
      <c r="DC64" s="197"/>
      <c r="DD64" s="197"/>
      <c r="DE64" s="197"/>
      <c r="DF64" s="197"/>
      <c r="DG64" s="197"/>
      <c r="DH64" s="197"/>
      <c r="DI64" s="197"/>
      <c r="DJ64" s="197"/>
      <c r="DK64" s="197"/>
      <c r="DL64" s="197"/>
      <c r="DM64" s="197"/>
      <c r="DN64" s="197"/>
      <c r="DO64" s="197"/>
      <c r="DP64" s="197"/>
      <c r="DQ64" s="197"/>
      <c r="DR64" s="197"/>
      <c r="DS64" s="197"/>
      <c r="DT64" s="197"/>
      <c r="DU64" s="197"/>
      <c r="DV64" s="197"/>
      <c r="DW64" s="197"/>
      <c r="DX64" s="197"/>
      <c r="DY64" s="197"/>
      <c r="DZ64" s="197"/>
      <c r="EA64" s="197"/>
      <c r="EB64" s="197"/>
      <c r="EC64" s="197"/>
      <c r="ED64" s="197"/>
      <c r="EE64" s="197"/>
      <c r="EF64" s="197"/>
      <c r="EG64" s="197"/>
      <c r="EH64" s="197"/>
      <c r="EI64" s="197"/>
      <c r="EJ64" s="197"/>
      <c r="EK64" s="197"/>
      <c r="EL64" s="197"/>
      <c r="EM64" s="197"/>
      <c r="EN64" s="197"/>
      <c r="EO64" s="197"/>
      <c r="EP64" s="197"/>
      <c r="EQ64" s="197"/>
      <c r="ER64" s="197"/>
      <c r="ES64" s="197"/>
      <c r="ET64" s="197"/>
      <c r="EU64" s="197"/>
      <c r="EV64" s="197"/>
      <c r="EW64" s="197"/>
      <c r="EX64" s="197"/>
      <c r="EY64" s="197"/>
      <c r="EZ64" s="197"/>
      <c r="FA64" s="197"/>
      <c r="FB64" s="197"/>
      <c r="FC64" s="197"/>
      <c r="FD64" s="197"/>
      <c r="FE64" s="197"/>
      <c r="FF64" s="197"/>
      <c r="FG64" s="197"/>
      <c r="FH64" s="197"/>
      <c r="FI64" s="197"/>
      <c r="FJ64" s="197"/>
      <c r="FK64" s="197"/>
      <c r="FL64" s="197"/>
      <c r="FM64" s="197"/>
      <c r="FN64" s="197"/>
      <c r="FO64" s="197"/>
      <c r="FP64" s="197"/>
      <c r="FQ64" s="197"/>
      <c r="FR64" s="197"/>
      <c r="FS64" s="197"/>
      <c r="FT64" s="197"/>
      <c r="FU64" s="197"/>
      <c r="FV64" s="197"/>
      <c r="FW64" s="197"/>
      <c r="FX64" s="197"/>
      <c r="FY64" s="197"/>
      <c r="FZ64" s="197"/>
      <c r="GA64" s="197"/>
      <c r="GB64" s="197"/>
      <c r="GC64" s="197"/>
      <c r="GD64" s="197"/>
      <c r="GE64" s="197"/>
      <c r="GF64" s="197"/>
      <c r="GG64" s="197"/>
      <c r="GH64" s="197"/>
      <c r="GI64" s="197"/>
      <c r="GJ64" s="197"/>
      <c r="GK64" s="197"/>
      <c r="GL64" s="197"/>
      <c r="GM64" s="197"/>
      <c r="GN64" s="197"/>
      <c r="GO64" s="197"/>
      <c r="GP64" s="197"/>
      <c r="GQ64" s="197"/>
      <c r="GR64" s="197"/>
      <c r="GS64" s="197"/>
      <c r="GT64" s="197"/>
      <c r="GU64" s="197"/>
      <c r="GV64" s="197"/>
      <c r="GW64" s="197"/>
      <c r="GX64" s="197"/>
      <c r="GY64" s="197"/>
      <c r="GZ64" s="197"/>
      <c r="HA64" s="197"/>
      <c r="HB64" s="197"/>
      <c r="HC64" s="197"/>
      <c r="HD64" s="197"/>
      <c r="HE64" s="197"/>
      <c r="HF64" s="197"/>
      <c r="HG64" s="197"/>
      <c r="HH64" s="197"/>
      <c r="HI64" s="197"/>
      <c r="HJ64" s="197"/>
      <c r="HK64" s="197"/>
      <c r="HL64" s="197"/>
      <c r="HM64" s="197"/>
      <c r="HN64" s="197"/>
      <c r="HO64" s="197"/>
      <c r="HP64" s="197"/>
      <c r="HQ64" s="197"/>
      <c r="HR64" s="197"/>
      <c r="HS64" s="197"/>
      <c r="HT64" s="197"/>
      <c r="HU64" s="197"/>
      <c r="HV64" s="197"/>
      <c r="HW64" s="197"/>
      <c r="HX64" s="197"/>
      <c r="HY64" s="197"/>
      <c r="HZ64" s="197"/>
      <c r="IA64" s="197"/>
      <c r="IB64" s="197"/>
      <c r="IC64" s="197"/>
      <c r="ID64" s="197"/>
      <c r="IE64" s="197"/>
      <c r="IF64" s="197"/>
      <c r="IG64" s="197"/>
      <c r="IH64" s="197"/>
      <c r="II64" s="197"/>
      <c r="IJ64" s="197"/>
      <c r="IK64" s="197"/>
      <c r="IL64" s="197"/>
      <c r="IM64" s="197"/>
      <c r="IN64" s="197"/>
      <c r="IO64" s="197"/>
      <c r="IP64" s="197"/>
      <c r="IQ64" s="197"/>
      <c r="IR64" s="197"/>
    </row>
    <row r="65" spans="2:8" ht="14.5">
      <c r="B65" s="223" t="str">
        <f>'Cashflow Ann'!E26</f>
        <v>CF after financing</v>
      </c>
      <c r="C65" s="222"/>
      <c r="D65" s="217">
        <f ca="1">'Cashflow Ann'!J26</f>
        <v>1246437.4488265985</v>
      </c>
      <c r="E65" s="217">
        <f ca="1">'Cashflow Ann'!K26</f>
        <v>4526581.796398608</v>
      </c>
      <c r="F65" s="217">
        <f ca="1">'Cashflow Ann'!L26</f>
        <v>13475499.920362335</v>
      </c>
      <c r="G65" s="217">
        <f ca="1">'Cashflow Ann'!M26</f>
        <v>29173015.060278632</v>
      </c>
      <c r="H65" s="217">
        <f ca="1">'Cashflow Ann'!N26</f>
        <v>59426105.632354617</v>
      </c>
    </row>
    <row r="66" spans="2:8" ht="14.5">
      <c r="C66" s="195"/>
      <c r="D66" s="218"/>
      <c r="E66" s="218"/>
      <c r="F66" s="218"/>
      <c r="G66" s="218"/>
      <c r="H66" s="218"/>
    </row>
    <row r="67" spans="2:8" ht="14.5">
      <c r="B67" s="215" t="str">
        <f>'Cashflow Ann'!E28</f>
        <v>New share capital issued</v>
      </c>
      <c r="C67" s="195"/>
      <c r="D67" s="218">
        <f>'Cashflow Ann'!J28</f>
        <v>0</v>
      </c>
      <c r="E67" s="218">
        <f>'Cashflow Ann'!K28</f>
        <v>0</v>
      </c>
      <c r="F67" s="218">
        <f>'Cashflow Ann'!L28</f>
        <v>0</v>
      </c>
      <c r="G67" s="218">
        <f>'Cashflow Ann'!M28</f>
        <v>0</v>
      </c>
      <c r="H67" s="218">
        <f>'Cashflow Ann'!N28</f>
        <v>0</v>
      </c>
    </row>
    <row r="68" spans="2:8" ht="14.5">
      <c r="B68" s="223" t="str">
        <f>'Cashflow Ann'!E29</f>
        <v>Net Cashflow</v>
      </c>
      <c r="C68" s="222"/>
      <c r="D68" s="217">
        <f ca="1">'Cashflow Ann'!J29</f>
        <v>1246437.4488265985</v>
      </c>
      <c r="E68" s="217">
        <f ca="1">'Cashflow Ann'!K29</f>
        <v>4526581.796398608</v>
      </c>
      <c r="F68" s="217">
        <f ca="1">'Cashflow Ann'!L29</f>
        <v>13475499.920362335</v>
      </c>
      <c r="G68" s="217">
        <f ca="1">'Cashflow Ann'!M29</f>
        <v>29173015.060278632</v>
      </c>
      <c r="H68" s="217">
        <f ca="1">'Cashflow Ann'!N29</f>
        <v>59426105.632354617</v>
      </c>
    </row>
    <row r="69" spans="2:8" ht="14.5">
      <c r="C69" s="195"/>
      <c r="D69" s="218"/>
      <c r="E69" s="218"/>
      <c r="F69" s="218"/>
      <c r="G69" s="218"/>
      <c r="H69" s="218"/>
    </row>
    <row r="70" spans="2:8" ht="14.5">
      <c r="C70" s="195"/>
      <c r="D70" s="218"/>
      <c r="E70" s="218"/>
      <c r="F70" s="218"/>
      <c r="G70" s="218"/>
      <c r="H70" s="21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IR69"/>
  <sheetViews>
    <sheetView workbookViewId="0">
      <selection activeCell="B14" sqref="B14"/>
    </sheetView>
  </sheetViews>
  <sheetFormatPr defaultRowHeight="14.5"/>
  <cols>
    <col min="1" max="1" width="9.1796875" style="228"/>
    <col min="2" max="2" width="49.7265625" style="228" customWidth="1"/>
    <col min="3" max="3" width="4.7265625" style="228" customWidth="1"/>
    <col min="4" max="4" width="16.7265625" style="228" customWidth="1"/>
    <col min="5" max="5" width="15.7265625" style="228" customWidth="1"/>
    <col min="6" max="6" width="14.7265625" style="228" customWidth="1"/>
    <col min="7" max="7" width="16.7265625" style="228" customWidth="1"/>
    <col min="8" max="9" width="15.7265625" style="228" customWidth="1"/>
    <col min="10" max="11" width="16.7265625" style="228" customWidth="1"/>
    <col min="12" max="13" width="15.7265625" style="228" customWidth="1"/>
    <col min="14" max="14" width="16.7265625" style="228" customWidth="1"/>
    <col min="15" max="15" width="15.7265625" style="228" customWidth="1"/>
    <col min="16" max="16" width="16.7265625" style="228" customWidth="1"/>
    <col min="17" max="18" width="15.7265625" style="228" customWidth="1"/>
    <col min="19" max="19" width="16.7265625" style="228" customWidth="1"/>
    <col min="20" max="21" width="15.7265625" style="228" customWidth="1"/>
    <col min="22" max="23" width="16.7265625" style="228" customWidth="1"/>
    <col min="24" max="25" width="15.7265625" style="228" customWidth="1"/>
    <col min="26" max="26" width="16.7265625" style="228" customWidth="1"/>
    <col min="27" max="27" width="15.7265625" style="228" customWidth="1"/>
    <col min="28" max="28" width="16.7265625" style="228" customWidth="1"/>
    <col min="29" max="30" width="15.7265625" style="228" customWidth="1"/>
    <col min="31" max="31" width="16.7265625" style="228" customWidth="1"/>
    <col min="32" max="33" width="15.7265625" style="228" customWidth="1"/>
    <col min="34" max="35" width="16.7265625" style="228" customWidth="1"/>
    <col min="36" max="37" width="15.7265625" style="228" customWidth="1"/>
    <col min="38" max="38" width="16.7265625" style="228" customWidth="1"/>
    <col min="39" max="39" width="15.7265625" style="228" customWidth="1"/>
    <col min="40" max="40" width="16.7265625" style="228" customWidth="1"/>
    <col min="41" max="41" width="15.7265625" style="228" customWidth="1"/>
    <col min="42" max="59" width="17.7265625" style="228" customWidth="1"/>
    <col min="60" max="63" width="19.7265625" style="228" customWidth="1"/>
    <col min="64" max="251" width="9.1796875" style="228"/>
    <col min="252" max="16384" width="9.1796875" style="226"/>
  </cols>
  <sheetData>
    <row r="1" spans="1:252">
      <c r="A1" s="224"/>
      <c r="B1" s="224"/>
      <c r="C1" s="225"/>
      <c r="D1" s="224"/>
      <c r="E1" s="224"/>
      <c r="F1" s="224"/>
      <c r="G1" s="224"/>
      <c r="H1" s="224"/>
      <c r="I1" s="224"/>
      <c r="J1" s="224"/>
      <c r="K1" s="224"/>
      <c r="L1" s="224"/>
      <c r="M1" s="224"/>
      <c r="N1" s="224"/>
      <c r="O1" s="224"/>
      <c r="P1" s="224"/>
      <c r="Q1" s="224"/>
      <c r="R1" s="224"/>
      <c r="S1" s="224"/>
      <c r="T1" s="224"/>
      <c r="U1" s="224"/>
      <c r="V1" s="224"/>
      <c r="W1" s="224"/>
      <c r="X1" s="224"/>
      <c r="Y1" s="224"/>
      <c r="Z1" s="224"/>
      <c r="AA1" s="224"/>
      <c r="AB1" s="224"/>
      <c r="AC1" s="224"/>
      <c r="AD1" s="224"/>
      <c r="AE1" s="224"/>
      <c r="AF1" s="224"/>
      <c r="AG1" s="224"/>
      <c r="AH1" s="224"/>
      <c r="AI1" s="224"/>
      <c r="AJ1" s="224"/>
      <c r="AK1" s="224"/>
      <c r="AL1" s="224"/>
      <c r="AM1" s="224"/>
      <c r="AN1" s="224"/>
      <c r="AO1" s="224"/>
      <c r="AP1" s="224"/>
      <c r="AQ1" s="224"/>
      <c r="AR1" s="224"/>
      <c r="AS1" s="224"/>
      <c r="AT1" s="224"/>
      <c r="AU1" s="224"/>
      <c r="AV1" s="224"/>
      <c r="AW1" s="224"/>
      <c r="AX1" s="224"/>
      <c r="AY1" s="224"/>
      <c r="AZ1" s="224"/>
      <c r="BA1" s="224"/>
      <c r="BB1" s="224"/>
      <c r="BC1" s="224"/>
      <c r="BD1" s="224"/>
      <c r="BE1" s="224"/>
      <c r="BF1" s="224"/>
      <c r="BG1" s="224"/>
      <c r="BH1" s="224"/>
      <c r="BI1" s="224"/>
      <c r="BJ1" s="224"/>
      <c r="BK1" s="224"/>
      <c r="BL1" s="224"/>
      <c r="BM1" s="224"/>
      <c r="BN1" s="224"/>
      <c r="BO1" s="224"/>
      <c r="BP1" s="224"/>
      <c r="BQ1" s="224"/>
      <c r="BR1" s="224"/>
      <c r="BS1" s="224"/>
      <c r="BT1" s="224"/>
      <c r="BU1" s="224"/>
      <c r="BV1" s="224"/>
      <c r="BW1" s="224"/>
      <c r="BX1" s="224"/>
      <c r="BY1" s="224"/>
      <c r="BZ1" s="224"/>
      <c r="CA1" s="224"/>
      <c r="CB1" s="224"/>
      <c r="CC1" s="224"/>
      <c r="CD1" s="224"/>
      <c r="CE1" s="224"/>
      <c r="CF1" s="224"/>
      <c r="CG1" s="224"/>
      <c r="CH1" s="224"/>
      <c r="CI1" s="224"/>
      <c r="CJ1" s="224"/>
      <c r="CK1" s="224"/>
      <c r="CL1" s="224"/>
      <c r="CM1" s="224"/>
      <c r="CN1" s="224"/>
      <c r="CO1" s="224"/>
      <c r="CP1" s="224"/>
      <c r="CQ1" s="224"/>
      <c r="CR1" s="224"/>
      <c r="CS1" s="224"/>
      <c r="CT1" s="224"/>
      <c r="CU1" s="224"/>
      <c r="CV1" s="224"/>
      <c r="CW1" s="224"/>
      <c r="CX1" s="224"/>
      <c r="CY1" s="224"/>
      <c r="CZ1" s="224"/>
      <c r="DA1" s="224"/>
      <c r="DB1" s="224"/>
      <c r="DC1" s="224"/>
      <c r="DD1" s="224"/>
      <c r="DE1" s="224"/>
      <c r="DF1" s="224"/>
      <c r="DG1" s="224"/>
      <c r="DH1" s="224"/>
      <c r="DI1" s="224"/>
      <c r="DJ1" s="224"/>
      <c r="DK1" s="224"/>
      <c r="DL1" s="224"/>
      <c r="DM1" s="224"/>
      <c r="DN1" s="224"/>
      <c r="DO1" s="224"/>
      <c r="DP1" s="224"/>
      <c r="DQ1" s="224"/>
      <c r="DR1" s="224"/>
      <c r="DS1" s="224"/>
      <c r="DT1" s="224"/>
      <c r="DU1" s="224"/>
      <c r="DV1" s="224"/>
      <c r="DW1" s="224"/>
      <c r="DX1" s="224"/>
      <c r="DY1" s="224"/>
      <c r="DZ1" s="224"/>
      <c r="EA1" s="224"/>
      <c r="EB1" s="224"/>
      <c r="EC1" s="224"/>
      <c r="ED1" s="224"/>
      <c r="EE1" s="224"/>
      <c r="EF1" s="224"/>
      <c r="EG1" s="224"/>
      <c r="EH1" s="224"/>
      <c r="EI1" s="224"/>
      <c r="EJ1" s="224"/>
      <c r="EK1" s="224"/>
      <c r="EL1" s="224"/>
      <c r="EM1" s="224"/>
      <c r="EN1" s="224"/>
      <c r="EO1" s="224"/>
      <c r="EP1" s="224"/>
      <c r="EQ1" s="224"/>
      <c r="ER1" s="224"/>
      <c r="ES1" s="224"/>
      <c r="ET1" s="224"/>
      <c r="EU1" s="224"/>
      <c r="EV1" s="224"/>
      <c r="EW1" s="224"/>
      <c r="EX1" s="224"/>
      <c r="EY1" s="224"/>
      <c r="EZ1" s="224"/>
      <c r="FA1" s="224"/>
      <c r="FB1" s="224"/>
      <c r="FC1" s="224"/>
      <c r="FD1" s="224"/>
      <c r="FE1" s="224"/>
      <c r="FF1" s="224"/>
      <c r="FG1" s="224"/>
      <c r="FH1" s="224"/>
      <c r="FI1" s="224"/>
      <c r="FJ1" s="224"/>
      <c r="FK1" s="224"/>
      <c r="FL1" s="224"/>
      <c r="FM1" s="224"/>
      <c r="FN1" s="224"/>
      <c r="FO1" s="224"/>
      <c r="FP1" s="224"/>
      <c r="FQ1" s="224"/>
      <c r="FR1" s="224"/>
      <c r="FS1" s="224"/>
      <c r="FT1" s="224"/>
      <c r="FU1" s="224"/>
      <c r="FV1" s="224"/>
      <c r="FW1" s="224"/>
      <c r="FX1" s="224"/>
      <c r="FY1" s="224"/>
      <c r="FZ1" s="224"/>
      <c r="GA1" s="224"/>
      <c r="GB1" s="224"/>
      <c r="GC1" s="224"/>
      <c r="GD1" s="224"/>
      <c r="GE1" s="224"/>
      <c r="GF1" s="224"/>
      <c r="GG1" s="224"/>
      <c r="GH1" s="224"/>
      <c r="GI1" s="224"/>
      <c r="GJ1" s="224"/>
      <c r="GK1" s="224"/>
      <c r="GL1" s="224"/>
      <c r="GM1" s="224"/>
      <c r="GN1" s="224"/>
      <c r="GO1" s="224"/>
      <c r="GP1" s="224"/>
      <c r="GQ1" s="224"/>
      <c r="GR1" s="224"/>
      <c r="GS1" s="224"/>
      <c r="GT1" s="224"/>
      <c r="GU1" s="224"/>
      <c r="GV1" s="224"/>
      <c r="GW1" s="224"/>
      <c r="GX1" s="224"/>
      <c r="GY1" s="224"/>
      <c r="GZ1" s="224"/>
      <c r="HA1" s="224"/>
      <c r="HB1" s="224"/>
      <c r="HC1" s="224"/>
      <c r="HD1" s="224"/>
      <c r="HE1" s="224"/>
      <c r="HF1" s="224"/>
      <c r="HG1" s="224"/>
      <c r="HH1" s="224"/>
      <c r="HI1" s="224"/>
      <c r="HJ1" s="224"/>
      <c r="HK1" s="224"/>
      <c r="HL1" s="224"/>
      <c r="HM1" s="224"/>
      <c r="HN1" s="224"/>
      <c r="HO1" s="224"/>
      <c r="HP1" s="224"/>
      <c r="HQ1" s="224"/>
      <c r="HR1" s="224"/>
      <c r="HS1" s="224"/>
      <c r="HT1" s="224"/>
      <c r="HU1" s="224"/>
      <c r="HV1" s="224"/>
      <c r="HW1" s="224"/>
      <c r="HX1" s="224"/>
      <c r="HY1" s="224"/>
      <c r="HZ1" s="224"/>
      <c r="IA1" s="224"/>
      <c r="IB1" s="224"/>
      <c r="IC1" s="224"/>
      <c r="ID1" s="224"/>
      <c r="IE1" s="224"/>
      <c r="IF1" s="224"/>
      <c r="IG1" s="224"/>
      <c r="IH1" s="224"/>
      <c r="II1" s="224"/>
      <c r="IJ1" s="224"/>
      <c r="IK1" s="224"/>
      <c r="IL1" s="224"/>
      <c r="IM1" s="224"/>
      <c r="IN1" s="224"/>
      <c r="IO1" s="224"/>
      <c r="IP1" s="224"/>
      <c r="IQ1" s="224"/>
      <c r="IR1" s="224"/>
    </row>
    <row r="2" spans="1:252" s="227" customFormat="1">
      <c r="A2" s="239"/>
      <c r="B2" s="239" t="s">
        <v>346</v>
      </c>
      <c r="C2" s="225"/>
      <c r="D2" s="240">
        <f>'Income Statement'!J2</f>
        <v>45077</v>
      </c>
      <c r="E2" s="240">
        <f>'Income Statement'!K2</f>
        <v>45107</v>
      </c>
      <c r="F2" s="240">
        <f>'Income Statement'!L2</f>
        <v>45138</v>
      </c>
      <c r="G2" s="240">
        <f>'Income Statement'!M2</f>
        <v>45169</v>
      </c>
      <c r="H2" s="240">
        <f>'Income Statement'!N2</f>
        <v>45199</v>
      </c>
      <c r="I2" s="240">
        <f>'Income Statement'!O2</f>
        <v>45230</v>
      </c>
      <c r="J2" s="240">
        <f>'Income Statement'!P2</f>
        <v>45260</v>
      </c>
      <c r="K2" s="240">
        <f>'Income Statement'!Q2</f>
        <v>45291</v>
      </c>
      <c r="L2" s="240">
        <f>'Income Statement'!R2</f>
        <v>45322</v>
      </c>
      <c r="M2" s="240">
        <f>'Income Statement'!S2</f>
        <v>45351</v>
      </c>
      <c r="N2" s="240">
        <f>'Income Statement'!T2</f>
        <v>45382</v>
      </c>
      <c r="O2" s="240">
        <f>'Income Statement'!U2</f>
        <v>45412</v>
      </c>
      <c r="P2" s="240">
        <f>'Income Statement'!V2</f>
        <v>45443</v>
      </c>
      <c r="Q2" s="240">
        <f>'Income Statement'!W2</f>
        <v>45473</v>
      </c>
      <c r="R2" s="240">
        <f>'Income Statement'!X2</f>
        <v>45504</v>
      </c>
      <c r="S2" s="240">
        <f>'Income Statement'!Y2</f>
        <v>45535</v>
      </c>
      <c r="T2" s="240">
        <f>'Income Statement'!Z2</f>
        <v>45565</v>
      </c>
      <c r="U2" s="240">
        <f>'Income Statement'!AA2</f>
        <v>45596</v>
      </c>
      <c r="V2" s="240">
        <f>'Income Statement'!AB2</f>
        <v>45626</v>
      </c>
      <c r="W2" s="240">
        <f>'Income Statement'!AC2</f>
        <v>45657</v>
      </c>
      <c r="X2" s="240">
        <f>'Income Statement'!AD2</f>
        <v>45688</v>
      </c>
      <c r="Y2" s="240">
        <f>'Income Statement'!AE2</f>
        <v>45716</v>
      </c>
      <c r="Z2" s="240">
        <f>'Income Statement'!AF2</f>
        <v>45747</v>
      </c>
      <c r="AA2" s="240">
        <f>'Income Statement'!AG2</f>
        <v>45777</v>
      </c>
      <c r="AB2" s="240">
        <f>'Income Statement'!AH2</f>
        <v>45808</v>
      </c>
      <c r="AC2" s="240">
        <f>'Income Statement'!AI2</f>
        <v>45838</v>
      </c>
      <c r="AD2" s="240">
        <f>'Income Statement'!AJ2</f>
        <v>45869</v>
      </c>
      <c r="AE2" s="240">
        <f>'Income Statement'!AK2</f>
        <v>45900</v>
      </c>
      <c r="AF2" s="240">
        <f>'Income Statement'!AL2</f>
        <v>45930</v>
      </c>
      <c r="AG2" s="240">
        <f>'Income Statement'!AM2</f>
        <v>45961</v>
      </c>
      <c r="AH2" s="240">
        <f>'Income Statement'!AN2</f>
        <v>45991</v>
      </c>
      <c r="AI2" s="240">
        <f>'Income Statement'!AO2</f>
        <v>46022</v>
      </c>
      <c r="AJ2" s="240">
        <f>'Income Statement'!AP2</f>
        <v>46053</v>
      </c>
      <c r="AK2" s="240">
        <f>'Income Statement'!AQ2</f>
        <v>46081</v>
      </c>
      <c r="AL2" s="240">
        <f>'Income Statement'!AR2</f>
        <v>46112</v>
      </c>
      <c r="AM2" s="240">
        <f>'Income Statement'!AS2</f>
        <v>46142</v>
      </c>
      <c r="AN2" s="240">
        <f>'Income Statement'!AT2</f>
        <v>46173</v>
      </c>
      <c r="AO2" s="240">
        <f>'Income Statement'!AU2</f>
        <v>46203</v>
      </c>
      <c r="AP2" s="240">
        <f>'Income Statement'!AV2</f>
        <v>46234</v>
      </c>
      <c r="AQ2" s="240">
        <f>'Income Statement'!AW2</f>
        <v>46265</v>
      </c>
      <c r="AR2" s="240">
        <f>'Income Statement'!AX2</f>
        <v>46295</v>
      </c>
      <c r="AS2" s="240">
        <f>'Income Statement'!AY2</f>
        <v>46326</v>
      </c>
      <c r="AT2" s="240">
        <f>'Income Statement'!AZ2</f>
        <v>46356</v>
      </c>
      <c r="AU2" s="240">
        <f>'Income Statement'!BA2</f>
        <v>46387</v>
      </c>
      <c r="AV2" s="240">
        <f>'Income Statement'!BB2</f>
        <v>46418</v>
      </c>
      <c r="AW2" s="240">
        <f>'Income Statement'!BC2</f>
        <v>46446</v>
      </c>
      <c r="AX2" s="240">
        <f>'Income Statement'!BD2</f>
        <v>46477</v>
      </c>
      <c r="AY2" s="240">
        <f>'Income Statement'!BE2</f>
        <v>46507</v>
      </c>
      <c r="AZ2" s="240">
        <f>'Income Statement'!BF2</f>
        <v>46538</v>
      </c>
      <c r="BA2" s="240">
        <f>'Income Statement'!BG2</f>
        <v>46568</v>
      </c>
      <c r="BB2" s="240">
        <f>'Income Statement'!BH2</f>
        <v>46599</v>
      </c>
      <c r="BC2" s="240">
        <f>'Income Statement'!BI2</f>
        <v>46630</v>
      </c>
      <c r="BD2" s="240">
        <f>'Income Statement'!BJ2</f>
        <v>46660</v>
      </c>
      <c r="BE2" s="240">
        <f>'Income Statement'!BK2</f>
        <v>46691</v>
      </c>
      <c r="BF2" s="240">
        <f>'Income Statement'!BL2</f>
        <v>46721</v>
      </c>
      <c r="BG2" s="240">
        <f>'Income Statement'!BM2</f>
        <v>46752</v>
      </c>
      <c r="BH2" s="240">
        <f>'Income Statement'!BN2</f>
        <v>46783</v>
      </c>
      <c r="BI2" s="240">
        <f>'Income Statement'!BO2</f>
        <v>46812</v>
      </c>
      <c r="BJ2" s="240">
        <f>'Income Statement'!BP2</f>
        <v>46843</v>
      </c>
      <c r="BK2" s="240">
        <f>'Income Statement'!BQ2</f>
        <v>46873</v>
      </c>
      <c r="BL2" s="239"/>
      <c r="BM2" s="239"/>
      <c r="BN2" s="239"/>
      <c r="BO2" s="239"/>
      <c r="BP2" s="239"/>
      <c r="BQ2" s="239"/>
      <c r="BR2" s="239"/>
      <c r="BS2" s="239"/>
      <c r="BT2" s="239"/>
      <c r="BU2" s="239"/>
      <c r="BV2" s="239"/>
      <c r="BW2" s="239"/>
      <c r="BX2" s="239"/>
      <c r="BY2" s="239"/>
      <c r="BZ2" s="239"/>
      <c r="CA2" s="239"/>
      <c r="CB2" s="239"/>
      <c r="CC2" s="239"/>
      <c r="CD2" s="239"/>
      <c r="CE2" s="239"/>
      <c r="CF2" s="239"/>
      <c r="CG2" s="239"/>
      <c r="CH2" s="239"/>
      <c r="CI2" s="239"/>
      <c r="CJ2" s="239"/>
      <c r="CK2" s="239"/>
      <c r="CL2" s="239"/>
      <c r="CM2" s="239"/>
      <c r="CN2" s="239"/>
      <c r="CO2" s="239"/>
      <c r="CP2" s="239"/>
      <c r="CQ2" s="239"/>
      <c r="CR2" s="239"/>
      <c r="CS2" s="239"/>
      <c r="CT2" s="239"/>
      <c r="CU2" s="239"/>
      <c r="CV2" s="239"/>
      <c r="CW2" s="239"/>
      <c r="CX2" s="239"/>
      <c r="CY2" s="239"/>
      <c r="CZ2" s="239"/>
      <c r="DA2" s="239"/>
      <c r="DB2" s="239"/>
      <c r="DC2" s="239"/>
      <c r="DD2" s="239"/>
      <c r="DE2" s="239"/>
      <c r="DF2" s="239"/>
      <c r="DG2" s="239"/>
      <c r="DH2" s="239"/>
      <c r="DI2" s="239"/>
      <c r="DJ2" s="239"/>
      <c r="DK2" s="239"/>
      <c r="DL2" s="239"/>
      <c r="DM2" s="239"/>
      <c r="DN2" s="239"/>
      <c r="DO2" s="239"/>
      <c r="DP2" s="239"/>
      <c r="DQ2" s="239"/>
      <c r="DR2" s="239"/>
      <c r="DS2" s="239"/>
      <c r="DT2" s="239"/>
      <c r="DU2" s="239"/>
      <c r="DV2" s="239"/>
      <c r="DW2" s="239"/>
      <c r="DX2" s="239"/>
      <c r="DY2" s="239"/>
      <c r="DZ2" s="239"/>
      <c r="EA2" s="239"/>
      <c r="EB2" s="239"/>
      <c r="EC2" s="239"/>
      <c r="ED2" s="239"/>
      <c r="EE2" s="239"/>
      <c r="EF2" s="239"/>
      <c r="EG2" s="239"/>
      <c r="EH2" s="239"/>
      <c r="EI2" s="239"/>
      <c r="EJ2" s="239"/>
      <c r="EK2" s="239"/>
      <c r="EL2" s="239"/>
      <c r="EM2" s="239"/>
      <c r="EN2" s="239"/>
      <c r="EO2" s="239"/>
      <c r="EP2" s="239"/>
      <c r="EQ2" s="239"/>
      <c r="ER2" s="239"/>
      <c r="ES2" s="239"/>
      <c r="ET2" s="239"/>
      <c r="EU2" s="239"/>
      <c r="EV2" s="239"/>
      <c r="EW2" s="239"/>
      <c r="EX2" s="239"/>
      <c r="EY2" s="239"/>
      <c r="EZ2" s="239"/>
      <c r="FA2" s="239"/>
      <c r="FB2" s="239"/>
      <c r="FC2" s="239"/>
      <c r="FD2" s="239"/>
      <c r="FE2" s="239"/>
      <c r="FF2" s="239"/>
      <c r="FG2" s="239"/>
      <c r="FH2" s="239"/>
      <c r="FI2" s="239"/>
      <c r="FJ2" s="239"/>
      <c r="FK2" s="239"/>
      <c r="FL2" s="239"/>
      <c r="FM2" s="239"/>
      <c r="FN2" s="239"/>
      <c r="FO2" s="239"/>
      <c r="FP2" s="239"/>
      <c r="FQ2" s="239"/>
      <c r="FR2" s="239"/>
      <c r="FS2" s="239"/>
      <c r="FT2" s="239"/>
      <c r="FU2" s="239"/>
      <c r="FV2" s="239"/>
      <c r="FW2" s="239"/>
      <c r="FX2" s="239"/>
      <c r="FY2" s="239"/>
      <c r="FZ2" s="239"/>
      <c r="GA2" s="239"/>
      <c r="GB2" s="239"/>
      <c r="GC2" s="239"/>
      <c r="GD2" s="239"/>
      <c r="GE2" s="239"/>
      <c r="GF2" s="239"/>
      <c r="GG2" s="239"/>
      <c r="GH2" s="239"/>
      <c r="GI2" s="239"/>
      <c r="GJ2" s="239"/>
      <c r="GK2" s="239"/>
      <c r="GL2" s="239"/>
      <c r="GM2" s="239"/>
      <c r="GN2" s="239"/>
      <c r="GO2" s="239"/>
      <c r="GP2" s="239"/>
      <c r="GQ2" s="239"/>
      <c r="GR2" s="239"/>
      <c r="GS2" s="239"/>
      <c r="GT2" s="239"/>
      <c r="GU2" s="239"/>
      <c r="GV2" s="239"/>
      <c r="GW2" s="239"/>
      <c r="GX2" s="239"/>
      <c r="GY2" s="239"/>
      <c r="GZ2" s="239"/>
      <c r="HA2" s="239"/>
      <c r="HB2" s="239"/>
      <c r="HC2" s="239"/>
      <c r="HD2" s="239"/>
      <c r="HE2" s="239"/>
      <c r="HF2" s="239"/>
      <c r="HG2" s="239"/>
      <c r="HH2" s="239"/>
      <c r="HI2" s="239"/>
      <c r="HJ2" s="239"/>
      <c r="HK2" s="239"/>
      <c r="HL2" s="239"/>
      <c r="HM2" s="239"/>
      <c r="HN2" s="239"/>
      <c r="HO2" s="239"/>
      <c r="HP2" s="239"/>
      <c r="HQ2" s="239"/>
      <c r="HR2" s="239"/>
      <c r="HS2" s="239"/>
      <c r="HT2" s="239"/>
      <c r="HU2" s="239"/>
      <c r="HV2" s="239"/>
      <c r="HW2" s="239"/>
      <c r="HX2" s="239"/>
      <c r="HY2" s="239"/>
      <c r="HZ2" s="239"/>
      <c r="IA2" s="239"/>
      <c r="IB2" s="239"/>
      <c r="IC2" s="239"/>
      <c r="ID2" s="239"/>
      <c r="IE2" s="239"/>
      <c r="IF2" s="239"/>
      <c r="IG2" s="239"/>
      <c r="IH2" s="239"/>
      <c r="II2" s="239"/>
      <c r="IJ2" s="239"/>
      <c r="IK2" s="239"/>
      <c r="IL2" s="239"/>
      <c r="IM2" s="239"/>
      <c r="IN2" s="239"/>
      <c r="IO2" s="239"/>
      <c r="IP2" s="239"/>
      <c r="IQ2" s="239"/>
      <c r="IR2" s="239"/>
    </row>
    <row r="3" spans="1:252">
      <c r="A3" s="224"/>
      <c r="B3" s="224"/>
      <c r="C3" s="225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  <c r="AA3" s="224"/>
      <c r="AB3" s="224"/>
      <c r="AC3" s="224"/>
      <c r="AD3" s="224"/>
      <c r="AE3" s="224"/>
      <c r="AF3" s="224"/>
      <c r="AG3" s="224"/>
      <c r="AH3" s="224"/>
      <c r="AI3" s="224"/>
      <c r="AJ3" s="224"/>
      <c r="AK3" s="224"/>
      <c r="AL3" s="224"/>
      <c r="AM3" s="224"/>
      <c r="AN3" s="224"/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4"/>
      <c r="BG3" s="224"/>
      <c r="BH3" s="224"/>
      <c r="BI3" s="224"/>
      <c r="BJ3" s="224"/>
      <c r="BK3" s="224"/>
      <c r="BL3" s="224"/>
      <c r="BM3" s="224"/>
      <c r="BN3" s="224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4"/>
      <c r="DA3" s="224"/>
      <c r="DB3" s="224"/>
      <c r="DC3" s="224"/>
      <c r="DD3" s="224"/>
      <c r="DE3" s="224"/>
      <c r="DF3" s="224"/>
      <c r="DG3" s="224"/>
      <c r="DH3" s="224"/>
      <c r="DI3" s="224"/>
      <c r="DJ3" s="224"/>
      <c r="DK3" s="224"/>
      <c r="DL3" s="224"/>
      <c r="DM3" s="224"/>
      <c r="DN3" s="224"/>
      <c r="DO3" s="224"/>
      <c r="DP3" s="224"/>
      <c r="DQ3" s="224"/>
      <c r="DR3" s="224"/>
      <c r="DS3" s="224"/>
      <c r="DT3" s="224"/>
      <c r="DU3" s="224"/>
      <c r="DV3" s="224"/>
      <c r="DW3" s="224"/>
      <c r="DX3" s="224"/>
      <c r="DY3" s="224"/>
      <c r="DZ3" s="224"/>
      <c r="EA3" s="224"/>
      <c r="EB3" s="224"/>
      <c r="EC3" s="224"/>
      <c r="ED3" s="224"/>
      <c r="EE3" s="224"/>
      <c r="EF3" s="224"/>
      <c r="EG3" s="224"/>
      <c r="EH3" s="224"/>
      <c r="EI3" s="224"/>
      <c r="EJ3" s="224"/>
      <c r="EK3" s="224"/>
      <c r="EL3" s="224"/>
      <c r="EM3" s="224"/>
      <c r="EN3" s="224"/>
      <c r="EO3" s="224"/>
      <c r="EP3" s="224"/>
      <c r="EQ3" s="224"/>
      <c r="ER3" s="224"/>
      <c r="ES3" s="224"/>
      <c r="ET3" s="224"/>
      <c r="EU3" s="224"/>
      <c r="EV3" s="224"/>
      <c r="EW3" s="224"/>
      <c r="EX3" s="224"/>
      <c r="EY3" s="224"/>
      <c r="EZ3" s="224"/>
      <c r="FA3" s="224"/>
      <c r="FB3" s="224"/>
      <c r="FC3" s="224"/>
      <c r="FD3" s="224"/>
      <c r="FE3" s="224"/>
      <c r="FF3" s="224"/>
      <c r="FG3" s="224"/>
      <c r="FH3" s="224"/>
      <c r="FI3" s="224"/>
      <c r="FJ3" s="224"/>
      <c r="FK3" s="224"/>
      <c r="FL3" s="224"/>
      <c r="FM3" s="224"/>
      <c r="FN3" s="224"/>
      <c r="FO3" s="224"/>
      <c r="FP3" s="224"/>
      <c r="FQ3" s="224"/>
      <c r="FR3" s="224"/>
      <c r="FS3" s="224"/>
      <c r="FT3" s="224"/>
      <c r="FU3" s="224"/>
      <c r="FV3" s="224"/>
      <c r="FW3" s="224"/>
      <c r="FX3" s="224"/>
      <c r="FY3" s="224"/>
      <c r="FZ3" s="224"/>
      <c r="GA3" s="224"/>
      <c r="GB3" s="224"/>
      <c r="GC3" s="224"/>
      <c r="GD3" s="224"/>
      <c r="GE3" s="224"/>
      <c r="GF3" s="224"/>
      <c r="GG3" s="224"/>
      <c r="GH3" s="224"/>
      <c r="GI3" s="224"/>
      <c r="GJ3" s="224"/>
      <c r="GK3" s="224"/>
      <c r="GL3" s="224"/>
      <c r="GM3" s="224"/>
      <c r="GN3" s="224"/>
      <c r="GO3" s="224"/>
      <c r="GP3" s="224"/>
      <c r="GQ3" s="224"/>
      <c r="GR3" s="224"/>
      <c r="GS3" s="224"/>
      <c r="GT3" s="224"/>
      <c r="GU3" s="224"/>
      <c r="GV3" s="224"/>
      <c r="GW3" s="224"/>
      <c r="GX3" s="224"/>
      <c r="GY3" s="224"/>
      <c r="GZ3" s="224"/>
      <c r="HA3" s="224"/>
      <c r="HB3" s="224"/>
      <c r="HC3" s="224"/>
      <c r="HD3" s="224"/>
      <c r="HE3" s="224"/>
      <c r="HF3" s="224"/>
      <c r="HG3" s="224"/>
      <c r="HH3" s="224"/>
      <c r="HI3" s="224"/>
      <c r="HJ3" s="224"/>
      <c r="HK3" s="224"/>
      <c r="HL3" s="224"/>
      <c r="HM3" s="224"/>
      <c r="HN3" s="224"/>
      <c r="HO3" s="224"/>
      <c r="HP3" s="224"/>
      <c r="HQ3" s="224"/>
      <c r="HR3" s="224"/>
      <c r="HS3" s="224"/>
      <c r="HT3" s="224"/>
      <c r="HU3" s="224"/>
      <c r="HV3" s="224"/>
      <c r="HW3" s="224"/>
      <c r="HX3" s="224"/>
      <c r="HY3" s="224"/>
      <c r="HZ3" s="224"/>
      <c r="IA3" s="224"/>
      <c r="IB3" s="224"/>
      <c r="IC3" s="224"/>
      <c r="ID3" s="224"/>
      <c r="IE3" s="224"/>
      <c r="IF3" s="224"/>
      <c r="IG3" s="224"/>
      <c r="IH3" s="224"/>
      <c r="II3" s="224"/>
      <c r="IJ3" s="224"/>
      <c r="IK3" s="224"/>
      <c r="IL3" s="224"/>
      <c r="IM3" s="224"/>
      <c r="IN3" s="224"/>
      <c r="IO3" s="224"/>
      <c r="IP3" s="224"/>
      <c r="IQ3" s="224"/>
      <c r="IR3" s="224"/>
    </row>
    <row r="4" spans="1:252">
      <c r="B4" s="228" t="str">
        <f>'Income Statement'!E8</f>
        <v>Income</v>
      </c>
      <c r="C4" s="225"/>
      <c r="D4" s="229">
        <f ca="1">'Income Statement'!J8</f>
        <v>0</v>
      </c>
      <c r="E4" s="229">
        <f ca="1">'Income Statement'!K8</f>
        <v>0</v>
      </c>
      <c r="F4" s="229">
        <f ca="1">'Income Statement'!L8</f>
        <v>0</v>
      </c>
      <c r="G4" s="229">
        <f ca="1">'Income Statement'!M8</f>
        <v>0</v>
      </c>
      <c r="H4" s="229">
        <f ca="1">'Income Statement'!N8</f>
        <v>0</v>
      </c>
      <c r="I4" s="229">
        <f ca="1">'Income Statement'!O8</f>
        <v>0</v>
      </c>
      <c r="J4" s="229">
        <f ca="1">'Income Statement'!P8</f>
        <v>0</v>
      </c>
      <c r="K4" s="229">
        <f ca="1">'Income Statement'!Q8</f>
        <v>146875.4946458746</v>
      </c>
      <c r="L4" s="229">
        <f ca="1">'Income Statement'!R8</f>
        <v>173149.86682920906</v>
      </c>
      <c r="M4" s="229">
        <f ca="1">'Income Statement'!S8</f>
        <v>175000</v>
      </c>
      <c r="N4" s="229">
        <f ca="1">'Income Statement'!T8</f>
        <v>175000</v>
      </c>
      <c r="O4" s="229">
        <f ca="1">'Income Statement'!U8</f>
        <v>175000</v>
      </c>
      <c r="P4" s="229">
        <f ca="1">'Income Statement'!V8</f>
        <v>175000</v>
      </c>
      <c r="Q4" s="229">
        <f ca="1">'Income Statement'!W8</f>
        <v>329823.19998942426</v>
      </c>
      <c r="R4" s="229">
        <f ca="1">'Income Statement'!X8</f>
        <v>350000</v>
      </c>
      <c r="S4" s="229">
        <f ca="1">'Income Statement'!Y8</f>
        <v>350000</v>
      </c>
      <c r="T4" s="229">
        <f ca="1">'Income Statement'!Z8</f>
        <v>350000</v>
      </c>
      <c r="U4" s="229">
        <f ca="1">'Income Statement'!AA8</f>
        <v>350000</v>
      </c>
      <c r="V4" s="229">
        <f ca="1">'Income Statement'!AB8</f>
        <v>350000</v>
      </c>
      <c r="W4" s="229">
        <f ca="1">'Income Statement'!AC8</f>
        <v>525000</v>
      </c>
      <c r="X4" s="229">
        <f ca="1">'Income Statement'!AD8</f>
        <v>525000</v>
      </c>
      <c r="Y4" s="229">
        <f ca="1">'Income Statement'!AE8</f>
        <v>525000</v>
      </c>
      <c r="Z4" s="229">
        <f ca="1">'Income Statement'!AF8</f>
        <v>525000</v>
      </c>
      <c r="AA4" s="229">
        <f ca="1">'Income Statement'!AG8</f>
        <v>700000</v>
      </c>
      <c r="AB4" s="229">
        <f ca="1">'Income Statement'!AH8</f>
        <v>682500</v>
      </c>
      <c r="AC4" s="229">
        <f ca="1">'Income Statement'!AI8</f>
        <v>698938.84575325763</v>
      </c>
      <c r="AD4" s="229">
        <f ca="1">'Income Statement'!AJ8</f>
        <v>716411.85027142079</v>
      </c>
      <c r="AE4" s="229">
        <f ca="1">'Income Statement'!AK8</f>
        <v>909869.67182623129</v>
      </c>
      <c r="AF4" s="229">
        <f ca="1">'Income Statement'!AL8</f>
        <v>929446.72742267023</v>
      </c>
      <c r="AG4" s="229">
        <f ca="1">'Income Statement'!AM8</f>
        <v>950255.36484303907</v>
      </c>
      <c r="AH4" s="229">
        <f ca="1">'Income Statement'!AN8</f>
        <v>1147236.8229205357</v>
      </c>
      <c r="AI4" s="229">
        <f ca="1">'Income Statement'!AO8</f>
        <v>1170601.1224625402</v>
      </c>
      <c r="AJ4" s="229">
        <f ca="1">'Income Statement'!AP8</f>
        <v>1370282.2854102841</v>
      </c>
      <c r="AK4" s="229">
        <f ca="1">'Income Statement'!AQ8</f>
        <v>1396460.0495509729</v>
      </c>
      <c r="AL4" s="229">
        <f ca="1">'Income Statement'!AR8</f>
        <v>1424393.3918103829</v>
      </c>
      <c r="AM4" s="229">
        <f ca="1">'Income Statement'!AS8</f>
        <v>1628689.4041709893</v>
      </c>
      <c r="AN4" s="229">
        <f ca="1">'Income Statement'!AT8</f>
        <v>1659823.1999894241</v>
      </c>
      <c r="AO4" s="229">
        <f ca="1">'Income Statement'!AU8</f>
        <v>1692668.6670773155</v>
      </c>
      <c r="AP4" s="229">
        <f ca="1">'Income Statement'!AV8</f>
        <v>1902648.0766761205</v>
      </c>
      <c r="AQ4" s="229">
        <f ca="1">'Income Statement'!AW8</f>
        <v>1939596.244656648</v>
      </c>
      <c r="AR4" s="229">
        <f ca="1">'Income Statement'!AX8</f>
        <v>2153781.6970723947</v>
      </c>
      <c r="AS4" s="229">
        <f ca="1">'Income Statement'!AY8</f>
        <v>2195428.7937488197</v>
      </c>
      <c r="AT4" s="229">
        <f ca="1">'Income Statement'!AZ8</f>
        <v>2414419.9285778757</v>
      </c>
      <c r="AU4" s="229">
        <f ca="1">'Income Statement'!BA8</f>
        <v>2636174.6023709257</v>
      </c>
      <c r="AV4" s="229">
        <f ca="1">'Income Statement'!BB8</f>
        <v>2685531.3065014896</v>
      </c>
      <c r="AW4" s="229">
        <f ca="1">'Income Statement'!BC8</f>
        <v>2912934.0284541845</v>
      </c>
      <c r="AX4" s="229">
        <f ca="1">'Income Statement'!BD8</f>
        <v>3143867.4549500649</v>
      </c>
      <c r="AY4" s="229">
        <f ca="1">'Income Statement'!BE8</f>
        <v>3202477.1000721515</v>
      </c>
      <c r="AZ4" s="229">
        <f ca="1">'Income Statement'!BF8</f>
        <v>3424020.3631239873</v>
      </c>
      <c r="BA4" s="229">
        <f ca="1">'Income Statement'!BG8</f>
        <v>3679616.2967353612</v>
      </c>
      <c r="BB4" s="229">
        <f ca="1">'Income Statement'!BH8</f>
        <v>3940278.5662991563</v>
      </c>
      <c r="BC4" s="229">
        <f ca="1">'Income Statement'!BI8</f>
        <v>4205765.2719614776</v>
      </c>
      <c r="BD4" s="229">
        <f ca="1">'Income Statement'!BJ8</f>
        <v>4476734.6463104058</v>
      </c>
      <c r="BE4" s="229">
        <f ca="1">'Income Statement'!BK8</f>
        <v>4753736.7456466844</v>
      </c>
      <c r="BF4" s="229">
        <f ca="1">'Income Statement'!BL8</f>
        <v>5036483.5284200152</v>
      </c>
      <c r="BG4" s="229">
        <f ca="1">'Income Statement'!BM8</f>
        <v>5326003.3752347399</v>
      </c>
      <c r="BH4" s="229">
        <f ca="1">'Income Statement'!BN8</f>
        <v>5621925.7813064922</v>
      </c>
      <c r="BI4" s="229">
        <f ca="1">'Income Statement'!BO8</f>
        <v>5925267.6243523387</v>
      </c>
      <c r="BJ4" s="229">
        <f ca="1">'Income Statement'!BP8</f>
        <v>6237250.9906693799</v>
      </c>
      <c r="BK4" s="229">
        <f ca="1">'Income Statement'!BQ8</f>
        <v>6555813.3025807934</v>
      </c>
      <c r="IR4" s="228"/>
    </row>
    <row r="5" spans="1:252">
      <c r="B5" s="228" t="str">
        <f>'Income Statement'!E9</f>
        <v xml:space="preserve">Variable Operating expense </v>
      </c>
      <c r="C5" s="225"/>
      <c r="D5" s="229">
        <f ca="1">'Income Statement'!J9</f>
        <v>-21000</v>
      </c>
      <c r="E5" s="229">
        <f ca="1">'Income Statement'!K9</f>
        <v>-22273.385096090773</v>
      </c>
      <c r="F5" s="229">
        <f ca="1">'Income Statement'!L9</f>
        <v>-23579.164770385694</v>
      </c>
      <c r="G5" s="229">
        <f ca="1">'Income Statement'!M9</f>
        <v>-25008.943674998918</v>
      </c>
      <c r="H5" s="229">
        <f ca="1">'Income Statement'!N9</f>
        <v>-26525.420634271159</v>
      </c>
      <c r="I5" s="229">
        <f ca="1">'Income Statement'!O9</f>
        <v>-28080.476364099741</v>
      </c>
      <c r="J5" s="229">
        <f ca="1">'Income Statement'!P9</f>
        <v>-29783.203035203253</v>
      </c>
      <c r="K5" s="229">
        <f ca="1">'Income Statement'!Q9</f>
        <v>-31529.246620001373</v>
      </c>
      <c r="L5" s="229">
        <f ca="1">'Income Statement'!R9</f>
        <v>-33441.097702709951</v>
      </c>
      <c r="M5" s="229">
        <f ca="1">'Income Statement'!S9</f>
        <v>-35468.878436593099</v>
      </c>
      <c r="N5" s="229">
        <f ca="1">'Income Statement'!T9</f>
        <v>-37417.746161894254</v>
      </c>
      <c r="O5" s="229">
        <f ca="1">'Income Statement'!U9</f>
        <v>-39680.277491060901</v>
      </c>
      <c r="P5" s="229">
        <f ca="1">'Income Statement'!V9</f>
        <v>-42000</v>
      </c>
      <c r="Q5" s="229">
        <f ca="1">'Income Statement'!W9</f>
        <v>-44585.43949453035</v>
      </c>
      <c r="R5" s="229">
        <f ca="1">'Income Statement'!X9</f>
        <v>-47195.587470494567</v>
      </c>
      <c r="S5" s="229">
        <f ca="1">'Income Statement'!Y9</f>
        <v>-50053.373364356317</v>
      </c>
      <c r="T5" s="229">
        <f ca="1">'Income Statement'!Z9</f>
        <v>-53084.203829816244</v>
      </c>
      <c r="U5" s="229">
        <f ca="1">'Income Statement'!AA9</f>
        <v>-56191.891647922515</v>
      </c>
      <c r="V5" s="229">
        <f ca="1">'Income Statement'!AB9</f>
        <v>-59594.421500977842</v>
      </c>
      <c r="W5" s="229">
        <f ca="1">'Income Statement'!AC9</f>
        <v>-63083.234450295487</v>
      </c>
      <c r="X5" s="229">
        <f ca="1">'Income Statement'!AD9</f>
        <v>-66938.423943914589</v>
      </c>
      <c r="Y5" s="229">
        <f ca="1">'Income Statement'!AE9</f>
        <v>-70993.581544595101</v>
      </c>
      <c r="Z5" s="229">
        <f ca="1">'Income Statement'!AF9</f>
        <v>-74867.051294133489</v>
      </c>
      <c r="AA5" s="229">
        <f ca="1">'Income Statement'!AG9</f>
        <v>-79402.528441762712</v>
      </c>
      <c r="AB5" s="229">
        <f ca="1">'Income Statement'!AH9</f>
        <v>-102953.14122132264</v>
      </c>
      <c r="AC5" s="229">
        <f ca="1">'Income Statement'!AI9</f>
        <v>-109191.16210899652</v>
      </c>
      <c r="AD5" s="229">
        <f ca="1">'Income Statement'!AJ9</f>
        <v>-115587.60074143946</v>
      </c>
      <c r="AE5" s="229">
        <f ca="1">'Income Statement'!AK9</f>
        <v>-122591.15468809247</v>
      </c>
      <c r="AF5" s="229">
        <f ca="1">'Income Statement'!AL9</f>
        <v>-130019.06015747237</v>
      </c>
      <c r="AG5" s="229">
        <f ca="1">'Income Statement'!AM9</f>
        <v>-137635.60111140989</v>
      </c>
      <c r="AH5" s="229">
        <f ca="1">'Income Statement'!AN9</f>
        <v>-145975.06289482419</v>
      </c>
      <c r="AI5" s="229">
        <f ca="1">'Income Statement'!AO9</f>
        <v>-154526.30961197891</v>
      </c>
      <c r="AJ5" s="229">
        <f ca="1">'Income Statement'!AP9</f>
        <v>-163945.73193785522</v>
      </c>
      <c r="AK5" s="229">
        <f ca="1">'Income Statement'!AQ9</f>
        <v>-173881.25222069537</v>
      </c>
      <c r="AL5" s="229">
        <f ca="1">'Income Statement'!AR9</f>
        <v>-183382.46486094096</v>
      </c>
      <c r="AM5" s="229">
        <f ca="1">'Income Statement'!AS9</f>
        <v>-194490.15542818501</v>
      </c>
      <c r="AN5" s="229">
        <f ca="1">'Income Statement'!AT9</f>
        <v>-205879.7237195654</v>
      </c>
      <c r="AO5" s="229">
        <f ca="1">'Income Statement'!AU9</f>
        <v>-218391.35107752625</v>
      </c>
      <c r="AP5" s="229">
        <f ca="1">'Income Statement'!AV9</f>
        <v>-231183.89903711202</v>
      </c>
      <c r="AQ5" s="229">
        <f ca="1">'Income Statement'!AW9</f>
        <v>-245190.59345073468</v>
      </c>
      <c r="AR5" s="229">
        <f ca="1">'Income Statement'!AX9</f>
        <v>-260045.90882720315</v>
      </c>
      <c r="AS5" s="229">
        <f ca="1">'Income Statement'!AY9</f>
        <v>-275278.42506871279</v>
      </c>
      <c r="AT5" s="229">
        <f ca="1">'Income Statement'!AZ9</f>
        <v>-291956.66625808872</v>
      </c>
      <c r="AU5" s="229">
        <f ca="1">'Income Statement'!BA9</f>
        <v>-309058.39540203923</v>
      </c>
      <c r="AV5" s="229">
        <f ca="1">'Income Statement'!BB9</f>
        <v>-327908.33825537481</v>
      </c>
      <c r="AW5" s="229">
        <f ca="1">'Income Statement'!BC9</f>
        <v>-347779.25793416298</v>
      </c>
      <c r="AX5" s="229">
        <f ca="1">'Income Statement'!BD9</f>
        <v>-366760.19446126604</v>
      </c>
      <c r="AY5" s="229">
        <f ca="1">'Income Statement'!BE9</f>
        <v>-388985.49809666211</v>
      </c>
      <c r="AZ5" s="229">
        <f ca="1">'Income Statement'!BF9</f>
        <v>-411775.39646504144</v>
      </c>
      <c r="BA5" s="229">
        <f ca="1">'Income Statement'!BG9</f>
        <v>-436728.57670658681</v>
      </c>
      <c r="BB5" s="229">
        <f ca="1">'Income Statement'!BH9</f>
        <v>-462315.64858996338</v>
      </c>
      <c r="BC5" s="229">
        <f ca="1">'Income Statement'!BI9</f>
        <v>-490331.51800387161</v>
      </c>
      <c r="BD5" s="229">
        <f ca="1">'Income Statement'!BJ9</f>
        <v>-520045.12133190478</v>
      </c>
      <c r="BE5" s="229">
        <f ca="1">'Income Statement'!BK9</f>
        <v>-550513.54648102203</v>
      </c>
      <c r="BF5" s="229">
        <f ca="1">'Income Statement'!BL9</f>
        <v>-583874.12108244875</v>
      </c>
      <c r="BG5" s="229">
        <f ca="1">'Income Statement'!BM9</f>
        <v>-618082.16239907162</v>
      </c>
      <c r="BH5" s="229">
        <f ca="1">'Income Statement'!BN9</f>
        <v>-654956.20585686364</v>
      </c>
      <c r="BI5" s="229">
        <f ca="1">'Income Statement'!BO9</f>
        <v>-694635.44004964025</v>
      </c>
      <c r="BJ5" s="229">
        <f ca="1">'Income Statement'!BP9</f>
        <v>-733672.25433678052</v>
      </c>
      <c r="BK5" s="229">
        <f ca="1">'Income Statement'!BQ9</f>
        <v>-778120.34265170898</v>
      </c>
      <c r="IR5" s="228"/>
    </row>
    <row r="6" spans="1:252">
      <c r="B6" s="228" t="str">
        <f>'Income Statement'!E10</f>
        <v xml:space="preserve">Fixed operating expense </v>
      </c>
      <c r="C6" s="225"/>
      <c r="D6" s="229">
        <f>'Income Statement'!J10</f>
        <v>-25000</v>
      </c>
      <c r="E6" s="229">
        <f>'Income Statement'!K10</f>
        <v>-25000</v>
      </c>
      <c r="F6" s="229">
        <f>'Income Statement'!L10</f>
        <v>-25000</v>
      </c>
      <c r="G6" s="229">
        <f>'Income Statement'!M10</f>
        <v>-25607.856851345517</v>
      </c>
      <c r="H6" s="229">
        <f>'Income Statement'!N10</f>
        <v>-25607.856851345517</v>
      </c>
      <c r="I6" s="229">
        <f>'Income Statement'!O10</f>
        <v>-25607.856851345517</v>
      </c>
      <c r="J6" s="229">
        <f>'Income Statement'!P10</f>
        <v>-26230.493300760143</v>
      </c>
      <c r="K6" s="229">
        <f>'Income Statement'!Q10</f>
        <v>-26230.493300760143</v>
      </c>
      <c r="L6" s="229">
        <f>'Income Statement'!R10</f>
        <v>-26230.493300760143</v>
      </c>
      <c r="M6" s="229">
        <f>'Income Statement'!S10</f>
        <v>-26868.268703441732</v>
      </c>
      <c r="N6" s="229">
        <f>'Income Statement'!T10</f>
        <v>-26868.268703441732</v>
      </c>
      <c r="O6" s="229">
        <f>'Income Statement'!U10</f>
        <v>-26868.268703441732</v>
      </c>
      <c r="P6" s="229">
        <f>'Income Statement'!V10</f>
        <v>-27500.000000000004</v>
      </c>
      <c r="Q6" s="229">
        <f>'Income Statement'!W10</f>
        <v>-27500.000000000004</v>
      </c>
      <c r="R6" s="229">
        <f>'Income Statement'!X10</f>
        <v>-27500.000000000004</v>
      </c>
      <c r="S6" s="229">
        <f>'Income Statement'!Y10</f>
        <v>-28171.389663808775</v>
      </c>
      <c r="T6" s="229">
        <f>'Income Statement'!Z10</f>
        <v>-28171.389663808775</v>
      </c>
      <c r="U6" s="229">
        <f>'Income Statement'!AA10</f>
        <v>-28171.389663808775</v>
      </c>
      <c r="V6" s="229">
        <f>'Income Statement'!AB10</f>
        <v>-28855.408240598044</v>
      </c>
      <c r="W6" s="229">
        <f>'Income Statement'!AC10</f>
        <v>-28855.408240598044</v>
      </c>
      <c r="X6" s="229">
        <f>'Income Statement'!AD10</f>
        <v>-28855.408240598044</v>
      </c>
      <c r="Y6" s="229">
        <f>'Income Statement'!AE10</f>
        <v>-29558.292610174307</v>
      </c>
      <c r="Z6" s="229">
        <f>'Income Statement'!AF10</f>
        <v>-29558.292610174307</v>
      </c>
      <c r="AA6" s="229">
        <f>'Income Statement'!AG10</f>
        <v>-29558.292610174307</v>
      </c>
      <c r="AB6" s="229">
        <f>'Income Statement'!AH10</f>
        <v>-30252.630710131383</v>
      </c>
      <c r="AC6" s="229">
        <f>'Income Statement'!AI10</f>
        <v>-30252.630710131383</v>
      </c>
      <c r="AD6" s="229">
        <f>'Income Statement'!AJ10</f>
        <v>-30252.630710131383</v>
      </c>
      <c r="AE6" s="229">
        <f>'Income Statement'!AK10</f>
        <v>-30987.522236491855</v>
      </c>
      <c r="AF6" s="229">
        <f>'Income Statement'!AL10</f>
        <v>-30987.522236491855</v>
      </c>
      <c r="AG6" s="229">
        <f>'Income Statement'!AM10</f>
        <v>-30987.522236491855</v>
      </c>
      <c r="AH6" s="229">
        <f>'Income Statement'!AN10</f>
        <v>-31740.265617148605</v>
      </c>
      <c r="AI6" s="229">
        <f>'Income Statement'!AO10</f>
        <v>-31740.265617148605</v>
      </c>
      <c r="AJ6" s="229">
        <f>'Income Statement'!AP10</f>
        <v>-31740.265617148605</v>
      </c>
      <c r="AK6" s="229">
        <f>'Income Statement'!AQ10</f>
        <v>-32513.243252308428</v>
      </c>
      <c r="AL6" s="229">
        <f>'Income Statement'!AR10</f>
        <v>-32513.243252308428</v>
      </c>
      <c r="AM6" s="229">
        <f>'Income Statement'!AS10</f>
        <v>-32513.243252308428</v>
      </c>
      <c r="AN6" s="229">
        <f>'Income Statement'!AT10</f>
        <v>-33277.170807448252</v>
      </c>
      <c r="AO6" s="229">
        <f>'Income Statement'!AU10</f>
        <v>-33277.170807448252</v>
      </c>
      <c r="AP6" s="229">
        <f>'Income Statement'!AV10</f>
        <v>-33277.170807448252</v>
      </c>
      <c r="AQ6" s="229">
        <f>'Income Statement'!AW10</f>
        <v>-34085.720578240354</v>
      </c>
      <c r="AR6" s="229">
        <f>'Income Statement'!AX10</f>
        <v>-34085.720578240354</v>
      </c>
      <c r="AS6" s="229">
        <f>'Income Statement'!AY10</f>
        <v>-34085.720578240354</v>
      </c>
      <c r="AT6" s="229">
        <f>'Income Statement'!AZ10</f>
        <v>-34913.916031522422</v>
      </c>
      <c r="AU6" s="229">
        <f>'Income Statement'!BA10</f>
        <v>-34913.916031522422</v>
      </c>
      <c r="AV6" s="229">
        <f>'Income Statement'!BB10</f>
        <v>-34913.916031522422</v>
      </c>
      <c r="AW6" s="229">
        <f>'Income Statement'!BC10</f>
        <v>-35763.987489903346</v>
      </c>
      <c r="AX6" s="229">
        <f>'Income Statement'!BD10</f>
        <v>-35763.987489903346</v>
      </c>
      <c r="AY6" s="229">
        <f>'Income Statement'!BE10</f>
        <v>-35763.987489903346</v>
      </c>
      <c r="AZ6" s="229">
        <f>'Income Statement'!BF10</f>
        <v>-36604.410559640419</v>
      </c>
      <c r="BA6" s="229">
        <f>'Income Statement'!BG10</f>
        <v>-36604.410559640419</v>
      </c>
      <c r="BB6" s="229">
        <f>'Income Statement'!BH10</f>
        <v>-36604.410559640419</v>
      </c>
      <c r="BC6" s="229">
        <f>'Income Statement'!BI10</f>
        <v>-37493.926945298947</v>
      </c>
      <c r="BD6" s="229">
        <f>'Income Statement'!BJ10</f>
        <v>-37493.926945298947</v>
      </c>
      <c r="BE6" s="229">
        <f>'Income Statement'!BK10</f>
        <v>-37493.926945298947</v>
      </c>
      <c r="BF6" s="229">
        <f>'Income Statement'!BL10</f>
        <v>-38405.059288932411</v>
      </c>
      <c r="BG6" s="229">
        <f>'Income Statement'!BM10</f>
        <v>-38405.059288932411</v>
      </c>
      <c r="BH6" s="229">
        <f>'Income Statement'!BN10</f>
        <v>-38405.059288932411</v>
      </c>
      <c r="BI6" s="229">
        <f>'Income Statement'!BO10</f>
        <v>-39331.82502157487</v>
      </c>
      <c r="BJ6" s="229">
        <f>'Income Statement'!BP10</f>
        <v>-39331.82502157487</v>
      </c>
      <c r="BK6" s="229">
        <f>'Income Statement'!BQ10</f>
        <v>-39331.82502157487</v>
      </c>
      <c r="IR6" s="228"/>
    </row>
    <row r="7" spans="1:252" s="233" customFormat="1">
      <c r="A7" s="228"/>
      <c r="B7" s="230" t="str">
        <f>'Income Statement'!E11</f>
        <v>EBITDA</v>
      </c>
      <c r="C7" s="231"/>
      <c r="D7" s="232">
        <f ca="1">'Income Statement'!J11</f>
        <v>-46000</v>
      </c>
      <c r="E7" s="232">
        <f ca="1">'Income Statement'!K11</f>
        <v>-47273.385096090773</v>
      </c>
      <c r="F7" s="232">
        <f ca="1">'Income Statement'!L11</f>
        <v>-48579.164770385694</v>
      </c>
      <c r="G7" s="232">
        <f ca="1">'Income Statement'!M11</f>
        <v>-50616.800526344436</v>
      </c>
      <c r="H7" s="232">
        <f ca="1">'Income Statement'!N11</f>
        <v>-52133.27748561668</v>
      </c>
      <c r="I7" s="232">
        <f ca="1">'Income Statement'!O11</f>
        <v>-53688.333215445258</v>
      </c>
      <c r="J7" s="232">
        <f ca="1">'Income Statement'!P11</f>
        <v>-56013.696335963396</v>
      </c>
      <c r="K7" s="232">
        <f ca="1">'Income Statement'!Q11</f>
        <v>89115.754725113075</v>
      </c>
      <c r="L7" s="232">
        <f ca="1">'Income Statement'!R11</f>
        <v>113478.27582573897</v>
      </c>
      <c r="M7" s="232">
        <f ca="1">'Income Statement'!S11</f>
        <v>112662.85285996516</v>
      </c>
      <c r="N7" s="232">
        <f ca="1">'Income Statement'!T11</f>
        <v>110713.98513466401</v>
      </c>
      <c r="O7" s="232">
        <f ca="1">'Income Statement'!U11</f>
        <v>108451.45380549737</v>
      </c>
      <c r="P7" s="232">
        <f ca="1">'Income Statement'!V11</f>
        <v>105500</v>
      </c>
      <c r="Q7" s="232">
        <f ca="1">'Income Statement'!W11</f>
        <v>257737.76049489388</v>
      </c>
      <c r="R7" s="232">
        <f ca="1">'Income Statement'!X11</f>
        <v>275304.41252950544</v>
      </c>
      <c r="S7" s="232">
        <f ca="1">'Income Statement'!Y11</f>
        <v>271775.23697183491</v>
      </c>
      <c r="T7" s="232">
        <f ca="1">'Income Statement'!Z11</f>
        <v>268744.40650637494</v>
      </c>
      <c r="U7" s="232">
        <f ca="1">'Income Statement'!AA11</f>
        <v>265636.71868826868</v>
      </c>
      <c r="V7" s="232">
        <f ca="1">'Income Statement'!AB11</f>
        <v>261550.17025842413</v>
      </c>
      <c r="W7" s="232">
        <f ca="1">'Income Statement'!AC11</f>
        <v>433061.35730910645</v>
      </c>
      <c r="X7" s="232">
        <f ca="1">'Income Statement'!AD11</f>
        <v>429206.16781548737</v>
      </c>
      <c r="Y7" s="232">
        <f ca="1">'Income Statement'!AE11</f>
        <v>424448.12584523065</v>
      </c>
      <c r="Z7" s="232">
        <f ca="1">'Income Statement'!AF11</f>
        <v>420574.65609569219</v>
      </c>
      <c r="AA7" s="232">
        <f ca="1">'Income Statement'!AG11</f>
        <v>591039.17894806305</v>
      </c>
      <c r="AB7" s="232">
        <f ca="1">'Income Statement'!AH11</f>
        <v>549294.22806854604</v>
      </c>
      <c r="AC7" s="232">
        <f ca="1">'Income Statement'!AI11</f>
        <v>559495.05293412972</v>
      </c>
      <c r="AD7" s="232">
        <f ca="1">'Income Statement'!AJ11</f>
        <v>570571.61881984991</v>
      </c>
      <c r="AE7" s="232">
        <f ca="1">'Income Statement'!AK11</f>
        <v>756290.99490164698</v>
      </c>
      <c r="AF7" s="232">
        <f ca="1">'Income Statement'!AL11</f>
        <v>768440.14502870594</v>
      </c>
      <c r="AG7" s="232">
        <f ca="1">'Income Statement'!AM11</f>
        <v>781632.24149513722</v>
      </c>
      <c r="AH7" s="232">
        <f ca="1">'Income Statement'!AN11</f>
        <v>969521.4944085629</v>
      </c>
      <c r="AI7" s="232">
        <f ca="1">'Income Statement'!AO11</f>
        <v>984334.54723341262</v>
      </c>
      <c r="AJ7" s="232">
        <f ca="1">'Income Statement'!AP11</f>
        <v>1174596.2878552801</v>
      </c>
      <c r="AK7" s="232">
        <f ca="1">'Income Statement'!AQ11</f>
        <v>1190065.5540779692</v>
      </c>
      <c r="AL7" s="232">
        <f ca="1">'Income Statement'!AR11</f>
        <v>1208497.6836971336</v>
      </c>
      <c r="AM7" s="232">
        <f ca="1">'Income Statement'!AS11</f>
        <v>1401686.0054904961</v>
      </c>
      <c r="AN7" s="232">
        <f ca="1">'Income Statement'!AT11</f>
        <v>1420666.3054624104</v>
      </c>
      <c r="AO7" s="232">
        <f ca="1">'Income Statement'!AU11</f>
        <v>1441000.1451923409</v>
      </c>
      <c r="AP7" s="232">
        <f ca="1">'Income Statement'!AV11</f>
        <v>1638187.0068315603</v>
      </c>
      <c r="AQ7" s="232">
        <f ca="1">'Income Statement'!AW11</f>
        <v>1660319.9306276729</v>
      </c>
      <c r="AR7" s="232">
        <f ca="1">'Income Statement'!AX11</f>
        <v>1859650.0676669511</v>
      </c>
      <c r="AS7" s="232">
        <f ca="1">'Income Statement'!AY11</f>
        <v>1886064.6481018665</v>
      </c>
      <c r="AT7" s="232">
        <f ca="1">'Income Statement'!AZ11</f>
        <v>2087549.3462882645</v>
      </c>
      <c r="AU7" s="232">
        <f ca="1">'Income Statement'!BA11</f>
        <v>2292202.2909373641</v>
      </c>
      <c r="AV7" s="232">
        <f ca="1">'Income Statement'!BB11</f>
        <v>2322709.0522145927</v>
      </c>
      <c r="AW7" s="232">
        <f ca="1">'Income Statement'!BC11</f>
        <v>2529390.7830301183</v>
      </c>
      <c r="AX7" s="232">
        <f ca="1">'Income Statement'!BD11</f>
        <v>2741343.2729988955</v>
      </c>
      <c r="AY7" s="232">
        <f ca="1">'Income Statement'!BE11</f>
        <v>2777727.6144855861</v>
      </c>
      <c r="AZ7" s="232">
        <f ca="1">'Income Statement'!BF11</f>
        <v>2975640.5560993059</v>
      </c>
      <c r="BA7" s="232">
        <f ca="1">'Income Statement'!BG11</f>
        <v>3206283.3094691341</v>
      </c>
      <c r="BB7" s="232">
        <f ca="1">'Income Statement'!BH11</f>
        <v>3441358.5071495525</v>
      </c>
      <c r="BC7" s="232">
        <f ca="1">'Income Statement'!BI11</f>
        <v>3677939.827012307</v>
      </c>
      <c r="BD7" s="232">
        <f ca="1">'Income Statement'!BJ11</f>
        <v>3919195.5980332019</v>
      </c>
      <c r="BE7" s="232">
        <f ca="1">'Income Statement'!BK11</f>
        <v>4165729.2722203638</v>
      </c>
      <c r="BF7" s="232">
        <f ca="1">'Income Statement'!BL11</f>
        <v>4414204.3480486348</v>
      </c>
      <c r="BG7" s="232">
        <f ca="1">'Income Statement'!BM11</f>
        <v>4669516.1535467366</v>
      </c>
      <c r="BH7" s="232">
        <f ca="1">'Income Statement'!BN11</f>
        <v>4928564.5161606967</v>
      </c>
      <c r="BI7" s="232">
        <f ca="1">'Income Statement'!BO11</f>
        <v>5191300.3592811236</v>
      </c>
      <c r="BJ7" s="232">
        <f ca="1">'Income Statement'!BP11</f>
        <v>5464246.9113110239</v>
      </c>
      <c r="BK7" s="232">
        <f ca="1">'Income Statement'!BQ11</f>
        <v>5738361.1349075092</v>
      </c>
      <c r="BL7" s="228"/>
      <c r="BM7" s="228"/>
      <c r="BN7" s="228"/>
      <c r="BO7" s="228"/>
      <c r="BP7" s="228"/>
      <c r="BQ7" s="228"/>
      <c r="BR7" s="228"/>
      <c r="BS7" s="230"/>
      <c r="BT7" s="230"/>
      <c r="BU7" s="230"/>
      <c r="BV7" s="230"/>
      <c r="BW7" s="230"/>
      <c r="BX7" s="230"/>
      <c r="BY7" s="230"/>
      <c r="BZ7" s="230"/>
      <c r="CA7" s="230"/>
      <c r="CB7" s="230"/>
      <c r="CC7" s="230"/>
      <c r="CD7" s="230"/>
      <c r="CE7" s="230"/>
      <c r="CF7" s="230"/>
      <c r="CG7" s="230"/>
      <c r="CH7" s="230"/>
      <c r="CI7" s="230"/>
      <c r="CJ7" s="230"/>
      <c r="CK7" s="230"/>
      <c r="CL7" s="230"/>
      <c r="CM7" s="230"/>
      <c r="CN7" s="230"/>
      <c r="CO7" s="230"/>
      <c r="CP7" s="230"/>
      <c r="CQ7" s="230"/>
      <c r="CR7" s="230"/>
      <c r="CS7" s="230"/>
      <c r="CT7" s="230"/>
      <c r="CU7" s="230"/>
      <c r="CV7" s="230"/>
      <c r="CW7" s="230"/>
      <c r="CX7" s="230"/>
      <c r="CY7" s="230"/>
      <c r="CZ7" s="230"/>
      <c r="DA7" s="230"/>
      <c r="DB7" s="230"/>
      <c r="DC7" s="230"/>
      <c r="DD7" s="230"/>
      <c r="DE7" s="230"/>
      <c r="DF7" s="230"/>
      <c r="DG7" s="230"/>
      <c r="DH7" s="230"/>
      <c r="DI7" s="230"/>
      <c r="DJ7" s="230"/>
      <c r="DK7" s="230"/>
      <c r="DL7" s="230"/>
      <c r="DM7" s="230"/>
      <c r="DN7" s="230"/>
      <c r="DO7" s="230"/>
      <c r="DP7" s="230"/>
      <c r="DQ7" s="230"/>
      <c r="DR7" s="230"/>
      <c r="DS7" s="230"/>
      <c r="DT7" s="230"/>
      <c r="DU7" s="230"/>
      <c r="DV7" s="230"/>
      <c r="DW7" s="230"/>
      <c r="DX7" s="230"/>
      <c r="DY7" s="230"/>
      <c r="DZ7" s="230"/>
      <c r="EA7" s="230"/>
      <c r="EB7" s="230"/>
      <c r="EC7" s="230"/>
      <c r="ED7" s="230"/>
      <c r="EE7" s="230"/>
      <c r="EF7" s="230"/>
      <c r="EG7" s="230"/>
      <c r="EH7" s="230"/>
      <c r="EI7" s="230"/>
      <c r="EJ7" s="230"/>
      <c r="EK7" s="230"/>
      <c r="EL7" s="230"/>
      <c r="EM7" s="230"/>
      <c r="EN7" s="230"/>
      <c r="EO7" s="230"/>
      <c r="EP7" s="230"/>
      <c r="EQ7" s="230"/>
      <c r="ER7" s="230"/>
      <c r="ES7" s="230"/>
      <c r="ET7" s="230"/>
      <c r="EU7" s="230"/>
      <c r="EV7" s="230"/>
      <c r="EW7" s="230"/>
      <c r="EX7" s="230"/>
      <c r="EY7" s="230"/>
      <c r="EZ7" s="230"/>
      <c r="FA7" s="230"/>
      <c r="FB7" s="230"/>
      <c r="FC7" s="230"/>
      <c r="FD7" s="230"/>
      <c r="FE7" s="230"/>
      <c r="FF7" s="230"/>
      <c r="FG7" s="230"/>
      <c r="FH7" s="230"/>
      <c r="FI7" s="230"/>
      <c r="FJ7" s="230"/>
      <c r="FK7" s="230"/>
      <c r="FL7" s="230"/>
      <c r="FM7" s="230"/>
      <c r="FN7" s="230"/>
      <c r="FO7" s="230"/>
      <c r="FP7" s="230"/>
      <c r="FQ7" s="230"/>
      <c r="FR7" s="230"/>
      <c r="FS7" s="230"/>
      <c r="FT7" s="230"/>
      <c r="FU7" s="230"/>
      <c r="FV7" s="230"/>
      <c r="FW7" s="230"/>
      <c r="FX7" s="230"/>
      <c r="FY7" s="230"/>
      <c r="FZ7" s="230"/>
      <c r="GA7" s="230"/>
      <c r="GB7" s="230"/>
      <c r="GC7" s="230"/>
      <c r="GD7" s="230"/>
      <c r="GE7" s="230"/>
      <c r="GF7" s="230"/>
      <c r="GG7" s="230"/>
      <c r="GH7" s="230"/>
      <c r="GI7" s="230"/>
      <c r="GJ7" s="230"/>
      <c r="GK7" s="230"/>
      <c r="GL7" s="230"/>
      <c r="GM7" s="230"/>
      <c r="GN7" s="230"/>
      <c r="GO7" s="230"/>
      <c r="GP7" s="230"/>
      <c r="GQ7" s="230"/>
      <c r="GR7" s="230"/>
      <c r="GS7" s="230"/>
      <c r="GT7" s="230"/>
      <c r="GU7" s="230"/>
      <c r="GV7" s="230"/>
      <c r="GW7" s="230"/>
      <c r="GX7" s="230"/>
      <c r="GY7" s="230"/>
      <c r="GZ7" s="230"/>
      <c r="HA7" s="230"/>
      <c r="HB7" s="230"/>
      <c r="HC7" s="230"/>
      <c r="HD7" s="230"/>
      <c r="HE7" s="230"/>
      <c r="HF7" s="230"/>
      <c r="HG7" s="230"/>
      <c r="HH7" s="230"/>
      <c r="HI7" s="230"/>
      <c r="HJ7" s="230"/>
      <c r="HK7" s="230"/>
      <c r="HL7" s="230"/>
      <c r="HM7" s="230"/>
      <c r="HN7" s="230"/>
      <c r="HO7" s="230"/>
      <c r="HP7" s="230"/>
      <c r="HQ7" s="230"/>
      <c r="HR7" s="230"/>
      <c r="HS7" s="230"/>
      <c r="HT7" s="230"/>
      <c r="HU7" s="230"/>
      <c r="HV7" s="230"/>
      <c r="HW7" s="230"/>
      <c r="HX7" s="230"/>
      <c r="HY7" s="230"/>
      <c r="HZ7" s="230"/>
      <c r="IA7" s="230"/>
      <c r="IB7" s="230"/>
      <c r="IC7" s="230"/>
      <c r="ID7" s="230"/>
      <c r="IE7" s="230"/>
      <c r="IF7" s="230"/>
      <c r="IG7" s="230"/>
      <c r="IH7" s="230"/>
      <c r="II7" s="230"/>
      <c r="IJ7" s="230"/>
      <c r="IK7" s="230"/>
      <c r="IL7" s="230"/>
      <c r="IM7" s="230"/>
      <c r="IN7" s="230"/>
      <c r="IO7" s="230"/>
      <c r="IP7" s="230"/>
      <c r="IQ7" s="230"/>
      <c r="IR7" s="230"/>
    </row>
    <row r="8" spans="1:252">
      <c r="A8" s="224"/>
      <c r="C8" s="225"/>
      <c r="D8" s="229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  <c r="AA8" s="229"/>
      <c r="AB8" s="229"/>
      <c r="AC8" s="229"/>
      <c r="AD8" s="229"/>
      <c r="AE8" s="229"/>
      <c r="AF8" s="229"/>
      <c r="AG8" s="229"/>
      <c r="AH8" s="229"/>
      <c r="AI8" s="229"/>
      <c r="AJ8" s="229"/>
      <c r="AK8" s="229"/>
      <c r="AL8" s="229"/>
      <c r="AM8" s="229"/>
      <c r="AN8" s="229"/>
      <c r="AO8" s="229"/>
      <c r="AP8" s="229"/>
      <c r="AQ8" s="229"/>
      <c r="AR8" s="229"/>
      <c r="AS8" s="229"/>
      <c r="AT8" s="229"/>
      <c r="AU8" s="229"/>
      <c r="AV8" s="229"/>
      <c r="AW8" s="229"/>
      <c r="AX8" s="229"/>
      <c r="AY8" s="229"/>
      <c r="AZ8" s="229"/>
      <c r="BA8" s="229"/>
      <c r="BB8" s="229"/>
      <c r="BC8" s="229"/>
      <c r="BD8" s="229"/>
      <c r="BE8" s="229"/>
      <c r="BF8" s="229"/>
      <c r="BG8" s="229"/>
      <c r="BH8" s="229"/>
      <c r="BI8" s="229"/>
      <c r="BJ8" s="229"/>
      <c r="BK8" s="229"/>
      <c r="BL8" s="224"/>
      <c r="BM8" s="224"/>
      <c r="BN8" s="224"/>
      <c r="BO8" s="224"/>
      <c r="BP8" s="224"/>
      <c r="BQ8" s="224"/>
      <c r="BR8" s="224"/>
      <c r="BS8" s="224"/>
      <c r="BT8" s="224"/>
      <c r="BU8" s="224"/>
      <c r="BV8" s="224"/>
      <c r="BW8" s="224"/>
      <c r="BX8" s="224"/>
      <c r="BY8" s="224"/>
      <c r="BZ8" s="224"/>
      <c r="CA8" s="224"/>
      <c r="CB8" s="224"/>
      <c r="CC8" s="224"/>
      <c r="CD8" s="224"/>
      <c r="CE8" s="224"/>
      <c r="CF8" s="224"/>
      <c r="CG8" s="224"/>
      <c r="CH8" s="224"/>
      <c r="CI8" s="224"/>
      <c r="CJ8" s="224"/>
      <c r="CK8" s="224"/>
      <c r="CL8" s="224"/>
      <c r="CM8" s="224"/>
      <c r="CN8" s="224"/>
      <c r="CO8" s="224"/>
      <c r="CP8" s="224"/>
      <c r="CQ8" s="224"/>
      <c r="CR8" s="224"/>
      <c r="CS8" s="224"/>
      <c r="CT8" s="224"/>
      <c r="CU8" s="224"/>
      <c r="CV8" s="224"/>
      <c r="CW8" s="224"/>
      <c r="CX8" s="224"/>
      <c r="CY8" s="224"/>
      <c r="CZ8" s="224"/>
      <c r="DA8" s="224"/>
      <c r="DB8" s="224"/>
      <c r="DC8" s="224"/>
      <c r="DD8" s="224"/>
      <c r="DE8" s="224"/>
      <c r="DF8" s="224"/>
      <c r="DG8" s="224"/>
      <c r="DH8" s="224"/>
      <c r="DI8" s="224"/>
      <c r="DJ8" s="224"/>
      <c r="DK8" s="224"/>
      <c r="DL8" s="224"/>
      <c r="DM8" s="224"/>
      <c r="DN8" s="224"/>
      <c r="DO8" s="224"/>
      <c r="DP8" s="224"/>
      <c r="DQ8" s="224"/>
      <c r="DR8" s="224"/>
      <c r="DS8" s="224"/>
      <c r="DT8" s="224"/>
      <c r="DU8" s="224"/>
      <c r="DV8" s="224"/>
      <c r="DW8" s="224"/>
      <c r="DX8" s="224"/>
      <c r="DY8" s="224"/>
      <c r="DZ8" s="224"/>
      <c r="EA8" s="224"/>
      <c r="EB8" s="224"/>
      <c r="EC8" s="224"/>
      <c r="ED8" s="224"/>
      <c r="EE8" s="224"/>
      <c r="EF8" s="224"/>
      <c r="EG8" s="224"/>
      <c r="EH8" s="224"/>
      <c r="EI8" s="224"/>
      <c r="EJ8" s="224"/>
      <c r="EK8" s="224"/>
      <c r="EL8" s="224"/>
      <c r="EM8" s="224"/>
      <c r="EN8" s="224"/>
      <c r="EO8" s="224"/>
      <c r="EP8" s="224"/>
      <c r="EQ8" s="224"/>
      <c r="ER8" s="224"/>
      <c r="ES8" s="224"/>
      <c r="ET8" s="224"/>
      <c r="EU8" s="224"/>
      <c r="EV8" s="224"/>
      <c r="EW8" s="224"/>
      <c r="EX8" s="224"/>
      <c r="EY8" s="224"/>
      <c r="EZ8" s="224"/>
      <c r="FA8" s="224"/>
      <c r="FB8" s="224"/>
      <c r="FC8" s="224"/>
      <c r="FD8" s="224"/>
      <c r="FE8" s="224"/>
      <c r="FF8" s="224"/>
      <c r="FG8" s="224"/>
      <c r="FH8" s="224"/>
      <c r="FI8" s="224"/>
      <c r="FJ8" s="224"/>
      <c r="FK8" s="224"/>
      <c r="FL8" s="224"/>
      <c r="FM8" s="224"/>
      <c r="FN8" s="224"/>
      <c r="FO8" s="224"/>
      <c r="FP8" s="224"/>
      <c r="FQ8" s="224"/>
      <c r="FR8" s="224"/>
      <c r="FS8" s="224"/>
      <c r="FT8" s="224"/>
      <c r="FU8" s="224"/>
      <c r="FV8" s="224"/>
      <c r="FW8" s="224"/>
      <c r="FX8" s="224"/>
      <c r="FY8" s="224"/>
      <c r="FZ8" s="224"/>
      <c r="GA8" s="224"/>
      <c r="GB8" s="224"/>
      <c r="GC8" s="224"/>
      <c r="GD8" s="224"/>
      <c r="GE8" s="224"/>
      <c r="GF8" s="224"/>
      <c r="GG8" s="224"/>
      <c r="GH8" s="224"/>
      <c r="GI8" s="224"/>
      <c r="GJ8" s="224"/>
      <c r="GK8" s="224"/>
      <c r="GL8" s="224"/>
      <c r="GM8" s="224"/>
      <c r="GN8" s="224"/>
      <c r="GO8" s="224"/>
      <c r="GP8" s="224"/>
      <c r="GQ8" s="224"/>
      <c r="GR8" s="224"/>
      <c r="GS8" s="224"/>
      <c r="GT8" s="224"/>
      <c r="GU8" s="224"/>
      <c r="GV8" s="224"/>
      <c r="GW8" s="224"/>
      <c r="GX8" s="224"/>
      <c r="GY8" s="224"/>
      <c r="GZ8" s="224"/>
      <c r="HA8" s="224"/>
      <c r="HB8" s="224"/>
      <c r="HC8" s="224"/>
      <c r="HD8" s="224"/>
      <c r="HE8" s="224"/>
      <c r="HF8" s="224"/>
      <c r="HG8" s="224"/>
      <c r="HH8" s="224"/>
      <c r="HI8" s="224"/>
      <c r="HJ8" s="224"/>
      <c r="HK8" s="224"/>
      <c r="HL8" s="224"/>
      <c r="HM8" s="224"/>
      <c r="HN8" s="224"/>
      <c r="HO8" s="224"/>
      <c r="HP8" s="224"/>
      <c r="HQ8" s="224"/>
      <c r="HR8" s="224"/>
      <c r="HS8" s="224"/>
      <c r="HT8" s="224"/>
      <c r="HU8" s="224"/>
      <c r="HV8" s="224"/>
      <c r="HW8" s="224"/>
      <c r="HX8" s="224"/>
      <c r="HY8" s="224"/>
      <c r="HZ8" s="224"/>
      <c r="IA8" s="224"/>
      <c r="IB8" s="224"/>
      <c r="IC8" s="224"/>
      <c r="ID8" s="224"/>
      <c r="IE8" s="224"/>
      <c r="IF8" s="224"/>
      <c r="IG8" s="224"/>
      <c r="IH8" s="224"/>
      <c r="II8" s="224"/>
      <c r="IJ8" s="224"/>
      <c r="IK8" s="224"/>
      <c r="IL8" s="224"/>
      <c r="IM8" s="224"/>
      <c r="IN8" s="224"/>
      <c r="IO8" s="224"/>
      <c r="IP8" s="224"/>
      <c r="IQ8" s="224"/>
      <c r="IR8" s="224"/>
    </row>
    <row r="9" spans="1:252">
      <c r="B9" s="228" t="str">
        <f>'Income Statement'!E13</f>
        <v xml:space="preserve">Depreciation this period </v>
      </c>
      <c r="C9" s="225"/>
      <c r="D9" s="229">
        <f>'Income Statement'!J13</f>
        <v>0</v>
      </c>
      <c r="E9" s="229">
        <f ca="1">'Income Statement'!K13</f>
        <v>-7291.666666666667</v>
      </c>
      <c r="F9" s="229">
        <f ca="1">'Income Statement'!L13</f>
        <v>-7291.666666666667</v>
      </c>
      <c r="G9" s="229">
        <f ca="1">'Income Statement'!M13</f>
        <v>-7291.666666666667</v>
      </c>
      <c r="H9" s="229">
        <f ca="1">'Income Statement'!N13</f>
        <v>-7291.666666666667</v>
      </c>
      <c r="I9" s="229">
        <f ca="1">'Income Statement'!O13</f>
        <v>-7291.666666666667</v>
      </c>
      <c r="J9" s="229">
        <f ca="1">'Income Statement'!P13</f>
        <v>-7291.666666666667</v>
      </c>
      <c r="K9" s="229">
        <f ca="1">'Income Statement'!Q13</f>
        <v>-14583.333333333334</v>
      </c>
      <c r="L9" s="229">
        <f ca="1">'Income Statement'!R13</f>
        <v>-14583.333333333334</v>
      </c>
      <c r="M9" s="229">
        <f ca="1">'Income Statement'!S13</f>
        <v>-14583.333333333334</v>
      </c>
      <c r="N9" s="229">
        <f ca="1">'Income Statement'!T13</f>
        <v>-14583.333333333334</v>
      </c>
      <c r="O9" s="229">
        <f ca="1">'Income Statement'!U13</f>
        <v>-14583.333333333334</v>
      </c>
      <c r="P9" s="229">
        <f ca="1">'Income Statement'!V13</f>
        <v>-14583.333333333334</v>
      </c>
      <c r="Q9" s="229">
        <f ca="1">'Income Statement'!W13</f>
        <v>-21875</v>
      </c>
      <c r="R9" s="229">
        <f ca="1">'Income Statement'!X13</f>
        <v>-21875</v>
      </c>
      <c r="S9" s="229">
        <f ca="1">'Income Statement'!Y13</f>
        <v>-21875</v>
      </c>
      <c r="T9" s="229">
        <f ca="1">'Income Statement'!Z13</f>
        <v>-21875</v>
      </c>
      <c r="U9" s="229">
        <f ca="1">'Income Statement'!AA13</f>
        <v>-29166.666666666668</v>
      </c>
      <c r="V9" s="229">
        <f ca="1">'Income Statement'!AB13</f>
        <v>-29166.666666666668</v>
      </c>
      <c r="W9" s="229">
        <f ca="1">'Income Statement'!AC13</f>
        <v>-29166.666666666668</v>
      </c>
      <c r="X9" s="229">
        <f ca="1">'Income Statement'!AD13</f>
        <v>-29166.666666666668</v>
      </c>
      <c r="Y9" s="229">
        <f ca="1">'Income Statement'!AE13</f>
        <v>-36458.333333333336</v>
      </c>
      <c r="Z9" s="229">
        <f ca="1">'Income Statement'!AF13</f>
        <v>-36458.333333333336</v>
      </c>
      <c r="AA9" s="229">
        <f ca="1">'Income Statement'!AG13</f>
        <v>-36458.333333333336</v>
      </c>
      <c r="AB9" s="229">
        <f ca="1">'Income Statement'!AH13</f>
        <v>-43750</v>
      </c>
      <c r="AC9" s="229">
        <f ca="1">'Income Statement'!AI13</f>
        <v>-43020.833333333336</v>
      </c>
      <c r="AD9" s="229">
        <f ca="1">'Income Statement'!AJ13</f>
        <v>-49539.118573052401</v>
      </c>
      <c r="AE9" s="229">
        <f ca="1">'Income Statement'!AK13</f>
        <v>-48720.397574080678</v>
      </c>
      <c r="AF9" s="229">
        <f ca="1">'Income Statement'!AL13</f>
        <v>-47852.031474254327</v>
      </c>
      <c r="AG9" s="229">
        <f ca="1">'Income Statement'!AM13</f>
        <v>-54222.676591119911</v>
      </c>
      <c r="AH9" s="229">
        <f ca="1">'Income Statement'!AN13</f>
        <v>-53247.660050699786</v>
      </c>
      <c r="AI9" s="229">
        <f ca="1">'Income Statement'!AO13</f>
        <v>-52213.521056421894</v>
      </c>
      <c r="AJ9" s="229">
        <f ca="1">'Income Statement'!AP13</f>
        <v>-58410.422215449624</v>
      </c>
      <c r="AK9" s="229">
        <f ca="1">'Income Statement'!AQ13</f>
        <v>-57249.272989661084</v>
      </c>
      <c r="AL9" s="229">
        <f ca="1">'Income Statement'!AR13</f>
        <v>-63309.38137727938</v>
      </c>
      <c r="AM9" s="229">
        <f ca="1">'Income Statement'!AS13</f>
        <v>-62010.154079991386</v>
      </c>
      <c r="AN9" s="229">
        <f ca="1">'Income Statement'!AT13</f>
        <v>-67924.033333774001</v>
      </c>
      <c r="AO9" s="229">
        <f ca="1">'Income Statement'!AU13</f>
        <v>-73757.36666710733</v>
      </c>
      <c r="AP9" s="229">
        <f ca="1">'Income Statement'!AV13</f>
        <v>-72209.261129102801</v>
      </c>
      <c r="AQ9" s="229">
        <f ca="1">'Income Statement'!AW13</f>
        <v>-77862.192119710628</v>
      </c>
      <c r="AR9" s="229">
        <f ca="1">'Income Statement'!AX13</f>
        <v>-83415.894433448266</v>
      </c>
      <c r="AS9" s="229">
        <f ca="1">'Income Statement'!AY13</f>
        <v>-81572.692911579637</v>
      </c>
      <c r="AT9" s="229">
        <f ca="1">'Income Statement'!AZ13</f>
        <v>-86913.252229360107</v>
      </c>
      <c r="AU9" s="229">
        <f ca="1">'Income Statement'!BA13</f>
        <v>-92135.66814946504</v>
      </c>
      <c r="AV9" s="229">
        <f ca="1">'Income Statement'!BB13</f>
        <v>-97236.94473105199</v>
      </c>
      <c r="AW9" s="229">
        <f ca="1">'Income Statement'!BC13</f>
        <v>-102204.36056633275</v>
      </c>
      <c r="AX9" s="229">
        <f ca="1">'Income Statement'!BD13</f>
        <v>-107030.97231825652</v>
      </c>
      <c r="AY9" s="229">
        <f ca="1">'Income Statement'!BE13</f>
        <v>-111723.08859276578</v>
      </c>
      <c r="AZ9" s="229">
        <f ca="1">'Income Statement'!BF13</f>
        <v>-116257.72302187124</v>
      </c>
      <c r="BA9" s="229">
        <f ca="1">'Income Statement'!BG13</f>
        <v>-119974.62784057531</v>
      </c>
      <c r="BB9" s="229">
        <f ca="1">'Income Statement'!BH13</f>
        <v>-123474.93471179072</v>
      </c>
      <c r="BC9" s="229">
        <f ca="1">'Income Statement'!BI13</f>
        <v>-126753.14301937963</v>
      </c>
      <c r="BD9" s="229">
        <f ca="1">'Income Statement'!BJ13</f>
        <v>-129788.17237048752</v>
      </c>
      <c r="BE9" s="229">
        <f ca="1">'Income Statement'!BK13</f>
        <v>-132565.28833724195</v>
      </c>
      <c r="BF9" s="229">
        <f ca="1">'Income Statement'!BL13</f>
        <v>-135077.9410764291</v>
      </c>
      <c r="BG9" s="229">
        <f ca="1">'Income Statement'!BM13</f>
        <v>-137301.02917035882</v>
      </c>
      <c r="BH9" s="229">
        <f ca="1">'Income Statement'!BN13</f>
        <v>-139227.19897549841</v>
      </c>
      <c r="BI9" s="229">
        <f ca="1">'Income Statement'!BO13</f>
        <v>-140826.30550543399</v>
      </c>
      <c r="BJ9" s="229">
        <f ca="1">'Income Statement'!BP13</f>
        <v>-142080.42869221538</v>
      </c>
      <c r="BK9" s="229">
        <f ca="1">'Income Statement'!BQ13</f>
        <v>-143004.64866232162</v>
      </c>
      <c r="IR9" s="228"/>
    </row>
    <row r="10" spans="1:252" s="233" customFormat="1">
      <c r="A10" s="228"/>
      <c r="B10" s="230" t="str">
        <f>'Income Statement'!E14</f>
        <v>EBIT</v>
      </c>
      <c r="C10" s="231"/>
      <c r="D10" s="232">
        <f ca="1">'Income Statement'!J14</f>
        <v>-46000</v>
      </c>
      <c r="E10" s="232">
        <f ca="1">'Income Statement'!K14</f>
        <v>-54565.051762757437</v>
      </c>
      <c r="F10" s="232">
        <f ca="1">'Income Statement'!L14</f>
        <v>-55870.831437052359</v>
      </c>
      <c r="G10" s="232">
        <f ca="1">'Income Statement'!M14</f>
        <v>-57908.4671930111</v>
      </c>
      <c r="H10" s="232">
        <f ca="1">'Income Statement'!N14</f>
        <v>-59424.944152283344</v>
      </c>
      <c r="I10" s="232">
        <f ca="1">'Income Statement'!O14</f>
        <v>-60979.999882111922</v>
      </c>
      <c r="J10" s="232">
        <f ca="1">'Income Statement'!P14</f>
        <v>-63305.36300263006</v>
      </c>
      <c r="K10" s="232">
        <f ca="1">'Income Statement'!Q14</f>
        <v>74532.421391779746</v>
      </c>
      <c r="L10" s="232">
        <f ca="1">'Income Statement'!R14</f>
        <v>98894.942492405637</v>
      </c>
      <c r="M10" s="232">
        <f ca="1">'Income Statement'!S14</f>
        <v>98079.519526631833</v>
      </c>
      <c r="N10" s="232">
        <f ca="1">'Income Statement'!T14</f>
        <v>96130.651801330678</v>
      </c>
      <c r="O10" s="232">
        <f ca="1">'Income Statement'!U14</f>
        <v>93868.120472164039</v>
      </c>
      <c r="P10" s="232">
        <f ca="1">'Income Statement'!V14</f>
        <v>90916.666666666672</v>
      </c>
      <c r="Q10" s="232">
        <f ca="1">'Income Statement'!W14</f>
        <v>235862.76049489388</v>
      </c>
      <c r="R10" s="232">
        <f ca="1">'Income Statement'!X14</f>
        <v>253429.41252950544</v>
      </c>
      <c r="S10" s="232">
        <f ca="1">'Income Statement'!Y14</f>
        <v>249900.23697183491</v>
      </c>
      <c r="T10" s="232">
        <f ca="1">'Income Statement'!Z14</f>
        <v>246869.40650637494</v>
      </c>
      <c r="U10" s="232">
        <f ca="1">'Income Statement'!AA14</f>
        <v>236470.05202160202</v>
      </c>
      <c r="V10" s="232">
        <f ca="1">'Income Statement'!AB14</f>
        <v>232383.50359175747</v>
      </c>
      <c r="W10" s="232">
        <f ca="1">'Income Statement'!AC14</f>
        <v>403894.69064243976</v>
      </c>
      <c r="X10" s="232">
        <f ca="1">'Income Statement'!AD14</f>
        <v>400039.50114882068</v>
      </c>
      <c r="Y10" s="232">
        <f ca="1">'Income Statement'!AE14</f>
        <v>387989.79251189734</v>
      </c>
      <c r="Z10" s="232">
        <f ca="1">'Income Statement'!AF14</f>
        <v>384116.32276235888</v>
      </c>
      <c r="AA10" s="232">
        <f ca="1">'Income Statement'!AG14</f>
        <v>554580.84561472968</v>
      </c>
      <c r="AB10" s="232">
        <f ca="1">'Income Statement'!AH14</f>
        <v>505544.22806854604</v>
      </c>
      <c r="AC10" s="232">
        <f ca="1">'Income Statement'!AI14</f>
        <v>516474.21960079641</v>
      </c>
      <c r="AD10" s="232">
        <f ca="1">'Income Statement'!AJ14</f>
        <v>521032.50024679751</v>
      </c>
      <c r="AE10" s="232">
        <f ca="1">'Income Statement'!AK14</f>
        <v>707570.59732756624</v>
      </c>
      <c r="AF10" s="232">
        <f ca="1">'Income Statement'!AL14</f>
        <v>720588.11355445161</v>
      </c>
      <c r="AG10" s="232">
        <f ca="1">'Income Statement'!AM14</f>
        <v>727409.56490401726</v>
      </c>
      <c r="AH10" s="232">
        <f ca="1">'Income Statement'!AN14</f>
        <v>916273.83435786306</v>
      </c>
      <c r="AI10" s="232">
        <f ca="1">'Income Statement'!AO14</f>
        <v>932121.02617699071</v>
      </c>
      <c r="AJ10" s="232">
        <f ca="1">'Income Statement'!AP14</f>
        <v>1116185.8656398305</v>
      </c>
      <c r="AK10" s="232">
        <f ca="1">'Income Statement'!AQ14</f>
        <v>1132816.281088308</v>
      </c>
      <c r="AL10" s="232">
        <f ca="1">'Income Statement'!AR14</f>
        <v>1145188.3023198543</v>
      </c>
      <c r="AM10" s="232">
        <f ca="1">'Income Statement'!AS14</f>
        <v>1339675.8514105047</v>
      </c>
      <c r="AN10" s="232">
        <f ca="1">'Income Statement'!AT14</f>
        <v>1352742.2721286365</v>
      </c>
      <c r="AO10" s="232">
        <f ca="1">'Income Statement'!AU14</f>
        <v>1367242.7785252337</v>
      </c>
      <c r="AP10" s="232">
        <f ca="1">'Income Statement'!AV14</f>
        <v>1565977.7457024574</v>
      </c>
      <c r="AQ10" s="232">
        <f ca="1">'Income Statement'!AW14</f>
        <v>1582457.7385079623</v>
      </c>
      <c r="AR10" s="232">
        <f ca="1">'Income Statement'!AX14</f>
        <v>1776234.1732335028</v>
      </c>
      <c r="AS10" s="232">
        <f ca="1">'Income Statement'!AY14</f>
        <v>1804491.9551902867</v>
      </c>
      <c r="AT10" s="232">
        <f ca="1">'Income Statement'!AZ14</f>
        <v>2000636.0940589043</v>
      </c>
      <c r="AU10" s="232">
        <f ca="1">'Income Statement'!BA14</f>
        <v>2200066.6227878989</v>
      </c>
      <c r="AV10" s="232">
        <f ca="1">'Income Statement'!BB14</f>
        <v>2225472.1074835407</v>
      </c>
      <c r="AW10" s="232">
        <f ca="1">'Income Statement'!BC14</f>
        <v>2427186.4224637854</v>
      </c>
      <c r="AX10" s="232">
        <f ca="1">'Income Statement'!BD14</f>
        <v>2634312.3006806388</v>
      </c>
      <c r="AY10" s="232">
        <f ca="1">'Income Statement'!BE14</f>
        <v>2666004.5258928202</v>
      </c>
      <c r="AZ10" s="232">
        <f ca="1">'Income Statement'!BF14</f>
        <v>2859382.8330774345</v>
      </c>
      <c r="BA10" s="232">
        <f ca="1">'Income Statement'!BG14</f>
        <v>3086308.6816285588</v>
      </c>
      <c r="BB10" s="232">
        <f ca="1">'Income Statement'!BH14</f>
        <v>3317883.5724377618</v>
      </c>
      <c r="BC10" s="232">
        <f ca="1">'Income Statement'!BI14</f>
        <v>3551186.6839929274</v>
      </c>
      <c r="BD10" s="232">
        <f ca="1">'Income Statement'!BJ14</f>
        <v>3789407.4256627145</v>
      </c>
      <c r="BE10" s="232">
        <f ca="1">'Income Statement'!BK14</f>
        <v>4033163.983883122</v>
      </c>
      <c r="BF10" s="232">
        <f ca="1">'Income Statement'!BL14</f>
        <v>4279126.4069722053</v>
      </c>
      <c r="BG10" s="232">
        <f ca="1">'Income Statement'!BM14</f>
        <v>4532215.124376378</v>
      </c>
      <c r="BH10" s="232">
        <f ca="1">'Income Statement'!BN14</f>
        <v>4789337.317185198</v>
      </c>
      <c r="BI10" s="232">
        <f ca="1">'Income Statement'!BO14</f>
        <v>5050474.0537756896</v>
      </c>
      <c r="BJ10" s="232">
        <f ca="1">'Income Statement'!BP14</f>
        <v>5322166.4826188087</v>
      </c>
      <c r="BK10" s="232">
        <f ca="1">'Income Statement'!BQ14</f>
        <v>5595356.4862451879</v>
      </c>
      <c r="BL10" s="228"/>
      <c r="BM10" s="228"/>
      <c r="BN10" s="228"/>
      <c r="BO10" s="228"/>
      <c r="BP10" s="228"/>
      <c r="BQ10" s="228"/>
      <c r="BR10" s="228"/>
      <c r="BS10" s="230"/>
      <c r="BT10" s="230"/>
      <c r="BU10" s="230"/>
      <c r="BV10" s="230"/>
      <c r="BW10" s="230"/>
      <c r="BX10" s="230"/>
      <c r="BY10" s="230"/>
      <c r="BZ10" s="230"/>
      <c r="CA10" s="230"/>
      <c r="CB10" s="230"/>
      <c r="CC10" s="230"/>
      <c r="CD10" s="230"/>
      <c r="CE10" s="230"/>
      <c r="CF10" s="230"/>
      <c r="CG10" s="230"/>
      <c r="CH10" s="230"/>
      <c r="CI10" s="230"/>
      <c r="CJ10" s="230"/>
      <c r="CK10" s="230"/>
      <c r="CL10" s="230"/>
      <c r="CM10" s="230"/>
      <c r="CN10" s="230"/>
      <c r="CO10" s="230"/>
      <c r="CP10" s="230"/>
      <c r="CQ10" s="230"/>
      <c r="CR10" s="230"/>
      <c r="CS10" s="230"/>
      <c r="CT10" s="230"/>
      <c r="CU10" s="230"/>
      <c r="CV10" s="230"/>
      <c r="CW10" s="230"/>
      <c r="CX10" s="230"/>
      <c r="CY10" s="230"/>
      <c r="CZ10" s="230"/>
      <c r="DA10" s="230"/>
      <c r="DB10" s="230"/>
      <c r="DC10" s="230"/>
      <c r="DD10" s="230"/>
      <c r="DE10" s="230"/>
      <c r="DF10" s="230"/>
      <c r="DG10" s="230"/>
      <c r="DH10" s="230"/>
      <c r="DI10" s="230"/>
      <c r="DJ10" s="230"/>
      <c r="DK10" s="230"/>
      <c r="DL10" s="230"/>
      <c r="DM10" s="230"/>
      <c r="DN10" s="230"/>
      <c r="DO10" s="230"/>
      <c r="DP10" s="230"/>
      <c r="DQ10" s="230"/>
      <c r="DR10" s="230"/>
      <c r="DS10" s="230"/>
      <c r="DT10" s="230"/>
      <c r="DU10" s="230"/>
      <c r="DV10" s="230"/>
      <c r="DW10" s="230"/>
      <c r="DX10" s="230"/>
      <c r="DY10" s="230"/>
      <c r="DZ10" s="230"/>
      <c r="EA10" s="230"/>
      <c r="EB10" s="230"/>
      <c r="EC10" s="230"/>
      <c r="ED10" s="230"/>
      <c r="EE10" s="230"/>
      <c r="EF10" s="230"/>
      <c r="EG10" s="230"/>
      <c r="EH10" s="230"/>
      <c r="EI10" s="230"/>
      <c r="EJ10" s="230"/>
      <c r="EK10" s="230"/>
      <c r="EL10" s="230"/>
      <c r="EM10" s="230"/>
      <c r="EN10" s="230"/>
      <c r="EO10" s="230"/>
      <c r="EP10" s="230"/>
      <c r="EQ10" s="230"/>
      <c r="ER10" s="230"/>
      <c r="ES10" s="230"/>
      <c r="ET10" s="230"/>
      <c r="EU10" s="230"/>
      <c r="EV10" s="230"/>
      <c r="EW10" s="230"/>
      <c r="EX10" s="230"/>
      <c r="EY10" s="230"/>
      <c r="EZ10" s="230"/>
      <c r="FA10" s="230"/>
      <c r="FB10" s="230"/>
      <c r="FC10" s="230"/>
      <c r="FD10" s="230"/>
      <c r="FE10" s="230"/>
      <c r="FF10" s="230"/>
      <c r="FG10" s="230"/>
      <c r="FH10" s="230"/>
      <c r="FI10" s="230"/>
      <c r="FJ10" s="230"/>
      <c r="FK10" s="230"/>
      <c r="FL10" s="230"/>
      <c r="FM10" s="230"/>
      <c r="FN10" s="230"/>
      <c r="FO10" s="230"/>
      <c r="FP10" s="230"/>
      <c r="FQ10" s="230"/>
      <c r="FR10" s="230"/>
      <c r="FS10" s="230"/>
      <c r="FT10" s="230"/>
      <c r="FU10" s="230"/>
      <c r="FV10" s="230"/>
      <c r="FW10" s="230"/>
      <c r="FX10" s="230"/>
      <c r="FY10" s="230"/>
      <c r="FZ10" s="230"/>
      <c r="GA10" s="230"/>
      <c r="GB10" s="230"/>
      <c r="GC10" s="230"/>
      <c r="GD10" s="230"/>
      <c r="GE10" s="230"/>
      <c r="GF10" s="230"/>
      <c r="GG10" s="230"/>
      <c r="GH10" s="230"/>
      <c r="GI10" s="230"/>
      <c r="GJ10" s="230"/>
      <c r="GK10" s="230"/>
      <c r="GL10" s="230"/>
      <c r="GM10" s="230"/>
      <c r="GN10" s="230"/>
      <c r="GO10" s="230"/>
      <c r="GP10" s="230"/>
      <c r="GQ10" s="230"/>
      <c r="GR10" s="230"/>
      <c r="GS10" s="230"/>
      <c r="GT10" s="230"/>
      <c r="GU10" s="230"/>
      <c r="GV10" s="230"/>
      <c r="GW10" s="230"/>
      <c r="GX10" s="230"/>
      <c r="GY10" s="230"/>
      <c r="GZ10" s="230"/>
      <c r="HA10" s="230"/>
      <c r="HB10" s="230"/>
      <c r="HC10" s="230"/>
      <c r="HD10" s="230"/>
      <c r="HE10" s="230"/>
      <c r="HF10" s="230"/>
      <c r="HG10" s="230"/>
      <c r="HH10" s="230"/>
      <c r="HI10" s="230"/>
      <c r="HJ10" s="230"/>
      <c r="HK10" s="230"/>
      <c r="HL10" s="230"/>
      <c r="HM10" s="230"/>
      <c r="HN10" s="230"/>
      <c r="HO10" s="230"/>
      <c r="HP10" s="230"/>
      <c r="HQ10" s="230"/>
      <c r="HR10" s="230"/>
      <c r="HS10" s="230"/>
      <c r="HT10" s="230"/>
      <c r="HU10" s="230"/>
      <c r="HV10" s="230"/>
      <c r="HW10" s="230"/>
      <c r="HX10" s="230"/>
      <c r="HY10" s="230"/>
      <c r="HZ10" s="230"/>
      <c r="IA10" s="230"/>
      <c r="IB10" s="230"/>
      <c r="IC10" s="230"/>
      <c r="ID10" s="230"/>
      <c r="IE10" s="230"/>
      <c r="IF10" s="230"/>
      <c r="IG10" s="230"/>
      <c r="IH10" s="230"/>
      <c r="II10" s="230"/>
      <c r="IJ10" s="230"/>
      <c r="IK10" s="230"/>
      <c r="IL10" s="230"/>
      <c r="IM10" s="230"/>
      <c r="IN10" s="230"/>
      <c r="IO10" s="230"/>
      <c r="IP10" s="230"/>
      <c r="IQ10" s="230"/>
      <c r="IR10" s="230"/>
    </row>
    <row r="11" spans="1:252">
      <c r="A11" s="224"/>
      <c r="C11" s="225"/>
      <c r="D11" s="229"/>
      <c r="E11" s="229"/>
      <c r="F11" s="229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  <c r="AA11" s="229"/>
      <c r="AB11" s="229"/>
      <c r="AC11" s="229"/>
      <c r="AD11" s="229"/>
      <c r="AE11" s="229"/>
      <c r="AF11" s="229"/>
      <c r="AG11" s="229"/>
      <c r="AH11" s="229"/>
      <c r="AI11" s="229"/>
      <c r="AJ11" s="229"/>
      <c r="AK11" s="229"/>
      <c r="AL11" s="229"/>
      <c r="AM11" s="229"/>
      <c r="AN11" s="229"/>
      <c r="AO11" s="229"/>
      <c r="AP11" s="229"/>
      <c r="AQ11" s="229"/>
      <c r="AR11" s="229"/>
      <c r="AS11" s="229"/>
      <c r="AT11" s="229"/>
      <c r="AU11" s="229"/>
      <c r="AV11" s="229"/>
      <c r="AW11" s="229"/>
      <c r="AX11" s="229"/>
      <c r="AY11" s="229"/>
      <c r="AZ11" s="229"/>
      <c r="BA11" s="229"/>
      <c r="BB11" s="229"/>
      <c r="BC11" s="229"/>
      <c r="BD11" s="229"/>
      <c r="BE11" s="229"/>
      <c r="BF11" s="229"/>
      <c r="BG11" s="229"/>
      <c r="BH11" s="229"/>
      <c r="BI11" s="229"/>
      <c r="BJ11" s="229"/>
      <c r="BK11" s="229"/>
      <c r="BL11" s="224"/>
      <c r="BM11" s="224"/>
      <c r="BN11" s="224"/>
      <c r="BO11" s="224"/>
      <c r="BP11" s="224"/>
      <c r="BQ11" s="224"/>
      <c r="BR11" s="224"/>
      <c r="BS11" s="224"/>
      <c r="BT11" s="224"/>
      <c r="BU11" s="224"/>
      <c r="BV11" s="224"/>
      <c r="BW11" s="224"/>
      <c r="BX11" s="224"/>
      <c r="BY11" s="224"/>
      <c r="BZ11" s="224"/>
      <c r="CA11" s="224"/>
      <c r="CB11" s="224"/>
      <c r="CC11" s="224"/>
      <c r="CD11" s="224"/>
      <c r="CE11" s="224"/>
      <c r="CF11" s="224"/>
      <c r="CG11" s="224"/>
      <c r="CH11" s="224"/>
      <c r="CI11" s="224"/>
      <c r="CJ11" s="224"/>
      <c r="CK11" s="224"/>
      <c r="CL11" s="224"/>
      <c r="CM11" s="224"/>
      <c r="CN11" s="224"/>
      <c r="CO11" s="224"/>
      <c r="CP11" s="224"/>
      <c r="CQ11" s="224"/>
      <c r="CR11" s="224"/>
      <c r="CS11" s="224"/>
      <c r="CT11" s="224"/>
      <c r="CU11" s="224"/>
      <c r="CV11" s="224"/>
      <c r="CW11" s="224"/>
      <c r="CX11" s="224"/>
      <c r="CY11" s="224"/>
      <c r="CZ11" s="224"/>
      <c r="DA11" s="224"/>
      <c r="DB11" s="224"/>
      <c r="DC11" s="224"/>
      <c r="DD11" s="224"/>
      <c r="DE11" s="224"/>
      <c r="DF11" s="224"/>
      <c r="DG11" s="224"/>
      <c r="DH11" s="224"/>
      <c r="DI11" s="224"/>
      <c r="DJ11" s="224"/>
      <c r="DK11" s="224"/>
      <c r="DL11" s="224"/>
      <c r="DM11" s="224"/>
      <c r="DN11" s="224"/>
      <c r="DO11" s="224"/>
      <c r="DP11" s="224"/>
      <c r="DQ11" s="224"/>
      <c r="DR11" s="224"/>
      <c r="DS11" s="224"/>
      <c r="DT11" s="224"/>
      <c r="DU11" s="224"/>
      <c r="DV11" s="224"/>
      <c r="DW11" s="224"/>
      <c r="DX11" s="224"/>
      <c r="DY11" s="224"/>
      <c r="DZ11" s="224"/>
      <c r="EA11" s="224"/>
      <c r="EB11" s="224"/>
      <c r="EC11" s="224"/>
      <c r="ED11" s="224"/>
      <c r="EE11" s="224"/>
      <c r="EF11" s="224"/>
      <c r="EG11" s="224"/>
      <c r="EH11" s="224"/>
      <c r="EI11" s="224"/>
      <c r="EJ11" s="224"/>
      <c r="EK11" s="224"/>
      <c r="EL11" s="224"/>
      <c r="EM11" s="224"/>
      <c r="EN11" s="224"/>
      <c r="EO11" s="224"/>
      <c r="EP11" s="224"/>
      <c r="EQ11" s="224"/>
      <c r="ER11" s="224"/>
      <c r="ES11" s="224"/>
      <c r="ET11" s="224"/>
      <c r="EU11" s="224"/>
      <c r="EV11" s="224"/>
      <c r="EW11" s="224"/>
      <c r="EX11" s="224"/>
      <c r="EY11" s="224"/>
      <c r="EZ11" s="224"/>
      <c r="FA11" s="224"/>
      <c r="FB11" s="224"/>
      <c r="FC11" s="224"/>
      <c r="FD11" s="224"/>
      <c r="FE11" s="224"/>
      <c r="FF11" s="224"/>
      <c r="FG11" s="224"/>
      <c r="FH11" s="224"/>
      <c r="FI11" s="224"/>
      <c r="FJ11" s="224"/>
      <c r="FK11" s="224"/>
      <c r="FL11" s="224"/>
      <c r="FM11" s="224"/>
      <c r="FN11" s="224"/>
      <c r="FO11" s="224"/>
      <c r="FP11" s="224"/>
      <c r="FQ11" s="224"/>
      <c r="FR11" s="224"/>
      <c r="FS11" s="224"/>
      <c r="FT11" s="224"/>
      <c r="FU11" s="224"/>
      <c r="FV11" s="224"/>
      <c r="FW11" s="224"/>
      <c r="FX11" s="224"/>
      <c r="FY11" s="224"/>
      <c r="FZ11" s="224"/>
      <c r="GA11" s="224"/>
      <c r="GB11" s="224"/>
      <c r="GC11" s="224"/>
      <c r="GD11" s="224"/>
      <c r="GE11" s="224"/>
      <c r="GF11" s="224"/>
      <c r="GG11" s="224"/>
      <c r="GH11" s="224"/>
      <c r="GI11" s="224"/>
      <c r="GJ11" s="224"/>
      <c r="GK11" s="224"/>
      <c r="GL11" s="224"/>
      <c r="GM11" s="224"/>
      <c r="GN11" s="224"/>
      <c r="GO11" s="224"/>
      <c r="GP11" s="224"/>
      <c r="GQ11" s="224"/>
      <c r="GR11" s="224"/>
      <c r="GS11" s="224"/>
      <c r="GT11" s="224"/>
      <c r="GU11" s="224"/>
      <c r="GV11" s="224"/>
      <c r="GW11" s="224"/>
      <c r="GX11" s="224"/>
      <c r="GY11" s="224"/>
      <c r="GZ11" s="224"/>
      <c r="HA11" s="224"/>
      <c r="HB11" s="224"/>
      <c r="HC11" s="224"/>
      <c r="HD11" s="224"/>
      <c r="HE11" s="224"/>
      <c r="HF11" s="224"/>
      <c r="HG11" s="224"/>
      <c r="HH11" s="224"/>
      <c r="HI11" s="224"/>
      <c r="HJ11" s="224"/>
      <c r="HK11" s="224"/>
      <c r="HL11" s="224"/>
      <c r="HM11" s="224"/>
      <c r="HN11" s="224"/>
      <c r="HO11" s="224"/>
      <c r="HP11" s="224"/>
      <c r="HQ11" s="224"/>
      <c r="HR11" s="224"/>
      <c r="HS11" s="224"/>
      <c r="HT11" s="224"/>
      <c r="HU11" s="224"/>
      <c r="HV11" s="224"/>
      <c r="HW11" s="224"/>
      <c r="HX11" s="224"/>
      <c r="HY11" s="224"/>
      <c r="HZ11" s="224"/>
      <c r="IA11" s="224"/>
      <c r="IB11" s="224"/>
      <c r="IC11" s="224"/>
      <c r="ID11" s="224"/>
      <c r="IE11" s="224"/>
      <c r="IF11" s="224"/>
      <c r="IG11" s="224"/>
      <c r="IH11" s="224"/>
      <c r="II11" s="224"/>
      <c r="IJ11" s="224"/>
      <c r="IK11" s="224"/>
      <c r="IL11" s="224"/>
      <c r="IM11" s="224"/>
      <c r="IN11" s="224"/>
      <c r="IO11" s="224"/>
      <c r="IP11" s="224"/>
      <c r="IQ11" s="224"/>
      <c r="IR11" s="224"/>
    </row>
    <row r="12" spans="1:252">
      <c r="B12" s="228" t="str">
        <f>'Income Statement'!E16</f>
        <v xml:space="preserve">Supply Chain Finance interest </v>
      </c>
      <c r="C12" s="225"/>
      <c r="D12" s="229">
        <f>'Income Statement'!J16</f>
        <v>0</v>
      </c>
      <c r="E12" s="229">
        <f ca="1">'Income Statement'!K16</f>
        <v>0</v>
      </c>
      <c r="F12" s="229">
        <f ca="1">'Income Statement'!L16</f>
        <v>0</v>
      </c>
      <c r="G12" s="229">
        <f ca="1">'Income Statement'!M16</f>
        <v>0</v>
      </c>
      <c r="H12" s="229">
        <f ca="1">'Income Statement'!N16</f>
        <v>0</v>
      </c>
      <c r="I12" s="229">
        <f ca="1">'Income Statement'!O16</f>
        <v>0</v>
      </c>
      <c r="J12" s="229">
        <f ca="1">'Income Statement'!P16</f>
        <v>0</v>
      </c>
      <c r="K12" s="229">
        <f ca="1">'Income Statement'!Q16</f>
        <v>0</v>
      </c>
      <c r="L12" s="229">
        <f ca="1">'Income Statement'!R16</f>
        <v>0</v>
      </c>
      <c r="M12" s="229">
        <f ca="1">'Income Statement'!S16</f>
        <v>0</v>
      </c>
      <c r="N12" s="229">
        <f ca="1">'Income Statement'!T16</f>
        <v>0</v>
      </c>
      <c r="O12" s="229">
        <f ca="1">'Income Statement'!U16</f>
        <v>0</v>
      </c>
      <c r="P12" s="229">
        <f ca="1">'Income Statement'!V16</f>
        <v>0</v>
      </c>
      <c r="Q12" s="229">
        <f ca="1">'Income Statement'!W16</f>
        <v>0</v>
      </c>
      <c r="R12" s="229">
        <f ca="1">'Income Statement'!X16</f>
        <v>0</v>
      </c>
      <c r="S12" s="229">
        <f ca="1">'Income Statement'!Y16</f>
        <v>0</v>
      </c>
      <c r="T12" s="229">
        <f ca="1">'Income Statement'!Z16</f>
        <v>0</v>
      </c>
      <c r="U12" s="229">
        <f ca="1">'Income Statement'!AA16</f>
        <v>0</v>
      </c>
      <c r="V12" s="229">
        <f ca="1">'Income Statement'!AB16</f>
        <v>0</v>
      </c>
      <c r="W12" s="229">
        <f ca="1">'Income Statement'!AC16</f>
        <v>0</v>
      </c>
      <c r="X12" s="229">
        <f ca="1">'Income Statement'!AD16</f>
        <v>0</v>
      </c>
      <c r="Y12" s="229">
        <f ca="1">'Income Statement'!AE16</f>
        <v>0</v>
      </c>
      <c r="Z12" s="229">
        <f ca="1">'Income Statement'!AF16</f>
        <v>0</v>
      </c>
      <c r="AA12" s="229">
        <f ca="1">'Income Statement'!AG16</f>
        <v>0</v>
      </c>
      <c r="AB12" s="229">
        <f ca="1">'Income Statement'!AH16</f>
        <v>0</v>
      </c>
      <c r="AC12" s="229">
        <f ca="1">'Income Statement'!AI16</f>
        <v>0</v>
      </c>
      <c r="AD12" s="229">
        <f ca="1">'Income Statement'!AJ16</f>
        <v>0</v>
      </c>
      <c r="AE12" s="229">
        <f ca="1">'Income Statement'!AK16</f>
        <v>0</v>
      </c>
      <c r="AF12" s="229">
        <f ca="1">'Income Statement'!AL16</f>
        <v>0</v>
      </c>
      <c r="AG12" s="229">
        <f ca="1">'Income Statement'!AM16</f>
        <v>0</v>
      </c>
      <c r="AH12" s="229">
        <f ca="1">'Income Statement'!AN16</f>
        <v>0</v>
      </c>
      <c r="AI12" s="229">
        <f ca="1">'Income Statement'!AO16</f>
        <v>0</v>
      </c>
      <c r="AJ12" s="229">
        <f ca="1">'Income Statement'!AP16</f>
        <v>0</v>
      </c>
      <c r="AK12" s="229">
        <f ca="1">'Income Statement'!AQ16</f>
        <v>0</v>
      </c>
      <c r="AL12" s="229">
        <f ca="1">'Income Statement'!AR16</f>
        <v>0</v>
      </c>
      <c r="AM12" s="229">
        <f ca="1">'Income Statement'!AS16</f>
        <v>0</v>
      </c>
      <c r="AN12" s="229">
        <f ca="1">'Income Statement'!AT16</f>
        <v>0</v>
      </c>
      <c r="AO12" s="229">
        <f ca="1">'Income Statement'!AU16</f>
        <v>0</v>
      </c>
      <c r="AP12" s="229">
        <f ca="1">'Income Statement'!AV16</f>
        <v>0</v>
      </c>
      <c r="AQ12" s="229">
        <f ca="1">'Income Statement'!AW16</f>
        <v>0</v>
      </c>
      <c r="AR12" s="229">
        <f ca="1">'Income Statement'!AX16</f>
        <v>0</v>
      </c>
      <c r="AS12" s="229">
        <f ca="1">'Income Statement'!AY16</f>
        <v>0</v>
      </c>
      <c r="AT12" s="229">
        <f ca="1">'Income Statement'!AZ16</f>
        <v>0</v>
      </c>
      <c r="AU12" s="229">
        <f ca="1">'Income Statement'!BA16</f>
        <v>0</v>
      </c>
      <c r="AV12" s="229">
        <f ca="1">'Income Statement'!BB16</f>
        <v>0</v>
      </c>
      <c r="AW12" s="229">
        <f ca="1">'Income Statement'!BC16</f>
        <v>0</v>
      </c>
      <c r="AX12" s="229">
        <f ca="1">'Income Statement'!BD16</f>
        <v>0</v>
      </c>
      <c r="AY12" s="229">
        <f ca="1">'Income Statement'!BE16</f>
        <v>0</v>
      </c>
      <c r="AZ12" s="229">
        <f ca="1">'Income Statement'!BF16</f>
        <v>0</v>
      </c>
      <c r="BA12" s="229">
        <f ca="1">'Income Statement'!BG16</f>
        <v>0</v>
      </c>
      <c r="BB12" s="229">
        <f ca="1">'Income Statement'!BH16</f>
        <v>0</v>
      </c>
      <c r="BC12" s="229">
        <f ca="1">'Income Statement'!BI16</f>
        <v>0</v>
      </c>
      <c r="BD12" s="229">
        <f ca="1">'Income Statement'!BJ16</f>
        <v>0</v>
      </c>
      <c r="BE12" s="229">
        <f ca="1">'Income Statement'!BK16</f>
        <v>0</v>
      </c>
      <c r="BF12" s="229">
        <f ca="1">'Income Statement'!BL16</f>
        <v>0</v>
      </c>
      <c r="BG12" s="229">
        <f ca="1">'Income Statement'!BM16</f>
        <v>0</v>
      </c>
      <c r="BH12" s="229">
        <f ca="1">'Income Statement'!BN16</f>
        <v>0</v>
      </c>
      <c r="BI12" s="229">
        <f ca="1">'Income Statement'!BO16</f>
        <v>0</v>
      </c>
      <c r="BJ12" s="229">
        <f ca="1">'Income Statement'!BP16</f>
        <v>0</v>
      </c>
      <c r="BK12" s="229">
        <f ca="1">'Income Statement'!BQ16</f>
        <v>0</v>
      </c>
      <c r="IR12" s="228"/>
    </row>
    <row r="13" spans="1:252">
      <c r="B13" s="228" t="str">
        <f>'Income Statement'!E17</f>
        <v xml:space="preserve">Invoice finance interest </v>
      </c>
      <c r="C13" s="225"/>
      <c r="D13" s="229">
        <f>'Income Statement'!J17</f>
        <v>0</v>
      </c>
      <c r="E13" s="229">
        <f ca="1">'Income Statement'!K17</f>
        <v>0</v>
      </c>
      <c r="F13" s="229">
        <f ca="1">'Income Statement'!L17</f>
        <v>0</v>
      </c>
      <c r="G13" s="229">
        <f ca="1">'Income Statement'!M17</f>
        <v>0</v>
      </c>
      <c r="H13" s="229">
        <f ca="1">'Income Statement'!N17</f>
        <v>0</v>
      </c>
      <c r="I13" s="229">
        <f ca="1">'Income Statement'!O17</f>
        <v>0</v>
      </c>
      <c r="J13" s="229">
        <f ca="1">'Income Statement'!P17</f>
        <v>0</v>
      </c>
      <c r="K13" s="229">
        <f ca="1">'Income Statement'!Q17</f>
        <v>0</v>
      </c>
      <c r="L13" s="229">
        <f ca="1">'Income Statement'!R17</f>
        <v>0</v>
      </c>
      <c r="M13" s="229">
        <f ca="1">'Income Statement'!S17</f>
        <v>0</v>
      </c>
      <c r="N13" s="229">
        <f ca="1">'Income Statement'!T17</f>
        <v>0</v>
      </c>
      <c r="O13" s="229">
        <f ca="1">'Income Statement'!U17</f>
        <v>0</v>
      </c>
      <c r="P13" s="229">
        <f ca="1">'Income Statement'!V17</f>
        <v>0</v>
      </c>
      <c r="Q13" s="229">
        <f ca="1">'Income Statement'!W17</f>
        <v>0</v>
      </c>
      <c r="R13" s="229">
        <f ca="1">'Income Statement'!X17</f>
        <v>0</v>
      </c>
      <c r="S13" s="229">
        <f ca="1">'Income Statement'!Y17</f>
        <v>0</v>
      </c>
      <c r="T13" s="229">
        <f ca="1">'Income Statement'!Z17</f>
        <v>0</v>
      </c>
      <c r="U13" s="229">
        <f ca="1">'Income Statement'!AA17</f>
        <v>0</v>
      </c>
      <c r="V13" s="229">
        <f ca="1">'Income Statement'!AB17</f>
        <v>0</v>
      </c>
      <c r="W13" s="229">
        <f ca="1">'Income Statement'!AC17</f>
        <v>0</v>
      </c>
      <c r="X13" s="229">
        <f ca="1">'Income Statement'!AD17</f>
        <v>0</v>
      </c>
      <c r="Y13" s="229">
        <f ca="1">'Income Statement'!AE17</f>
        <v>0</v>
      </c>
      <c r="Z13" s="229">
        <f ca="1">'Income Statement'!AF17</f>
        <v>0</v>
      </c>
      <c r="AA13" s="229">
        <f ca="1">'Income Statement'!AG17</f>
        <v>0</v>
      </c>
      <c r="AB13" s="229">
        <f ca="1">'Income Statement'!AH17</f>
        <v>0</v>
      </c>
      <c r="AC13" s="229">
        <f ca="1">'Income Statement'!AI17</f>
        <v>0</v>
      </c>
      <c r="AD13" s="229">
        <f ca="1">'Income Statement'!AJ17</f>
        <v>0</v>
      </c>
      <c r="AE13" s="229">
        <f ca="1">'Income Statement'!AK17</f>
        <v>0</v>
      </c>
      <c r="AF13" s="229">
        <f ca="1">'Income Statement'!AL17</f>
        <v>0</v>
      </c>
      <c r="AG13" s="229">
        <f ca="1">'Income Statement'!AM17</f>
        <v>0</v>
      </c>
      <c r="AH13" s="229">
        <f ca="1">'Income Statement'!AN17</f>
        <v>0</v>
      </c>
      <c r="AI13" s="229">
        <f ca="1">'Income Statement'!AO17</f>
        <v>0</v>
      </c>
      <c r="AJ13" s="229">
        <f ca="1">'Income Statement'!AP17</f>
        <v>0</v>
      </c>
      <c r="AK13" s="229">
        <f ca="1">'Income Statement'!AQ17</f>
        <v>0</v>
      </c>
      <c r="AL13" s="229">
        <f ca="1">'Income Statement'!AR17</f>
        <v>0</v>
      </c>
      <c r="AM13" s="229">
        <f ca="1">'Income Statement'!AS17</f>
        <v>0</v>
      </c>
      <c r="AN13" s="229">
        <f ca="1">'Income Statement'!AT17</f>
        <v>0</v>
      </c>
      <c r="AO13" s="229">
        <f ca="1">'Income Statement'!AU17</f>
        <v>0</v>
      </c>
      <c r="AP13" s="229">
        <f ca="1">'Income Statement'!AV17</f>
        <v>0</v>
      </c>
      <c r="AQ13" s="229">
        <f ca="1">'Income Statement'!AW17</f>
        <v>0</v>
      </c>
      <c r="AR13" s="229">
        <f ca="1">'Income Statement'!AX17</f>
        <v>0</v>
      </c>
      <c r="AS13" s="229">
        <f ca="1">'Income Statement'!AY17</f>
        <v>0</v>
      </c>
      <c r="AT13" s="229">
        <f ca="1">'Income Statement'!AZ17</f>
        <v>0</v>
      </c>
      <c r="AU13" s="229">
        <f ca="1">'Income Statement'!BA17</f>
        <v>0</v>
      </c>
      <c r="AV13" s="229">
        <f ca="1">'Income Statement'!BB17</f>
        <v>0</v>
      </c>
      <c r="AW13" s="229">
        <f ca="1">'Income Statement'!BC17</f>
        <v>0</v>
      </c>
      <c r="AX13" s="229">
        <f ca="1">'Income Statement'!BD17</f>
        <v>0</v>
      </c>
      <c r="AY13" s="229">
        <f ca="1">'Income Statement'!BE17</f>
        <v>0</v>
      </c>
      <c r="AZ13" s="229">
        <f ca="1">'Income Statement'!BF17</f>
        <v>0</v>
      </c>
      <c r="BA13" s="229">
        <f ca="1">'Income Statement'!BG17</f>
        <v>0</v>
      </c>
      <c r="BB13" s="229">
        <f ca="1">'Income Statement'!BH17</f>
        <v>0</v>
      </c>
      <c r="BC13" s="229">
        <f ca="1">'Income Statement'!BI17</f>
        <v>0</v>
      </c>
      <c r="BD13" s="229">
        <f ca="1">'Income Statement'!BJ17</f>
        <v>0</v>
      </c>
      <c r="BE13" s="229">
        <f ca="1">'Income Statement'!BK17</f>
        <v>0</v>
      </c>
      <c r="BF13" s="229">
        <f ca="1">'Income Statement'!BL17</f>
        <v>0</v>
      </c>
      <c r="BG13" s="229">
        <f ca="1">'Income Statement'!BM17</f>
        <v>0</v>
      </c>
      <c r="BH13" s="229">
        <f ca="1">'Income Statement'!BN17</f>
        <v>0</v>
      </c>
      <c r="BI13" s="229">
        <f ca="1">'Income Statement'!BO17</f>
        <v>0</v>
      </c>
      <c r="BJ13" s="229">
        <f ca="1">'Income Statement'!BP17</f>
        <v>0</v>
      </c>
      <c r="BK13" s="229">
        <f ca="1">'Income Statement'!BQ17</f>
        <v>0</v>
      </c>
      <c r="IR13" s="228"/>
    </row>
    <row r="14" spans="1:252">
      <c r="B14" s="228" t="str">
        <f>'Income Statement'!E18</f>
        <v xml:space="preserve">Asset Finance interest </v>
      </c>
      <c r="C14" s="225"/>
      <c r="D14" s="229">
        <f>'Income Statement'!J18</f>
        <v>0</v>
      </c>
      <c r="E14" s="229">
        <f ca="1">'Income Statement'!K18</f>
        <v>0</v>
      </c>
      <c r="F14" s="229">
        <f ca="1">'Income Statement'!L18</f>
        <v>0</v>
      </c>
      <c r="G14" s="229">
        <f ca="1">'Income Statement'!M18</f>
        <v>0</v>
      </c>
      <c r="H14" s="229">
        <f ca="1">'Income Statement'!N18</f>
        <v>0</v>
      </c>
      <c r="I14" s="229">
        <f ca="1">'Income Statement'!O18</f>
        <v>0</v>
      </c>
      <c r="J14" s="229">
        <f ca="1">'Income Statement'!P18</f>
        <v>0</v>
      </c>
      <c r="K14" s="229">
        <f ca="1">'Income Statement'!Q18</f>
        <v>0</v>
      </c>
      <c r="L14" s="229">
        <f ca="1">'Income Statement'!R18</f>
        <v>0</v>
      </c>
      <c r="M14" s="229">
        <f ca="1">'Income Statement'!S18</f>
        <v>0</v>
      </c>
      <c r="N14" s="229">
        <f ca="1">'Income Statement'!T18</f>
        <v>0</v>
      </c>
      <c r="O14" s="229">
        <f ca="1">'Income Statement'!U18</f>
        <v>0</v>
      </c>
      <c r="P14" s="229">
        <f ca="1">'Income Statement'!V18</f>
        <v>0</v>
      </c>
      <c r="Q14" s="229">
        <f ca="1">'Income Statement'!W18</f>
        <v>0</v>
      </c>
      <c r="R14" s="229">
        <f ca="1">'Income Statement'!X18</f>
        <v>0</v>
      </c>
      <c r="S14" s="229">
        <f ca="1">'Income Statement'!Y18</f>
        <v>0</v>
      </c>
      <c r="T14" s="229">
        <f ca="1">'Income Statement'!Z18</f>
        <v>0</v>
      </c>
      <c r="U14" s="229">
        <f ca="1">'Income Statement'!AA18</f>
        <v>0</v>
      </c>
      <c r="V14" s="229">
        <f ca="1">'Income Statement'!AB18</f>
        <v>0</v>
      </c>
      <c r="W14" s="229">
        <f ca="1">'Income Statement'!AC18</f>
        <v>0</v>
      </c>
      <c r="X14" s="229">
        <f ca="1">'Income Statement'!AD18</f>
        <v>0</v>
      </c>
      <c r="Y14" s="229">
        <f ca="1">'Income Statement'!AE18</f>
        <v>0</v>
      </c>
      <c r="Z14" s="229">
        <f ca="1">'Income Statement'!AF18</f>
        <v>0</v>
      </c>
      <c r="AA14" s="229">
        <f ca="1">'Income Statement'!AG18</f>
        <v>0</v>
      </c>
      <c r="AB14" s="229">
        <f ca="1">'Income Statement'!AH18</f>
        <v>0</v>
      </c>
      <c r="AC14" s="229">
        <f ca="1">'Income Statement'!AI18</f>
        <v>0</v>
      </c>
      <c r="AD14" s="229">
        <f ca="1">'Income Statement'!AJ18</f>
        <v>0</v>
      </c>
      <c r="AE14" s="229">
        <f ca="1">'Income Statement'!AK18</f>
        <v>0</v>
      </c>
      <c r="AF14" s="229">
        <f ca="1">'Income Statement'!AL18</f>
        <v>0</v>
      </c>
      <c r="AG14" s="229">
        <f ca="1">'Income Statement'!AM18</f>
        <v>0</v>
      </c>
      <c r="AH14" s="229">
        <f ca="1">'Income Statement'!AN18</f>
        <v>0</v>
      </c>
      <c r="AI14" s="229">
        <f ca="1">'Income Statement'!AO18</f>
        <v>0</v>
      </c>
      <c r="AJ14" s="229">
        <f ca="1">'Income Statement'!AP18</f>
        <v>0</v>
      </c>
      <c r="AK14" s="229">
        <f ca="1">'Income Statement'!AQ18</f>
        <v>0</v>
      </c>
      <c r="AL14" s="229">
        <f ca="1">'Income Statement'!AR18</f>
        <v>0</v>
      </c>
      <c r="AM14" s="229">
        <f ca="1">'Income Statement'!AS18</f>
        <v>0</v>
      </c>
      <c r="AN14" s="229">
        <f ca="1">'Income Statement'!AT18</f>
        <v>0</v>
      </c>
      <c r="AO14" s="229">
        <f ca="1">'Income Statement'!AU18</f>
        <v>0</v>
      </c>
      <c r="AP14" s="229">
        <f ca="1">'Income Statement'!AV18</f>
        <v>0</v>
      </c>
      <c r="AQ14" s="229">
        <f ca="1">'Income Statement'!AW18</f>
        <v>0</v>
      </c>
      <c r="AR14" s="229">
        <f ca="1">'Income Statement'!AX18</f>
        <v>0</v>
      </c>
      <c r="AS14" s="229">
        <f ca="1">'Income Statement'!AY18</f>
        <v>0</v>
      </c>
      <c r="AT14" s="229">
        <f ca="1">'Income Statement'!AZ18</f>
        <v>0</v>
      </c>
      <c r="AU14" s="229">
        <f ca="1">'Income Statement'!BA18</f>
        <v>0</v>
      </c>
      <c r="AV14" s="229">
        <f ca="1">'Income Statement'!BB18</f>
        <v>0</v>
      </c>
      <c r="AW14" s="229">
        <f ca="1">'Income Statement'!BC18</f>
        <v>0</v>
      </c>
      <c r="AX14" s="229">
        <f ca="1">'Income Statement'!BD18</f>
        <v>0</v>
      </c>
      <c r="AY14" s="229">
        <f ca="1">'Income Statement'!BE18</f>
        <v>0</v>
      </c>
      <c r="AZ14" s="229">
        <f ca="1">'Income Statement'!BF18</f>
        <v>0</v>
      </c>
      <c r="BA14" s="229">
        <f ca="1">'Income Statement'!BG18</f>
        <v>0</v>
      </c>
      <c r="BB14" s="229">
        <f ca="1">'Income Statement'!BH18</f>
        <v>0</v>
      </c>
      <c r="BC14" s="229">
        <f ca="1">'Income Statement'!BI18</f>
        <v>0</v>
      </c>
      <c r="BD14" s="229">
        <f ca="1">'Income Statement'!BJ18</f>
        <v>0</v>
      </c>
      <c r="BE14" s="229">
        <f ca="1">'Income Statement'!BK18</f>
        <v>0</v>
      </c>
      <c r="BF14" s="229">
        <f ca="1">'Income Statement'!BL18</f>
        <v>0</v>
      </c>
      <c r="BG14" s="229">
        <f ca="1">'Income Statement'!BM18</f>
        <v>0</v>
      </c>
      <c r="BH14" s="229">
        <f ca="1">'Income Statement'!BN18</f>
        <v>0</v>
      </c>
      <c r="BI14" s="229">
        <f ca="1">'Income Statement'!BO18</f>
        <v>0</v>
      </c>
      <c r="BJ14" s="229">
        <f ca="1">'Income Statement'!BP18</f>
        <v>0</v>
      </c>
      <c r="BK14" s="229">
        <f ca="1">'Income Statement'!BQ18</f>
        <v>0</v>
      </c>
      <c r="IR14" s="228"/>
    </row>
    <row r="15" spans="1:252">
      <c r="B15" s="230" t="str">
        <f>'Income Statement'!E19</f>
        <v>Profit before tax</v>
      </c>
      <c r="C15" s="231"/>
      <c r="D15" s="232">
        <f ca="1">'Income Statement'!J19</f>
        <v>-46000</v>
      </c>
      <c r="E15" s="232">
        <f ca="1">'Income Statement'!K19</f>
        <v>-54565.051762757437</v>
      </c>
      <c r="F15" s="232">
        <f ca="1">'Income Statement'!L19</f>
        <v>-55870.831437052359</v>
      </c>
      <c r="G15" s="232">
        <f ca="1">'Income Statement'!M19</f>
        <v>-57908.4671930111</v>
      </c>
      <c r="H15" s="232">
        <f ca="1">'Income Statement'!N19</f>
        <v>-59424.944152283344</v>
      </c>
      <c r="I15" s="232">
        <f ca="1">'Income Statement'!O19</f>
        <v>-60979.999882111922</v>
      </c>
      <c r="J15" s="232">
        <f ca="1">'Income Statement'!P19</f>
        <v>-63305.36300263006</v>
      </c>
      <c r="K15" s="232">
        <f ca="1">'Income Statement'!Q19</f>
        <v>74532.421391779746</v>
      </c>
      <c r="L15" s="232">
        <f ca="1">'Income Statement'!R19</f>
        <v>98894.942492405637</v>
      </c>
      <c r="M15" s="232">
        <f ca="1">'Income Statement'!S19</f>
        <v>98079.519526631833</v>
      </c>
      <c r="N15" s="232">
        <f ca="1">'Income Statement'!T19</f>
        <v>96130.651801330678</v>
      </c>
      <c r="O15" s="232">
        <f ca="1">'Income Statement'!U19</f>
        <v>93868.120472164039</v>
      </c>
      <c r="P15" s="232">
        <f ca="1">'Income Statement'!V19</f>
        <v>90916.666666666672</v>
      </c>
      <c r="Q15" s="232">
        <f ca="1">'Income Statement'!W19</f>
        <v>235862.76049489388</v>
      </c>
      <c r="R15" s="232">
        <f ca="1">'Income Statement'!X19</f>
        <v>253429.41252950544</v>
      </c>
      <c r="S15" s="232">
        <f ca="1">'Income Statement'!Y19</f>
        <v>249900.23697183491</v>
      </c>
      <c r="T15" s="232">
        <f ca="1">'Income Statement'!Z19</f>
        <v>246869.40650637494</v>
      </c>
      <c r="U15" s="232">
        <f ca="1">'Income Statement'!AA19</f>
        <v>236470.05202160202</v>
      </c>
      <c r="V15" s="232">
        <f ca="1">'Income Statement'!AB19</f>
        <v>232383.50359175747</v>
      </c>
      <c r="W15" s="232">
        <f ca="1">'Income Statement'!AC19</f>
        <v>403894.69064243976</v>
      </c>
      <c r="X15" s="232">
        <f ca="1">'Income Statement'!AD19</f>
        <v>400039.50114882068</v>
      </c>
      <c r="Y15" s="232">
        <f ca="1">'Income Statement'!AE19</f>
        <v>387989.79251189734</v>
      </c>
      <c r="Z15" s="232">
        <f ca="1">'Income Statement'!AF19</f>
        <v>384116.32276235888</v>
      </c>
      <c r="AA15" s="232">
        <f ca="1">'Income Statement'!AG19</f>
        <v>554580.84561472968</v>
      </c>
      <c r="AB15" s="232">
        <f ca="1">'Income Statement'!AH19</f>
        <v>505544.22806854604</v>
      </c>
      <c r="AC15" s="232">
        <f ca="1">'Income Statement'!AI19</f>
        <v>516474.21960079641</v>
      </c>
      <c r="AD15" s="232">
        <f ca="1">'Income Statement'!AJ19</f>
        <v>521032.50024679751</v>
      </c>
      <c r="AE15" s="232">
        <f ca="1">'Income Statement'!AK19</f>
        <v>707570.59732756624</v>
      </c>
      <c r="AF15" s="232">
        <f ca="1">'Income Statement'!AL19</f>
        <v>720588.11355445161</v>
      </c>
      <c r="AG15" s="232">
        <f ca="1">'Income Statement'!AM19</f>
        <v>727409.56490401726</v>
      </c>
      <c r="AH15" s="232">
        <f ca="1">'Income Statement'!AN19</f>
        <v>916273.83435786306</v>
      </c>
      <c r="AI15" s="232">
        <f ca="1">'Income Statement'!AO19</f>
        <v>932121.02617699071</v>
      </c>
      <c r="AJ15" s="232">
        <f ca="1">'Income Statement'!AP19</f>
        <v>1116185.8656398305</v>
      </c>
      <c r="AK15" s="232">
        <f ca="1">'Income Statement'!AQ19</f>
        <v>1132816.281088308</v>
      </c>
      <c r="AL15" s="232">
        <f ca="1">'Income Statement'!AR19</f>
        <v>1145188.3023198543</v>
      </c>
      <c r="AM15" s="232">
        <f ca="1">'Income Statement'!AS19</f>
        <v>1339675.8514105047</v>
      </c>
      <c r="AN15" s="232">
        <f ca="1">'Income Statement'!AT19</f>
        <v>1352742.2721286365</v>
      </c>
      <c r="AO15" s="232">
        <f ca="1">'Income Statement'!AU19</f>
        <v>1367242.7785252337</v>
      </c>
      <c r="AP15" s="232">
        <f ca="1">'Income Statement'!AV19</f>
        <v>1565977.7457024574</v>
      </c>
      <c r="AQ15" s="232">
        <f ca="1">'Income Statement'!AW19</f>
        <v>1582457.7385079623</v>
      </c>
      <c r="AR15" s="232">
        <f ca="1">'Income Statement'!AX19</f>
        <v>1776234.1732335028</v>
      </c>
      <c r="AS15" s="232">
        <f ca="1">'Income Statement'!AY19</f>
        <v>1804491.9551902867</v>
      </c>
      <c r="AT15" s="232">
        <f ca="1">'Income Statement'!AZ19</f>
        <v>2000636.0940589043</v>
      </c>
      <c r="AU15" s="232">
        <f ca="1">'Income Statement'!BA19</f>
        <v>2200066.6227878989</v>
      </c>
      <c r="AV15" s="232">
        <f ca="1">'Income Statement'!BB19</f>
        <v>2225472.1074835407</v>
      </c>
      <c r="AW15" s="232">
        <f ca="1">'Income Statement'!BC19</f>
        <v>2427186.4224637854</v>
      </c>
      <c r="AX15" s="232">
        <f ca="1">'Income Statement'!BD19</f>
        <v>2634312.3006806388</v>
      </c>
      <c r="AY15" s="232">
        <f ca="1">'Income Statement'!BE19</f>
        <v>2666004.5258928202</v>
      </c>
      <c r="AZ15" s="232">
        <f ca="1">'Income Statement'!BF19</f>
        <v>2859382.8330774345</v>
      </c>
      <c r="BA15" s="232">
        <f ca="1">'Income Statement'!BG19</f>
        <v>3086308.6816285588</v>
      </c>
      <c r="BB15" s="232">
        <f ca="1">'Income Statement'!BH19</f>
        <v>3317883.5724377618</v>
      </c>
      <c r="BC15" s="232">
        <f ca="1">'Income Statement'!BI19</f>
        <v>3551186.6839929274</v>
      </c>
      <c r="BD15" s="232">
        <f ca="1">'Income Statement'!BJ19</f>
        <v>3789407.4256627145</v>
      </c>
      <c r="BE15" s="232">
        <f ca="1">'Income Statement'!BK19</f>
        <v>4033163.983883122</v>
      </c>
      <c r="BF15" s="232">
        <f ca="1">'Income Statement'!BL19</f>
        <v>4279126.4069722053</v>
      </c>
      <c r="BG15" s="232">
        <f ca="1">'Income Statement'!BM19</f>
        <v>4532215.124376378</v>
      </c>
      <c r="BH15" s="232">
        <f ca="1">'Income Statement'!BN19</f>
        <v>4789337.317185198</v>
      </c>
      <c r="BI15" s="232">
        <f ca="1">'Income Statement'!BO19</f>
        <v>5050474.0537756896</v>
      </c>
      <c r="BJ15" s="232">
        <f ca="1">'Income Statement'!BP19</f>
        <v>5322166.4826188087</v>
      </c>
      <c r="BK15" s="232">
        <f ca="1">'Income Statement'!BQ19</f>
        <v>5595356.4862451879</v>
      </c>
      <c r="IR15" s="228"/>
    </row>
    <row r="16" spans="1:252">
      <c r="C16" s="225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  <c r="AA16" s="229"/>
      <c r="AB16" s="229"/>
      <c r="AC16" s="229"/>
      <c r="AD16" s="229"/>
      <c r="AE16" s="229"/>
      <c r="AF16" s="229"/>
      <c r="AG16" s="229"/>
      <c r="AH16" s="229"/>
      <c r="AI16" s="229"/>
      <c r="AJ16" s="229"/>
      <c r="AK16" s="229"/>
      <c r="AL16" s="229"/>
      <c r="AM16" s="229"/>
      <c r="AN16" s="229"/>
      <c r="AO16" s="229"/>
      <c r="AP16" s="229"/>
      <c r="AQ16" s="229"/>
      <c r="AR16" s="229"/>
      <c r="AS16" s="229"/>
      <c r="AT16" s="229"/>
      <c r="AU16" s="229"/>
      <c r="AV16" s="229"/>
      <c r="AW16" s="229"/>
      <c r="AX16" s="229"/>
      <c r="AY16" s="229"/>
      <c r="AZ16" s="229"/>
      <c r="BA16" s="229"/>
      <c r="BB16" s="229"/>
      <c r="BC16" s="229"/>
      <c r="BD16" s="229"/>
      <c r="BE16" s="229"/>
      <c r="BF16" s="229"/>
      <c r="BG16" s="229"/>
      <c r="BH16" s="229"/>
      <c r="BI16" s="229"/>
      <c r="BJ16" s="229"/>
      <c r="BK16" s="229"/>
      <c r="IR16" s="228"/>
    </row>
    <row r="17" spans="1:252">
      <c r="B17" s="228" t="str">
        <f>'Income Statement'!E21</f>
        <v xml:space="preserve">Corporation tax </v>
      </c>
      <c r="C17" s="225"/>
      <c r="D17" s="229">
        <f ca="1">'Income Statement'!J21</f>
        <v>0</v>
      </c>
      <c r="E17" s="229">
        <f ca="1">'Income Statement'!K21</f>
        <v>0</v>
      </c>
      <c r="F17" s="229">
        <f ca="1">'Income Statement'!L21</f>
        <v>0</v>
      </c>
      <c r="G17" s="229">
        <f ca="1">'Income Statement'!M21</f>
        <v>0</v>
      </c>
      <c r="H17" s="229">
        <f ca="1">'Income Statement'!N21</f>
        <v>0</v>
      </c>
      <c r="I17" s="229">
        <f ca="1">'Income Statement'!O21</f>
        <v>0</v>
      </c>
      <c r="J17" s="229">
        <f ca="1">'Income Statement'!P21</f>
        <v>0</v>
      </c>
      <c r="K17" s="229">
        <f ca="1">'Income Statement'!Q21</f>
        <v>0</v>
      </c>
      <c r="L17" s="229">
        <f ca="1">'Income Statement'!R21</f>
        <v>0</v>
      </c>
      <c r="M17" s="229">
        <f ca="1">'Income Statement'!S21</f>
        <v>-1390.4451961941932</v>
      </c>
      <c r="N17" s="229">
        <f ca="1">'Income Statement'!T21</f>
        <v>-22142.797026932803</v>
      </c>
      <c r="O17" s="229">
        <f ca="1">'Income Statement'!U21</f>
        <v>-21690.290761099473</v>
      </c>
      <c r="P17" s="229">
        <f ca="1">'Income Statement'!V21</f>
        <v>-21100</v>
      </c>
      <c r="Q17" s="229">
        <f ca="1">'Income Statement'!W21</f>
        <v>-51547.552098978776</v>
      </c>
      <c r="R17" s="229">
        <f ca="1">'Income Statement'!X21</f>
        <v>-55060.882505901092</v>
      </c>
      <c r="S17" s="229">
        <f ca="1">'Income Statement'!Y21</f>
        <v>-54355.047394366986</v>
      </c>
      <c r="T17" s="229">
        <f ca="1">'Income Statement'!Z21</f>
        <v>-53748.881301274989</v>
      </c>
      <c r="U17" s="229">
        <f ca="1">'Income Statement'!AA21</f>
        <v>-53127.34373765374</v>
      </c>
      <c r="V17" s="229">
        <f ca="1">'Income Statement'!AB21</f>
        <v>-52310.03405168483</v>
      </c>
      <c r="W17" s="229">
        <f ca="1">'Income Statement'!AC21</f>
        <v>-86612.271461821292</v>
      </c>
      <c r="X17" s="229">
        <f ca="1">'Income Statement'!AD21</f>
        <v>-85841.233563097485</v>
      </c>
      <c r="Y17" s="229">
        <f ca="1">'Income Statement'!AE21</f>
        <v>-84889.625169046136</v>
      </c>
      <c r="Z17" s="229">
        <f ca="1">'Income Statement'!AF21</f>
        <v>-84114.931219138438</v>
      </c>
      <c r="AA17" s="229">
        <f ca="1">'Income Statement'!AG21</f>
        <v>-118207.83578961261</v>
      </c>
      <c r="AB17" s="229">
        <f ca="1">'Income Statement'!AH21</f>
        <v>-109858.84561370921</v>
      </c>
      <c r="AC17" s="229">
        <f ca="1">'Income Statement'!AI21</f>
        <v>-111899.01058682596</v>
      </c>
      <c r="AD17" s="229">
        <f ca="1">'Income Statement'!AJ21</f>
        <v>-114114.32376396999</v>
      </c>
      <c r="AE17" s="229">
        <f ca="1">'Income Statement'!AK21</f>
        <v>-151258.19898032941</v>
      </c>
      <c r="AF17" s="229">
        <f ca="1">'Income Statement'!AL21</f>
        <v>-153688.02900574121</v>
      </c>
      <c r="AG17" s="229">
        <f ca="1">'Income Statement'!AM21</f>
        <v>-156326.44829902746</v>
      </c>
      <c r="AH17" s="229">
        <f ca="1">'Income Statement'!AN21</f>
        <v>-193904.2988817126</v>
      </c>
      <c r="AI17" s="229">
        <f ca="1">'Income Statement'!AO21</f>
        <v>-196866.90944668255</v>
      </c>
      <c r="AJ17" s="229">
        <f ca="1">'Income Statement'!AP21</f>
        <v>-234919.25757105602</v>
      </c>
      <c r="AK17" s="229">
        <f ca="1">'Income Statement'!AQ21</f>
        <v>-238013.11081559386</v>
      </c>
      <c r="AL17" s="229">
        <f ca="1">'Income Statement'!AR21</f>
        <v>-241699.53673942672</v>
      </c>
      <c r="AM17" s="229">
        <f ca="1">'Income Statement'!AS21</f>
        <v>-280337.20109809923</v>
      </c>
      <c r="AN17" s="229">
        <f ca="1">'Income Statement'!AT21</f>
        <v>-284133.26109248208</v>
      </c>
      <c r="AO17" s="229">
        <f ca="1">'Income Statement'!AU21</f>
        <v>-288200.0290384682</v>
      </c>
      <c r="AP17" s="229">
        <f ca="1">'Income Statement'!AV21</f>
        <v>-327637.40136631206</v>
      </c>
      <c r="AQ17" s="229">
        <f ca="1">'Income Statement'!AW21</f>
        <v>-332063.98612553463</v>
      </c>
      <c r="AR17" s="229">
        <f ca="1">'Income Statement'!AX21</f>
        <v>-371930.01353339024</v>
      </c>
      <c r="AS17" s="229">
        <f ca="1">'Income Statement'!AY21</f>
        <v>-377212.9296203733</v>
      </c>
      <c r="AT17" s="229">
        <f ca="1">'Income Statement'!AZ21</f>
        <v>-417509.8692576529</v>
      </c>
      <c r="AU17" s="229">
        <f ca="1">'Income Statement'!BA21</f>
        <v>-458440.45818747283</v>
      </c>
      <c r="AV17" s="229">
        <f ca="1">'Income Statement'!BB21</f>
        <v>-464541.81044291856</v>
      </c>
      <c r="AW17" s="229">
        <f ca="1">'Income Statement'!BC21</f>
        <v>-505878.15660602367</v>
      </c>
      <c r="AX17" s="229">
        <f ca="1">'Income Statement'!BD21</f>
        <v>-548268.65459977917</v>
      </c>
      <c r="AY17" s="229">
        <f ca="1">'Income Statement'!BE21</f>
        <v>-555545.52289711719</v>
      </c>
      <c r="AZ17" s="229">
        <f ca="1">'Income Statement'!BF21</f>
        <v>-595128.1112198612</v>
      </c>
      <c r="BA17" s="229">
        <f ca="1">'Income Statement'!BG21</f>
        <v>-641256.66189382691</v>
      </c>
      <c r="BB17" s="229">
        <f ca="1">'Income Statement'!BH21</f>
        <v>-688271.70142991049</v>
      </c>
      <c r="BC17" s="229">
        <f ca="1">'Income Statement'!BI21</f>
        <v>-735587.96540246147</v>
      </c>
      <c r="BD17" s="229">
        <f ca="1">'Income Statement'!BJ21</f>
        <v>-783839.11960664042</v>
      </c>
      <c r="BE17" s="229">
        <f ca="1">'Income Statement'!BK21</f>
        <v>-833145.85444407281</v>
      </c>
      <c r="BF17" s="229">
        <f ca="1">'Income Statement'!BL21</f>
        <v>-882840.86960972706</v>
      </c>
      <c r="BG17" s="229">
        <f ca="1">'Income Statement'!BM21</f>
        <v>-933903.23070934741</v>
      </c>
      <c r="BH17" s="229">
        <f ca="1">'Income Statement'!BN21</f>
        <v>-985712.90323213942</v>
      </c>
      <c r="BI17" s="229">
        <f ca="1">'Income Statement'!BO21</f>
        <v>-1038260.0718562248</v>
      </c>
      <c r="BJ17" s="229">
        <f ca="1">'Income Statement'!BP21</f>
        <v>-1092849.3822622048</v>
      </c>
      <c r="BK17" s="229">
        <f ca="1">'Income Statement'!BQ21</f>
        <v>-1147672.2269815018</v>
      </c>
      <c r="IR17" s="228"/>
    </row>
    <row r="18" spans="1:252">
      <c r="B18" s="230" t="str">
        <f>'Income Statement'!E22</f>
        <v>Retained Earnings this period</v>
      </c>
      <c r="C18" s="231"/>
      <c r="D18" s="232">
        <f ca="1">'Income Statement'!J22</f>
        <v>-46000</v>
      </c>
      <c r="E18" s="232">
        <f ca="1">'Income Statement'!K22</f>
        <v>-54565.051762757437</v>
      </c>
      <c r="F18" s="232">
        <f ca="1">'Income Statement'!L22</f>
        <v>-55870.831437052359</v>
      </c>
      <c r="G18" s="232">
        <f ca="1">'Income Statement'!M22</f>
        <v>-57908.4671930111</v>
      </c>
      <c r="H18" s="232">
        <f ca="1">'Income Statement'!N22</f>
        <v>-59424.944152283344</v>
      </c>
      <c r="I18" s="232">
        <f ca="1">'Income Statement'!O22</f>
        <v>-60979.999882111922</v>
      </c>
      <c r="J18" s="232">
        <f ca="1">'Income Statement'!P22</f>
        <v>-63305.36300263006</v>
      </c>
      <c r="K18" s="232">
        <f ca="1">'Income Statement'!Q22</f>
        <v>74532.421391779746</v>
      </c>
      <c r="L18" s="232">
        <f ca="1">'Income Statement'!R22</f>
        <v>98894.942492405637</v>
      </c>
      <c r="M18" s="232">
        <f ca="1">'Income Statement'!S22</f>
        <v>96689.074330437637</v>
      </c>
      <c r="N18" s="232">
        <f ca="1">'Income Statement'!T22</f>
        <v>73987.854774397871</v>
      </c>
      <c r="O18" s="232">
        <f ca="1">'Income Statement'!U22</f>
        <v>72177.829711064565</v>
      </c>
      <c r="P18" s="232">
        <f ca="1">'Income Statement'!V22</f>
        <v>69816.666666666672</v>
      </c>
      <c r="Q18" s="232">
        <f ca="1">'Income Statement'!W22</f>
        <v>184315.20839591511</v>
      </c>
      <c r="R18" s="232">
        <f ca="1">'Income Statement'!X22</f>
        <v>198368.53002360434</v>
      </c>
      <c r="S18" s="232">
        <f ca="1">'Income Statement'!Y22</f>
        <v>195545.18957746791</v>
      </c>
      <c r="T18" s="232">
        <f ca="1">'Income Statement'!Z22</f>
        <v>193120.52520509996</v>
      </c>
      <c r="U18" s="232">
        <f ca="1">'Income Statement'!AA22</f>
        <v>183342.70828394828</v>
      </c>
      <c r="V18" s="232">
        <f ca="1">'Income Statement'!AB22</f>
        <v>180073.46954007263</v>
      </c>
      <c r="W18" s="232">
        <f ca="1">'Income Statement'!AC22</f>
        <v>317282.41918061848</v>
      </c>
      <c r="X18" s="232">
        <f ca="1">'Income Statement'!AD22</f>
        <v>314198.2675857232</v>
      </c>
      <c r="Y18" s="232">
        <f ca="1">'Income Statement'!AE22</f>
        <v>303100.16734285117</v>
      </c>
      <c r="Z18" s="232">
        <f ca="1">'Income Statement'!AF22</f>
        <v>300001.39154322044</v>
      </c>
      <c r="AA18" s="232">
        <f ca="1">'Income Statement'!AG22</f>
        <v>436373.00982511707</v>
      </c>
      <c r="AB18" s="232">
        <f ca="1">'Income Statement'!AH22</f>
        <v>395685.38245483686</v>
      </c>
      <c r="AC18" s="232">
        <f ca="1">'Income Statement'!AI22</f>
        <v>404575.20901397045</v>
      </c>
      <c r="AD18" s="232">
        <f ca="1">'Income Statement'!AJ22</f>
        <v>406918.17648282752</v>
      </c>
      <c r="AE18" s="232">
        <f ca="1">'Income Statement'!AK22</f>
        <v>556312.3983472368</v>
      </c>
      <c r="AF18" s="232">
        <f ca="1">'Income Statement'!AL22</f>
        <v>566900.08454871038</v>
      </c>
      <c r="AG18" s="232">
        <f ca="1">'Income Statement'!AM22</f>
        <v>571083.11660498986</v>
      </c>
      <c r="AH18" s="232">
        <f ca="1">'Income Statement'!AN22</f>
        <v>722369.53547615046</v>
      </c>
      <c r="AI18" s="232">
        <f ca="1">'Income Statement'!AO22</f>
        <v>735254.11673030816</v>
      </c>
      <c r="AJ18" s="232">
        <f ca="1">'Income Statement'!AP22</f>
        <v>881266.60806877445</v>
      </c>
      <c r="AK18" s="232">
        <f ca="1">'Income Statement'!AQ22</f>
        <v>894803.17027271411</v>
      </c>
      <c r="AL18" s="232">
        <f ca="1">'Income Statement'!AR22</f>
        <v>903488.7655804276</v>
      </c>
      <c r="AM18" s="232">
        <f ca="1">'Income Statement'!AS22</f>
        <v>1059338.6503124055</v>
      </c>
      <c r="AN18" s="232">
        <f ca="1">'Income Statement'!AT22</f>
        <v>1068609.0110361543</v>
      </c>
      <c r="AO18" s="232">
        <f ca="1">'Income Statement'!AU22</f>
        <v>1079042.7494867656</v>
      </c>
      <c r="AP18" s="232">
        <f ca="1">'Income Statement'!AV22</f>
        <v>1238340.3443361453</v>
      </c>
      <c r="AQ18" s="232">
        <f ca="1">'Income Statement'!AW22</f>
        <v>1250393.7523824277</v>
      </c>
      <c r="AR18" s="232">
        <f ca="1">'Income Statement'!AX22</f>
        <v>1404304.1597001124</v>
      </c>
      <c r="AS18" s="232">
        <f ca="1">'Income Statement'!AY22</f>
        <v>1427279.0255699134</v>
      </c>
      <c r="AT18" s="232">
        <f ca="1">'Income Statement'!AZ22</f>
        <v>1583126.2248012514</v>
      </c>
      <c r="AU18" s="232">
        <f ca="1">'Income Statement'!BA22</f>
        <v>1741626.1646004261</v>
      </c>
      <c r="AV18" s="232">
        <f ca="1">'Income Statement'!BB22</f>
        <v>1760930.2970406222</v>
      </c>
      <c r="AW18" s="232">
        <f ca="1">'Income Statement'!BC22</f>
        <v>1921308.2658577617</v>
      </c>
      <c r="AX18" s="232">
        <f ca="1">'Income Statement'!BD22</f>
        <v>2086043.6460808595</v>
      </c>
      <c r="AY18" s="232">
        <f ca="1">'Income Statement'!BE22</f>
        <v>2110459.0029957029</v>
      </c>
      <c r="AZ18" s="232">
        <f ca="1">'Income Statement'!BF22</f>
        <v>2264254.7218575734</v>
      </c>
      <c r="BA18" s="232">
        <f ca="1">'Income Statement'!BG22</f>
        <v>2445052.0197347319</v>
      </c>
      <c r="BB18" s="232">
        <f ca="1">'Income Statement'!BH22</f>
        <v>2629611.8710078513</v>
      </c>
      <c r="BC18" s="232">
        <f ca="1">'Income Statement'!BI22</f>
        <v>2815598.7185904658</v>
      </c>
      <c r="BD18" s="232">
        <f ca="1">'Income Statement'!BJ22</f>
        <v>3005568.3060560739</v>
      </c>
      <c r="BE18" s="232">
        <f ca="1">'Income Statement'!BK22</f>
        <v>3200018.1294390494</v>
      </c>
      <c r="BF18" s="232">
        <f ca="1">'Income Statement'!BL22</f>
        <v>3396285.5373624782</v>
      </c>
      <c r="BG18" s="232">
        <f ca="1">'Income Statement'!BM22</f>
        <v>3598311.8936670306</v>
      </c>
      <c r="BH18" s="232">
        <f ca="1">'Income Statement'!BN22</f>
        <v>3803624.4139530584</v>
      </c>
      <c r="BI18" s="232">
        <f ca="1">'Income Statement'!BO22</f>
        <v>4012213.9819194647</v>
      </c>
      <c r="BJ18" s="232">
        <f ca="1">'Income Statement'!BP22</f>
        <v>4229317.100356604</v>
      </c>
      <c r="BK18" s="232">
        <f ca="1">'Income Statement'!BQ22</f>
        <v>4447684.2592636859</v>
      </c>
      <c r="IR18" s="228"/>
    </row>
    <row r="19" spans="1:252">
      <c r="C19" s="225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  <c r="AA19" s="229"/>
      <c r="AB19" s="229"/>
      <c r="AC19" s="229"/>
      <c r="AD19" s="229"/>
      <c r="AE19" s="229"/>
      <c r="AF19" s="229"/>
      <c r="AG19" s="229"/>
      <c r="AH19" s="229"/>
      <c r="AI19" s="229"/>
      <c r="AJ19" s="229"/>
      <c r="AK19" s="229"/>
      <c r="AL19" s="229"/>
      <c r="AM19" s="229"/>
      <c r="AN19" s="229"/>
      <c r="AO19" s="229"/>
      <c r="AP19" s="229"/>
      <c r="AQ19" s="229"/>
      <c r="AR19" s="229"/>
      <c r="AS19" s="229"/>
      <c r="AT19" s="229"/>
      <c r="AU19" s="229"/>
      <c r="AV19" s="229"/>
      <c r="AW19" s="229"/>
      <c r="AX19" s="229"/>
      <c r="AY19" s="229"/>
      <c r="AZ19" s="229"/>
      <c r="BA19" s="229"/>
      <c r="BB19" s="229"/>
      <c r="BC19" s="229"/>
      <c r="BD19" s="229"/>
      <c r="BE19" s="229"/>
      <c r="BF19" s="229"/>
      <c r="BG19" s="229"/>
      <c r="BH19" s="229"/>
      <c r="BI19" s="229"/>
      <c r="BJ19" s="229"/>
      <c r="BK19" s="229"/>
      <c r="IR19" s="228"/>
    </row>
    <row r="20" spans="1:252" s="227" customFormat="1">
      <c r="A20" s="224"/>
      <c r="B20" s="224"/>
      <c r="C20" s="225"/>
      <c r="D20" s="234"/>
      <c r="E20" s="234"/>
      <c r="F20" s="234"/>
      <c r="G20" s="234"/>
      <c r="H20" s="234"/>
      <c r="I20" s="234"/>
      <c r="J20" s="234"/>
      <c r="K20" s="234"/>
      <c r="L20" s="234"/>
      <c r="M20" s="234"/>
      <c r="N20" s="234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4"/>
      <c r="AI20" s="234"/>
      <c r="AJ20" s="234"/>
      <c r="AK20" s="234"/>
      <c r="AL20" s="234"/>
      <c r="AM20" s="234"/>
      <c r="AN20" s="234"/>
      <c r="AO20" s="234"/>
      <c r="AP20" s="234"/>
      <c r="AQ20" s="234"/>
      <c r="AR20" s="234"/>
      <c r="AS20" s="234"/>
      <c r="AT20" s="234"/>
      <c r="AU20" s="234"/>
      <c r="AV20" s="234"/>
      <c r="AW20" s="234"/>
      <c r="AX20" s="234"/>
      <c r="AY20" s="234"/>
      <c r="AZ20" s="234"/>
      <c r="BA20" s="234"/>
      <c r="BB20" s="234"/>
      <c r="BC20" s="234"/>
      <c r="BD20" s="234"/>
      <c r="BE20" s="234"/>
      <c r="BF20" s="234"/>
      <c r="BG20" s="234"/>
      <c r="BH20" s="234"/>
      <c r="BI20" s="234"/>
      <c r="BJ20" s="234"/>
      <c r="BK20" s="234"/>
      <c r="BL20" s="224"/>
      <c r="BM20" s="224"/>
      <c r="BN20" s="224"/>
      <c r="BO20" s="224"/>
      <c r="BP20" s="224"/>
      <c r="BQ20" s="224"/>
      <c r="BR20" s="224"/>
      <c r="BS20" s="224"/>
      <c r="BT20" s="224"/>
      <c r="BU20" s="224"/>
      <c r="BV20" s="224"/>
      <c r="BW20" s="224"/>
      <c r="BX20" s="224"/>
      <c r="BY20" s="224"/>
      <c r="BZ20" s="224"/>
      <c r="CA20" s="224"/>
      <c r="CB20" s="224"/>
      <c r="CC20" s="224"/>
      <c r="CD20" s="224"/>
      <c r="CE20" s="224"/>
      <c r="CF20" s="224"/>
      <c r="CG20" s="224"/>
      <c r="CH20" s="224"/>
      <c r="CI20" s="224"/>
      <c r="CJ20" s="224"/>
      <c r="CK20" s="224"/>
      <c r="CL20" s="224"/>
      <c r="CM20" s="224"/>
      <c r="CN20" s="224"/>
      <c r="CO20" s="224"/>
      <c r="CP20" s="224"/>
      <c r="CQ20" s="224"/>
      <c r="CR20" s="224"/>
      <c r="CS20" s="224"/>
      <c r="CT20" s="224"/>
      <c r="CU20" s="224"/>
      <c r="CV20" s="224"/>
      <c r="CW20" s="224"/>
      <c r="CX20" s="224"/>
      <c r="CY20" s="224"/>
      <c r="CZ20" s="224"/>
      <c r="DA20" s="224"/>
      <c r="DB20" s="224"/>
      <c r="DC20" s="224"/>
      <c r="DD20" s="224"/>
      <c r="DE20" s="224"/>
      <c r="DF20" s="224"/>
      <c r="DG20" s="224"/>
      <c r="DH20" s="224"/>
      <c r="DI20" s="224"/>
      <c r="DJ20" s="224"/>
      <c r="DK20" s="224"/>
      <c r="DL20" s="224"/>
      <c r="DM20" s="224"/>
      <c r="DN20" s="224"/>
      <c r="DO20" s="224"/>
      <c r="DP20" s="224"/>
      <c r="DQ20" s="224"/>
      <c r="DR20" s="224"/>
      <c r="DS20" s="224"/>
      <c r="DT20" s="224"/>
      <c r="DU20" s="224"/>
      <c r="DV20" s="224"/>
      <c r="DW20" s="224"/>
      <c r="DX20" s="224"/>
      <c r="DY20" s="224"/>
      <c r="DZ20" s="224"/>
      <c r="EA20" s="224"/>
      <c r="EB20" s="224"/>
      <c r="EC20" s="224"/>
      <c r="ED20" s="224"/>
      <c r="EE20" s="224"/>
      <c r="EF20" s="224"/>
      <c r="EG20" s="224"/>
      <c r="EH20" s="224"/>
      <c r="EI20" s="224"/>
      <c r="EJ20" s="224"/>
      <c r="EK20" s="224"/>
      <c r="EL20" s="224"/>
      <c r="EM20" s="224"/>
      <c r="EN20" s="224"/>
      <c r="EO20" s="224"/>
      <c r="EP20" s="224"/>
      <c r="EQ20" s="224"/>
      <c r="ER20" s="224"/>
      <c r="ES20" s="224"/>
      <c r="ET20" s="224"/>
      <c r="EU20" s="224"/>
      <c r="EV20" s="224"/>
      <c r="EW20" s="224"/>
      <c r="EX20" s="224"/>
      <c r="EY20" s="224"/>
      <c r="EZ20" s="224"/>
      <c r="FA20" s="224"/>
      <c r="FB20" s="224"/>
      <c r="FC20" s="224"/>
      <c r="FD20" s="224"/>
      <c r="FE20" s="224"/>
      <c r="FF20" s="224"/>
      <c r="FG20" s="224"/>
      <c r="FH20" s="224"/>
      <c r="FI20" s="224"/>
      <c r="FJ20" s="224"/>
      <c r="FK20" s="224"/>
      <c r="FL20" s="224"/>
      <c r="FM20" s="224"/>
      <c r="FN20" s="224"/>
      <c r="FO20" s="224"/>
      <c r="FP20" s="224"/>
      <c r="FQ20" s="224"/>
      <c r="FR20" s="224"/>
      <c r="FS20" s="224"/>
      <c r="FT20" s="224"/>
      <c r="FU20" s="224"/>
      <c r="FV20" s="224"/>
      <c r="FW20" s="224"/>
      <c r="FX20" s="224"/>
      <c r="FY20" s="224"/>
      <c r="FZ20" s="224"/>
      <c r="GA20" s="224"/>
      <c r="GB20" s="224"/>
      <c r="GC20" s="224"/>
      <c r="GD20" s="224"/>
      <c r="GE20" s="224"/>
      <c r="GF20" s="224"/>
      <c r="GG20" s="224"/>
      <c r="GH20" s="224"/>
      <c r="GI20" s="224"/>
      <c r="GJ20" s="224"/>
      <c r="GK20" s="224"/>
      <c r="GL20" s="224"/>
      <c r="GM20" s="224"/>
      <c r="GN20" s="224"/>
      <c r="GO20" s="224"/>
      <c r="GP20" s="224"/>
      <c r="GQ20" s="224"/>
      <c r="GR20" s="224"/>
      <c r="GS20" s="224"/>
      <c r="GT20" s="224"/>
      <c r="GU20" s="224"/>
      <c r="GV20" s="224"/>
      <c r="GW20" s="224"/>
      <c r="GX20" s="224"/>
      <c r="GY20" s="224"/>
      <c r="GZ20" s="224"/>
      <c r="HA20" s="224"/>
      <c r="HB20" s="224"/>
      <c r="HC20" s="224"/>
      <c r="HD20" s="224"/>
      <c r="HE20" s="224"/>
      <c r="HF20" s="224"/>
      <c r="HG20" s="224"/>
      <c r="HH20" s="224"/>
      <c r="HI20" s="224"/>
      <c r="HJ20" s="224"/>
      <c r="HK20" s="224"/>
      <c r="HL20" s="224"/>
      <c r="HM20" s="224"/>
      <c r="HN20" s="224"/>
      <c r="HO20" s="224"/>
      <c r="HP20" s="224"/>
      <c r="HQ20" s="224"/>
      <c r="HR20" s="224"/>
      <c r="HS20" s="224"/>
      <c r="HT20" s="224"/>
      <c r="HU20" s="224"/>
      <c r="HV20" s="224"/>
      <c r="HW20" s="224"/>
      <c r="HX20" s="224"/>
      <c r="HY20" s="224"/>
      <c r="HZ20" s="224"/>
      <c r="IA20" s="224"/>
      <c r="IB20" s="224"/>
      <c r="IC20" s="224"/>
      <c r="ID20" s="224"/>
      <c r="IE20" s="224"/>
      <c r="IF20" s="224"/>
      <c r="IG20" s="224"/>
      <c r="IH20" s="224"/>
      <c r="II20" s="224"/>
      <c r="IJ20" s="224"/>
      <c r="IK20" s="224"/>
      <c r="IL20" s="224"/>
      <c r="IM20" s="224"/>
      <c r="IN20" s="224"/>
      <c r="IO20" s="224"/>
      <c r="IP20" s="224"/>
      <c r="IQ20" s="224"/>
      <c r="IR20" s="224"/>
    </row>
    <row r="21" spans="1:252">
      <c r="A21" s="239"/>
      <c r="B21" s="239" t="s">
        <v>345</v>
      </c>
      <c r="C21" s="225"/>
      <c r="D21" s="240">
        <f t="shared" ref="D21:AI21" si="0">D2</f>
        <v>45077</v>
      </c>
      <c r="E21" s="240">
        <f t="shared" si="0"/>
        <v>45107</v>
      </c>
      <c r="F21" s="240">
        <f t="shared" si="0"/>
        <v>45138</v>
      </c>
      <c r="G21" s="240">
        <f t="shared" si="0"/>
        <v>45169</v>
      </c>
      <c r="H21" s="240">
        <f t="shared" si="0"/>
        <v>45199</v>
      </c>
      <c r="I21" s="240">
        <f t="shared" si="0"/>
        <v>45230</v>
      </c>
      <c r="J21" s="240">
        <f t="shared" si="0"/>
        <v>45260</v>
      </c>
      <c r="K21" s="240">
        <f t="shared" si="0"/>
        <v>45291</v>
      </c>
      <c r="L21" s="240">
        <f t="shared" si="0"/>
        <v>45322</v>
      </c>
      <c r="M21" s="240">
        <f t="shared" si="0"/>
        <v>45351</v>
      </c>
      <c r="N21" s="240">
        <f t="shared" si="0"/>
        <v>45382</v>
      </c>
      <c r="O21" s="240">
        <f t="shared" si="0"/>
        <v>45412</v>
      </c>
      <c r="P21" s="240">
        <f t="shared" si="0"/>
        <v>45443</v>
      </c>
      <c r="Q21" s="240">
        <f t="shared" si="0"/>
        <v>45473</v>
      </c>
      <c r="R21" s="240">
        <f t="shared" si="0"/>
        <v>45504</v>
      </c>
      <c r="S21" s="240">
        <f t="shared" si="0"/>
        <v>45535</v>
      </c>
      <c r="T21" s="240">
        <f t="shared" si="0"/>
        <v>45565</v>
      </c>
      <c r="U21" s="240">
        <f t="shared" si="0"/>
        <v>45596</v>
      </c>
      <c r="V21" s="240">
        <f t="shared" si="0"/>
        <v>45626</v>
      </c>
      <c r="W21" s="240">
        <f t="shared" si="0"/>
        <v>45657</v>
      </c>
      <c r="X21" s="240">
        <f t="shared" si="0"/>
        <v>45688</v>
      </c>
      <c r="Y21" s="240">
        <f t="shared" si="0"/>
        <v>45716</v>
      </c>
      <c r="Z21" s="240">
        <f t="shared" si="0"/>
        <v>45747</v>
      </c>
      <c r="AA21" s="240">
        <f t="shared" si="0"/>
        <v>45777</v>
      </c>
      <c r="AB21" s="240">
        <f t="shared" si="0"/>
        <v>45808</v>
      </c>
      <c r="AC21" s="240">
        <f t="shared" si="0"/>
        <v>45838</v>
      </c>
      <c r="AD21" s="240">
        <f t="shared" si="0"/>
        <v>45869</v>
      </c>
      <c r="AE21" s="240">
        <f t="shared" si="0"/>
        <v>45900</v>
      </c>
      <c r="AF21" s="240">
        <f t="shared" si="0"/>
        <v>45930</v>
      </c>
      <c r="AG21" s="240">
        <f t="shared" si="0"/>
        <v>45961</v>
      </c>
      <c r="AH21" s="240">
        <f t="shared" si="0"/>
        <v>45991</v>
      </c>
      <c r="AI21" s="240">
        <f t="shared" si="0"/>
        <v>46022</v>
      </c>
      <c r="AJ21" s="240">
        <f t="shared" ref="AJ21:BK21" si="1">AJ2</f>
        <v>46053</v>
      </c>
      <c r="AK21" s="240">
        <f t="shared" si="1"/>
        <v>46081</v>
      </c>
      <c r="AL21" s="240">
        <f t="shared" si="1"/>
        <v>46112</v>
      </c>
      <c r="AM21" s="240">
        <f t="shared" si="1"/>
        <v>46142</v>
      </c>
      <c r="AN21" s="240">
        <f t="shared" si="1"/>
        <v>46173</v>
      </c>
      <c r="AO21" s="240">
        <f t="shared" si="1"/>
        <v>46203</v>
      </c>
      <c r="AP21" s="240">
        <f t="shared" si="1"/>
        <v>46234</v>
      </c>
      <c r="AQ21" s="240">
        <f t="shared" si="1"/>
        <v>46265</v>
      </c>
      <c r="AR21" s="240">
        <f t="shared" si="1"/>
        <v>46295</v>
      </c>
      <c r="AS21" s="240">
        <f t="shared" si="1"/>
        <v>46326</v>
      </c>
      <c r="AT21" s="240">
        <f t="shared" si="1"/>
        <v>46356</v>
      </c>
      <c r="AU21" s="240">
        <f t="shared" si="1"/>
        <v>46387</v>
      </c>
      <c r="AV21" s="240">
        <f t="shared" si="1"/>
        <v>46418</v>
      </c>
      <c r="AW21" s="240">
        <f t="shared" si="1"/>
        <v>46446</v>
      </c>
      <c r="AX21" s="240">
        <f t="shared" si="1"/>
        <v>46477</v>
      </c>
      <c r="AY21" s="240">
        <f t="shared" si="1"/>
        <v>46507</v>
      </c>
      <c r="AZ21" s="240">
        <f t="shared" si="1"/>
        <v>46538</v>
      </c>
      <c r="BA21" s="240">
        <f t="shared" si="1"/>
        <v>46568</v>
      </c>
      <c r="BB21" s="240">
        <f t="shared" si="1"/>
        <v>46599</v>
      </c>
      <c r="BC21" s="240">
        <f t="shared" si="1"/>
        <v>46630</v>
      </c>
      <c r="BD21" s="240">
        <f t="shared" si="1"/>
        <v>46660</v>
      </c>
      <c r="BE21" s="240">
        <f t="shared" si="1"/>
        <v>46691</v>
      </c>
      <c r="BF21" s="240">
        <f t="shared" si="1"/>
        <v>46721</v>
      </c>
      <c r="BG21" s="240">
        <f t="shared" si="1"/>
        <v>46752</v>
      </c>
      <c r="BH21" s="240">
        <f t="shared" si="1"/>
        <v>46783</v>
      </c>
      <c r="BI21" s="240">
        <f t="shared" si="1"/>
        <v>46812</v>
      </c>
      <c r="BJ21" s="240">
        <f t="shared" si="1"/>
        <v>46843</v>
      </c>
      <c r="BK21" s="240">
        <f t="shared" si="1"/>
        <v>46873</v>
      </c>
      <c r="BL21" s="239"/>
      <c r="BM21" s="239"/>
      <c r="BN21" s="239"/>
      <c r="BO21" s="239"/>
      <c r="BP21" s="239"/>
      <c r="BQ21" s="239"/>
      <c r="BR21" s="239"/>
      <c r="BS21" s="239"/>
      <c r="BT21" s="239"/>
      <c r="BU21" s="239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39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C21" s="239"/>
      <c r="DD21" s="239"/>
      <c r="DE21" s="239"/>
      <c r="DF21" s="239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39"/>
      <c r="DY21" s="239"/>
      <c r="DZ21" s="239"/>
      <c r="EA21" s="239"/>
      <c r="EB21" s="239"/>
      <c r="EC21" s="239"/>
      <c r="ED21" s="239"/>
      <c r="EE21" s="239"/>
      <c r="EF21" s="239"/>
      <c r="EG21" s="239"/>
      <c r="EH21" s="239"/>
      <c r="EI21" s="239"/>
      <c r="EJ21" s="239"/>
      <c r="EK21" s="239"/>
      <c r="EL21" s="239"/>
      <c r="EM21" s="239"/>
      <c r="EN21" s="239"/>
      <c r="EO21" s="239"/>
      <c r="EP21" s="239"/>
      <c r="EQ21" s="239"/>
      <c r="ER21" s="239"/>
      <c r="ES21" s="239"/>
      <c r="ET21" s="239"/>
      <c r="EU21" s="239"/>
      <c r="EV21" s="239"/>
      <c r="EW21" s="239"/>
      <c r="EX21" s="239"/>
      <c r="EY21" s="239"/>
      <c r="EZ21" s="239"/>
      <c r="FA21" s="239"/>
      <c r="FB21" s="239"/>
      <c r="FC21" s="239"/>
      <c r="FD21" s="239"/>
      <c r="FE21" s="239"/>
      <c r="FF21" s="239"/>
      <c r="FG21" s="239"/>
      <c r="FH21" s="239"/>
      <c r="FI21" s="239"/>
      <c r="FJ21" s="239"/>
      <c r="FK21" s="239"/>
      <c r="FL21" s="239"/>
      <c r="FM21" s="239"/>
      <c r="FN21" s="239"/>
      <c r="FO21" s="239"/>
      <c r="FP21" s="239"/>
      <c r="FQ21" s="239"/>
      <c r="FR21" s="239"/>
      <c r="FS21" s="239"/>
      <c r="FT21" s="239"/>
      <c r="FU21" s="239"/>
      <c r="FV21" s="239"/>
      <c r="FW21" s="239"/>
      <c r="FX21" s="239"/>
      <c r="FY21" s="239"/>
      <c r="FZ21" s="239"/>
      <c r="GA21" s="239"/>
      <c r="GB21" s="239"/>
      <c r="GC21" s="239"/>
      <c r="GD21" s="239"/>
      <c r="GE21" s="239"/>
      <c r="GF21" s="239"/>
      <c r="GG21" s="239"/>
      <c r="GH21" s="239"/>
      <c r="GI21" s="239"/>
      <c r="GJ21" s="239"/>
      <c r="GK21" s="239"/>
      <c r="GL21" s="239"/>
      <c r="GM21" s="239"/>
      <c r="GN21" s="239"/>
      <c r="GO21" s="239"/>
      <c r="GP21" s="239"/>
      <c r="GQ21" s="239"/>
      <c r="GR21" s="239"/>
      <c r="GS21" s="239"/>
      <c r="GT21" s="239"/>
      <c r="GU21" s="239"/>
      <c r="GV21" s="239"/>
      <c r="GW21" s="239"/>
      <c r="GX21" s="239"/>
      <c r="GY21" s="239"/>
      <c r="GZ21" s="239"/>
      <c r="HA21" s="239"/>
      <c r="HB21" s="239"/>
      <c r="HC21" s="239"/>
      <c r="HD21" s="239"/>
      <c r="HE21" s="239"/>
      <c r="HF21" s="239"/>
      <c r="HG21" s="239"/>
      <c r="HH21" s="239"/>
      <c r="HI21" s="239"/>
      <c r="HJ21" s="239"/>
      <c r="HK21" s="239"/>
      <c r="HL21" s="239"/>
      <c r="HM21" s="239"/>
      <c r="HN21" s="239"/>
      <c r="HO21" s="239"/>
      <c r="HP21" s="239"/>
      <c r="HQ21" s="239"/>
      <c r="HR21" s="239"/>
      <c r="HS21" s="239"/>
      <c r="HT21" s="239"/>
      <c r="HU21" s="239"/>
      <c r="HV21" s="239"/>
      <c r="HW21" s="239"/>
      <c r="HX21" s="239"/>
      <c r="HY21" s="239"/>
      <c r="HZ21" s="239"/>
      <c r="IA21" s="239"/>
      <c r="IB21" s="239"/>
      <c r="IC21" s="239"/>
      <c r="ID21" s="239"/>
      <c r="IE21" s="239"/>
      <c r="IF21" s="239"/>
      <c r="IG21" s="239"/>
      <c r="IH21" s="239"/>
      <c r="II21" s="239"/>
      <c r="IJ21" s="239"/>
      <c r="IK21" s="239"/>
      <c r="IL21" s="239"/>
      <c r="IM21" s="239"/>
      <c r="IN21" s="239"/>
      <c r="IO21" s="239"/>
      <c r="IP21" s="239"/>
      <c r="IQ21" s="239"/>
      <c r="IR21" s="239"/>
    </row>
    <row r="22" spans="1:252">
      <c r="C22" s="225"/>
      <c r="D22" s="229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  <c r="AA22" s="229"/>
      <c r="AB22" s="229"/>
      <c r="AC22" s="229"/>
      <c r="AD22" s="229"/>
      <c r="AE22" s="229"/>
      <c r="AF22" s="229"/>
      <c r="AG22" s="229"/>
      <c r="AH22" s="229"/>
      <c r="AI22" s="229"/>
      <c r="AJ22" s="229"/>
      <c r="AK22" s="229"/>
      <c r="AL22" s="229"/>
      <c r="AM22" s="229"/>
      <c r="AN22" s="229"/>
      <c r="AO22" s="229"/>
      <c r="AP22" s="229"/>
      <c r="AQ22" s="229"/>
      <c r="AR22" s="229"/>
      <c r="AS22" s="229"/>
      <c r="AT22" s="229"/>
      <c r="AU22" s="229"/>
      <c r="AV22" s="229"/>
      <c r="AW22" s="229"/>
      <c r="AX22" s="229"/>
      <c r="AY22" s="229"/>
      <c r="AZ22" s="229"/>
      <c r="BA22" s="229"/>
      <c r="BB22" s="229"/>
      <c r="BC22" s="229"/>
      <c r="BD22" s="229"/>
      <c r="BE22" s="229"/>
      <c r="BF22" s="229"/>
      <c r="BG22" s="229"/>
      <c r="BH22" s="229"/>
      <c r="BI22" s="229"/>
      <c r="BJ22" s="229"/>
      <c r="BK22" s="229"/>
      <c r="IR22" s="228"/>
    </row>
    <row r="23" spans="1:252">
      <c r="B23" s="228" t="str">
        <f>'Balance Sheet'!E8</f>
        <v>Inventory</v>
      </c>
      <c r="C23" s="225"/>
      <c r="D23" s="229">
        <f ca="1">'Balance Sheet'!J8</f>
        <v>175000</v>
      </c>
      <c r="E23" s="229">
        <f ca="1">'Balance Sheet'!K8</f>
        <v>175000</v>
      </c>
      <c r="F23" s="229">
        <f ca="1">'Balance Sheet'!L8</f>
        <v>175000</v>
      </c>
      <c r="G23" s="229">
        <f ca="1">'Balance Sheet'!M8</f>
        <v>175000</v>
      </c>
      <c r="H23" s="229">
        <f ca="1">'Balance Sheet'!N8</f>
        <v>175000</v>
      </c>
      <c r="I23" s="229">
        <f ca="1">'Balance Sheet'!O8</f>
        <v>175000</v>
      </c>
      <c r="J23" s="229">
        <f ca="1">'Balance Sheet'!P8</f>
        <v>350000</v>
      </c>
      <c r="K23" s="229">
        <f ca="1">'Balance Sheet'!Q8</f>
        <v>350000</v>
      </c>
      <c r="L23" s="229">
        <f ca="1">'Balance Sheet'!R8</f>
        <v>350000</v>
      </c>
      <c r="M23" s="229">
        <f ca="1">'Balance Sheet'!S8</f>
        <v>350000</v>
      </c>
      <c r="N23" s="229">
        <f ca="1">'Balance Sheet'!T8</f>
        <v>350000</v>
      </c>
      <c r="O23" s="229">
        <f ca="1">'Balance Sheet'!U8</f>
        <v>350000</v>
      </c>
      <c r="P23" s="229">
        <f ca="1">'Balance Sheet'!V8</f>
        <v>525000</v>
      </c>
      <c r="Q23" s="229">
        <f ca="1">'Balance Sheet'!W8</f>
        <v>525000</v>
      </c>
      <c r="R23" s="229">
        <f ca="1">'Balance Sheet'!X8</f>
        <v>525000</v>
      </c>
      <c r="S23" s="229">
        <f ca="1">'Balance Sheet'!Y8</f>
        <v>525000</v>
      </c>
      <c r="T23" s="229">
        <f ca="1">'Balance Sheet'!Z8</f>
        <v>700000</v>
      </c>
      <c r="U23" s="229">
        <f ca="1">'Balance Sheet'!AA8</f>
        <v>700000</v>
      </c>
      <c r="V23" s="229">
        <f ca="1">'Balance Sheet'!AB8</f>
        <v>700000</v>
      </c>
      <c r="W23" s="229">
        <f ca="1">'Balance Sheet'!AC8</f>
        <v>700000</v>
      </c>
      <c r="X23" s="229">
        <f ca="1">'Balance Sheet'!AD8</f>
        <v>875000</v>
      </c>
      <c r="Y23" s="229">
        <f ca="1">'Balance Sheet'!AE8</f>
        <v>875000</v>
      </c>
      <c r="Z23" s="229">
        <f ca="1">'Balance Sheet'!AF8</f>
        <v>875000</v>
      </c>
      <c r="AA23" s="229">
        <f ca="1">'Balance Sheet'!AG8</f>
        <v>1050000</v>
      </c>
      <c r="AB23" s="229">
        <f ca="1">'Balance Sheet'!AH8</f>
        <v>1032500</v>
      </c>
      <c r="AC23" s="229">
        <f ca="1">'Balance Sheet'!AI8</f>
        <v>1188938.8457532576</v>
      </c>
      <c r="AD23" s="229">
        <f ca="1">'Balance Sheet'!AJ8</f>
        <v>1169289.5417779363</v>
      </c>
      <c r="AE23" s="229">
        <f ca="1">'Balance Sheet'!AK8</f>
        <v>1148448.7553821038</v>
      </c>
      <c r="AF23" s="229">
        <f ca="1">'Balance Sheet'!AL8</f>
        <v>1301344.2381868779</v>
      </c>
      <c r="AG23" s="229">
        <f ca="1">'Balance Sheet'!AM8</f>
        <v>1277943.8412167949</v>
      </c>
      <c r="AH23" s="229">
        <f ca="1">'Balance Sheet'!AN8</f>
        <v>1253124.5053541255</v>
      </c>
      <c r="AI23" s="229">
        <f ca="1">'Balance Sheet'!AO8</f>
        <v>1401850.133170791</v>
      </c>
      <c r="AJ23" s="229">
        <f ca="1">'Balance Sheet'!AP8</f>
        <v>1373982.551751866</v>
      </c>
      <c r="AK23" s="229">
        <f ca="1">'Balance Sheet'!AQ8</f>
        <v>1519425.1530547051</v>
      </c>
      <c r="AL23" s="229">
        <f ca="1">'Balance Sheet'!AR8</f>
        <v>1488243.6979197932</v>
      </c>
      <c r="AM23" s="229">
        <f ca="1">'Balance Sheet'!AS8</f>
        <v>1630176.8000105759</v>
      </c>
      <c r="AN23" s="229">
        <f ca="1">'Balance Sheet'!AT8</f>
        <v>1770176.8000105759</v>
      </c>
      <c r="AO23" s="229">
        <f ca="1">'Balance Sheet'!AU8</f>
        <v>1733022.2670984673</v>
      </c>
      <c r="AP23" s="229">
        <f ca="1">'Balance Sheet'!AV8</f>
        <v>1868692.6108730552</v>
      </c>
      <c r="AQ23" s="229">
        <f ca="1">'Balance Sheet'!AW8</f>
        <v>2001981.4664027584</v>
      </c>
      <c r="AR23" s="229">
        <f ca="1">'Balance Sheet'!AX8</f>
        <v>1957744.6298779114</v>
      </c>
      <c r="AS23" s="229">
        <f ca="1">'Balance Sheet'!AY8</f>
        <v>2085918.0535046426</v>
      </c>
      <c r="AT23" s="229">
        <f ca="1">'Balance Sheet'!AZ8</f>
        <v>2211256.0355871608</v>
      </c>
      <c r="AU23" s="229">
        <f ca="1">'Balance Sheet'!BA8</f>
        <v>2333686.6735452479</v>
      </c>
      <c r="AV23" s="229">
        <f ca="1">'Balance Sheet'!BB8</f>
        <v>2452904.6535919858</v>
      </c>
      <c r="AW23" s="229">
        <f ca="1">'Balance Sheet'!BC8</f>
        <v>2568743.3356381566</v>
      </c>
      <c r="AX23" s="229">
        <f ca="1">'Balance Sheet'!BD8</f>
        <v>2681354.1262263786</v>
      </c>
      <c r="AY23" s="229">
        <f ca="1">'Balance Sheet'!BE8</f>
        <v>2790185.3525249097</v>
      </c>
      <c r="AZ23" s="229">
        <f ca="1">'Balance Sheet'!BF8</f>
        <v>2879391.0681738076</v>
      </c>
      <c r="BA23" s="229">
        <f ca="1">'Balance Sheet'!BG8</f>
        <v>2963398.4330829773</v>
      </c>
      <c r="BB23" s="229">
        <f ca="1">'Balance Sheet'!BH8</f>
        <v>3042075.4324651109</v>
      </c>
      <c r="BC23" s="229">
        <f ca="1">'Balance Sheet'!BI8</f>
        <v>3114916.1368917003</v>
      </c>
      <c r="BD23" s="229">
        <f ca="1">'Balance Sheet'!BJ8</f>
        <v>3181566.9200938065</v>
      </c>
      <c r="BE23" s="229">
        <f ca="1">'Balance Sheet'!BK8</f>
        <v>3241870.5858342983</v>
      </c>
      <c r="BF23" s="229">
        <f ca="1">'Balance Sheet'!BL8</f>
        <v>3295224.7000886113</v>
      </c>
      <c r="BG23" s="229">
        <f ca="1">'Balance Sheet'!BM8</f>
        <v>3341452.7754119621</v>
      </c>
      <c r="BH23" s="229">
        <f ca="1">'Balance Sheet'!BN8</f>
        <v>3379831.3321304158</v>
      </c>
      <c r="BI23" s="229">
        <f ca="1">'Balance Sheet'!BO8</f>
        <v>3409930.2886131695</v>
      </c>
      <c r="BJ23" s="229">
        <f ca="1">'Balance Sheet'!BP8</f>
        <v>3432111.5678957189</v>
      </c>
      <c r="BK23" s="229">
        <f ca="1">'Balance Sheet'!BQ8</f>
        <v>3445036.4383722316</v>
      </c>
      <c r="IR23" s="228"/>
    </row>
    <row r="24" spans="1:252">
      <c r="B24" s="228" t="str">
        <f>'Balance Sheet'!E9</f>
        <v xml:space="preserve">Depreciation </v>
      </c>
      <c r="C24" s="225"/>
      <c r="D24" s="229">
        <f ca="1">'Balance Sheet'!J9</f>
        <v>0</v>
      </c>
      <c r="E24" s="229">
        <f ca="1">'Balance Sheet'!K9</f>
        <v>-7291.666666666667</v>
      </c>
      <c r="F24" s="229">
        <f ca="1">'Balance Sheet'!L9</f>
        <v>-14583.333333333334</v>
      </c>
      <c r="G24" s="229">
        <f ca="1">'Balance Sheet'!M9</f>
        <v>-21875</v>
      </c>
      <c r="H24" s="229">
        <f ca="1">'Balance Sheet'!N9</f>
        <v>-29166.666666666668</v>
      </c>
      <c r="I24" s="229">
        <f ca="1">'Balance Sheet'!O9</f>
        <v>-36458.333333333336</v>
      </c>
      <c r="J24" s="229">
        <f ca="1">'Balance Sheet'!P9</f>
        <v>-43750</v>
      </c>
      <c r="K24" s="229">
        <f ca="1">'Balance Sheet'!Q9</f>
        <v>-58333.333333333336</v>
      </c>
      <c r="L24" s="229">
        <f ca="1">'Balance Sheet'!R9</f>
        <v>-72916.666666666672</v>
      </c>
      <c r="M24" s="229">
        <f ca="1">'Balance Sheet'!S9</f>
        <v>-87500</v>
      </c>
      <c r="N24" s="229">
        <f ca="1">'Balance Sheet'!T9</f>
        <v>-102083.33333333333</v>
      </c>
      <c r="O24" s="229">
        <f ca="1">'Balance Sheet'!U9</f>
        <v>-116666.66666666666</v>
      </c>
      <c r="P24" s="229">
        <f ca="1">'Balance Sheet'!V9</f>
        <v>-131250</v>
      </c>
      <c r="Q24" s="229">
        <f ca="1">'Balance Sheet'!W9</f>
        <v>-153125</v>
      </c>
      <c r="R24" s="229">
        <f ca="1">'Balance Sheet'!X9</f>
        <v>-175000</v>
      </c>
      <c r="S24" s="229">
        <f ca="1">'Balance Sheet'!Y9</f>
        <v>-196875</v>
      </c>
      <c r="T24" s="229">
        <f ca="1">'Balance Sheet'!Z9</f>
        <v>-218750</v>
      </c>
      <c r="U24" s="229">
        <f ca="1">'Balance Sheet'!AA9</f>
        <v>-247916.66666666666</v>
      </c>
      <c r="V24" s="229">
        <f ca="1">'Balance Sheet'!AB9</f>
        <v>-277083.33333333331</v>
      </c>
      <c r="W24" s="229">
        <f ca="1">'Balance Sheet'!AC9</f>
        <v>-306250</v>
      </c>
      <c r="X24" s="229">
        <f ca="1">'Balance Sheet'!AD9</f>
        <v>-335416.66666666669</v>
      </c>
      <c r="Y24" s="229">
        <f ca="1">'Balance Sheet'!AE9</f>
        <v>-371875</v>
      </c>
      <c r="Z24" s="229">
        <f ca="1">'Balance Sheet'!AF9</f>
        <v>-408333.33333333331</v>
      </c>
      <c r="AA24" s="229">
        <f ca="1">'Balance Sheet'!AG9</f>
        <v>-444791.66666666663</v>
      </c>
      <c r="AB24" s="229">
        <f ca="1">'Balance Sheet'!AH9</f>
        <v>-471041.66666666663</v>
      </c>
      <c r="AC24" s="229">
        <f ca="1">'Balance Sheet'!AI9</f>
        <v>-495501.34575325763</v>
      </c>
      <c r="AD24" s="229">
        <f ca="1">'Balance Sheet'!AJ9</f>
        <v>-525391.16035098862</v>
      </c>
      <c r="AE24" s="229">
        <f ca="1">'Balance Sheet'!AK9</f>
        <v>-553270.77152923681</v>
      </c>
      <c r="AF24" s="229">
        <f ca="1">'Balance Sheet'!AL9</f>
        <v>-579018.28580826521</v>
      </c>
      <c r="AG24" s="229">
        <f ca="1">'Balance Sheet'!AM9</f>
        <v>-609840.56542930205</v>
      </c>
      <c r="AH24" s="229">
        <f ca="1">'Balance Sheet'!AN9</f>
        <v>-638268.88961733249</v>
      </c>
      <c r="AI24" s="229">
        <f ca="1">'Balance Sheet'!AO9</f>
        <v>-664208.03849041997</v>
      </c>
      <c r="AJ24" s="229">
        <f ca="1">'Balance Sheet'!AP9</f>
        <v>-694750.87928694463</v>
      </c>
      <c r="AK24" s="229">
        <f ca="1">'Balance Sheet'!AQ9</f>
        <v>-722442.75357944483</v>
      </c>
      <c r="AL24" s="229">
        <f ca="1">'Balance Sheet'!AR9</f>
        <v>-754570.67982181231</v>
      </c>
      <c r="AM24" s="229">
        <f ca="1">'Balance Sheet'!AS9</f>
        <v>-783513.93599258631</v>
      </c>
      <c r="AN24" s="229">
        <f ca="1">'Balance Sheet'!AT9</f>
        <v>-816437.96932636027</v>
      </c>
      <c r="AO24" s="229">
        <f ca="1">'Balance Sheet'!AU9</f>
        <v>-853040.80308135902</v>
      </c>
      <c r="AP24" s="229">
        <f ca="1">'Balance Sheet'!AV9</f>
        <v>-885920.40798504965</v>
      </c>
      <c r="AQ24" s="229">
        <f ca="1">'Balance Sheet'!AW9</f>
        <v>-922071.45563446335</v>
      </c>
      <c r="AR24" s="229">
        <f ca="1">'Balance Sheet'!AX9</f>
        <v>-961250.51354306482</v>
      </c>
      <c r="AS24" s="229">
        <f ca="1">'Balance Sheet'!AY9</f>
        <v>-995996.63008137571</v>
      </c>
      <c r="AT24" s="229">
        <f ca="1">'Balance Sheet'!AZ9</f>
        <v>-1033247.8643932543</v>
      </c>
      <c r="AU24" s="229">
        <f ca="1">'Balance Sheet'!BA9</f>
        <v>-1072814.1705008063</v>
      </c>
      <c r="AV24" s="229">
        <f ca="1">'Balance Sheet'!BB9</f>
        <v>-1114269.0952785963</v>
      </c>
      <c r="AW24" s="229">
        <f ca="1">'Balance Sheet'!BC9</f>
        <v>-1157312.1378910998</v>
      </c>
      <c r="AX24" s="229">
        <f ca="1">'Balance Sheet'!BD9</f>
        <v>-1201953.9007975785</v>
      </c>
      <c r="AY24" s="229">
        <f ca="1">'Balance Sheet'!BE9</f>
        <v>-1247508.2156888754</v>
      </c>
      <c r="AZ24" s="229">
        <f ca="1">'Balance Sheet'!BF9</f>
        <v>-1277971.6543596443</v>
      </c>
      <c r="BA24" s="229">
        <f ca="1">'Balance Sheet'!BG9</f>
        <v>-1306953.6471093891</v>
      </c>
      <c r="BB24" s="229">
        <f ca="1">'Balance Sheet'!BH9</f>
        <v>-1334105.5812033135</v>
      </c>
      <c r="BC24" s="229">
        <f ca="1">'Balance Sheet'!BI9</f>
        <v>-1358699.4286492828</v>
      </c>
      <c r="BD24" s="229">
        <f ca="1">'Balance Sheet'!BJ9</f>
        <v>-1380138.3842218767</v>
      </c>
      <c r="BE24" s="229">
        <f ca="1">'Balance Sheet'!BK9</f>
        <v>-1398007.3382996104</v>
      </c>
      <c r="BF24" s="229">
        <f ca="1">'Balance Sheet'!BL9</f>
        <v>-1411439.3936303528</v>
      </c>
      <c r="BG24" s="229">
        <f ca="1">'Balance Sheet'!BM9</f>
        <v>-1419968.4981240625</v>
      </c>
      <c r="BH24" s="229">
        <f ca="1">'Balance Sheet'!BN9</f>
        <v>-1422574.2538180149</v>
      </c>
      <c r="BI24" s="229">
        <f ca="1">'Balance Sheet'!BO9</f>
        <v>-1418499.5158062028</v>
      </c>
      <c r="BJ24" s="229">
        <f ca="1">'Balance Sheet'!BP9</f>
        <v>-1407761.2237809673</v>
      </c>
      <c r="BK24" s="229">
        <f ca="1">'Balance Sheet'!BQ9</f>
        <v>-1388690.7429198015</v>
      </c>
      <c r="IR24" s="228"/>
    </row>
    <row r="25" spans="1:252" s="233" customFormat="1">
      <c r="A25" s="228"/>
      <c r="B25" s="228" t="str">
        <f>'Balance Sheet'!E10</f>
        <v>Debtors</v>
      </c>
      <c r="C25" s="225"/>
      <c r="D25" s="229">
        <f ca="1">'Balance Sheet'!J10</f>
        <v>0</v>
      </c>
      <c r="E25" s="229">
        <f ca="1">'Balance Sheet'!K10</f>
        <v>0</v>
      </c>
      <c r="F25" s="229">
        <f ca="1">'Balance Sheet'!L10</f>
        <v>0</v>
      </c>
      <c r="G25" s="229">
        <f ca="1">'Balance Sheet'!M10</f>
        <v>0</v>
      </c>
      <c r="H25" s="229">
        <f ca="1">'Balance Sheet'!N10</f>
        <v>0</v>
      </c>
      <c r="I25" s="229">
        <f ca="1">'Balance Sheet'!O10</f>
        <v>0</v>
      </c>
      <c r="J25" s="229">
        <f ca="1">'Balance Sheet'!P10</f>
        <v>0</v>
      </c>
      <c r="K25" s="229">
        <f ca="1">'Balance Sheet'!Q10</f>
        <v>2115007.122900594</v>
      </c>
      <c r="L25" s="229">
        <f ca="1">'Balance Sheet'!R10</f>
        <v>2493358.0823406102</v>
      </c>
      <c r="M25" s="229">
        <f ca="1">'Balance Sheet'!S10</f>
        <v>404992.87709940551</v>
      </c>
      <c r="N25" s="229">
        <f ca="1">'Balance Sheet'!T10</f>
        <v>26641.917659388972</v>
      </c>
      <c r="O25" s="229">
        <f ca="1">'Balance Sheet'!U10</f>
        <v>-3.8562575355172157E-10</v>
      </c>
      <c r="P25" s="229">
        <f ca="1">'Balance Sheet'!V10</f>
        <v>-3.8562575355172157E-10</v>
      </c>
      <c r="Q25" s="229">
        <f ca="1">'Balance Sheet'!W10</f>
        <v>2229454.0798477088</v>
      </c>
      <c r="R25" s="229">
        <f ca="1">'Balance Sheet'!X10</f>
        <v>2519999.9999999995</v>
      </c>
      <c r="S25" s="229">
        <f ca="1">'Balance Sheet'!Y10</f>
        <v>290545.92015229026</v>
      </c>
      <c r="T25" s="229">
        <f ca="1">'Balance Sheet'!Z10</f>
        <v>-6.9849193096160889E-10</v>
      </c>
      <c r="U25" s="229">
        <f ca="1">'Balance Sheet'!AA10</f>
        <v>-6.9849193096160889E-10</v>
      </c>
      <c r="V25" s="229">
        <f ca="1">'Balance Sheet'!AB10</f>
        <v>-6.9849193096160889E-10</v>
      </c>
      <c r="W25" s="229">
        <f ca="1">'Balance Sheet'!AC10</f>
        <v>4635007.1229005931</v>
      </c>
      <c r="X25" s="229">
        <f ca="1">'Balance Sheet'!AD10</f>
        <v>5013358.0823406093</v>
      </c>
      <c r="Y25" s="229">
        <f ca="1">'Balance Sheet'!AE10</f>
        <v>404992.87709940411</v>
      </c>
      <c r="Z25" s="229">
        <f ca="1">'Balance Sheet'!AF10</f>
        <v>26641.917659387575</v>
      </c>
      <c r="AA25" s="229">
        <f ca="1">'Balance Sheet'!AG10</f>
        <v>2519999.9999999981</v>
      </c>
      <c r="AB25" s="229">
        <f ca="1">'Balance Sheet'!AH10</f>
        <v>2519999.9999999981</v>
      </c>
      <c r="AC25" s="229">
        <f ca="1">'Balance Sheet'!AI10</f>
        <v>2733454.0798477074</v>
      </c>
      <c r="AD25" s="229">
        <f ca="1">'Balance Sheet'!AJ10</f>
        <v>3558561.242306177</v>
      </c>
      <c r="AE25" s="229">
        <f ca="1">'Balance Sheet'!AK10</f>
        <v>3911007.1169477245</v>
      </c>
      <c r="AF25" s="229">
        <f ca="1">'Balance Sheet'!AL10</f>
        <v>3686114.6026892285</v>
      </c>
      <c r="AG25" s="229">
        <f ca="1">'Balance Sheet'!AM10</f>
        <v>1236824.7434224789</v>
      </c>
      <c r="AH25" s="229">
        <f ca="1">'Balance Sheet'!AN10</f>
        <v>3830541.5279608979</v>
      </c>
      <c r="AI25" s="229">
        <f ca="1">'Balance Sheet'!AO10</f>
        <v>6428728.3055832684</v>
      </c>
      <c r="AJ25" s="229">
        <f ca="1">'Balance Sheet'!AP10</f>
        <v>6511498.7917249072</v>
      </c>
      <c r="AK25" s="229">
        <f ca="1">'Balance Sheet'!AQ10</f>
        <v>4079288.2637450681</v>
      </c>
      <c r="AL25" s="229">
        <f ca="1">'Balance Sheet'!AR10</f>
        <v>1653839.4273432689</v>
      </c>
      <c r="AM25" s="229">
        <f ca="1">'Balance Sheet'!AS10</f>
        <v>6789278.990363691</v>
      </c>
      <c r="AN25" s="229">
        <f ca="1">'Balance Sheet'!AT10</f>
        <v>6890352.5676709171</v>
      </c>
      <c r="AO25" s="229">
        <f ca="1">'Balance Sheet'!AU10</f>
        <v>2464326.659785456</v>
      </c>
      <c r="AP25" s="229">
        <f ca="1">'Balance Sheet'!AV10</f>
        <v>5636611.7901749006</v>
      </c>
      <c r="AQ25" s="229">
        <f ca="1">'Balance Sheet'!AW10</f>
        <v>8343205.8439560272</v>
      </c>
      <c r="AR25" s="229">
        <f ca="1">'Balance Sheet'!AX10</f>
        <v>8540089.662725646</v>
      </c>
      <c r="AS25" s="229">
        <f ca="1">'Balance Sheet'!AY10</f>
        <v>6232126.5960826166</v>
      </c>
      <c r="AT25" s="229">
        <f ca="1">'Balance Sheet'!AZ10</f>
        <v>8973167.8194266241</v>
      </c>
      <c r="AU25" s="229">
        <f ca="1">'Balance Sheet'!BA10</f>
        <v>11727599.821156874</v>
      </c>
      <c r="AV25" s="229">
        <f ca="1">'Balance Sheet'!BB10</f>
        <v>9455762.534555465</v>
      </c>
      <c r="AW25" s="229">
        <f ca="1">'Balance Sheet'!BC10</f>
        <v>9719808.0652061068</v>
      </c>
      <c r="AX25" s="229">
        <f ca="1">'Balance Sheet'!BD10</f>
        <v>10004207.559067499</v>
      </c>
      <c r="AY25" s="229">
        <f ca="1">'Balance Sheet'!BE10</f>
        <v>10289934.178493176</v>
      </c>
      <c r="AZ25" s="229">
        <f ca="1">'Balance Sheet'!BF10</f>
        <v>10592822.481332425</v>
      </c>
      <c r="BA25" s="229">
        <f ca="1">'Balance Sheet'!BG10</f>
        <v>11376862.731699504</v>
      </c>
      <c r="BB25" s="229">
        <f ca="1">'Balance Sheet'!BH10</f>
        <v>14729513.827796381</v>
      </c>
      <c r="BC25" s="229">
        <f ca="1">'Balance Sheet'!BI10</f>
        <v>15157434.955571054</v>
      </c>
      <c r="BD25" s="229">
        <f ca="1">'Balance Sheet'!BJ10</f>
        <v>15610265.190345185</v>
      </c>
      <c r="BE25" s="229">
        <f ca="1">'Balance Sheet'!BK10</f>
        <v>16097947.008953694</v>
      </c>
      <c r="BF25" s="229">
        <f ca="1">'Balance Sheet'!BL10</f>
        <v>16606338.161918899</v>
      </c>
      <c r="BG25" s="229">
        <f ca="1">'Balance Sheet'!BM10</f>
        <v>19665527.451723222</v>
      </c>
      <c r="BH25" s="229">
        <f ca="1">'Balance Sheet'!BN10</f>
        <v>17716296.682993829</v>
      </c>
      <c r="BI25" s="229">
        <f ca="1">'Balance Sheet'!BO10</f>
        <v>18323848.798657052</v>
      </c>
      <c r="BJ25" s="229">
        <f ca="1">'Balance Sheet'!BP10</f>
        <v>21498215.75152944</v>
      </c>
      <c r="BK25" s="229">
        <f ca="1">'Balance Sheet'!BQ10</f>
        <v>19634984.398088749</v>
      </c>
      <c r="BL25" s="228"/>
      <c r="BM25" s="228"/>
      <c r="BN25" s="228"/>
      <c r="BO25" s="228"/>
      <c r="BP25" s="228"/>
      <c r="BQ25" s="228"/>
      <c r="BR25" s="228"/>
      <c r="BS25" s="228"/>
      <c r="BT25" s="228"/>
      <c r="BU25" s="228"/>
      <c r="BV25" s="228"/>
      <c r="BW25" s="228"/>
      <c r="BX25" s="228"/>
      <c r="BY25" s="228"/>
      <c r="BZ25" s="228"/>
      <c r="CA25" s="228"/>
      <c r="CB25" s="228"/>
      <c r="CC25" s="228"/>
      <c r="CD25" s="228"/>
      <c r="CE25" s="228"/>
      <c r="CF25" s="228"/>
      <c r="CG25" s="228"/>
      <c r="CH25" s="228"/>
      <c r="CI25" s="228"/>
      <c r="CJ25" s="228"/>
      <c r="CK25" s="228"/>
      <c r="CL25" s="228"/>
      <c r="CM25" s="228"/>
      <c r="CN25" s="228"/>
      <c r="CO25" s="228"/>
      <c r="CP25" s="228"/>
      <c r="CQ25" s="228"/>
      <c r="CR25" s="228"/>
      <c r="CS25" s="228"/>
      <c r="CT25" s="228"/>
      <c r="CU25" s="228"/>
      <c r="CV25" s="228"/>
      <c r="CW25" s="228"/>
      <c r="CX25" s="228"/>
      <c r="CY25" s="228"/>
      <c r="CZ25" s="228"/>
      <c r="DA25" s="228"/>
      <c r="DB25" s="228"/>
      <c r="DC25" s="228"/>
      <c r="DD25" s="228"/>
      <c r="DE25" s="228"/>
      <c r="DF25" s="228"/>
      <c r="DG25" s="228"/>
      <c r="DH25" s="228"/>
      <c r="DI25" s="228"/>
      <c r="DJ25" s="228"/>
      <c r="DK25" s="228"/>
      <c r="DL25" s="228"/>
      <c r="DM25" s="228"/>
      <c r="DN25" s="228"/>
      <c r="DO25" s="228"/>
      <c r="DP25" s="228"/>
      <c r="DQ25" s="228"/>
      <c r="DR25" s="228"/>
      <c r="DS25" s="228"/>
      <c r="DT25" s="228"/>
      <c r="DU25" s="228"/>
      <c r="DV25" s="228"/>
      <c r="DW25" s="228"/>
      <c r="DX25" s="228"/>
      <c r="DY25" s="228"/>
      <c r="DZ25" s="228"/>
      <c r="EA25" s="228"/>
      <c r="EB25" s="228"/>
      <c r="EC25" s="228"/>
      <c r="ED25" s="228"/>
      <c r="EE25" s="228"/>
      <c r="EF25" s="228"/>
      <c r="EG25" s="228"/>
      <c r="EH25" s="228"/>
      <c r="EI25" s="228"/>
      <c r="EJ25" s="228"/>
      <c r="EK25" s="228"/>
      <c r="EL25" s="228"/>
      <c r="EM25" s="228"/>
      <c r="EN25" s="228"/>
      <c r="EO25" s="228"/>
      <c r="EP25" s="228"/>
      <c r="EQ25" s="228"/>
      <c r="ER25" s="228"/>
      <c r="ES25" s="228"/>
      <c r="ET25" s="228"/>
      <c r="EU25" s="228"/>
      <c r="EV25" s="228"/>
      <c r="EW25" s="228"/>
      <c r="EX25" s="228"/>
      <c r="EY25" s="228"/>
      <c r="EZ25" s="228"/>
      <c r="FA25" s="228"/>
      <c r="FB25" s="228"/>
      <c r="FC25" s="228"/>
      <c r="FD25" s="228"/>
      <c r="FE25" s="228"/>
      <c r="FF25" s="228"/>
      <c r="FG25" s="228"/>
      <c r="FH25" s="228"/>
      <c r="FI25" s="228"/>
      <c r="FJ25" s="228"/>
      <c r="FK25" s="228"/>
      <c r="FL25" s="228"/>
      <c r="FM25" s="228"/>
      <c r="FN25" s="228"/>
      <c r="FO25" s="228"/>
      <c r="FP25" s="228"/>
      <c r="FQ25" s="228"/>
      <c r="FR25" s="228"/>
      <c r="FS25" s="228"/>
      <c r="FT25" s="228"/>
      <c r="FU25" s="228"/>
      <c r="FV25" s="228"/>
      <c r="FW25" s="228"/>
      <c r="FX25" s="228"/>
      <c r="FY25" s="228"/>
      <c r="FZ25" s="228"/>
      <c r="GA25" s="228"/>
      <c r="GB25" s="228"/>
      <c r="GC25" s="228"/>
      <c r="GD25" s="228"/>
      <c r="GE25" s="228"/>
      <c r="GF25" s="228"/>
      <c r="GG25" s="228"/>
      <c r="GH25" s="228"/>
      <c r="GI25" s="228"/>
      <c r="GJ25" s="228"/>
      <c r="GK25" s="228"/>
      <c r="GL25" s="228"/>
      <c r="GM25" s="228"/>
      <c r="GN25" s="228"/>
      <c r="GO25" s="228"/>
      <c r="GP25" s="228"/>
      <c r="GQ25" s="228"/>
      <c r="GR25" s="228"/>
      <c r="GS25" s="228"/>
      <c r="GT25" s="228"/>
      <c r="GU25" s="228"/>
      <c r="GV25" s="228"/>
      <c r="GW25" s="228"/>
      <c r="GX25" s="228"/>
      <c r="GY25" s="228"/>
      <c r="GZ25" s="228"/>
      <c r="HA25" s="228"/>
      <c r="HB25" s="228"/>
      <c r="HC25" s="228"/>
      <c r="HD25" s="228"/>
      <c r="HE25" s="228"/>
      <c r="HF25" s="228"/>
      <c r="HG25" s="228"/>
      <c r="HH25" s="228"/>
      <c r="HI25" s="228"/>
      <c r="HJ25" s="228"/>
      <c r="HK25" s="228"/>
      <c r="HL25" s="228"/>
      <c r="HM25" s="228"/>
      <c r="HN25" s="228"/>
      <c r="HO25" s="228"/>
      <c r="HP25" s="228"/>
      <c r="HQ25" s="228"/>
      <c r="HR25" s="228"/>
      <c r="HS25" s="228"/>
      <c r="HT25" s="228"/>
      <c r="HU25" s="228"/>
      <c r="HV25" s="228"/>
      <c r="HW25" s="228"/>
      <c r="HX25" s="228"/>
      <c r="HY25" s="228"/>
      <c r="HZ25" s="228"/>
      <c r="IA25" s="228"/>
      <c r="IB25" s="228"/>
      <c r="IC25" s="228"/>
      <c r="ID25" s="228"/>
      <c r="IE25" s="228"/>
      <c r="IF25" s="228"/>
      <c r="IG25" s="228"/>
      <c r="IH25" s="228"/>
      <c r="II25" s="228"/>
      <c r="IJ25" s="228"/>
      <c r="IK25" s="228"/>
      <c r="IL25" s="228"/>
      <c r="IM25" s="228"/>
      <c r="IN25" s="228"/>
      <c r="IO25" s="228"/>
      <c r="IP25" s="228"/>
      <c r="IQ25" s="228"/>
      <c r="IR25" s="228"/>
    </row>
    <row r="26" spans="1:252">
      <c r="B26" s="228" t="str">
        <f>'Balance Sheet'!E11</f>
        <v>Cash</v>
      </c>
      <c r="C26" s="225"/>
      <c r="D26" s="229">
        <f ca="1">'Balance Sheet'!J11</f>
        <v>-103100</v>
      </c>
      <c r="E26" s="229">
        <f ca="1">'Balance Sheet'!K11</f>
        <v>-155100.72360569984</v>
      </c>
      <c r="F26" s="229">
        <f ca="1">'Balance Sheet'!L11</f>
        <v>-164210.46634351503</v>
      </c>
      <c r="G26" s="229">
        <f ca="1">'Balance Sheet'!M11</f>
        <v>-219888.94692249392</v>
      </c>
      <c r="H26" s="229">
        <f ca="1">'Balance Sheet'!N11</f>
        <v>-277235.55215667229</v>
      </c>
      <c r="I26" s="229">
        <f ca="1">'Balance Sheet'!O11</f>
        <v>-321159.79441542737</v>
      </c>
      <c r="J26" s="229">
        <f ca="1">'Balance Sheet'!P11</f>
        <v>-582274.86038498709</v>
      </c>
      <c r="K26" s="229">
        <f ca="1">'Balance Sheet'!Q11</f>
        <v>-645810.57429782476</v>
      </c>
      <c r="L26" s="229">
        <f ca="1">'Balance Sheet'!R11</f>
        <v>-1012204.3346045238</v>
      </c>
      <c r="M26" s="229">
        <f ca="1">'Balance Sheet'!S11</f>
        <v>1034231.926442032</v>
      </c>
      <c r="N26" s="229">
        <f ca="1">'Balance Sheet'!T11</f>
        <v>1341868.269530179</v>
      </c>
      <c r="O26" s="229">
        <f ca="1">'Balance Sheet'!U11</f>
        <v>1246437.4488265985</v>
      </c>
      <c r="P26" s="229">
        <f ca="1">'Balance Sheet'!V11</f>
        <v>970487.44882659847</v>
      </c>
      <c r="Q26" s="229">
        <f ca="1">'Balance Sheet'!W11</f>
        <v>891193.4653826151</v>
      </c>
      <c r="R26" s="229">
        <f ca="1">'Balance Sheet'!X11</f>
        <v>493266.0377593562</v>
      </c>
      <c r="S26" s="229">
        <f ca="1">'Balance Sheet'!Y11</f>
        <v>2463740.9106869777</v>
      </c>
      <c r="T26" s="229">
        <f ca="1">'Balance Sheet'!Z11</f>
        <v>2612405.6779962811</v>
      </c>
      <c r="U26" s="229">
        <f ca="1">'Balance Sheet'!AA11</f>
        <v>2529599.3429272231</v>
      </c>
      <c r="V26" s="229">
        <f ca="1">'Balance Sheet'!AB11</f>
        <v>2285304.5302114896</v>
      </c>
      <c r="W26" s="229">
        <f ca="1">'Balance Sheet'!AC11</f>
        <v>2184172.023251507</v>
      </c>
      <c r="X26" s="229">
        <f ca="1">'Balance Sheet'!AD11</f>
        <v>1280272.796072864</v>
      </c>
      <c r="Y26" s="229">
        <f ca="1">'Balance Sheet'!AE11</f>
        <v>5804672.8574032113</v>
      </c>
      <c r="Z26" s="229">
        <f ca="1">'Balance Sheet'!AF11</f>
        <v>5921155.9385484895</v>
      </c>
      <c r="AA26" s="229">
        <f ca="1">'Balance Sheet'!AG11</f>
        <v>5773019.245225206</v>
      </c>
      <c r="AB26" s="229">
        <f ca="1">'Balance Sheet'!AH11</f>
        <v>5626492.8961006068</v>
      </c>
      <c r="AC26" s="229">
        <f ca="1">'Balance Sheet'!AI11</f>
        <v>7940604.7239995655</v>
      </c>
      <c r="AD26" s="229">
        <f ca="1">'Balance Sheet'!AJ11</f>
        <v>6865765.8280084711</v>
      </c>
      <c r="AE26" s="229">
        <f ca="1">'Balance Sheet'!AK11</f>
        <v>8421203.9795869365</v>
      </c>
      <c r="AF26" s="229">
        <f ca="1">'Balance Sheet'!AL11</f>
        <v>9016703.9014120456</v>
      </c>
      <c r="AG26" s="229">
        <f ca="1">'Balance Sheet'!AM11</f>
        <v>11099290.675104339</v>
      </c>
      <c r="AH26" s="229">
        <f ca="1">'Balance Sheet'!AN11</f>
        <v>11504018.461941142</v>
      </c>
      <c r="AI26" s="229">
        <f ca="1">'Balance Sheet'!AO11</f>
        <v>11736235.32441161</v>
      </c>
      <c r="AJ26" s="229">
        <f ca="1">'Balance Sheet'!AP11</f>
        <v>13625616.262414103</v>
      </c>
      <c r="AK26" s="229">
        <f ca="1">'Balance Sheet'!AQ11</f>
        <v>16580879.190238677</v>
      </c>
      <c r="AL26" s="229">
        <f ca="1">'Balance Sheet'!AR11</f>
        <v>19473095.830194138</v>
      </c>
      <c r="AM26" s="229">
        <f ca="1">'Balance Sheet'!AS11</f>
        <v>19248519.165587541</v>
      </c>
      <c r="AN26" s="229">
        <f ca="1">'Balance Sheet'!AT11</f>
        <v>19784199.664086059</v>
      </c>
      <c r="AO26" s="229">
        <f ca="1">'Balance Sheet'!AU11</f>
        <v>25298390.197898049</v>
      </c>
      <c r="AP26" s="229">
        <f ca="1">'Balance Sheet'!AV11</f>
        <v>24648700.46775192</v>
      </c>
      <c r="AQ26" s="229">
        <f ca="1">'Balance Sheet'!AW11</f>
        <v>22907012.839985117</v>
      </c>
      <c r="AR26" s="229">
        <f ca="1">'Balance Sheet'!AX11</f>
        <v>26708079.837814037</v>
      </c>
      <c r="AS26" s="229">
        <f ca="1">'Balance Sheet'!AY11</f>
        <v>28429876.657227986</v>
      </c>
      <c r="AT26" s="229">
        <f ca="1">'Balance Sheet'!AZ11</f>
        <v>32192314.625653937</v>
      </c>
      <c r="AU26" s="229">
        <f ca="1">'Balance Sheet'!BA11</f>
        <v>33672076.070215121</v>
      </c>
      <c r="AV26" s="229">
        <f ca="1">'Balance Sheet'!BB11</f>
        <v>38065990.658675916</v>
      </c>
      <c r="AW26" s="229">
        <f ca="1">'Balance Sheet'!BC11</f>
        <v>42109656.077577792</v>
      </c>
      <c r="AX26" s="229">
        <f ca="1">'Balance Sheet'!BD11</f>
        <v>46405079.02311863</v>
      </c>
      <c r="AY26" s="229">
        <f ca="1">'Balance Sheet'!BE11</f>
        <v>48421534.225866169</v>
      </c>
      <c r="AZ26" s="229">
        <f ca="1">'Balance Sheet'!BF11</f>
        <v>52803915.477687538</v>
      </c>
      <c r="BA26" s="229">
        <f ca="1">'Balance Sheet'!BG11</f>
        <v>57298584.330639355</v>
      </c>
      <c r="BB26" s="229">
        <f ca="1">'Balance Sheet'!BH11</f>
        <v>59402622.857509606</v>
      </c>
      <c r="BC26" s="229">
        <f ca="1">'Balance Sheet'!BI11</f>
        <v>58665342.381563403</v>
      </c>
      <c r="BD26" s="229">
        <f ca="1">'Balance Sheet'!BJ11</f>
        <v>66583187.866943121</v>
      </c>
      <c r="BE26" s="229">
        <f ca="1">'Balance Sheet'!BK11</f>
        <v>68370287.347026542</v>
      </c>
      <c r="BF26" s="229">
        <f ca="1">'Balance Sheet'!BL11</f>
        <v>76669748.921876788</v>
      </c>
      <c r="BG26" s="229">
        <f ca="1">'Balance Sheet'!BM11</f>
        <v>82662591.313714907</v>
      </c>
      <c r="BH26" s="229">
        <f ca="1">'Balance Sheet'!BN11</f>
        <v>87253930.171257392</v>
      </c>
      <c r="BI26" s="229">
        <f ca="1">'Balance Sheet'!BO11</f>
        <v>96220733.8051783</v>
      </c>
      <c r="BJ26" s="229">
        <f ca="1">'Balance Sheet'!BP11</f>
        <v>102913558.3753787</v>
      </c>
      <c r="BK26" s="229">
        <f ca="1">'Balance Sheet'!BQ11</f>
        <v>107847639.85822076</v>
      </c>
      <c r="BS26" s="230"/>
      <c r="BT26" s="230"/>
      <c r="BU26" s="230"/>
      <c r="BV26" s="230"/>
      <c r="BW26" s="230"/>
      <c r="BX26" s="230"/>
      <c r="BY26" s="230"/>
      <c r="BZ26" s="230"/>
      <c r="CA26" s="230"/>
      <c r="CB26" s="230"/>
      <c r="CC26" s="230"/>
      <c r="CD26" s="230"/>
      <c r="CE26" s="230"/>
      <c r="CF26" s="230"/>
      <c r="CG26" s="230"/>
      <c r="CH26" s="230"/>
      <c r="CI26" s="230"/>
      <c r="CJ26" s="230"/>
      <c r="CK26" s="230"/>
      <c r="CL26" s="230"/>
      <c r="CM26" s="230"/>
      <c r="CN26" s="230"/>
      <c r="CO26" s="230"/>
      <c r="CP26" s="230"/>
      <c r="CQ26" s="230"/>
      <c r="CR26" s="230"/>
      <c r="CS26" s="230"/>
      <c r="CT26" s="230"/>
      <c r="CU26" s="230"/>
      <c r="CV26" s="230"/>
      <c r="CW26" s="230"/>
      <c r="CX26" s="230"/>
      <c r="CY26" s="230"/>
      <c r="CZ26" s="230"/>
      <c r="DA26" s="230"/>
      <c r="DB26" s="230"/>
      <c r="DC26" s="230"/>
      <c r="DD26" s="230"/>
      <c r="DE26" s="230"/>
      <c r="DF26" s="230"/>
      <c r="DG26" s="230"/>
      <c r="DH26" s="230"/>
      <c r="DI26" s="230"/>
      <c r="DJ26" s="230"/>
      <c r="DK26" s="230"/>
      <c r="DL26" s="230"/>
      <c r="DM26" s="230"/>
      <c r="DN26" s="230"/>
      <c r="DO26" s="230"/>
      <c r="DP26" s="230"/>
      <c r="DQ26" s="230"/>
      <c r="DR26" s="230"/>
      <c r="DS26" s="230"/>
      <c r="DT26" s="230"/>
      <c r="DU26" s="230"/>
      <c r="DV26" s="230"/>
      <c r="DW26" s="230"/>
      <c r="DX26" s="230"/>
      <c r="DY26" s="230"/>
      <c r="DZ26" s="230"/>
      <c r="EA26" s="230"/>
      <c r="EB26" s="230"/>
      <c r="EC26" s="230"/>
      <c r="ED26" s="230"/>
      <c r="EE26" s="230"/>
      <c r="EF26" s="230"/>
      <c r="EG26" s="230"/>
      <c r="EH26" s="230"/>
      <c r="EI26" s="230"/>
      <c r="EJ26" s="230"/>
      <c r="EK26" s="230"/>
      <c r="EL26" s="230"/>
      <c r="EM26" s="230"/>
      <c r="EN26" s="230"/>
      <c r="EO26" s="230"/>
      <c r="EP26" s="230"/>
      <c r="EQ26" s="230"/>
      <c r="ER26" s="230"/>
      <c r="ES26" s="230"/>
      <c r="ET26" s="230"/>
      <c r="EU26" s="230"/>
      <c r="EV26" s="230"/>
      <c r="EW26" s="230"/>
      <c r="EX26" s="230"/>
      <c r="EY26" s="230"/>
      <c r="EZ26" s="230"/>
      <c r="FA26" s="230"/>
      <c r="FB26" s="230"/>
      <c r="FC26" s="230"/>
      <c r="FD26" s="230"/>
      <c r="FE26" s="230"/>
      <c r="FF26" s="230"/>
      <c r="FG26" s="230"/>
      <c r="FH26" s="230"/>
      <c r="FI26" s="230"/>
      <c r="FJ26" s="230"/>
      <c r="FK26" s="230"/>
      <c r="FL26" s="230"/>
      <c r="FM26" s="230"/>
      <c r="FN26" s="230"/>
      <c r="FO26" s="230"/>
      <c r="FP26" s="230"/>
      <c r="FQ26" s="230"/>
      <c r="FR26" s="230"/>
      <c r="FS26" s="230"/>
      <c r="FT26" s="230"/>
      <c r="FU26" s="230"/>
      <c r="FV26" s="230"/>
      <c r="FW26" s="230"/>
      <c r="FX26" s="230"/>
      <c r="FY26" s="230"/>
      <c r="FZ26" s="230"/>
      <c r="GA26" s="230"/>
      <c r="GB26" s="230"/>
      <c r="GC26" s="230"/>
      <c r="GD26" s="230"/>
      <c r="GE26" s="230"/>
      <c r="GF26" s="230"/>
      <c r="GG26" s="230"/>
      <c r="GH26" s="230"/>
      <c r="GI26" s="230"/>
      <c r="GJ26" s="230"/>
      <c r="GK26" s="230"/>
      <c r="GL26" s="230"/>
      <c r="GM26" s="230"/>
      <c r="GN26" s="230"/>
      <c r="GO26" s="230"/>
      <c r="GP26" s="230"/>
      <c r="GQ26" s="230"/>
      <c r="GR26" s="230"/>
      <c r="GS26" s="230"/>
      <c r="GT26" s="230"/>
      <c r="GU26" s="230"/>
      <c r="GV26" s="230"/>
      <c r="GW26" s="230"/>
      <c r="GX26" s="230"/>
      <c r="GY26" s="230"/>
      <c r="GZ26" s="230"/>
      <c r="HA26" s="230"/>
      <c r="HB26" s="230"/>
      <c r="HC26" s="230"/>
      <c r="HD26" s="230"/>
      <c r="HE26" s="230"/>
      <c r="HF26" s="230"/>
      <c r="HG26" s="230"/>
      <c r="HH26" s="230"/>
      <c r="HI26" s="230"/>
      <c r="HJ26" s="230"/>
      <c r="HK26" s="230"/>
      <c r="HL26" s="230"/>
      <c r="HM26" s="230"/>
      <c r="HN26" s="230"/>
      <c r="HO26" s="230"/>
      <c r="HP26" s="230"/>
      <c r="HQ26" s="230"/>
      <c r="HR26" s="230"/>
      <c r="HS26" s="230"/>
      <c r="HT26" s="230"/>
      <c r="HU26" s="230"/>
      <c r="HV26" s="230"/>
      <c r="HW26" s="230"/>
      <c r="HX26" s="230"/>
      <c r="HY26" s="230"/>
      <c r="HZ26" s="230"/>
      <c r="IA26" s="230"/>
      <c r="IB26" s="230"/>
      <c r="IC26" s="230"/>
      <c r="ID26" s="230"/>
      <c r="IE26" s="230"/>
      <c r="IF26" s="230"/>
      <c r="IG26" s="230"/>
      <c r="IH26" s="230"/>
      <c r="II26" s="230"/>
      <c r="IJ26" s="230"/>
      <c r="IK26" s="230"/>
      <c r="IL26" s="230"/>
      <c r="IM26" s="230"/>
      <c r="IN26" s="230"/>
      <c r="IO26" s="230"/>
      <c r="IP26" s="230"/>
      <c r="IQ26" s="230"/>
      <c r="IR26" s="230"/>
    </row>
    <row r="27" spans="1:252">
      <c r="B27" s="230" t="str">
        <f>'Balance Sheet'!E12</f>
        <v>Assets</v>
      </c>
      <c r="C27" s="231"/>
      <c r="D27" s="232">
        <f ca="1">'Balance Sheet'!J12</f>
        <v>71900</v>
      </c>
      <c r="E27" s="232">
        <f ca="1">'Balance Sheet'!K12</f>
        <v>12607.609727633506</v>
      </c>
      <c r="F27" s="232">
        <f ca="1">'Balance Sheet'!L12</f>
        <v>-3793.7996768483717</v>
      </c>
      <c r="G27" s="232">
        <f ca="1">'Balance Sheet'!M12</f>
        <v>-66763.946922493924</v>
      </c>
      <c r="H27" s="232">
        <f ca="1">'Balance Sheet'!N12</f>
        <v>-131402.21882333895</v>
      </c>
      <c r="I27" s="232">
        <f ca="1">'Balance Sheet'!O12</f>
        <v>-182618.12774876071</v>
      </c>
      <c r="J27" s="232">
        <f ca="1">'Balance Sheet'!P12</f>
        <v>-276024.86038498709</v>
      </c>
      <c r="K27" s="232">
        <f ca="1">'Balance Sheet'!Q12</f>
        <v>1760863.2152694357</v>
      </c>
      <c r="L27" s="232">
        <f ca="1">'Balance Sheet'!R12</f>
        <v>1758237.0810694199</v>
      </c>
      <c r="M27" s="232">
        <f ca="1">'Balance Sheet'!S12</f>
        <v>1701724.8035414375</v>
      </c>
      <c r="N27" s="232">
        <f ca="1">'Balance Sheet'!T12</f>
        <v>1616426.8538562346</v>
      </c>
      <c r="O27" s="232">
        <f ca="1">'Balance Sheet'!U12</f>
        <v>1479770.7821599315</v>
      </c>
      <c r="P27" s="232">
        <f ca="1">'Balance Sheet'!V12</f>
        <v>1364237.448826598</v>
      </c>
      <c r="Q27" s="232">
        <f ca="1">'Balance Sheet'!W12</f>
        <v>3492522.5452303239</v>
      </c>
      <c r="R27" s="232">
        <f ca="1">'Balance Sheet'!X12</f>
        <v>3363266.0377593557</v>
      </c>
      <c r="S27" s="232">
        <f ca="1">'Balance Sheet'!Y12</f>
        <v>3082411.8308392679</v>
      </c>
      <c r="T27" s="232">
        <f ca="1">'Balance Sheet'!Z12</f>
        <v>3093655.6779962806</v>
      </c>
      <c r="U27" s="232">
        <f ca="1">'Balance Sheet'!AA12</f>
        <v>2981682.6762605556</v>
      </c>
      <c r="V27" s="232">
        <f ca="1">'Balance Sheet'!AB12</f>
        <v>2708221.1968781557</v>
      </c>
      <c r="W27" s="232">
        <f ca="1">'Balance Sheet'!AC12</f>
        <v>7212929.1461520996</v>
      </c>
      <c r="X27" s="232">
        <f ca="1">'Balance Sheet'!AD12</f>
        <v>6833214.2117468063</v>
      </c>
      <c r="Y27" s="232">
        <f ca="1">'Balance Sheet'!AE12</f>
        <v>6712790.7345026154</v>
      </c>
      <c r="Z27" s="232">
        <f ca="1">'Balance Sheet'!AF12</f>
        <v>6414464.5228745434</v>
      </c>
      <c r="AA27" s="232">
        <f ca="1">'Balance Sheet'!AG12</f>
        <v>8898227.5785585381</v>
      </c>
      <c r="AB27" s="232">
        <f ca="1">'Balance Sheet'!AH12</f>
        <v>8707951.2294339389</v>
      </c>
      <c r="AC27" s="232">
        <f ca="1">'Balance Sheet'!AI12</f>
        <v>11367496.303847272</v>
      </c>
      <c r="AD27" s="232">
        <f ca="1">'Balance Sheet'!AJ12</f>
        <v>11068225.451741595</v>
      </c>
      <c r="AE27" s="232">
        <f ca="1">'Balance Sheet'!AK12</f>
        <v>12927389.080387529</v>
      </c>
      <c r="AF27" s="232">
        <f ca="1">'Balance Sheet'!AL12</f>
        <v>13425144.456479887</v>
      </c>
      <c r="AG27" s="232">
        <f ca="1">'Balance Sheet'!AM12</f>
        <v>13004218.69431431</v>
      </c>
      <c r="AH27" s="232">
        <f ca="1">'Balance Sheet'!AN12</f>
        <v>15949415.605638832</v>
      </c>
      <c r="AI27" s="232">
        <f ca="1">'Balance Sheet'!AO12</f>
        <v>18902605.724675249</v>
      </c>
      <c r="AJ27" s="232">
        <f ca="1">'Balance Sheet'!AP12</f>
        <v>20816346.726603933</v>
      </c>
      <c r="AK27" s="232">
        <f ca="1">'Balance Sheet'!AQ12</f>
        <v>21457149.853459004</v>
      </c>
      <c r="AL27" s="232">
        <f ca="1">'Balance Sheet'!AR12</f>
        <v>21860608.275635388</v>
      </c>
      <c r="AM27" s="232">
        <f ca="1">'Balance Sheet'!AS12</f>
        <v>26884461.019969221</v>
      </c>
      <c r="AN27" s="232">
        <f ca="1">'Balance Sheet'!AT12</f>
        <v>27628291.062441193</v>
      </c>
      <c r="AO27" s="232">
        <f ca="1">'Balance Sheet'!AU12</f>
        <v>28642698.321700614</v>
      </c>
      <c r="AP27" s="232">
        <f ca="1">'Balance Sheet'!AV12</f>
        <v>31268084.460814826</v>
      </c>
      <c r="AQ27" s="232">
        <f ca="1">'Balance Sheet'!AW12</f>
        <v>32330128.694709439</v>
      </c>
      <c r="AR27" s="232">
        <f ca="1">'Balance Sheet'!AX12</f>
        <v>36244663.616874531</v>
      </c>
      <c r="AS27" s="232">
        <f ca="1">'Balance Sheet'!AY12</f>
        <v>35751924.676733866</v>
      </c>
      <c r="AT27" s="232">
        <f ca="1">'Balance Sheet'!AZ12</f>
        <v>42343490.616274469</v>
      </c>
      <c r="AU27" s="232">
        <f ca="1">'Balance Sheet'!BA12</f>
        <v>46660548.394416437</v>
      </c>
      <c r="AV27" s="232">
        <f ca="1">'Balance Sheet'!BB12</f>
        <v>48860388.751544774</v>
      </c>
      <c r="AW27" s="232">
        <f ca="1">'Balance Sheet'!BC12</f>
        <v>53240895.340530954</v>
      </c>
      <c r="AX27" s="232">
        <f ca="1">'Balance Sheet'!BD12</f>
        <v>57888686.80761493</v>
      </c>
      <c r="AY27" s="232">
        <f ca="1">'Balance Sheet'!BE12</f>
        <v>60254145.541195378</v>
      </c>
      <c r="AZ27" s="232">
        <f ca="1">'Balance Sheet'!BF12</f>
        <v>64998157.372834124</v>
      </c>
      <c r="BA27" s="232">
        <f ca="1">'Balance Sheet'!BG12</f>
        <v>70331891.848312452</v>
      </c>
      <c r="BB27" s="232">
        <f ca="1">'Balance Sheet'!BH12</f>
        <v>75840106.536567777</v>
      </c>
      <c r="BC27" s="232">
        <f ca="1">'Balance Sheet'!BI12</f>
        <v>75578994.045376867</v>
      </c>
      <c r="BD27" s="232">
        <f ca="1">'Balance Sheet'!BJ12</f>
        <v>83994881.593160242</v>
      </c>
      <c r="BE27" s="232">
        <f ca="1">'Balance Sheet'!BK12</f>
        <v>86312097.603514925</v>
      </c>
      <c r="BF27" s="232">
        <f ca="1">'Balance Sheet'!BL12</f>
        <v>95159872.390253946</v>
      </c>
      <c r="BG27" s="232">
        <f ca="1">'Balance Sheet'!BM12</f>
        <v>104249603.04272602</v>
      </c>
      <c r="BH27" s="232">
        <f ca="1">'Balance Sheet'!BN12</f>
        <v>106927483.93256362</v>
      </c>
      <c r="BI27" s="232">
        <f ca="1">'Balance Sheet'!BO12</f>
        <v>116536013.37664232</v>
      </c>
      <c r="BJ27" s="232">
        <f ca="1">'Balance Sheet'!BP12</f>
        <v>126436124.47102289</v>
      </c>
      <c r="BK27" s="232">
        <f ca="1">'Balance Sheet'!BQ12</f>
        <v>129538969.95176193</v>
      </c>
      <c r="IR27" s="228"/>
    </row>
    <row r="28" spans="1:252">
      <c r="C28" s="225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  <c r="AA28" s="229"/>
      <c r="AB28" s="229"/>
      <c r="AC28" s="229"/>
      <c r="AD28" s="229"/>
      <c r="AE28" s="229"/>
      <c r="AF28" s="229"/>
      <c r="AG28" s="229"/>
      <c r="AH28" s="229"/>
      <c r="AI28" s="229"/>
      <c r="AJ28" s="229"/>
      <c r="AK28" s="229"/>
      <c r="AL28" s="229"/>
      <c r="AM28" s="229"/>
      <c r="AN28" s="229"/>
      <c r="AO28" s="229"/>
      <c r="AP28" s="229"/>
      <c r="AQ28" s="229"/>
      <c r="AR28" s="229"/>
      <c r="AS28" s="229"/>
      <c r="AT28" s="229"/>
      <c r="AU28" s="229"/>
      <c r="AV28" s="229"/>
      <c r="AW28" s="229"/>
      <c r="AX28" s="229"/>
      <c r="AY28" s="229"/>
      <c r="AZ28" s="229"/>
      <c r="BA28" s="229"/>
      <c r="BB28" s="229"/>
      <c r="BC28" s="229"/>
      <c r="BD28" s="229"/>
      <c r="BE28" s="229"/>
      <c r="BF28" s="229"/>
      <c r="BG28" s="229"/>
      <c r="BH28" s="229"/>
      <c r="BI28" s="229"/>
      <c r="BJ28" s="229"/>
      <c r="BK28" s="229"/>
      <c r="IR28" s="228"/>
    </row>
    <row r="29" spans="1:252">
      <c r="B29" s="228" t="str">
        <f>'Balance Sheet'!E14</f>
        <v>Deferred Income</v>
      </c>
      <c r="C29" s="225"/>
      <c r="D29" s="229">
        <f ca="1">'Balance Sheet'!J14</f>
        <v>0</v>
      </c>
      <c r="E29" s="229">
        <f ca="1">'Balance Sheet'!K14</f>
        <v>0</v>
      </c>
      <c r="F29" s="229">
        <f ca="1">'Balance Sheet'!L14</f>
        <v>0</v>
      </c>
      <c r="G29" s="229">
        <f ca="1">'Balance Sheet'!M14</f>
        <v>0</v>
      </c>
      <c r="H29" s="229">
        <f ca="1">'Balance Sheet'!N14</f>
        <v>0</v>
      </c>
      <c r="I29" s="229">
        <f ca="1">'Balance Sheet'!O14</f>
        <v>0</v>
      </c>
      <c r="J29" s="229">
        <f ca="1">'Balance Sheet'!P14</f>
        <v>0</v>
      </c>
      <c r="K29" s="229">
        <f ca="1">'Balance Sheet'!Q14</f>
        <v>1615630.4411046202</v>
      </c>
      <c r="L29" s="229">
        <f ca="1">'Balance Sheet'!R14</f>
        <v>1757773.0404754248</v>
      </c>
      <c r="M29" s="229">
        <f ca="1">'Balance Sheet'!S14</f>
        <v>1604974.638524916</v>
      </c>
      <c r="N29" s="229">
        <f ca="1">'Balance Sheet'!T14</f>
        <v>1429974.638524916</v>
      </c>
      <c r="O29" s="229">
        <f ca="1">'Balance Sheet'!U14</f>
        <v>1254974.638524916</v>
      </c>
      <c r="P29" s="229">
        <f ca="1">'Balance Sheet'!V14</f>
        <v>1079974.638524916</v>
      </c>
      <c r="Q29" s="229">
        <f ca="1">'Balance Sheet'!W14</f>
        <v>2608029.8384085828</v>
      </c>
      <c r="R29" s="229">
        <f ca="1">'Balance Sheet'!X14</f>
        <v>2500151.4385354919</v>
      </c>
      <c r="S29" s="229">
        <f ca="1">'Balance Sheet'!Y14</f>
        <v>2150151.4385354919</v>
      </c>
      <c r="T29" s="229">
        <f ca="1">'Balance Sheet'!Z14</f>
        <v>1800151.4385354919</v>
      </c>
      <c r="U29" s="229">
        <f ca="1">'Balance Sheet'!AA14</f>
        <v>1450151.4385354919</v>
      </c>
      <c r="V29" s="229">
        <f ca="1">'Balance Sheet'!AB14</f>
        <v>1100151.4385354919</v>
      </c>
      <c r="W29" s="229">
        <f ca="1">'Balance Sheet'!AC14</f>
        <v>4437657.3742859866</v>
      </c>
      <c r="X29" s="229">
        <f ca="1">'Balance Sheet'!AD14</f>
        <v>4227949.8404860003</v>
      </c>
      <c r="Y29" s="229">
        <f ca="1">'Balance Sheet'!AE14</f>
        <v>3725151.438535491</v>
      </c>
      <c r="Z29" s="229">
        <f ca="1">'Balance Sheet'!AF14</f>
        <v>3200151.438535491</v>
      </c>
      <c r="AA29" s="229">
        <f ca="1">'Balance Sheet'!AG14</f>
        <v>4600151.438535491</v>
      </c>
      <c r="AB29" s="229">
        <f ca="1">'Balance Sheet'!AH14</f>
        <v>3917651.438535491</v>
      </c>
      <c r="AC29" s="229">
        <f ca="1">'Balance Sheet'!AI14</f>
        <v>5496590.9926553238</v>
      </c>
      <c r="AD29" s="229">
        <f ca="1">'Balance Sheet'!AJ14</f>
        <v>5467768.4444326274</v>
      </c>
      <c r="AE29" s="229">
        <f ca="1">'Balance Sheet'!AK14</f>
        <v>7129482.0680141104</v>
      </c>
      <c r="AF29" s="229">
        <f ca="1">'Balance Sheet'!AL14</f>
        <v>6700214.2140914183</v>
      </c>
      <c r="AG29" s="229">
        <f ca="1">'Balance Sheet'!AM14</f>
        <v>6280467.2619338026</v>
      </c>
      <c r="AH29" s="229">
        <f ca="1">'Balance Sheet'!AN14</f>
        <v>7794839.9662952619</v>
      </c>
      <c r="AI29" s="229">
        <f ca="1">'Balance Sheet'!AO14</f>
        <v>9319902.9045367856</v>
      </c>
      <c r="AJ29" s="229">
        <f ca="1">'Balance Sheet'!AP14</f>
        <v>10680205.551526528</v>
      </c>
      <c r="AK29" s="229">
        <f ca="1">'Balance Sheet'!AQ14</f>
        <v>9952567.4560297541</v>
      </c>
      <c r="AL29" s="229">
        <f ca="1">'Balance Sheet'!AR14</f>
        <v>9237551.6329512317</v>
      </c>
      <c r="AM29" s="229">
        <f ca="1">'Balance Sheet'!AS14</f>
        <v>12557217.152018126</v>
      </c>
      <c r="AN29" s="229">
        <f ca="1">'Balance Sheet'!AT14</f>
        <v>11690999.50184992</v>
      </c>
      <c r="AO29" s="229">
        <f ca="1">'Balance Sheet'!AU14</f>
        <v>11258330.834772604</v>
      </c>
      <c r="AP29" s="229">
        <f ca="1">'Balance Sheet'!AV14</f>
        <v>12792859.249908905</v>
      </c>
      <c r="AQ29" s="229">
        <f ca="1">'Balance Sheet'!AW14</f>
        <v>14368758.050069861</v>
      </c>
      <c r="AR29" s="229">
        <f ca="1">'Balance Sheet'!AX14</f>
        <v>15816222.693784572</v>
      </c>
      <c r="AS29" s="229">
        <f ca="1">'Balance Sheet'!AY14</f>
        <v>15212986.389317499</v>
      </c>
      <c r="AT29" s="229">
        <f ca="1">'Balance Sheet'!AZ14</f>
        <v>18684013.820980065</v>
      </c>
      <c r="AU29" s="229">
        <f ca="1">'Balance Sheet'!BA14</f>
        <v>19935391.70933276</v>
      </c>
      <c r="AV29" s="229">
        <f ca="1">'Balance Sheet'!BB14</f>
        <v>21242110.024237208</v>
      </c>
      <c r="AW29" s="229">
        <f ca="1">'Balance Sheet'!BC14</f>
        <v>22436766.428715516</v>
      </c>
      <c r="AX29" s="229">
        <f ca="1">'Balance Sheet'!BD14</f>
        <v>23522148.173389215</v>
      </c>
      <c r="AY29" s="229">
        <f ca="1">'Balance Sheet'!BE14</f>
        <v>24665367.022437617</v>
      </c>
      <c r="AZ29" s="229">
        <f ca="1">'Balance Sheet'!BF14</f>
        <v>25723002.777970102</v>
      </c>
      <c r="BA29" s="229">
        <f ca="1">'Balance Sheet'!BG14</f>
        <v>27042449.305661194</v>
      </c>
      <c r="BB29" s="229">
        <f ca="1">'Balance Sheet'!BH14</f>
        <v>30377702.771432579</v>
      </c>
      <c r="BC29" s="229">
        <f ca="1">'Balance Sheet'!BI14</f>
        <v>31527601.26370978</v>
      </c>
      <c r="BD29" s="229">
        <f ca="1">'Balance Sheet'!BJ14</f>
        <v>34703757.178448349</v>
      </c>
      <c r="BE29" s="229">
        <f ca="1">'Balance Sheet'!BK14</f>
        <v>35712085.712547436</v>
      </c>
      <c r="BF29" s="229">
        <f ca="1">'Balance Sheet'!BL14</f>
        <v>38752152.039314069</v>
      </c>
      <c r="BG29" s="229">
        <f ca="1">'Balance Sheet'!BM14</f>
        <v>41737538.351995371</v>
      </c>
      <c r="BH29" s="229">
        <f ca="1">'Balance Sheet'!BN14</f>
        <v>42567803.451934367</v>
      </c>
      <c r="BI29" s="229">
        <f ca="1">'Balance Sheet'!BO14</f>
        <v>45460218.945217431</v>
      </c>
      <c r="BJ29" s="229">
        <f ca="1">'Balance Sheet'!BP14</f>
        <v>48320464.629853867</v>
      </c>
      <c r="BK29" s="229">
        <f ca="1">'Balance Sheet'!BQ14</f>
        <v>49029641.650374562</v>
      </c>
      <c r="IR29" s="228"/>
    </row>
    <row r="30" spans="1:252">
      <c r="B30" s="228" t="str">
        <f>'Balance Sheet'!E15</f>
        <v>Creditors</v>
      </c>
      <c r="C30" s="225"/>
      <c r="D30" s="229">
        <f ca="1">'Balance Sheet'!J15</f>
        <v>157500</v>
      </c>
      <c r="E30" s="229">
        <f ca="1">'Balance Sheet'!K15</f>
        <v>157500</v>
      </c>
      <c r="F30" s="229">
        <f ca="1">'Balance Sheet'!L15</f>
        <v>157500</v>
      </c>
      <c r="G30" s="229">
        <f ca="1">'Balance Sheet'!M15</f>
        <v>157500</v>
      </c>
      <c r="H30" s="229">
        <f ca="1">'Balance Sheet'!N15</f>
        <v>157500</v>
      </c>
      <c r="I30" s="229">
        <f ca="1">'Balance Sheet'!O15</f>
        <v>157500</v>
      </c>
      <c r="J30" s="229">
        <f ca="1">'Balance Sheet'!P15</f>
        <v>168000</v>
      </c>
      <c r="K30" s="229">
        <f ca="1">'Balance Sheet'!Q15</f>
        <v>167999.99999999997</v>
      </c>
      <c r="L30" s="229">
        <f ca="1">'Balance Sheet'!R15</f>
        <v>168000</v>
      </c>
      <c r="M30" s="229">
        <f ca="1">'Balance Sheet'!S15</f>
        <v>168000</v>
      </c>
      <c r="N30" s="229">
        <f ca="1">'Balance Sheet'!T15</f>
        <v>168000</v>
      </c>
      <c r="O30" s="229">
        <f ca="1">'Balance Sheet'!U15</f>
        <v>167999.99999999997</v>
      </c>
      <c r="P30" s="229">
        <f ca="1">'Balance Sheet'!V15</f>
        <v>178500.00000000003</v>
      </c>
      <c r="Q30" s="229">
        <f ca="1">'Balance Sheet'!W15</f>
        <v>178500.00000000006</v>
      </c>
      <c r="R30" s="229">
        <f ca="1">'Balance Sheet'!X15</f>
        <v>178500.00000000003</v>
      </c>
      <c r="S30" s="229">
        <f ca="1">'Balance Sheet'!Y15</f>
        <v>178500.00000000003</v>
      </c>
      <c r="T30" s="229">
        <f ca="1">'Balance Sheet'!Z15</f>
        <v>336000</v>
      </c>
      <c r="U30" s="229">
        <f ca="1">'Balance Sheet'!AA15</f>
        <v>336000</v>
      </c>
      <c r="V30" s="229">
        <f ca="1">'Balance Sheet'!AB15</f>
        <v>189000.00000000006</v>
      </c>
      <c r="W30" s="229">
        <f ca="1">'Balance Sheet'!AC15</f>
        <v>189000.00000000012</v>
      </c>
      <c r="X30" s="229">
        <f ca="1">'Balance Sheet'!AD15</f>
        <v>346500.00000000012</v>
      </c>
      <c r="Y30" s="229">
        <f ca="1">'Balance Sheet'!AE15</f>
        <v>346500.00000000006</v>
      </c>
      <c r="Z30" s="229">
        <f ca="1">'Balance Sheet'!AF15</f>
        <v>199500.00000000006</v>
      </c>
      <c r="AA30" s="229">
        <f ca="1">'Balance Sheet'!AG15</f>
        <v>357000.00000000012</v>
      </c>
      <c r="AB30" s="229">
        <f ca="1">'Balance Sheet'!AH15</f>
        <v>357000.00000000012</v>
      </c>
      <c r="AC30" s="229">
        <f ca="1">'Balance Sheet'!AI15</f>
        <v>514500.00000000012</v>
      </c>
      <c r="AD30" s="229">
        <f ca="1">'Balance Sheet'!AJ15</f>
        <v>367500.00000000012</v>
      </c>
      <c r="AE30" s="229">
        <f ca="1">'Balance Sheet'!AK15</f>
        <v>367500.00000000012</v>
      </c>
      <c r="AF30" s="229">
        <f ca="1">'Balance Sheet'!AL15</f>
        <v>525000.00000000012</v>
      </c>
      <c r="AG30" s="229">
        <f ca="1">'Balance Sheet'!AM15</f>
        <v>378000.00000000006</v>
      </c>
      <c r="AH30" s="229">
        <f ca="1">'Balance Sheet'!AN15</f>
        <v>378000.00000000012</v>
      </c>
      <c r="AI30" s="229">
        <f ca="1">'Balance Sheet'!AO15</f>
        <v>388500.00000000012</v>
      </c>
      <c r="AJ30" s="229">
        <f ca="1">'Balance Sheet'!AP15</f>
        <v>388500.00000000012</v>
      </c>
      <c r="AK30" s="229">
        <f ca="1">'Balance Sheet'!AQ15</f>
        <v>546000.00000000012</v>
      </c>
      <c r="AL30" s="229">
        <f ca="1">'Balance Sheet'!AR15</f>
        <v>399000.00000000017</v>
      </c>
      <c r="AM30" s="229">
        <f ca="1">'Balance Sheet'!AS15</f>
        <v>556500.00000000023</v>
      </c>
      <c r="AN30" s="229">
        <f ca="1">'Balance Sheet'!AT15</f>
        <v>714000.00000000023</v>
      </c>
      <c r="AO30" s="229">
        <f ca="1">'Balance Sheet'!AU15</f>
        <v>567000.00000000023</v>
      </c>
      <c r="AP30" s="229">
        <f ca="1">'Balance Sheet'!AV15</f>
        <v>724500.00000000023</v>
      </c>
      <c r="AQ30" s="229">
        <f ca="1">'Balance Sheet'!AW15</f>
        <v>735000.00000000035</v>
      </c>
      <c r="AR30" s="229">
        <f ca="1">'Balance Sheet'!AX15</f>
        <v>735000.00000000023</v>
      </c>
      <c r="AS30" s="229">
        <f ca="1">'Balance Sheet'!AY15</f>
        <v>745500.00000000023</v>
      </c>
      <c r="AT30" s="229">
        <f ca="1">'Balance Sheet'!AZ15</f>
        <v>756000.00000000035</v>
      </c>
      <c r="AU30" s="229">
        <f ca="1">'Balance Sheet'!BA15</f>
        <v>913500.00000000023</v>
      </c>
      <c r="AV30" s="229">
        <f ca="1">'Balance Sheet'!BB15</f>
        <v>924000.00000000012</v>
      </c>
      <c r="AW30" s="229">
        <f ca="1">'Balance Sheet'!BC15</f>
        <v>934500</v>
      </c>
      <c r="AX30" s="229">
        <f ca="1">'Balance Sheet'!BD15</f>
        <v>1092000</v>
      </c>
      <c r="AY30" s="229">
        <f ca="1">'Balance Sheet'!BE15</f>
        <v>1102500</v>
      </c>
      <c r="AZ30" s="229">
        <f ca="1">'Balance Sheet'!BF15</f>
        <v>1113000</v>
      </c>
      <c r="BA30" s="229">
        <f ca="1">'Balance Sheet'!BG15</f>
        <v>1123500</v>
      </c>
      <c r="BB30" s="229">
        <f ca="1">'Balance Sheet'!BH15</f>
        <v>1134000</v>
      </c>
      <c r="BC30" s="229">
        <f ca="1">'Balance Sheet'!BI15</f>
        <v>1144500</v>
      </c>
      <c r="BD30" s="229">
        <f ca="1">'Balance Sheet'!BJ15</f>
        <v>1155000</v>
      </c>
      <c r="BE30" s="229">
        <f ca="1">'Balance Sheet'!BK15</f>
        <v>1165500.0000000002</v>
      </c>
      <c r="BF30" s="229">
        <f ca="1">'Balance Sheet'!BL15</f>
        <v>1176000.0000000005</v>
      </c>
      <c r="BG30" s="229">
        <f ca="1">'Balance Sheet'!BM15</f>
        <v>1186500.0000000007</v>
      </c>
      <c r="BH30" s="229">
        <f ca="1">'Balance Sheet'!BN15</f>
        <v>1197000.0000000009</v>
      </c>
      <c r="BI30" s="229">
        <f ca="1">'Balance Sheet'!BO15</f>
        <v>1207500.0000000009</v>
      </c>
      <c r="BJ30" s="229">
        <f ca="1">'Balance Sheet'!BP15</f>
        <v>1218000.0000000009</v>
      </c>
      <c r="BK30" s="229">
        <f ca="1">'Balance Sheet'!BQ15</f>
        <v>1228500.0000000012</v>
      </c>
      <c r="IR30" s="228"/>
    </row>
    <row r="31" spans="1:252" s="233" customFormat="1">
      <c r="A31" s="228"/>
      <c r="B31" s="228" t="str">
        <f>'Balance Sheet'!E16</f>
        <v>Supply Chain Finance balance</v>
      </c>
      <c r="C31" s="225"/>
      <c r="D31" s="229">
        <f ca="1">'Balance Sheet'!J16</f>
        <v>0</v>
      </c>
      <c r="E31" s="229">
        <f ca="1">'Balance Sheet'!K16</f>
        <v>0</v>
      </c>
      <c r="F31" s="229">
        <f ca="1">'Balance Sheet'!L16</f>
        <v>0</v>
      </c>
      <c r="G31" s="229">
        <f ca="1">'Balance Sheet'!M16</f>
        <v>0</v>
      </c>
      <c r="H31" s="229">
        <f ca="1">'Balance Sheet'!N16</f>
        <v>0</v>
      </c>
      <c r="I31" s="229">
        <f ca="1">'Balance Sheet'!O16</f>
        <v>0</v>
      </c>
      <c r="J31" s="229">
        <f ca="1">'Balance Sheet'!P16</f>
        <v>0</v>
      </c>
      <c r="K31" s="229">
        <f ca="1">'Balance Sheet'!Q16</f>
        <v>0</v>
      </c>
      <c r="L31" s="229">
        <f ca="1">'Balance Sheet'!R16</f>
        <v>0</v>
      </c>
      <c r="M31" s="229">
        <f ca="1">'Balance Sheet'!S16</f>
        <v>0</v>
      </c>
      <c r="N31" s="229">
        <f ca="1">'Balance Sheet'!T16</f>
        <v>0</v>
      </c>
      <c r="O31" s="229">
        <f ca="1">'Balance Sheet'!U16</f>
        <v>0</v>
      </c>
      <c r="P31" s="229">
        <f ca="1">'Balance Sheet'!V16</f>
        <v>0</v>
      </c>
      <c r="Q31" s="229">
        <f ca="1">'Balance Sheet'!W16</f>
        <v>0</v>
      </c>
      <c r="R31" s="229">
        <f ca="1">'Balance Sheet'!X16</f>
        <v>0</v>
      </c>
      <c r="S31" s="229">
        <f ca="1">'Balance Sheet'!Y16</f>
        <v>0</v>
      </c>
      <c r="T31" s="229">
        <f ca="1">'Balance Sheet'!Z16</f>
        <v>0</v>
      </c>
      <c r="U31" s="229">
        <f ca="1">'Balance Sheet'!AA16</f>
        <v>0</v>
      </c>
      <c r="V31" s="229">
        <f ca="1">'Balance Sheet'!AB16</f>
        <v>0</v>
      </c>
      <c r="W31" s="229">
        <f ca="1">'Balance Sheet'!AC16</f>
        <v>0</v>
      </c>
      <c r="X31" s="229">
        <f ca="1">'Balance Sheet'!AD16</f>
        <v>0</v>
      </c>
      <c r="Y31" s="229">
        <f ca="1">'Balance Sheet'!AE16</f>
        <v>0</v>
      </c>
      <c r="Z31" s="229">
        <f ca="1">'Balance Sheet'!AF16</f>
        <v>0</v>
      </c>
      <c r="AA31" s="229">
        <f ca="1">'Balance Sheet'!AG16</f>
        <v>0</v>
      </c>
      <c r="AB31" s="229">
        <f ca="1">'Balance Sheet'!AH16</f>
        <v>0</v>
      </c>
      <c r="AC31" s="229">
        <f ca="1">'Balance Sheet'!AI16</f>
        <v>0</v>
      </c>
      <c r="AD31" s="229">
        <f ca="1">'Balance Sheet'!AJ16</f>
        <v>0</v>
      </c>
      <c r="AE31" s="229">
        <f ca="1">'Balance Sheet'!AK16</f>
        <v>0</v>
      </c>
      <c r="AF31" s="229">
        <f ca="1">'Balance Sheet'!AL16</f>
        <v>0</v>
      </c>
      <c r="AG31" s="229">
        <f ca="1">'Balance Sheet'!AM16</f>
        <v>0</v>
      </c>
      <c r="AH31" s="229">
        <f ca="1">'Balance Sheet'!AN16</f>
        <v>0</v>
      </c>
      <c r="AI31" s="229">
        <f ca="1">'Balance Sheet'!AO16</f>
        <v>0</v>
      </c>
      <c r="AJ31" s="229">
        <f ca="1">'Balance Sheet'!AP16</f>
        <v>0</v>
      </c>
      <c r="AK31" s="229">
        <f ca="1">'Balance Sheet'!AQ16</f>
        <v>0</v>
      </c>
      <c r="AL31" s="229">
        <f ca="1">'Balance Sheet'!AR16</f>
        <v>0</v>
      </c>
      <c r="AM31" s="229">
        <f ca="1">'Balance Sheet'!AS16</f>
        <v>0</v>
      </c>
      <c r="AN31" s="229">
        <f ca="1">'Balance Sheet'!AT16</f>
        <v>0</v>
      </c>
      <c r="AO31" s="229">
        <f ca="1">'Balance Sheet'!AU16</f>
        <v>0</v>
      </c>
      <c r="AP31" s="229">
        <f ca="1">'Balance Sheet'!AV16</f>
        <v>0</v>
      </c>
      <c r="AQ31" s="229">
        <f ca="1">'Balance Sheet'!AW16</f>
        <v>0</v>
      </c>
      <c r="AR31" s="229">
        <f ca="1">'Balance Sheet'!AX16</f>
        <v>0</v>
      </c>
      <c r="AS31" s="229">
        <f ca="1">'Balance Sheet'!AY16</f>
        <v>0</v>
      </c>
      <c r="AT31" s="229">
        <f ca="1">'Balance Sheet'!AZ16</f>
        <v>0</v>
      </c>
      <c r="AU31" s="229">
        <f ca="1">'Balance Sheet'!BA16</f>
        <v>0</v>
      </c>
      <c r="AV31" s="229">
        <f ca="1">'Balance Sheet'!BB16</f>
        <v>0</v>
      </c>
      <c r="AW31" s="229">
        <f ca="1">'Balance Sheet'!BC16</f>
        <v>0</v>
      </c>
      <c r="AX31" s="229">
        <f ca="1">'Balance Sheet'!BD16</f>
        <v>0</v>
      </c>
      <c r="AY31" s="229">
        <f ca="1">'Balance Sheet'!BE16</f>
        <v>0</v>
      </c>
      <c r="AZ31" s="229">
        <f ca="1">'Balance Sheet'!BF16</f>
        <v>0</v>
      </c>
      <c r="BA31" s="229">
        <f ca="1">'Balance Sheet'!BG16</f>
        <v>0</v>
      </c>
      <c r="BB31" s="229">
        <f ca="1">'Balance Sheet'!BH16</f>
        <v>0</v>
      </c>
      <c r="BC31" s="229">
        <f ca="1">'Balance Sheet'!BI16</f>
        <v>0</v>
      </c>
      <c r="BD31" s="229">
        <f ca="1">'Balance Sheet'!BJ16</f>
        <v>0</v>
      </c>
      <c r="BE31" s="229">
        <f ca="1">'Balance Sheet'!BK16</f>
        <v>0</v>
      </c>
      <c r="BF31" s="229">
        <f ca="1">'Balance Sheet'!BL16</f>
        <v>0</v>
      </c>
      <c r="BG31" s="229">
        <f ca="1">'Balance Sheet'!BM16</f>
        <v>0</v>
      </c>
      <c r="BH31" s="229">
        <f ca="1">'Balance Sheet'!BN16</f>
        <v>0</v>
      </c>
      <c r="BI31" s="229">
        <f ca="1">'Balance Sheet'!BO16</f>
        <v>0</v>
      </c>
      <c r="BJ31" s="229">
        <f ca="1">'Balance Sheet'!BP16</f>
        <v>0</v>
      </c>
      <c r="BK31" s="229">
        <f ca="1">'Balance Sheet'!BQ16</f>
        <v>0</v>
      </c>
      <c r="BL31" s="228"/>
      <c r="BM31" s="228"/>
      <c r="BN31" s="228"/>
      <c r="BO31" s="228"/>
      <c r="BP31" s="228"/>
      <c r="BQ31" s="228"/>
      <c r="BR31" s="228"/>
      <c r="BS31" s="228"/>
      <c r="BT31" s="228"/>
      <c r="BU31" s="228"/>
      <c r="BV31" s="228"/>
      <c r="BW31" s="228"/>
      <c r="BX31" s="228"/>
      <c r="BY31" s="228"/>
      <c r="BZ31" s="228"/>
      <c r="CA31" s="228"/>
      <c r="CB31" s="228"/>
      <c r="CC31" s="228"/>
      <c r="CD31" s="228"/>
      <c r="CE31" s="228"/>
      <c r="CF31" s="228"/>
      <c r="CG31" s="228"/>
      <c r="CH31" s="228"/>
      <c r="CI31" s="228"/>
      <c r="CJ31" s="228"/>
      <c r="CK31" s="228"/>
      <c r="CL31" s="228"/>
      <c r="CM31" s="228"/>
      <c r="CN31" s="228"/>
      <c r="CO31" s="228"/>
      <c r="CP31" s="228"/>
      <c r="CQ31" s="228"/>
      <c r="CR31" s="228"/>
      <c r="CS31" s="228"/>
      <c r="CT31" s="228"/>
      <c r="CU31" s="228"/>
      <c r="CV31" s="228"/>
      <c r="CW31" s="228"/>
      <c r="CX31" s="228"/>
      <c r="CY31" s="228"/>
      <c r="CZ31" s="228"/>
      <c r="DA31" s="228"/>
      <c r="DB31" s="228"/>
      <c r="DC31" s="228"/>
      <c r="DD31" s="228"/>
      <c r="DE31" s="228"/>
      <c r="DF31" s="228"/>
      <c r="DG31" s="228"/>
      <c r="DH31" s="228"/>
      <c r="DI31" s="228"/>
      <c r="DJ31" s="228"/>
      <c r="DK31" s="228"/>
      <c r="DL31" s="228"/>
      <c r="DM31" s="228"/>
      <c r="DN31" s="228"/>
      <c r="DO31" s="228"/>
      <c r="DP31" s="228"/>
      <c r="DQ31" s="228"/>
      <c r="DR31" s="228"/>
      <c r="DS31" s="228"/>
      <c r="DT31" s="228"/>
      <c r="DU31" s="228"/>
      <c r="DV31" s="228"/>
      <c r="DW31" s="228"/>
      <c r="DX31" s="228"/>
      <c r="DY31" s="228"/>
      <c r="DZ31" s="228"/>
      <c r="EA31" s="228"/>
      <c r="EB31" s="228"/>
      <c r="EC31" s="228"/>
      <c r="ED31" s="228"/>
      <c r="EE31" s="228"/>
      <c r="EF31" s="228"/>
      <c r="EG31" s="228"/>
      <c r="EH31" s="228"/>
      <c r="EI31" s="228"/>
      <c r="EJ31" s="228"/>
      <c r="EK31" s="228"/>
      <c r="EL31" s="228"/>
      <c r="EM31" s="228"/>
      <c r="EN31" s="228"/>
      <c r="EO31" s="228"/>
      <c r="EP31" s="228"/>
      <c r="EQ31" s="228"/>
      <c r="ER31" s="228"/>
      <c r="ES31" s="228"/>
      <c r="ET31" s="228"/>
      <c r="EU31" s="228"/>
      <c r="EV31" s="228"/>
      <c r="EW31" s="228"/>
      <c r="EX31" s="228"/>
      <c r="EY31" s="228"/>
      <c r="EZ31" s="228"/>
      <c r="FA31" s="228"/>
      <c r="FB31" s="228"/>
      <c r="FC31" s="228"/>
      <c r="FD31" s="228"/>
      <c r="FE31" s="228"/>
      <c r="FF31" s="228"/>
      <c r="FG31" s="228"/>
      <c r="FH31" s="228"/>
      <c r="FI31" s="228"/>
      <c r="FJ31" s="228"/>
      <c r="FK31" s="228"/>
      <c r="FL31" s="228"/>
      <c r="FM31" s="228"/>
      <c r="FN31" s="228"/>
      <c r="FO31" s="228"/>
      <c r="FP31" s="228"/>
      <c r="FQ31" s="228"/>
      <c r="FR31" s="228"/>
      <c r="FS31" s="228"/>
      <c r="FT31" s="228"/>
      <c r="FU31" s="228"/>
      <c r="FV31" s="228"/>
      <c r="FW31" s="228"/>
      <c r="FX31" s="228"/>
      <c r="FY31" s="228"/>
      <c r="FZ31" s="228"/>
      <c r="GA31" s="228"/>
      <c r="GB31" s="228"/>
      <c r="GC31" s="228"/>
      <c r="GD31" s="228"/>
      <c r="GE31" s="228"/>
      <c r="GF31" s="228"/>
      <c r="GG31" s="228"/>
      <c r="GH31" s="228"/>
      <c r="GI31" s="228"/>
      <c r="GJ31" s="228"/>
      <c r="GK31" s="228"/>
      <c r="GL31" s="228"/>
      <c r="GM31" s="228"/>
      <c r="GN31" s="228"/>
      <c r="GO31" s="228"/>
      <c r="GP31" s="228"/>
      <c r="GQ31" s="228"/>
      <c r="GR31" s="228"/>
      <c r="GS31" s="228"/>
      <c r="GT31" s="228"/>
      <c r="GU31" s="228"/>
      <c r="GV31" s="228"/>
      <c r="GW31" s="228"/>
      <c r="GX31" s="228"/>
      <c r="GY31" s="228"/>
      <c r="GZ31" s="228"/>
      <c r="HA31" s="228"/>
      <c r="HB31" s="228"/>
      <c r="HC31" s="228"/>
      <c r="HD31" s="228"/>
      <c r="HE31" s="228"/>
      <c r="HF31" s="228"/>
      <c r="HG31" s="228"/>
      <c r="HH31" s="228"/>
      <c r="HI31" s="228"/>
      <c r="HJ31" s="228"/>
      <c r="HK31" s="228"/>
      <c r="HL31" s="228"/>
      <c r="HM31" s="228"/>
      <c r="HN31" s="228"/>
      <c r="HO31" s="228"/>
      <c r="HP31" s="228"/>
      <c r="HQ31" s="228"/>
      <c r="HR31" s="228"/>
      <c r="HS31" s="228"/>
      <c r="HT31" s="228"/>
      <c r="HU31" s="228"/>
      <c r="HV31" s="228"/>
      <c r="HW31" s="228"/>
      <c r="HX31" s="228"/>
      <c r="HY31" s="228"/>
      <c r="HZ31" s="228"/>
      <c r="IA31" s="228"/>
      <c r="IB31" s="228"/>
      <c r="IC31" s="228"/>
      <c r="ID31" s="228"/>
      <c r="IE31" s="228"/>
      <c r="IF31" s="228"/>
      <c r="IG31" s="228"/>
      <c r="IH31" s="228"/>
      <c r="II31" s="228"/>
      <c r="IJ31" s="228"/>
      <c r="IK31" s="228"/>
      <c r="IL31" s="228"/>
      <c r="IM31" s="228"/>
      <c r="IN31" s="228"/>
      <c r="IO31" s="228"/>
      <c r="IP31" s="228"/>
      <c r="IQ31" s="228"/>
      <c r="IR31" s="228"/>
    </row>
    <row r="32" spans="1:252">
      <c r="B32" s="228" t="str">
        <f>'Balance Sheet'!E17</f>
        <v>Invoice finance balance</v>
      </c>
      <c r="C32" s="225"/>
      <c r="D32" s="229">
        <f ca="1">'Balance Sheet'!J17</f>
        <v>0</v>
      </c>
      <c r="E32" s="229">
        <f ca="1">'Balance Sheet'!K17</f>
        <v>0</v>
      </c>
      <c r="F32" s="229">
        <f ca="1">'Balance Sheet'!L17</f>
        <v>0</v>
      </c>
      <c r="G32" s="229">
        <f ca="1">'Balance Sheet'!M17</f>
        <v>0</v>
      </c>
      <c r="H32" s="229">
        <f ca="1">'Balance Sheet'!N17</f>
        <v>0</v>
      </c>
      <c r="I32" s="229">
        <f ca="1">'Balance Sheet'!O17</f>
        <v>0</v>
      </c>
      <c r="J32" s="229">
        <f ca="1">'Balance Sheet'!P17</f>
        <v>0</v>
      </c>
      <c r="K32" s="229">
        <f ca="1">'Balance Sheet'!Q17</f>
        <v>0</v>
      </c>
      <c r="L32" s="229">
        <f ca="1">'Balance Sheet'!R17</f>
        <v>0</v>
      </c>
      <c r="M32" s="229">
        <f ca="1">'Balance Sheet'!S17</f>
        <v>0</v>
      </c>
      <c r="N32" s="229">
        <f ca="1">'Balance Sheet'!T17</f>
        <v>0</v>
      </c>
      <c r="O32" s="229">
        <f ca="1">'Balance Sheet'!U17</f>
        <v>0</v>
      </c>
      <c r="P32" s="229">
        <f ca="1">'Balance Sheet'!V17</f>
        <v>0</v>
      </c>
      <c r="Q32" s="229">
        <f ca="1">'Balance Sheet'!W17</f>
        <v>0</v>
      </c>
      <c r="R32" s="229">
        <f ca="1">'Balance Sheet'!X17</f>
        <v>0</v>
      </c>
      <c r="S32" s="229">
        <f ca="1">'Balance Sheet'!Y17</f>
        <v>0</v>
      </c>
      <c r="T32" s="229">
        <f ca="1">'Balance Sheet'!Z17</f>
        <v>0</v>
      </c>
      <c r="U32" s="229">
        <f ca="1">'Balance Sheet'!AA17</f>
        <v>0</v>
      </c>
      <c r="V32" s="229">
        <f ca="1">'Balance Sheet'!AB17</f>
        <v>0</v>
      </c>
      <c r="W32" s="229">
        <f ca="1">'Balance Sheet'!AC17</f>
        <v>0</v>
      </c>
      <c r="X32" s="229">
        <f ca="1">'Balance Sheet'!AD17</f>
        <v>0</v>
      </c>
      <c r="Y32" s="229">
        <f ca="1">'Balance Sheet'!AE17</f>
        <v>0</v>
      </c>
      <c r="Z32" s="229">
        <f ca="1">'Balance Sheet'!AF17</f>
        <v>0</v>
      </c>
      <c r="AA32" s="229">
        <f ca="1">'Balance Sheet'!AG17</f>
        <v>0</v>
      </c>
      <c r="AB32" s="229">
        <f ca="1">'Balance Sheet'!AH17</f>
        <v>0</v>
      </c>
      <c r="AC32" s="229">
        <f ca="1">'Balance Sheet'!AI17</f>
        <v>0</v>
      </c>
      <c r="AD32" s="229">
        <f ca="1">'Balance Sheet'!AJ17</f>
        <v>0</v>
      </c>
      <c r="AE32" s="229">
        <f ca="1">'Balance Sheet'!AK17</f>
        <v>0</v>
      </c>
      <c r="AF32" s="229">
        <f ca="1">'Balance Sheet'!AL17</f>
        <v>0</v>
      </c>
      <c r="AG32" s="229">
        <f ca="1">'Balance Sheet'!AM17</f>
        <v>0</v>
      </c>
      <c r="AH32" s="229">
        <f ca="1">'Balance Sheet'!AN17</f>
        <v>0</v>
      </c>
      <c r="AI32" s="229">
        <f ca="1">'Balance Sheet'!AO17</f>
        <v>0</v>
      </c>
      <c r="AJ32" s="229">
        <f ca="1">'Balance Sheet'!AP17</f>
        <v>0</v>
      </c>
      <c r="AK32" s="229">
        <f ca="1">'Balance Sheet'!AQ17</f>
        <v>0</v>
      </c>
      <c r="AL32" s="229">
        <f ca="1">'Balance Sheet'!AR17</f>
        <v>0</v>
      </c>
      <c r="AM32" s="229">
        <f ca="1">'Balance Sheet'!AS17</f>
        <v>0</v>
      </c>
      <c r="AN32" s="229">
        <f ca="1">'Balance Sheet'!AT17</f>
        <v>0</v>
      </c>
      <c r="AO32" s="229">
        <f ca="1">'Balance Sheet'!AU17</f>
        <v>0</v>
      </c>
      <c r="AP32" s="229">
        <f ca="1">'Balance Sheet'!AV17</f>
        <v>0</v>
      </c>
      <c r="AQ32" s="229">
        <f ca="1">'Balance Sheet'!AW17</f>
        <v>0</v>
      </c>
      <c r="AR32" s="229">
        <f ca="1">'Balance Sheet'!AX17</f>
        <v>0</v>
      </c>
      <c r="AS32" s="229">
        <f ca="1">'Balance Sheet'!AY17</f>
        <v>0</v>
      </c>
      <c r="AT32" s="229">
        <f ca="1">'Balance Sheet'!AZ17</f>
        <v>0</v>
      </c>
      <c r="AU32" s="229">
        <f ca="1">'Balance Sheet'!BA17</f>
        <v>0</v>
      </c>
      <c r="AV32" s="229">
        <f ca="1">'Balance Sheet'!BB17</f>
        <v>0</v>
      </c>
      <c r="AW32" s="229">
        <f ca="1">'Balance Sheet'!BC17</f>
        <v>0</v>
      </c>
      <c r="AX32" s="229">
        <f ca="1">'Balance Sheet'!BD17</f>
        <v>0</v>
      </c>
      <c r="AY32" s="229">
        <f ca="1">'Balance Sheet'!BE17</f>
        <v>0</v>
      </c>
      <c r="AZ32" s="229">
        <f ca="1">'Balance Sheet'!BF17</f>
        <v>0</v>
      </c>
      <c r="BA32" s="229">
        <f ca="1">'Balance Sheet'!BG17</f>
        <v>0</v>
      </c>
      <c r="BB32" s="229">
        <f ca="1">'Balance Sheet'!BH17</f>
        <v>0</v>
      </c>
      <c r="BC32" s="229">
        <f ca="1">'Balance Sheet'!BI17</f>
        <v>0</v>
      </c>
      <c r="BD32" s="229">
        <f ca="1">'Balance Sheet'!BJ17</f>
        <v>0</v>
      </c>
      <c r="BE32" s="229">
        <f ca="1">'Balance Sheet'!BK17</f>
        <v>0</v>
      </c>
      <c r="BF32" s="229">
        <f ca="1">'Balance Sheet'!BL17</f>
        <v>0</v>
      </c>
      <c r="BG32" s="229">
        <f ca="1">'Balance Sheet'!BM17</f>
        <v>0</v>
      </c>
      <c r="BH32" s="229">
        <f ca="1">'Balance Sheet'!BN17</f>
        <v>0</v>
      </c>
      <c r="BI32" s="229">
        <f ca="1">'Balance Sheet'!BO17</f>
        <v>0</v>
      </c>
      <c r="BJ32" s="229">
        <f ca="1">'Balance Sheet'!BP17</f>
        <v>0</v>
      </c>
      <c r="BK32" s="229">
        <f ca="1">'Balance Sheet'!BQ17</f>
        <v>0</v>
      </c>
      <c r="BL32" s="235"/>
      <c r="BM32" s="235"/>
      <c r="BN32" s="235"/>
      <c r="BO32" s="235"/>
      <c r="BP32" s="235"/>
      <c r="BQ32" s="235"/>
      <c r="BR32" s="235"/>
      <c r="BS32" s="230"/>
      <c r="BT32" s="230"/>
      <c r="BU32" s="230"/>
      <c r="BV32" s="230"/>
      <c r="BW32" s="230"/>
      <c r="BX32" s="230"/>
      <c r="BY32" s="230"/>
      <c r="BZ32" s="230"/>
      <c r="CA32" s="230"/>
      <c r="CB32" s="230"/>
      <c r="CC32" s="230"/>
      <c r="CD32" s="230"/>
      <c r="CE32" s="230"/>
      <c r="CF32" s="230"/>
      <c r="CG32" s="230"/>
      <c r="CH32" s="230"/>
      <c r="CI32" s="230"/>
      <c r="CJ32" s="230"/>
      <c r="CK32" s="230"/>
      <c r="CL32" s="230"/>
      <c r="CM32" s="230"/>
      <c r="CN32" s="230"/>
      <c r="CO32" s="230"/>
      <c r="CP32" s="230"/>
      <c r="CQ32" s="230"/>
      <c r="CR32" s="230"/>
      <c r="CS32" s="230"/>
      <c r="CT32" s="230"/>
      <c r="CU32" s="230"/>
      <c r="CV32" s="230"/>
      <c r="CW32" s="230"/>
      <c r="CX32" s="230"/>
      <c r="CY32" s="230"/>
      <c r="CZ32" s="230"/>
      <c r="DA32" s="230"/>
      <c r="DB32" s="230"/>
      <c r="DC32" s="230"/>
      <c r="DD32" s="230"/>
      <c r="DE32" s="230"/>
      <c r="DF32" s="230"/>
      <c r="DG32" s="230"/>
      <c r="DH32" s="230"/>
      <c r="DI32" s="230"/>
      <c r="DJ32" s="230"/>
      <c r="DK32" s="230"/>
      <c r="DL32" s="230"/>
      <c r="DM32" s="230"/>
      <c r="DN32" s="230"/>
      <c r="DO32" s="230"/>
      <c r="DP32" s="230"/>
      <c r="DQ32" s="230"/>
      <c r="DR32" s="230"/>
      <c r="DS32" s="230"/>
      <c r="DT32" s="230"/>
      <c r="DU32" s="230"/>
      <c r="DV32" s="230"/>
      <c r="DW32" s="230"/>
      <c r="DX32" s="230"/>
      <c r="DY32" s="230"/>
      <c r="DZ32" s="230"/>
      <c r="EA32" s="230"/>
      <c r="EB32" s="230"/>
      <c r="EC32" s="230"/>
      <c r="ED32" s="230"/>
      <c r="EE32" s="230"/>
      <c r="EF32" s="230"/>
      <c r="EG32" s="230"/>
      <c r="EH32" s="230"/>
      <c r="EI32" s="230"/>
      <c r="EJ32" s="230"/>
      <c r="EK32" s="230"/>
      <c r="EL32" s="230"/>
      <c r="EM32" s="230"/>
      <c r="EN32" s="230"/>
      <c r="EO32" s="230"/>
      <c r="EP32" s="230"/>
      <c r="EQ32" s="230"/>
      <c r="ER32" s="230"/>
      <c r="ES32" s="230"/>
      <c r="ET32" s="230"/>
      <c r="EU32" s="230"/>
      <c r="EV32" s="230"/>
      <c r="EW32" s="230"/>
      <c r="EX32" s="230"/>
      <c r="EY32" s="230"/>
      <c r="EZ32" s="230"/>
      <c r="FA32" s="230"/>
      <c r="FB32" s="230"/>
      <c r="FC32" s="230"/>
      <c r="FD32" s="230"/>
      <c r="FE32" s="230"/>
      <c r="FF32" s="230"/>
      <c r="FG32" s="230"/>
      <c r="FH32" s="230"/>
      <c r="FI32" s="230"/>
      <c r="FJ32" s="230"/>
      <c r="FK32" s="230"/>
      <c r="FL32" s="230"/>
      <c r="FM32" s="230"/>
      <c r="FN32" s="230"/>
      <c r="FO32" s="230"/>
      <c r="FP32" s="230"/>
      <c r="FQ32" s="230"/>
      <c r="FR32" s="230"/>
      <c r="FS32" s="230"/>
      <c r="FT32" s="230"/>
      <c r="FU32" s="230"/>
      <c r="FV32" s="230"/>
      <c r="FW32" s="230"/>
      <c r="FX32" s="230"/>
      <c r="FY32" s="230"/>
      <c r="FZ32" s="230"/>
      <c r="GA32" s="230"/>
      <c r="GB32" s="230"/>
      <c r="GC32" s="230"/>
      <c r="GD32" s="230"/>
      <c r="GE32" s="230"/>
      <c r="GF32" s="230"/>
      <c r="GG32" s="230"/>
      <c r="GH32" s="230"/>
      <c r="GI32" s="230"/>
      <c r="GJ32" s="230"/>
      <c r="GK32" s="230"/>
      <c r="GL32" s="230"/>
      <c r="GM32" s="230"/>
      <c r="GN32" s="230"/>
      <c r="GO32" s="230"/>
      <c r="GP32" s="230"/>
      <c r="GQ32" s="230"/>
      <c r="GR32" s="230"/>
      <c r="GS32" s="230"/>
      <c r="GT32" s="230"/>
      <c r="GU32" s="230"/>
      <c r="GV32" s="230"/>
      <c r="GW32" s="230"/>
      <c r="GX32" s="230"/>
      <c r="GY32" s="230"/>
      <c r="GZ32" s="230"/>
      <c r="HA32" s="230"/>
      <c r="HB32" s="230"/>
      <c r="HC32" s="230"/>
      <c r="HD32" s="230"/>
      <c r="HE32" s="230"/>
      <c r="HF32" s="230"/>
      <c r="HG32" s="230"/>
      <c r="HH32" s="230"/>
      <c r="HI32" s="230"/>
      <c r="HJ32" s="230"/>
      <c r="HK32" s="230"/>
      <c r="HL32" s="230"/>
      <c r="HM32" s="230"/>
      <c r="HN32" s="230"/>
      <c r="HO32" s="230"/>
      <c r="HP32" s="230"/>
      <c r="HQ32" s="230"/>
      <c r="HR32" s="230"/>
      <c r="HS32" s="230"/>
      <c r="HT32" s="230"/>
      <c r="HU32" s="230"/>
      <c r="HV32" s="230"/>
      <c r="HW32" s="230"/>
      <c r="HX32" s="230"/>
      <c r="HY32" s="230"/>
      <c r="HZ32" s="230"/>
      <c r="IA32" s="230"/>
      <c r="IB32" s="230"/>
      <c r="IC32" s="230"/>
      <c r="ID32" s="230"/>
      <c r="IE32" s="230"/>
      <c r="IF32" s="230"/>
      <c r="IG32" s="230"/>
      <c r="IH32" s="230"/>
      <c r="II32" s="230"/>
      <c r="IJ32" s="230"/>
      <c r="IK32" s="230"/>
      <c r="IL32" s="230"/>
      <c r="IM32" s="230"/>
      <c r="IN32" s="230"/>
      <c r="IO32" s="230"/>
      <c r="IP32" s="230"/>
      <c r="IQ32" s="230"/>
      <c r="IR32" s="230"/>
    </row>
    <row r="33" spans="1:252" s="233" customFormat="1">
      <c r="A33" s="224"/>
      <c r="B33" s="228" t="str">
        <f>'Balance Sheet'!E18</f>
        <v>Asset Finance balance</v>
      </c>
      <c r="C33" s="225"/>
      <c r="D33" s="229">
        <f ca="1">'Balance Sheet'!J18</f>
        <v>0</v>
      </c>
      <c r="E33" s="229">
        <f ca="1">'Balance Sheet'!K18</f>
        <v>0</v>
      </c>
      <c r="F33" s="229">
        <f ca="1">'Balance Sheet'!L18</f>
        <v>0</v>
      </c>
      <c r="G33" s="229">
        <f ca="1">'Balance Sheet'!M18</f>
        <v>0</v>
      </c>
      <c r="H33" s="229">
        <f ca="1">'Balance Sheet'!N18</f>
        <v>0</v>
      </c>
      <c r="I33" s="229">
        <f ca="1">'Balance Sheet'!O18</f>
        <v>0</v>
      </c>
      <c r="J33" s="229">
        <f ca="1">'Balance Sheet'!P18</f>
        <v>0</v>
      </c>
      <c r="K33" s="229">
        <f ca="1">'Balance Sheet'!Q18</f>
        <v>0</v>
      </c>
      <c r="L33" s="229">
        <f ca="1">'Balance Sheet'!R18</f>
        <v>0</v>
      </c>
      <c r="M33" s="229">
        <f ca="1">'Balance Sheet'!S18</f>
        <v>0</v>
      </c>
      <c r="N33" s="229">
        <f ca="1">'Balance Sheet'!T18</f>
        <v>0</v>
      </c>
      <c r="O33" s="229">
        <f ca="1">'Balance Sheet'!U18</f>
        <v>0</v>
      </c>
      <c r="P33" s="229">
        <f ca="1">'Balance Sheet'!V18</f>
        <v>0</v>
      </c>
      <c r="Q33" s="229">
        <f ca="1">'Balance Sheet'!W18</f>
        <v>0</v>
      </c>
      <c r="R33" s="229">
        <f ca="1">'Balance Sheet'!X18</f>
        <v>0</v>
      </c>
      <c r="S33" s="229">
        <f ca="1">'Balance Sheet'!Y18</f>
        <v>0</v>
      </c>
      <c r="T33" s="229">
        <f ca="1">'Balance Sheet'!Z18</f>
        <v>0</v>
      </c>
      <c r="U33" s="229">
        <f ca="1">'Balance Sheet'!AA18</f>
        <v>0</v>
      </c>
      <c r="V33" s="229">
        <f ca="1">'Balance Sheet'!AB18</f>
        <v>0</v>
      </c>
      <c r="W33" s="229">
        <f ca="1">'Balance Sheet'!AC18</f>
        <v>0</v>
      </c>
      <c r="X33" s="229">
        <f ca="1">'Balance Sheet'!AD18</f>
        <v>0</v>
      </c>
      <c r="Y33" s="229">
        <f ca="1">'Balance Sheet'!AE18</f>
        <v>0</v>
      </c>
      <c r="Z33" s="229">
        <f ca="1">'Balance Sheet'!AF18</f>
        <v>0</v>
      </c>
      <c r="AA33" s="229">
        <f ca="1">'Balance Sheet'!AG18</f>
        <v>0</v>
      </c>
      <c r="AB33" s="229">
        <f ca="1">'Balance Sheet'!AH18</f>
        <v>0</v>
      </c>
      <c r="AC33" s="229">
        <f ca="1">'Balance Sheet'!AI18</f>
        <v>0</v>
      </c>
      <c r="AD33" s="229">
        <f ca="1">'Balance Sheet'!AJ18</f>
        <v>0</v>
      </c>
      <c r="AE33" s="229">
        <f ca="1">'Balance Sheet'!AK18</f>
        <v>0</v>
      </c>
      <c r="AF33" s="229">
        <f ca="1">'Balance Sheet'!AL18</f>
        <v>0</v>
      </c>
      <c r="AG33" s="229">
        <f ca="1">'Balance Sheet'!AM18</f>
        <v>0</v>
      </c>
      <c r="AH33" s="229">
        <f ca="1">'Balance Sheet'!AN18</f>
        <v>0</v>
      </c>
      <c r="AI33" s="229">
        <f ca="1">'Balance Sheet'!AO18</f>
        <v>0</v>
      </c>
      <c r="AJ33" s="229">
        <f ca="1">'Balance Sheet'!AP18</f>
        <v>0</v>
      </c>
      <c r="AK33" s="229">
        <f ca="1">'Balance Sheet'!AQ18</f>
        <v>0</v>
      </c>
      <c r="AL33" s="229">
        <f ca="1">'Balance Sheet'!AR18</f>
        <v>0</v>
      </c>
      <c r="AM33" s="229">
        <f ca="1">'Balance Sheet'!AS18</f>
        <v>0</v>
      </c>
      <c r="AN33" s="229">
        <f ca="1">'Balance Sheet'!AT18</f>
        <v>0</v>
      </c>
      <c r="AO33" s="229">
        <f ca="1">'Balance Sheet'!AU18</f>
        <v>0</v>
      </c>
      <c r="AP33" s="229">
        <f ca="1">'Balance Sheet'!AV18</f>
        <v>0</v>
      </c>
      <c r="AQ33" s="229">
        <f ca="1">'Balance Sheet'!AW18</f>
        <v>0</v>
      </c>
      <c r="AR33" s="229">
        <f ca="1">'Balance Sheet'!AX18</f>
        <v>0</v>
      </c>
      <c r="AS33" s="229">
        <f ca="1">'Balance Sheet'!AY18</f>
        <v>0</v>
      </c>
      <c r="AT33" s="229">
        <f ca="1">'Balance Sheet'!AZ18</f>
        <v>0</v>
      </c>
      <c r="AU33" s="229">
        <f ca="1">'Balance Sheet'!BA18</f>
        <v>0</v>
      </c>
      <c r="AV33" s="229">
        <f ca="1">'Balance Sheet'!BB18</f>
        <v>0</v>
      </c>
      <c r="AW33" s="229">
        <f ca="1">'Balance Sheet'!BC18</f>
        <v>0</v>
      </c>
      <c r="AX33" s="229">
        <f ca="1">'Balance Sheet'!BD18</f>
        <v>0</v>
      </c>
      <c r="AY33" s="229">
        <f ca="1">'Balance Sheet'!BE18</f>
        <v>0</v>
      </c>
      <c r="AZ33" s="229">
        <f ca="1">'Balance Sheet'!BF18</f>
        <v>0</v>
      </c>
      <c r="BA33" s="229">
        <f ca="1">'Balance Sheet'!BG18</f>
        <v>0</v>
      </c>
      <c r="BB33" s="229">
        <f ca="1">'Balance Sheet'!BH18</f>
        <v>0</v>
      </c>
      <c r="BC33" s="229">
        <f ca="1">'Balance Sheet'!BI18</f>
        <v>0</v>
      </c>
      <c r="BD33" s="229">
        <f ca="1">'Balance Sheet'!BJ18</f>
        <v>0</v>
      </c>
      <c r="BE33" s="229">
        <f ca="1">'Balance Sheet'!BK18</f>
        <v>0</v>
      </c>
      <c r="BF33" s="229">
        <f ca="1">'Balance Sheet'!BL18</f>
        <v>0</v>
      </c>
      <c r="BG33" s="229">
        <f ca="1">'Balance Sheet'!BM18</f>
        <v>0</v>
      </c>
      <c r="BH33" s="229">
        <f ca="1">'Balance Sheet'!BN18</f>
        <v>0</v>
      </c>
      <c r="BI33" s="229">
        <f ca="1">'Balance Sheet'!BO18</f>
        <v>0</v>
      </c>
      <c r="BJ33" s="229">
        <f ca="1">'Balance Sheet'!BP18</f>
        <v>0</v>
      </c>
      <c r="BK33" s="229">
        <f ca="1">'Balance Sheet'!BQ18</f>
        <v>0</v>
      </c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  <c r="CO33" s="224"/>
      <c r="CP33" s="224"/>
      <c r="CQ33" s="224"/>
      <c r="CR33" s="224"/>
      <c r="CS33" s="224"/>
      <c r="CT33" s="224"/>
      <c r="CU33" s="224"/>
      <c r="CV33" s="224"/>
      <c r="CW33" s="224"/>
      <c r="CX33" s="224"/>
      <c r="CY33" s="224"/>
      <c r="CZ33" s="224"/>
      <c r="DA33" s="224"/>
      <c r="DB33" s="224"/>
      <c r="DC33" s="224"/>
      <c r="DD33" s="224"/>
      <c r="DE33" s="224"/>
      <c r="DF33" s="224"/>
      <c r="DG33" s="224"/>
      <c r="DH33" s="224"/>
      <c r="DI33" s="224"/>
      <c r="DJ33" s="224"/>
      <c r="DK33" s="224"/>
      <c r="DL33" s="224"/>
      <c r="DM33" s="224"/>
      <c r="DN33" s="224"/>
      <c r="DO33" s="224"/>
      <c r="DP33" s="224"/>
      <c r="DQ33" s="224"/>
      <c r="DR33" s="224"/>
      <c r="DS33" s="224"/>
      <c r="DT33" s="224"/>
      <c r="DU33" s="224"/>
      <c r="DV33" s="224"/>
      <c r="DW33" s="224"/>
      <c r="DX33" s="224"/>
      <c r="DY33" s="224"/>
      <c r="DZ33" s="224"/>
      <c r="EA33" s="224"/>
      <c r="EB33" s="224"/>
      <c r="EC33" s="224"/>
      <c r="ED33" s="224"/>
      <c r="EE33" s="224"/>
      <c r="EF33" s="224"/>
      <c r="EG33" s="224"/>
      <c r="EH33" s="224"/>
      <c r="EI33" s="224"/>
      <c r="EJ33" s="224"/>
      <c r="EK33" s="224"/>
      <c r="EL33" s="224"/>
      <c r="EM33" s="224"/>
      <c r="EN33" s="224"/>
      <c r="EO33" s="224"/>
      <c r="EP33" s="224"/>
      <c r="EQ33" s="224"/>
      <c r="ER33" s="224"/>
      <c r="ES33" s="224"/>
      <c r="ET33" s="224"/>
      <c r="EU33" s="224"/>
      <c r="EV33" s="224"/>
      <c r="EW33" s="224"/>
      <c r="EX33" s="224"/>
      <c r="EY33" s="224"/>
      <c r="EZ33" s="224"/>
      <c r="FA33" s="224"/>
      <c r="FB33" s="224"/>
      <c r="FC33" s="224"/>
      <c r="FD33" s="224"/>
      <c r="FE33" s="224"/>
      <c r="FF33" s="224"/>
      <c r="FG33" s="224"/>
      <c r="FH33" s="224"/>
      <c r="FI33" s="224"/>
      <c r="FJ33" s="224"/>
      <c r="FK33" s="224"/>
      <c r="FL33" s="224"/>
      <c r="FM33" s="224"/>
      <c r="FN33" s="224"/>
      <c r="FO33" s="224"/>
      <c r="FP33" s="224"/>
      <c r="FQ33" s="224"/>
      <c r="FR33" s="224"/>
      <c r="FS33" s="224"/>
      <c r="FT33" s="224"/>
      <c r="FU33" s="224"/>
      <c r="FV33" s="224"/>
      <c r="FW33" s="224"/>
      <c r="FX33" s="224"/>
      <c r="FY33" s="224"/>
      <c r="FZ33" s="224"/>
      <c r="GA33" s="224"/>
      <c r="GB33" s="224"/>
      <c r="GC33" s="224"/>
      <c r="GD33" s="224"/>
      <c r="GE33" s="224"/>
      <c r="GF33" s="224"/>
      <c r="GG33" s="224"/>
      <c r="GH33" s="224"/>
      <c r="GI33" s="224"/>
      <c r="GJ33" s="224"/>
      <c r="GK33" s="224"/>
      <c r="GL33" s="224"/>
      <c r="GM33" s="224"/>
      <c r="GN33" s="224"/>
      <c r="GO33" s="224"/>
      <c r="GP33" s="224"/>
      <c r="GQ33" s="224"/>
      <c r="GR33" s="224"/>
      <c r="GS33" s="224"/>
      <c r="GT33" s="224"/>
      <c r="GU33" s="224"/>
      <c r="GV33" s="224"/>
      <c r="GW33" s="224"/>
      <c r="GX33" s="224"/>
      <c r="GY33" s="224"/>
      <c r="GZ33" s="224"/>
      <c r="HA33" s="224"/>
      <c r="HB33" s="224"/>
      <c r="HC33" s="224"/>
      <c r="HD33" s="224"/>
      <c r="HE33" s="224"/>
      <c r="HF33" s="224"/>
      <c r="HG33" s="224"/>
      <c r="HH33" s="224"/>
      <c r="HI33" s="224"/>
      <c r="HJ33" s="224"/>
      <c r="HK33" s="224"/>
      <c r="HL33" s="224"/>
      <c r="HM33" s="224"/>
      <c r="HN33" s="224"/>
      <c r="HO33" s="224"/>
      <c r="HP33" s="224"/>
      <c r="HQ33" s="224"/>
      <c r="HR33" s="224"/>
      <c r="HS33" s="224"/>
      <c r="HT33" s="224"/>
      <c r="HU33" s="224"/>
      <c r="HV33" s="224"/>
      <c r="HW33" s="224"/>
      <c r="HX33" s="224"/>
      <c r="HY33" s="224"/>
      <c r="HZ33" s="224"/>
      <c r="IA33" s="224"/>
      <c r="IB33" s="224"/>
      <c r="IC33" s="224"/>
      <c r="ID33" s="224"/>
      <c r="IE33" s="224"/>
      <c r="IF33" s="224"/>
      <c r="IG33" s="224"/>
      <c r="IH33" s="224"/>
      <c r="II33" s="224"/>
      <c r="IJ33" s="224"/>
      <c r="IK33" s="224"/>
      <c r="IL33" s="224"/>
      <c r="IM33" s="224"/>
      <c r="IN33" s="224"/>
      <c r="IO33" s="224"/>
      <c r="IP33" s="224"/>
      <c r="IQ33" s="224"/>
      <c r="IR33" s="224"/>
    </row>
    <row r="34" spans="1:252">
      <c r="B34" s="228" t="str">
        <f>'Balance Sheet'!E19</f>
        <v>VAT balance</v>
      </c>
      <c r="C34" s="225"/>
      <c r="D34" s="229">
        <f ca="1">'Balance Sheet'!J19</f>
        <v>-39600</v>
      </c>
      <c r="E34" s="229">
        <f ca="1">'Balance Sheet'!K19</f>
        <v>-44327.338509609079</v>
      </c>
      <c r="F34" s="229">
        <f ca="1">'Balance Sheet'!L19</f>
        <v>-4857.9164770385687</v>
      </c>
      <c r="G34" s="229">
        <f ca="1">'Balance Sheet'!M19</f>
        <v>-9919.5965296730137</v>
      </c>
      <c r="H34" s="229">
        <f ca="1">'Balance Sheet'!N19</f>
        <v>-15132.924278234681</v>
      </c>
      <c r="I34" s="229">
        <f ca="1">'Balance Sheet'!O19</f>
        <v>-5368.8333215445273</v>
      </c>
      <c r="J34" s="229">
        <f ca="1">'Balance Sheet'!P19</f>
        <v>-45970.202955140863</v>
      </c>
      <c r="K34" s="229">
        <f ca="1">'Balance Sheet'!Q19</f>
        <v>300755.010202882</v>
      </c>
      <c r="L34" s="229">
        <f ca="1">'Balance Sheet'!R19</f>
        <v>57091.334139655752</v>
      </c>
      <c r="M34" s="229">
        <f ca="1">'Balance Sheet'!S19</f>
        <v>55297.939035550495</v>
      </c>
      <c r="N34" s="229">
        <f ca="1">'Balance Sheet'!T19</f>
        <v>48869.337549016898</v>
      </c>
      <c r="O34" s="229">
        <f ca="1">'Balance Sheet'!U19</f>
        <v>-6654.8546194502633</v>
      </c>
      <c r="P34" s="229">
        <f ca="1">'Balance Sheet'!V19</f>
        <v>-48604.854619450263</v>
      </c>
      <c r="Q34" s="229">
        <f ca="1">'Balance Sheet'!W19</f>
        <v>315762.28140571486</v>
      </c>
      <c r="R34" s="229">
        <f ca="1">'Balance Sheet'!X19</f>
        <v>40954.761278332386</v>
      </c>
      <c r="S34" s="229">
        <f ca="1">'Balance Sheet'!Y19</f>
        <v>33132.284975515875</v>
      </c>
      <c r="T34" s="229">
        <f ca="1">'Balance Sheet'!Z19</f>
        <v>-9993.2743738466306</v>
      </c>
      <c r="U34" s="229">
        <f ca="1">'Balance Sheet'!AA19</f>
        <v>-8436.3281311731298</v>
      </c>
      <c r="V34" s="229">
        <f ca="1">'Balance Sheet'!AB19</f>
        <v>-17281.311105330718</v>
      </c>
      <c r="W34" s="229">
        <f ca="1">'Balance Sheet'!AC19</f>
        <v>746026.01177567896</v>
      </c>
      <c r="X34" s="229">
        <f ca="1">'Balance Sheet'!AD19</f>
        <v>18479.110021551489</v>
      </c>
      <c r="Y34" s="229">
        <f ca="1">'Balance Sheet'!AE19</f>
        <v>12864.242215972774</v>
      </c>
      <c r="Z34" s="229">
        <f ca="1">'Balance Sheet'!AF19</f>
        <v>2421.7078255419929</v>
      </c>
      <c r="AA34" s="229">
        <f ca="1">'Balance Sheet'!AG19</f>
        <v>374103.91789480631</v>
      </c>
      <c r="AB34" s="229">
        <f ca="1">'Balance Sheet'!AH19</f>
        <v>360783.3407016609</v>
      </c>
      <c r="AC34" s="229">
        <f ca="1">'Balance Sheet'!AI19</f>
        <v>767414.64139436628</v>
      </c>
      <c r="AD34" s="229">
        <f ca="1">'Balance Sheet'!AJ19</f>
        <v>122933.83726458787</v>
      </c>
      <c r="AE34" s="229">
        <f ca="1">'Balance Sheet'!AK19</f>
        <v>621892.62865367229</v>
      </c>
      <c r="AF34" s="229">
        <f ca="1">'Balance Sheet'!AL19</f>
        <v>670827.74511427153</v>
      </c>
      <c r="AG34" s="229">
        <f ca="1">'Balance Sheet'!AM19</f>
        <v>89239.370202294434</v>
      </c>
      <c r="AH34" s="229">
        <f ca="1">'Balance Sheet'!AN19</f>
        <v>603789.74280749611</v>
      </c>
      <c r="AI34" s="229">
        <f ca="1">'Balance Sheet'!AO19</f>
        <v>1089295.8974253964</v>
      </c>
      <c r="AJ34" s="229">
        <f ca="1">'Balance Sheet'!AP19</f>
        <v>526548.38672450511</v>
      </c>
      <c r="AK34" s="229">
        <f ca="1">'Balance Sheet'!AQ19</f>
        <v>604673.32798804459</v>
      </c>
      <c r="AL34" s="229">
        <f ca="1">'Balance Sheet'!AR19</f>
        <v>724959.27092309203</v>
      </c>
      <c r="AM34" s="229">
        <f ca="1">'Balance Sheet'!AS19</f>
        <v>931970.64477952756</v>
      </c>
      <c r="AN34" s="229">
        <f ca="1">'Balance Sheet'!AT19</f>
        <v>1031776.0652910698</v>
      </c>
      <c r="AO34" s="229">
        <f ca="1">'Balance Sheet'!AU19</f>
        <v>1258609.2131025724</v>
      </c>
      <c r="AP34" s="229">
        <f ca="1">'Balance Sheet'!AV19</f>
        <v>625989.19137802836</v>
      </c>
      <c r="AQ34" s="229">
        <f ca="1">'Balance Sheet'!AW19</f>
        <v>1266160.5689386521</v>
      </c>
      <c r="AR34" s="229">
        <f ca="1">'Balance Sheet'!AX19</f>
        <v>1956996.6741555287</v>
      </c>
      <c r="AS34" s="229">
        <f ca="1">'Balance Sheet'!AY19</f>
        <v>252502.08329165448</v>
      </c>
      <c r="AT34" s="229">
        <f ca="1">'Balance Sheet'!AZ19</f>
        <v>1361904.4971107822</v>
      </c>
      <c r="AU34" s="229">
        <f ca="1">'Balance Sheet'!BA19</f>
        <v>2070017.7641121505</v>
      </c>
      <c r="AV34" s="229">
        <f ca="1">'Balance Sheet'!BB19</f>
        <v>727167.69885249785</v>
      </c>
      <c r="AW34" s="229">
        <f ca="1">'Balance Sheet'!BC19</f>
        <v>1475331.4608965896</v>
      </c>
      <c r="AX34" s="229">
        <f ca="1">'Balance Sheet'!BD19</f>
        <v>2245928.8826262252</v>
      </c>
      <c r="AY34" s="229">
        <f ca="1">'Balance Sheet'!BE19</f>
        <v>791664.24126545433</v>
      </c>
      <c r="AZ34" s="229">
        <f ca="1">'Balance Sheet'!BF19</f>
        <v>1608157.4842942804</v>
      </c>
      <c r="BA34" s="229">
        <f ca="1">'Balance Sheet'!BG19</f>
        <v>2525636.7504529487</v>
      </c>
      <c r="BB34" s="229">
        <f ca="1">'Balance Sheet'!BH19</f>
        <v>1370214.4004991474</v>
      </c>
      <c r="BC34" s="229">
        <f ca="1">'Balance Sheet'!BI19</f>
        <v>2353564.6088519664</v>
      </c>
      <c r="BD34" s="229">
        <f ca="1">'Balance Sheet'!BJ19</f>
        <v>3793388.8162340415</v>
      </c>
      <c r="BE34" s="229">
        <f ca="1">'Balance Sheet'!BK19</f>
        <v>1058612.3086065226</v>
      </c>
      <c r="BF34" s="229">
        <f ca="1">'Balance Sheet'!BL19</f>
        <v>2576694.3616067143</v>
      </c>
      <c r="BG34" s="229">
        <f ca="1">'Balance Sheet'!BM19</f>
        <v>4138323.577021122</v>
      </c>
      <c r="BH34" s="229">
        <f ca="1">'Balance Sheet'!BN19</f>
        <v>1186102.0497345179</v>
      </c>
      <c r="BI34" s="229">
        <f ca="1">'Balance Sheet'!BO19</f>
        <v>2841241.9467544756</v>
      </c>
      <c r="BJ34" s="229">
        <f ca="1">'Balance Sheet'!BP19</f>
        <v>4548440.8738798015</v>
      </c>
      <c r="BK34" s="229">
        <f ca="1">'Balance Sheet'!BQ19</f>
        <v>1336252.8478529695</v>
      </c>
      <c r="BL34" s="235"/>
      <c r="BM34" s="235"/>
      <c r="BN34" s="235"/>
      <c r="BO34" s="235"/>
      <c r="BP34" s="235"/>
      <c r="BQ34" s="235"/>
      <c r="BR34" s="235"/>
      <c r="BS34" s="230"/>
      <c r="BT34" s="230"/>
      <c r="BU34" s="230"/>
      <c r="BV34" s="230"/>
      <c r="BW34" s="230"/>
      <c r="BX34" s="230"/>
      <c r="BY34" s="230"/>
      <c r="BZ34" s="230"/>
      <c r="CA34" s="230"/>
      <c r="CB34" s="230"/>
      <c r="CC34" s="230"/>
      <c r="CD34" s="230"/>
      <c r="CE34" s="230"/>
      <c r="CF34" s="230"/>
      <c r="CG34" s="230"/>
      <c r="CH34" s="230"/>
      <c r="CI34" s="230"/>
      <c r="CJ34" s="230"/>
      <c r="CK34" s="230"/>
      <c r="CL34" s="230"/>
      <c r="CM34" s="230"/>
      <c r="CN34" s="230"/>
      <c r="CO34" s="230"/>
      <c r="CP34" s="230"/>
      <c r="CQ34" s="230"/>
      <c r="CR34" s="230"/>
      <c r="CS34" s="230"/>
      <c r="CT34" s="230"/>
      <c r="CU34" s="230"/>
      <c r="CV34" s="230"/>
      <c r="CW34" s="230"/>
      <c r="CX34" s="230"/>
      <c r="CY34" s="230"/>
      <c r="CZ34" s="230"/>
      <c r="DA34" s="230"/>
      <c r="DB34" s="230"/>
      <c r="DC34" s="230"/>
      <c r="DD34" s="230"/>
      <c r="DE34" s="230"/>
      <c r="DF34" s="230"/>
      <c r="DG34" s="230"/>
      <c r="DH34" s="230"/>
      <c r="DI34" s="230"/>
      <c r="DJ34" s="230"/>
      <c r="DK34" s="230"/>
      <c r="DL34" s="230"/>
      <c r="DM34" s="230"/>
      <c r="DN34" s="230"/>
      <c r="DO34" s="230"/>
      <c r="DP34" s="230"/>
      <c r="DQ34" s="230"/>
      <c r="DR34" s="230"/>
      <c r="DS34" s="230"/>
      <c r="DT34" s="230"/>
      <c r="DU34" s="230"/>
      <c r="DV34" s="230"/>
      <c r="DW34" s="230"/>
      <c r="DX34" s="230"/>
      <c r="DY34" s="230"/>
      <c r="DZ34" s="230"/>
      <c r="EA34" s="230"/>
      <c r="EB34" s="230"/>
      <c r="EC34" s="230"/>
      <c r="ED34" s="230"/>
      <c r="EE34" s="230"/>
      <c r="EF34" s="230"/>
      <c r="EG34" s="230"/>
      <c r="EH34" s="230"/>
      <c r="EI34" s="230"/>
      <c r="EJ34" s="230"/>
      <c r="EK34" s="230"/>
      <c r="EL34" s="230"/>
      <c r="EM34" s="230"/>
      <c r="EN34" s="230"/>
      <c r="EO34" s="230"/>
      <c r="EP34" s="230"/>
      <c r="EQ34" s="230"/>
      <c r="ER34" s="230"/>
      <c r="ES34" s="230"/>
      <c r="ET34" s="230"/>
      <c r="EU34" s="230"/>
      <c r="EV34" s="230"/>
      <c r="EW34" s="230"/>
      <c r="EX34" s="230"/>
      <c r="EY34" s="230"/>
      <c r="EZ34" s="230"/>
      <c r="FA34" s="230"/>
      <c r="FB34" s="230"/>
      <c r="FC34" s="230"/>
      <c r="FD34" s="230"/>
      <c r="FE34" s="230"/>
      <c r="FF34" s="230"/>
      <c r="FG34" s="230"/>
      <c r="FH34" s="230"/>
      <c r="FI34" s="230"/>
      <c r="FJ34" s="230"/>
      <c r="FK34" s="230"/>
      <c r="FL34" s="230"/>
      <c r="FM34" s="230"/>
      <c r="FN34" s="230"/>
      <c r="FO34" s="230"/>
      <c r="FP34" s="230"/>
      <c r="FQ34" s="230"/>
      <c r="FR34" s="230"/>
      <c r="FS34" s="230"/>
      <c r="FT34" s="230"/>
      <c r="FU34" s="230"/>
      <c r="FV34" s="230"/>
      <c r="FW34" s="230"/>
      <c r="FX34" s="230"/>
      <c r="FY34" s="230"/>
      <c r="FZ34" s="230"/>
      <c r="GA34" s="230"/>
      <c r="GB34" s="230"/>
      <c r="GC34" s="230"/>
      <c r="GD34" s="230"/>
      <c r="GE34" s="230"/>
      <c r="GF34" s="230"/>
      <c r="GG34" s="230"/>
      <c r="GH34" s="230"/>
      <c r="GI34" s="230"/>
      <c r="GJ34" s="230"/>
      <c r="GK34" s="230"/>
      <c r="GL34" s="230"/>
      <c r="GM34" s="230"/>
      <c r="GN34" s="230"/>
      <c r="GO34" s="230"/>
      <c r="GP34" s="230"/>
      <c r="GQ34" s="230"/>
      <c r="GR34" s="230"/>
      <c r="GS34" s="230"/>
      <c r="GT34" s="230"/>
      <c r="GU34" s="230"/>
      <c r="GV34" s="230"/>
      <c r="GW34" s="230"/>
      <c r="GX34" s="230"/>
      <c r="GY34" s="230"/>
      <c r="GZ34" s="230"/>
      <c r="HA34" s="230"/>
      <c r="HB34" s="230"/>
      <c r="HC34" s="230"/>
      <c r="HD34" s="230"/>
      <c r="HE34" s="230"/>
      <c r="HF34" s="230"/>
      <c r="HG34" s="230"/>
      <c r="HH34" s="230"/>
      <c r="HI34" s="230"/>
      <c r="HJ34" s="230"/>
      <c r="HK34" s="230"/>
      <c r="HL34" s="230"/>
      <c r="HM34" s="230"/>
      <c r="HN34" s="230"/>
      <c r="HO34" s="230"/>
      <c r="HP34" s="230"/>
      <c r="HQ34" s="230"/>
      <c r="HR34" s="230"/>
      <c r="HS34" s="230"/>
      <c r="HT34" s="230"/>
      <c r="HU34" s="230"/>
      <c r="HV34" s="230"/>
      <c r="HW34" s="230"/>
      <c r="HX34" s="230"/>
      <c r="HY34" s="230"/>
      <c r="HZ34" s="230"/>
      <c r="IA34" s="230"/>
      <c r="IB34" s="230"/>
      <c r="IC34" s="230"/>
      <c r="ID34" s="230"/>
      <c r="IE34" s="230"/>
      <c r="IF34" s="230"/>
      <c r="IG34" s="230"/>
      <c r="IH34" s="230"/>
      <c r="II34" s="230"/>
      <c r="IJ34" s="230"/>
      <c r="IK34" s="230"/>
      <c r="IL34" s="230"/>
      <c r="IM34" s="230"/>
      <c r="IN34" s="230"/>
      <c r="IO34" s="230"/>
      <c r="IP34" s="230"/>
      <c r="IQ34" s="230"/>
      <c r="IR34" s="230"/>
    </row>
    <row r="35" spans="1:252">
      <c r="A35" s="224"/>
      <c r="B35" s="228" t="str">
        <f>'Balance Sheet'!E20</f>
        <v>Corporation tax creditor</v>
      </c>
      <c r="C35" s="225"/>
      <c r="D35" s="229">
        <f ca="1">'Balance Sheet'!J20</f>
        <v>0</v>
      </c>
      <c r="E35" s="229">
        <f ca="1">'Balance Sheet'!K20</f>
        <v>0</v>
      </c>
      <c r="F35" s="229">
        <f ca="1">'Balance Sheet'!L20</f>
        <v>0</v>
      </c>
      <c r="G35" s="229">
        <f ca="1">'Balance Sheet'!M20</f>
        <v>0</v>
      </c>
      <c r="H35" s="229">
        <f ca="1">'Balance Sheet'!N20</f>
        <v>0</v>
      </c>
      <c r="I35" s="229">
        <f ca="1">'Balance Sheet'!O20</f>
        <v>0</v>
      </c>
      <c r="J35" s="229">
        <f ca="1">'Balance Sheet'!P20</f>
        <v>0</v>
      </c>
      <c r="K35" s="229">
        <f ca="1">'Balance Sheet'!Q20</f>
        <v>0</v>
      </c>
      <c r="L35" s="229">
        <f ca="1">'Balance Sheet'!R20</f>
        <v>0</v>
      </c>
      <c r="M35" s="229">
        <f ca="1">'Balance Sheet'!S20</f>
        <v>1390.4451961941932</v>
      </c>
      <c r="N35" s="229">
        <f ca="1">'Balance Sheet'!T20</f>
        <v>23533.242223126996</v>
      </c>
      <c r="O35" s="229">
        <f ca="1">'Balance Sheet'!U20</f>
        <v>45223.532984226469</v>
      </c>
      <c r="P35" s="229">
        <f ca="1">'Balance Sheet'!V20</f>
        <v>66323.532984226476</v>
      </c>
      <c r="Q35" s="229">
        <f ca="1">'Balance Sheet'!W20</f>
        <v>117871.08508320525</v>
      </c>
      <c r="R35" s="229">
        <f ca="1">'Balance Sheet'!X20</f>
        <v>172931.96758910635</v>
      </c>
      <c r="S35" s="229">
        <f ca="1">'Balance Sheet'!Y20</f>
        <v>54355.047394366993</v>
      </c>
      <c r="T35" s="229">
        <f ca="1">'Balance Sheet'!Z20</f>
        <v>108103.92869564198</v>
      </c>
      <c r="U35" s="229">
        <f ca="1">'Balance Sheet'!AA20</f>
        <v>161231.27243329573</v>
      </c>
      <c r="V35" s="229">
        <f ca="1">'Balance Sheet'!AB20</f>
        <v>213541.30648498057</v>
      </c>
      <c r="W35" s="229">
        <f ca="1">'Balance Sheet'!AC20</f>
        <v>300153.57794680184</v>
      </c>
      <c r="X35" s="229">
        <f ca="1">'Balance Sheet'!AD20</f>
        <v>385994.81150989933</v>
      </c>
      <c r="Y35" s="229">
        <f ca="1">'Balance Sheet'!AE20</f>
        <v>470884.43667894544</v>
      </c>
      <c r="Z35" s="229">
        <f ca="1">'Balance Sheet'!AF20</f>
        <v>554999.36789808387</v>
      </c>
      <c r="AA35" s="229">
        <f ca="1">'Balance Sheet'!AG20</f>
        <v>673207.20368769648</v>
      </c>
      <c r="AB35" s="229">
        <f ca="1">'Balance Sheet'!AH20</f>
        <v>783066.04930140567</v>
      </c>
      <c r="AC35" s="229">
        <f ca="1">'Balance Sheet'!AI20</f>
        <v>894965.05988823157</v>
      </c>
      <c r="AD35" s="229">
        <f ca="1">'Balance Sheet'!AJ20</f>
        <v>1009079.3836522016</v>
      </c>
      <c r="AE35" s="229">
        <f ca="1">'Balance Sheet'!AK20</f>
        <v>151258.19898032933</v>
      </c>
      <c r="AF35" s="229">
        <f ca="1">'Balance Sheet'!AL20</f>
        <v>304946.22798607056</v>
      </c>
      <c r="AG35" s="229">
        <f ca="1">'Balance Sheet'!AM20</f>
        <v>461272.67628509802</v>
      </c>
      <c r="AH35" s="229">
        <f ca="1">'Balance Sheet'!AN20</f>
        <v>655176.97516681068</v>
      </c>
      <c r="AI35" s="229">
        <f ca="1">'Balance Sheet'!AO20</f>
        <v>852043.88461349322</v>
      </c>
      <c r="AJ35" s="229">
        <f ca="1">'Balance Sheet'!AP20</f>
        <v>1086963.1421845492</v>
      </c>
      <c r="AK35" s="229">
        <f ca="1">'Balance Sheet'!AQ20</f>
        <v>1324976.253000143</v>
      </c>
      <c r="AL35" s="229">
        <f ca="1">'Balance Sheet'!AR20</f>
        <v>1566675.7897395696</v>
      </c>
      <c r="AM35" s="229">
        <f ca="1">'Balance Sheet'!AS20</f>
        <v>1847012.990837669</v>
      </c>
      <c r="AN35" s="229">
        <f ca="1">'Balance Sheet'!AT20</f>
        <v>2131146.2519301511</v>
      </c>
      <c r="AO35" s="229">
        <f ca="1">'Balance Sheet'!AU20</f>
        <v>2419346.2809686195</v>
      </c>
      <c r="AP35" s="229">
        <f ca="1">'Balance Sheet'!AV20</f>
        <v>2746983.6823349316</v>
      </c>
      <c r="AQ35" s="229">
        <f ca="1">'Balance Sheet'!AW20</f>
        <v>332063.9861255344</v>
      </c>
      <c r="AR35" s="229">
        <f ca="1">'Balance Sheet'!AX20</f>
        <v>703993.99965892464</v>
      </c>
      <c r="AS35" s="229">
        <f ca="1">'Balance Sheet'!AY20</f>
        <v>1081206.9292792981</v>
      </c>
      <c r="AT35" s="229">
        <f ca="1">'Balance Sheet'!AZ20</f>
        <v>1498716.798536951</v>
      </c>
      <c r="AU35" s="229">
        <f ca="1">'Balance Sheet'!BA20</f>
        <v>1957157.2567244237</v>
      </c>
      <c r="AV35" s="229">
        <f ca="1">'Balance Sheet'!BB20</f>
        <v>2421699.0671673422</v>
      </c>
      <c r="AW35" s="229">
        <f ca="1">'Balance Sheet'!BC20</f>
        <v>2927577.2237733658</v>
      </c>
      <c r="AX35" s="229">
        <f ca="1">'Balance Sheet'!BD20</f>
        <v>3475845.8783731451</v>
      </c>
      <c r="AY35" s="229">
        <f ca="1">'Balance Sheet'!BE20</f>
        <v>4031391.4012702624</v>
      </c>
      <c r="AZ35" s="229">
        <f ca="1">'Balance Sheet'!BF20</f>
        <v>4626519.5124901235</v>
      </c>
      <c r="BA35" s="229">
        <f ca="1">'Balance Sheet'!BG20</f>
        <v>5267776.1743839504</v>
      </c>
      <c r="BB35" s="229">
        <f ca="1">'Balance Sheet'!BH20</f>
        <v>5956047.8758138604</v>
      </c>
      <c r="BC35" s="229">
        <f ca="1">'Balance Sheet'!BI20</f>
        <v>735587.96540246159</v>
      </c>
      <c r="BD35" s="229">
        <f ca="1">'Balance Sheet'!BJ20</f>
        <v>1519427.085009102</v>
      </c>
      <c r="BE35" s="229">
        <f ca="1">'Balance Sheet'!BK20</f>
        <v>2352572.9394531748</v>
      </c>
      <c r="BF35" s="229">
        <f ca="1">'Balance Sheet'!BL20</f>
        <v>3235413.8090629019</v>
      </c>
      <c r="BG35" s="229">
        <f ca="1">'Balance Sheet'!BM20</f>
        <v>4169317.0397722493</v>
      </c>
      <c r="BH35" s="229">
        <f ca="1">'Balance Sheet'!BN20</f>
        <v>5155029.9430043884</v>
      </c>
      <c r="BI35" s="229">
        <f ca="1">'Balance Sheet'!BO20</f>
        <v>6193290.0148606133</v>
      </c>
      <c r="BJ35" s="229">
        <f ca="1">'Balance Sheet'!BP20</f>
        <v>7286139.397122818</v>
      </c>
      <c r="BK35" s="229">
        <f ca="1">'Balance Sheet'!BQ20</f>
        <v>8433811.6241043191</v>
      </c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/>
      <c r="BZ35" s="224"/>
      <c r="CA35" s="224"/>
      <c r="CB35" s="224"/>
      <c r="CC35" s="224"/>
      <c r="CD35" s="224"/>
      <c r="CE35" s="224"/>
      <c r="CF35" s="224"/>
      <c r="CG35" s="224"/>
      <c r="CH35" s="224"/>
      <c r="CI35" s="224"/>
      <c r="CJ35" s="224"/>
      <c r="CK35" s="224"/>
      <c r="CL35" s="224"/>
      <c r="CM35" s="224"/>
      <c r="CN35" s="224"/>
      <c r="CO35" s="224"/>
      <c r="CP35" s="224"/>
      <c r="CQ35" s="224"/>
      <c r="CR35" s="224"/>
      <c r="CS35" s="224"/>
      <c r="CT35" s="224"/>
      <c r="CU35" s="224"/>
      <c r="CV35" s="224"/>
      <c r="CW35" s="224"/>
      <c r="CX35" s="224"/>
      <c r="CY35" s="224"/>
      <c r="CZ35" s="224"/>
      <c r="DA35" s="224"/>
      <c r="DB35" s="224"/>
      <c r="DC35" s="224"/>
      <c r="DD35" s="224"/>
      <c r="DE35" s="224"/>
      <c r="DF35" s="224"/>
      <c r="DG35" s="224"/>
      <c r="DH35" s="224"/>
      <c r="DI35" s="224"/>
      <c r="DJ35" s="224"/>
      <c r="DK35" s="224"/>
      <c r="DL35" s="224"/>
      <c r="DM35" s="224"/>
      <c r="DN35" s="224"/>
      <c r="DO35" s="224"/>
      <c r="DP35" s="224"/>
      <c r="DQ35" s="224"/>
      <c r="DR35" s="224"/>
      <c r="DS35" s="224"/>
      <c r="DT35" s="224"/>
      <c r="DU35" s="224"/>
      <c r="DV35" s="224"/>
      <c r="DW35" s="224"/>
      <c r="DX35" s="224"/>
      <c r="DY35" s="224"/>
      <c r="DZ35" s="224"/>
      <c r="EA35" s="224"/>
      <c r="EB35" s="224"/>
      <c r="EC35" s="224"/>
      <c r="ED35" s="224"/>
      <c r="EE35" s="224"/>
      <c r="EF35" s="224"/>
      <c r="EG35" s="224"/>
      <c r="EH35" s="224"/>
      <c r="EI35" s="224"/>
      <c r="EJ35" s="224"/>
      <c r="EK35" s="224"/>
      <c r="EL35" s="224"/>
      <c r="EM35" s="224"/>
      <c r="EN35" s="224"/>
      <c r="EO35" s="224"/>
      <c r="EP35" s="224"/>
      <c r="EQ35" s="224"/>
      <c r="ER35" s="224"/>
      <c r="ES35" s="224"/>
      <c r="ET35" s="224"/>
      <c r="EU35" s="224"/>
      <c r="EV35" s="224"/>
      <c r="EW35" s="224"/>
      <c r="EX35" s="224"/>
      <c r="EY35" s="224"/>
      <c r="EZ35" s="224"/>
      <c r="FA35" s="224"/>
      <c r="FB35" s="224"/>
      <c r="FC35" s="224"/>
      <c r="FD35" s="224"/>
      <c r="FE35" s="224"/>
      <c r="FF35" s="224"/>
      <c r="FG35" s="224"/>
      <c r="FH35" s="224"/>
      <c r="FI35" s="224"/>
      <c r="FJ35" s="224"/>
      <c r="FK35" s="224"/>
      <c r="FL35" s="224"/>
      <c r="FM35" s="224"/>
      <c r="FN35" s="224"/>
      <c r="FO35" s="224"/>
      <c r="FP35" s="224"/>
      <c r="FQ35" s="224"/>
      <c r="FR35" s="224"/>
      <c r="FS35" s="224"/>
      <c r="FT35" s="224"/>
      <c r="FU35" s="224"/>
      <c r="FV35" s="224"/>
      <c r="FW35" s="224"/>
      <c r="FX35" s="224"/>
      <c r="FY35" s="224"/>
      <c r="FZ35" s="224"/>
      <c r="GA35" s="224"/>
      <c r="GB35" s="224"/>
      <c r="GC35" s="224"/>
      <c r="GD35" s="224"/>
      <c r="GE35" s="224"/>
      <c r="GF35" s="224"/>
      <c r="GG35" s="224"/>
      <c r="GH35" s="224"/>
      <c r="GI35" s="224"/>
      <c r="GJ35" s="224"/>
      <c r="GK35" s="224"/>
      <c r="GL35" s="224"/>
      <c r="GM35" s="224"/>
      <c r="GN35" s="224"/>
      <c r="GO35" s="224"/>
      <c r="GP35" s="224"/>
      <c r="GQ35" s="224"/>
      <c r="GR35" s="224"/>
      <c r="GS35" s="224"/>
      <c r="GT35" s="224"/>
      <c r="GU35" s="224"/>
      <c r="GV35" s="224"/>
      <c r="GW35" s="224"/>
      <c r="GX35" s="224"/>
      <c r="GY35" s="224"/>
      <c r="GZ35" s="224"/>
      <c r="HA35" s="224"/>
      <c r="HB35" s="224"/>
      <c r="HC35" s="224"/>
      <c r="HD35" s="224"/>
      <c r="HE35" s="224"/>
      <c r="HF35" s="224"/>
      <c r="HG35" s="224"/>
      <c r="HH35" s="224"/>
      <c r="HI35" s="224"/>
      <c r="HJ35" s="224"/>
      <c r="HK35" s="224"/>
      <c r="HL35" s="224"/>
      <c r="HM35" s="224"/>
      <c r="HN35" s="224"/>
      <c r="HO35" s="224"/>
      <c r="HP35" s="224"/>
      <c r="HQ35" s="224"/>
      <c r="HR35" s="224"/>
      <c r="HS35" s="224"/>
      <c r="HT35" s="224"/>
      <c r="HU35" s="224"/>
      <c r="HV35" s="224"/>
      <c r="HW35" s="224"/>
      <c r="HX35" s="224"/>
      <c r="HY35" s="224"/>
      <c r="HZ35" s="224"/>
      <c r="IA35" s="224"/>
      <c r="IB35" s="224"/>
      <c r="IC35" s="224"/>
      <c r="ID35" s="224"/>
      <c r="IE35" s="224"/>
      <c r="IF35" s="224"/>
      <c r="IG35" s="224"/>
      <c r="IH35" s="224"/>
      <c r="II35" s="224"/>
      <c r="IJ35" s="224"/>
      <c r="IK35" s="224"/>
      <c r="IL35" s="224"/>
      <c r="IM35" s="224"/>
      <c r="IN35" s="224"/>
      <c r="IO35" s="224"/>
      <c r="IP35" s="224"/>
      <c r="IQ35" s="224"/>
      <c r="IR35" s="224"/>
    </row>
    <row r="36" spans="1:252">
      <c r="B36" s="230" t="str">
        <f>'Balance Sheet'!E21</f>
        <v>Liabilities</v>
      </c>
      <c r="C36" s="231"/>
      <c r="D36" s="232">
        <f ca="1">'Balance Sheet'!J21</f>
        <v>117900</v>
      </c>
      <c r="E36" s="232">
        <f ca="1">'Balance Sheet'!K21</f>
        <v>113172.66149039092</v>
      </c>
      <c r="F36" s="232">
        <f ca="1">'Balance Sheet'!L21</f>
        <v>152642.08352296142</v>
      </c>
      <c r="G36" s="232">
        <f ca="1">'Balance Sheet'!M21</f>
        <v>147580.40347032697</v>
      </c>
      <c r="H36" s="232">
        <f ca="1">'Balance Sheet'!N21</f>
        <v>142367.07572176532</v>
      </c>
      <c r="I36" s="232">
        <f ca="1">'Balance Sheet'!O21</f>
        <v>152131.16667845548</v>
      </c>
      <c r="J36" s="232">
        <f ca="1">'Balance Sheet'!P21</f>
        <v>122029.79704485914</v>
      </c>
      <c r="K36" s="232">
        <f ca="1">'Balance Sheet'!Q21</f>
        <v>2084385.4513075021</v>
      </c>
      <c r="L36" s="232">
        <f ca="1">'Balance Sheet'!R21</f>
        <v>1982864.3746150807</v>
      </c>
      <c r="M36" s="232">
        <f ca="1">'Balance Sheet'!S21</f>
        <v>1829663.0227566606</v>
      </c>
      <c r="N36" s="232">
        <f ca="1">'Balance Sheet'!T21</f>
        <v>1670377.2182970599</v>
      </c>
      <c r="O36" s="232">
        <f ca="1">'Balance Sheet'!U21</f>
        <v>1461543.3168896923</v>
      </c>
      <c r="P36" s="232">
        <f ca="1">'Balance Sheet'!V21</f>
        <v>1276193.3168896923</v>
      </c>
      <c r="Q36" s="232">
        <f ca="1">'Balance Sheet'!W21</f>
        <v>3220163.2048975029</v>
      </c>
      <c r="R36" s="232">
        <f ca="1">'Balance Sheet'!X21</f>
        <v>2892538.1674029306</v>
      </c>
      <c r="S36" s="232">
        <f ca="1">'Balance Sheet'!Y21</f>
        <v>2416138.7709053745</v>
      </c>
      <c r="T36" s="232">
        <f ca="1">'Balance Sheet'!Z21</f>
        <v>2234262.0928572873</v>
      </c>
      <c r="U36" s="232">
        <f ca="1">'Balance Sheet'!AA21</f>
        <v>1938946.3828376145</v>
      </c>
      <c r="V36" s="232">
        <f ca="1">'Balance Sheet'!AB21</f>
        <v>1485411.4339151417</v>
      </c>
      <c r="W36" s="232">
        <f ca="1">'Balance Sheet'!AC21</f>
        <v>5672836.9640084673</v>
      </c>
      <c r="X36" s="232">
        <f ca="1">'Balance Sheet'!AD21</f>
        <v>4978923.7620174512</v>
      </c>
      <c r="Y36" s="232">
        <f ca="1">'Balance Sheet'!AE21</f>
        <v>4555400.1174304094</v>
      </c>
      <c r="Z36" s="232">
        <f ca="1">'Balance Sheet'!AF21</f>
        <v>3957072.5142591167</v>
      </c>
      <c r="AA36" s="232">
        <f ca="1">'Balance Sheet'!AG21</f>
        <v>6004462.5601179944</v>
      </c>
      <c r="AB36" s="232">
        <f ca="1">'Balance Sheet'!AH21</f>
        <v>5418500.8285385575</v>
      </c>
      <c r="AC36" s="232">
        <f ca="1">'Balance Sheet'!AI21</f>
        <v>7673470.6939379219</v>
      </c>
      <c r="AD36" s="232">
        <f ca="1">'Balance Sheet'!AJ21</f>
        <v>6967281.6653494174</v>
      </c>
      <c r="AE36" s="232">
        <f ca="1">'Balance Sheet'!AK21</f>
        <v>8270132.8956481125</v>
      </c>
      <c r="AF36" s="232">
        <f ca="1">'Balance Sheet'!AL21</f>
        <v>8200988.1871917602</v>
      </c>
      <c r="AG36" s="232">
        <f ca="1">'Balance Sheet'!AM21</f>
        <v>7208979.3084211955</v>
      </c>
      <c r="AH36" s="232">
        <f ca="1">'Balance Sheet'!AN21</f>
        <v>9431806.684269568</v>
      </c>
      <c r="AI36" s="232">
        <f ca="1">'Balance Sheet'!AO21</f>
        <v>11649742.686575675</v>
      </c>
      <c r="AJ36" s="232">
        <f ca="1">'Balance Sheet'!AP21</f>
        <v>12682217.080435583</v>
      </c>
      <c r="AK36" s="232">
        <f ca="1">'Balance Sheet'!AQ21</f>
        <v>12428217.037017941</v>
      </c>
      <c r="AL36" s="232">
        <f ca="1">'Balance Sheet'!AR21</f>
        <v>11928186.693613892</v>
      </c>
      <c r="AM36" s="232">
        <f ca="1">'Balance Sheet'!AS21</f>
        <v>15892700.787635323</v>
      </c>
      <c r="AN36" s="232">
        <f ca="1">'Balance Sheet'!AT21</f>
        <v>15567921.81907114</v>
      </c>
      <c r="AO36" s="232">
        <f ca="1">'Balance Sheet'!AU21</f>
        <v>15503286.328843795</v>
      </c>
      <c r="AP36" s="232">
        <f ca="1">'Balance Sheet'!AV21</f>
        <v>16890332.123621866</v>
      </c>
      <c r="AQ36" s="232">
        <f ca="1">'Balance Sheet'!AW21</f>
        <v>16701982.605134048</v>
      </c>
      <c r="AR36" s="232">
        <f ca="1">'Balance Sheet'!AX21</f>
        <v>19212213.367599025</v>
      </c>
      <c r="AS36" s="232">
        <f ca="1">'Balance Sheet'!AY21</f>
        <v>17292195.401888452</v>
      </c>
      <c r="AT36" s="232">
        <f ca="1">'Balance Sheet'!AZ21</f>
        <v>22300635.116627801</v>
      </c>
      <c r="AU36" s="232">
        <f ca="1">'Balance Sheet'!BA21</f>
        <v>24876066.730169337</v>
      </c>
      <c r="AV36" s="232">
        <f ca="1">'Balance Sheet'!BB21</f>
        <v>25314976.790257048</v>
      </c>
      <c r="AW36" s="232">
        <f ca="1">'Balance Sheet'!BC21</f>
        <v>27774175.113385469</v>
      </c>
      <c r="AX36" s="232">
        <f ca="1">'Balance Sheet'!BD21</f>
        <v>30335922.934388585</v>
      </c>
      <c r="AY36" s="232">
        <f ca="1">'Balance Sheet'!BE21</f>
        <v>30590922.664973333</v>
      </c>
      <c r="AZ36" s="232">
        <f ca="1">'Balance Sheet'!BF21</f>
        <v>33070679.774754506</v>
      </c>
      <c r="BA36" s="232">
        <f ca="1">'Balance Sheet'!BG21</f>
        <v>35959362.230498098</v>
      </c>
      <c r="BB36" s="232">
        <f ca="1">'Balance Sheet'!BH21</f>
        <v>38837965.047745585</v>
      </c>
      <c r="BC36" s="232">
        <f ca="1">'Balance Sheet'!BI21</f>
        <v>35761253.837964207</v>
      </c>
      <c r="BD36" s="232">
        <f ca="1">'Balance Sheet'!BJ21</f>
        <v>41171573.079691499</v>
      </c>
      <c r="BE36" s="232">
        <f ca="1">'Balance Sheet'!BK21</f>
        <v>40288770.960607134</v>
      </c>
      <c r="BF36" s="232">
        <f ca="1">'Balance Sheet'!BL21</f>
        <v>45740260.209983692</v>
      </c>
      <c r="BG36" s="232">
        <f ca="1">'Balance Sheet'!BM21</f>
        <v>51231678.968788743</v>
      </c>
      <c r="BH36" s="232">
        <f ca="1">'Balance Sheet'!BN21</f>
        <v>50105935.44467327</v>
      </c>
      <c r="BI36" s="232">
        <f ca="1">'Balance Sheet'!BO21</f>
        <v>55702250.906832524</v>
      </c>
      <c r="BJ36" s="232">
        <f ca="1">'Balance Sheet'!BP21</f>
        <v>61373044.90085648</v>
      </c>
      <c r="BK36" s="232">
        <f ca="1">'Balance Sheet'!BQ21</f>
        <v>60028206.12233185</v>
      </c>
      <c r="IR36" s="228"/>
    </row>
    <row r="37" spans="1:252" s="233" customFormat="1">
      <c r="A37" s="228"/>
      <c r="B37" s="228"/>
      <c r="C37" s="225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  <c r="AA37" s="229"/>
      <c r="AB37" s="229"/>
      <c r="AC37" s="229"/>
      <c r="AD37" s="229"/>
      <c r="AE37" s="229"/>
      <c r="AF37" s="229"/>
      <c r="AG37" s="229"/>
      <c r="AH37" s="229"/>
      <c r="AI37" s="229"/>
      <c r="AJ37" s="229"/>
      <c r="AK37" s="229"/>
      <c r="AL37" s="229"/>
      <c r="AM37" s="229"/>
      <c r="AN37" s="229"/>
      <c r="AO37" s="229"/>
      <c r="AP37" s="229"/>
      <c r="AQ37" s="229"/>
      <c r="AR37" s="229"/>
      <c r="AS37" s="229"/>
      <c r="AT37" s="229"/>
      <c r="AU37" s="229"/>
      <c r="AV37" s="229"/>
      <c r="AW37" s="229"/>
      <c r="AX37" s="229"/>
      <c r="AY37" s="229"/>
      <c r="AZ37" s="229"/>
      <c r="BA37" s="229"/>
      <c r="BB37" s="229"/>
      <c r="BC37" s="229"/>
      <c r="BD37" s="229"/>
      <c r="BE37" s="229"/>
      <c r="BF37" s="229"/>
      <c r="BG37" s="229"/>
      <c r="BH37" s="229"/>
      <c r="BI37" s="229"/>
      <c r="BJ37" s="229"/>
      <c r="BK37" s="229"/>
      <c r="BL37" s="228"/>
      <c r="BM37" s="228"/>
      <c r="BN37" s="228"/>
      <c r="BO37" s="228"/>
      <c r="BP37" s="228"/>
      <c r="BQ37" s="228"/>
      <c r="BR37" s="228"/>
      <c r="BS37" s="228"/>
      <c r="BT37" s="228"/>
      <c r="BU37" s="228"/>
      <c r="BV37" s="228"/>
      <c r="BW37" s="228"/>
      <c r="BX37" s="228"/>
      <c r="BY37" s="228"/>
      <c r="BZ37" s="228"/>
      <c r="CA37" s="228"/>
      <c r="CB37" s="228"/>
      <c r="CC37" s="228"/>
      <c r="CD37" s="228"/>
      <c r="CE37" s="228"/>
      <c r="CF37" s="228"/>
      <c r="CG37" s="228"/>
      <c r="CH37" s="228"/>
      <c r="CI37" s="228"/>
      <c r="CJ37" s="228"/>
      <c r="CK37" s="228"/>
      <c r="CL37" s="228"/>
      <c r="CM37" s="228"/>
      <c r="CN37" s="228"/>
      <c r="CO37" s="228"/>
      <c r="CP37" s="228"/>
      <c r="CQ37" s="228"/>
      <c r="CR37" s="228"/>
      <c r="CS37" s="228"/>
      <c r="CT37" s="228"/>
      <c r="CU37" s="228"/>
      <c r="CV37" s="228"/>
      <c r="CW37" s="228"/>
      <c r="CX37" s="228"/>
      <c r="CY37" s="228"/>
      <c r="CZ37" s="228"/>
      <c r="DA37" s="228"/>
      <c r="DB37" s="228"/>
      <c r="DC37" s="228"/>
      <c r="DD37" s="228"/>
      <c r="DE37" s="228"/>
      <c r="DF37" s="228"/>
      <c r="DG37" s="228"/>
      <c r="DH37" s="228"/>
      <c r="DI37" s="228"/>
      <c r="DJ37" s="228"/>
      <c r="DK37" s="228"/>
      <c r="DL37" s="228"/>
      <c r="DM37" s="228"/>
      <c r="DN37" s="228"/>
      <c r="DO37" s="228"/>
      <c r="DP37" s="228"/>
      <c r="DQ37" s="228"/>
      <c r="DR37" s="228"/>
      <c r="DS37" s="228"/>
      <c r="DT37" s="228"/>
      <c r="DU37" s="228"/>
      <c r="DV37" s="228"/>
      <c r="DW37" s="228"/>
      <c r="DX37" s="228"/>
      <c r="DY37" s="228"/>
      <c r="DZ37" s="228"/>
      <c r="EA37" s="228"/>
      <c r="EB37" s="228"/>
      <c r="EC37" s="228"/>
      <c r="ED37" s="228"/>
      <c r="EE37" s="228"/>
      <c r="EF37" s="228"/>
      <c r="EG37" s="228"/>
      <c r="EH37" s="228"/>
      <c r="EI37" s="228"/>
      <c r="EJ37" s="228"/>
      <c r="EK37" s="228"/>
      <c r="EL37" s="228"/>
      <c r="EM37" s="228"/>
      <c r="EN37" s="228"/>
      <c r="EO37" s="228"/>
      <c r="EP37" s="228"/>
      <c r="EQ37" s="228"/>
      <c r="ER37" s="228"/>
      <c r="ES37" s="228"/>
      <c r="ET37" s="228"/>
      <c r="EU37" s="228"/>
      <c r="EV37" s="228"/>
      <c r="EW37" s="228"/>
      <c r="EX37" s="228"/>
      <c r="EY37" s="228"/>
      <c r="EZ37" s="228"/>
      <c r="FA37" s="228"/>
      <c r="FB37" s="228"/>
      <c r="FC37" s="228"/>
      <c r="FD37" s="228"/>
      <c r="FE37" s="228"/>
      <c r="FF37" s="228"/>
      <c r="FG37" s="228"/>
      <c r="FH37" s="228"/>
      <c r="FI37" s="228"/>
      <c r="FJ37" s="228"/>
      <c r="FK37" s="228"/>
      <c r="FL37" s="228"/>
      <c r="FM37" s="228"/>
      <c r="FN37" s="228"/>
      <c r="FO37" s="228"/>
      <c r="FP37" s="228"/>
      <c r="FQ37" s="228"/>
      <c r="FR37" s="228"/>
      <c r="FS37" s="228"/>
      <c r="FT37" s="228"/>
      <c r="FU37" s="228"/>
      <c r="FV37" s="228"/>
      <c r="FW37" s="228"/>
      <c r="FX37" s="228"/>
      <c r="FY37" s="228"/>
      <c r="FZ37" s="228"/>
      <c r="GA37" s="228"/>
      <c r="GB37" s="228"/>
      <c r="GC37" s="228"/>
      <c r="GD37" s="228"/>
      <c r="GE37" s="228"/>
      <c r="GF37" s="228"/>
      <c r="GG37" s="228"/>
      <c r="GH37" s="228"/>
      <c r="GI37" s="228"/>
      <c r="GJ37" s="228"/>
      <c r="GK37" s="228"/>
      <c r="GL37" s="228"/>
      <c r="GM37" s="228"/>
      <c r="GN37" s="228"/>
      <c r="GO37" s="228"/>
      <c r="GP37" s="228"/>
      <c r="GQ37" s="228"/>
      <c r="GR37" s="228"/>
      <c r="GS37" s="228"/>
      <c r="GT37" s="228"/>
      <c r="GU37" s="228"/>
      <c r="GV37" s="228"/>
      <c r="GW37" s="228"/>
      <c r="GX37" s="228"/>
      <c r="GY37" s="228"/>
      <c r="GZ37" s="228"/>
      <c r="HA37" s="228"/>
      <c r="HB37" s="228"/>
      <c r="HC37" s="228"/>
      <c r="HD37" s="228"/>
      <c r="HE37" s="228"/>
      <c r="HF37" s="228"/>
      <c r="HG37" s="228"/>
      <c r="HH37" s="228"/>
      <c r="HI37" s="228"/>
      <c r="HJ37" s="228"/>
      <c r="HK37" s="228"/>
      <c r="HL37" s="228"/>
      <c r="HM37" s="228"/>
      <c r="HN37" s="228"/>
      <c r="HO37" s="228"/>
      <c r="HP37" s="228"/>
      <c r="HQ37" s="228"/>
      <c r="HR37" s="228"/>
      <c r="HS37" s="228"/>
      <c r="HT37" s="228"/>
      <c r="HU37" s="228"/>
      <c r="HV37" s="228"/>
      <c r="HW37" s="228"/>
      <c r="HX37" s="228"/>
      <c r="HY37" s="228"/>
      <c r="HZ37" s="228"/>
      <c r="IA37" s="228"/>
      <c r="IB37" s="228"/>
      <c r="IC37" s="228"/>
      <c r="ID37" s="228"/>
      <c r="IE37" s="228"/>
      <c r="IF37" s="228"/>
      <c r="IG37" s="228"/>
      <c r="IH37" s="228"/>
      <c r="II37" s="228"/>
      <c r="IJ37" s="228"/>
      <c r="IK37" s="228"/>
      <c r="IL37" s="228"/>
      <c r="IM37" s="228"/>
      <c r="IN37" s="228"/>
      <c r="IO37" s="228"/>
      <c r="IP37" s="228"/>
      <c r="IQ37" s="228"/>
      <c r="IR37" s="228"/>
    </row>
    <row r="38" spans="1:252">
      <c r="B38" s="230" t="str">
        <f>'Balance Sheet'!E23</f>
        <v>Net Assets</v>
      </c>
      <c r="C38" s="231"/>
      <c r="D38" s="232">
        <f ca="1">'Balance Sheet'!J23</f>
        <v>-46000</v>
      </c>
      <c r="E38" s="232">
        <f ca="1">'Balance Sheet'!K23</f>
        <v>-100565.05176275742</v>
      </c>
      <c r="F38" s="232">
        <f ca="1">'Balance Sheet'!L23</f>
        <v>-156435.88319980979</v>
      </c>
      <c r="G38" s="232">
        <f ca="1">'Balance Sheet'!M23</f>
        <v>-214344.3503928209</v>
      </c>
      <c r="H38" s="232">
        <f ca="1">'Balance Sheet'!N23</f>
        <v>-273769.29454510426</v>
      </c>
      <c r="I38" s="232">
        <f ca="1">'Balance Sheet'!O23</f>
        <v>-334749.29442721617</v>
      </c>
      <c r="J38" s="232">
        <f ca="1">'Balance Sheet'!P23</f>
        <v>-398054.65742984624</v>
      </c>
      <c r="K38" s="232">
        <f ca="1">'Balance Sheet'!Q23</f>
        <v>-323522.23603806645</v>
      </c>
      <c r="L38" s="232">
        <f ca="1">'Balance Sheet'!R23</f>
        <v>-224627.2935456608</v>
      </c>
      <c r="M38" s="232">
        <f ca="1">'Balance Sheet'!S23</f>
        <v>-127938.2192152231</v>
      </c>
      <c r="N38" s="232">
        <f ca="1">'Balance Sheet'!T23</f>
        <v>-53950.364440825302</v>
      </c>
      <c r="O38" s="232">
        <f ca="1">'Balance Sheet'!U23</f>
        <v>18227.465270239161</v>
      </c>
      <c r="P38" s="232">
        <f ca="1">'Balance Sheet'!V23</f>
        <v>88044.131936905673</v>
      </c>
      <c r="Q38" s="232">
        <f ca="1">'Balance Sheet'!W23</f>
        <v>272359.34033282101</v>
      </c>
      <c r="R38" s="232">
        <f ca="1">'Balance Sheet'!X23</f>
        <v>470727.87035642518</v>
      </c>
      <c r="S38" s="232">
        <f ca="1">'Balance Sheet'!Y23</f>
        <v>666273.05993389338</v>
      </c>
      <c r="T38" s="232">
        <f ca="1">'Balance Sheet'!Z23</f>
        <v>859393.58513899334</v>
      </c>
      <c r="U38" s="232">
        <f ca="1">'Balance Sheet'!AA23</f>
        <v>1042736.2934229411</v>
      </c>
      <c r="V38" s="232">
        <f ca="1">'Balance Sheet'!AB23</f>
        <v>1222809.762963014</v>
      </c>
      <c r="W38" s="232">
        <f ca="1">'Balance Sheet'!AC23</f>
        <v>1540092.1821436323</v>
      </c>
      <c r="X38" s="232">
        <f ca="1">'Balance Sheet'!AD23</f>
        <v>1854290.4497293551</v>
      </c>
      <c r="Y38" s="232">
        <f ca="1">'Balance Sheet'!AE23</f>
        <v>2157390.617072206</v>
      </c>
      <c r="Z38" s="232">
        <f ca="1">'Balance Sheet'!AF23</f>
        <v>2457392.0086154267</v>
      </c>
      <c r="AA38" s="232">
        <f ca="1">'Balance Sheet'!AG23</f>
        <v>2893765.0184405437</v>
      </c>
      <c r="AB38" s="232">
        <f ca="1">'Balance Sheet'!AH23</f>
        <v>3289450.4008953813</v>
      </c>
      <c r="AC38" s="232">
        <f ca="1">'Balance Sheet'!AI23</f>
        <v>3694025.6099093501</v>
      </c>
      <c r="AD38" s="232">
        <f ca="1">'Balance Sheet'!AJ23</f>
        <v>4100943.7863921775</v>
      </c>
      <c r="AE38" s="232">
        <f ca="1">'Balance Sheet'!AK23</f>
        <v>4657256.1847394165</v>
      </c>
      <c r="AF38" s="232">
        <f ca="1">'Balance Sheet'!AL23</f>
        <v>5224156.2692881264</v>
      </c>
      <c r="AG38" s="232">
        <f ca="1">'Balance Sheet'!AM23</f>
        <v>5795239.3858931148</v>
      </c>
      <c r="AH38" s="232">
        <f ca="1">'Balance Sheet'!AN23</f>
        <v>6517608.9213692639</v>
      </c>
      <c r="AI38" s="232">
        <f ca="1">'Balance Sheet'!AO23</f>
        <v>7252863.0380995739</v>
      </c>
      <c r="AJ38" s="232">
        <f ca="1">'Balance Sheet'!AP23</f>
        <v>8134129.6461683493</v>
      </c>
      <c r="AK38" s="232">
        <f ca="1">'Balance Sheet'!AQ23</f>
        <v>9028932.8164410628</v>
      </c>
      <c r="AL38" s="232">
        <f ca="1">'Balance Sheet'!AR23</f>
        <v>9932421.5820214953</v>
      </c>
      <c r="AM38" s="232">
        <f ca="1">'Balance Sheet'!AS23</f>
        <v>10991760.232333899</v>
      </c>
      <c r="AN38" s="232">
        <f ca="1">'Balance Sheet'!AT23</f>
        <v>12060369.243370052</v>
      </c>
      <c r="AO38" s="232">
        <f ca="1">'Balance Sheet'!AU23</f>
        <v>13139411.992856819</v>
      </c>
      <c r="AP38" s="232">
        <f ca="1">'Balance Sheet'!AV23</f>
        <v>14377752.33719296</v>
      </c>
      <c r="AQ38" s="232">
        <f ca="1">'Balance Sheet'!AW23</f>
        <v>15628146.089575391</v>
      </c>
      <c r="AR38" s="232">
        <f ca="1">'Balance Sheet'!AX23</f>
        <v>17032450.249275506</v>
      </c>
      <c r="AS38" s="232">
        <f ca="1">'Balance Sheet'!AY23</f>
        <v>18459729.274845414</v>
      </c>
      <c r="AT38" s="232">
        <f ca="1">'Balance Sheet'!AZ23</f>
        <v>20042855.499646667</v>
      </c>
      <c r="AU38" s="232">
        <f ca="1">'Balance Sheet'!BA23</f>
        <v>21784481.664247099</v>
      </c>
      <c r="AV38" s="232">
        <f ca="1">'Balance Sheet'!BB23</f>
        <v>23545411.961287726</v>
      </c>
      <c r="AW38" s="232">
        <f ca="1">'Balance Sheet'!BC23</f>
        <v>25466720.227145486</v>
      </c>
      <c r="AX38" s="232">
        <f ca="1">'Balance Sheet'!BD23</f>
        <v>27552763.873226345</v>
      </c>
      <c r="AY38" s="232">
        <f ca="1">'Balance Sheet'!BE23</f>
        <v>29663222.876222044</v>
      </c>
      <c r="AZ38" s="232">
        <f ca="1">'Balance Sheet'!BF23</f>
        <v>31927477.598079618</v>
      </c>
      <c r="BA38" s="232">
        <f ca="1">'Balance Sheet'!BG23</f>
        <v>34372529.617814355</v>
      </c>
      <c r="BB38" s="232">
        <f ca="1">'Balance Sheet'!BH23</f>
        <v>37002141.488822192</v>
      </c>
      <c r="BC38" s="232">
        <f ca="1">'Balance Sheet'!BI23</f>
        <v>39817740.20741266</v>
      </c>
      <c r="BD38" s="232">
        <f ca="1">'Balance Sheet'!BJ23</f>
        <v>42823308.513468742</v>
      </c>
      <c r="BE38" s="232">
        <f ca="1">'Balance Sheet'!BK23</f>
        <v>46023326.642907791</v>
      </c>
      <c r="BF38" s="232">
        <f ca="1">'Balance Sheet'!BL23</f>
        <v>49419612.180270255</v>
      </c>
      <c r="BG38" s="232">
        <f ca="1">'Balance Sheet'!BM23</f>
        <v>53017924.073937282</v>
      </c>
      <c r="BH38" s="232">
        <f ca="1">'Balance Sheet'!BN23</f>
        <v>56821548.487890348</v>
      </c>
      <c r="BI38" s="232">
        <f ca="1">'Balance Sheet'!BO23</f>
        <v>60833762.469809793</v>
      </c>
      <c r="BJ38" s="232">
        <f ca="1">'Balance Sheet'!BP23</f>
        <v>65063079.570166409</v>
      </c>
      <c r="BK38" s="232">
        <f ca="1">'Balance Sheet'!BQ23</f>
        <v>69510763.829430073</v>
      </c>
      <c r="BL38" s="235"/>
      <c r="BM38" s="235"/>
      <c r="BN38" s="235"/>
      <c r="BO38" s="235"/>
      <c r="BP38" s="235"/>
      <c r="BQ38" s="235"/>
      <c r="BR38" s="235"/>
      <c r="BS38" s="230"/>
      <c r="BT38" s="230"/>
      <c r="BU38" s="230"/>
      <c r="BV38" s="230"/>
      <c r="BW38" s="230"/>
      <c r="BX38" s="230"/>
      <c r="BY38" s="230"/>
      <c r="BZ38" s="230"/>
      <c r="CA38" s="230"/>
      <c r="CB38" s="230"/>
      <c r="CC38" s="230"/>
      <c r="CD38" s="230"/>
      <c r="CE38" s="230"/>
      <c r="CF38" s="230"/>
      <c r="CG38" s="230"/>
      <c r="CH38" s="230"/>
      <c r="CI38" s="230"/>
      <c r="CJ38" s="230"/>
      <c r="CK38" s="230"/>
      <c r="CL38" s="230"/>
      <c r="CM38" s="230"/>
      <c r="CN38" s="230"/>
      <c r="CO38" s="230"/>
      <c r="CP38" s="230"/>
      <c r="CQ38" s="230"/>
      <c r="CR38" s="230"/>
      <c r="CS38" s="230"/>
      <c r="CT38" s="230"/>
      <c r="CU38" s="230"/>
      <c r="CV38" s="230"/>
      <c r="CW38" s="230"/>
      <c r="CX38" s="230"/>
      <c r="CY38" s="230"/>
      <c r="CZ38" s="230"/>
      <c r="DA38" s="230"/>
      <c r="DB38" s="230"/>
      <c r="DC38" s="230"/>
      <c r="DD38" s="230"/>
      <c r="DE38" s="230"/>
      <c r="DF38" s="230"/>
      <c r="DG38" s="230"/>
      <c r="DH38" s="230"/>
      <c r="DI38" s="230"/>
      <c r="DJ38" s="230"/>
      <c r="DK38" s="230"/>
      <c r="DL38" s="230"/>
      <c r="DM38" s="230"/>
      <c r="DN38" s="230"/>
      <c r="DO38" s="230"/>
      <c r="DP38" s="230"/>
      <c r="DQ38" s="230"/>
      <c r="DR38" s="230"/>
      <c r="DS38" s="230"/>
      <c r="DT38" s="230"/>
      <c r="DU38" s="230"/>
      <c r="DV38" s="230"/>
      <c r="DW38" s="230"/>
      <c r="DX38" s="230"/>
      <c r="DY38" s="230"/>
      <c r="DZ38" s="230"/>
      <c r="EA38" s="230"/>
      <c r="EB38" s="230"/>
      <c r="EC38" s="230"/>
      <c r="ED38" s="230"/>
      <c r="EE38" s="230"/>
      <c r="EF38" s="230"/>
      <c r="EG38" s="230"/>
      <c r="EH38" s="230"/>
      <c r="EI38" s="230"/>
      <c r="EJ38" s="230"/>
      <c r="EK38" s="230"/>
      <c r="EL38" s="230"/>
      <c r="EM38" s="230"/>
      <c r="EN38" s="230"/>
      <c r="EO38" s="230"/>
      <c r="EP38" s="230"/>
      <c r="EQ38" s="230"/>
      <c r="ER38" s="230"/>
      <c r="ES38" s="230"/>
      <c r="ET38" s="230"/>
      <c r="EU38" s="230"/>
      <c r="EV38" s="230"/>
      <c r="EW38" s="230"/>
      <c r="EX38" s="230"/>
      <c r="EY38" s="230"/>
      <c r="EZ38" s="230"/>
      <c r="FA38" s="230"/>
      <c r="FB38" s="230"/>
      <c r="FC38" s="230"/>
      <c r="FD38" s="230"/>
      <c r="FE38" s="230"/>
      <c r="FF38" s="230"/>
      <c r="FG38" s="230"/>
      <c r="FH38" s="230"/>
      <c r="FI38" s="230"/>
      <c r="FJ38" s="230"/>
      <c r="FK38" s="230"/>
      <c r="FL38" s="230"/>
      <c r="FM38" s="230"/>
      <c r="FN38" s="230"/>
      <c r="FO38" s="230"/>
      <c r="FP38" s="230"/>
      <c r="FQ38" s="230"/>
      <c r="FR38" s="230"/>
      <c r="FS38" s="230"/>
      <c r="FT38" s="230"/>
      <c r="FU38" s="230"/>
      <c r="FV38" s="230"/>
      <c r="FW38" s="230"/>
      <c r="FX38" s="230"/>
      <c r="FY38" s="230"/>
      <c r="FZ38" s="230"/>
      <c r="GA38" s="230"/>
      <c r="GB38" s="230"/>
      <c r="GC38" s="230"/>
      <c r="GD38" s="230"/>
      <c r="GE38" s="230"/>
      <c r="GF38" s="230"/>
      <c r="GG38" s="230"/>
      <c r="GH38" s="230"/>
      <c r="GI38" s="230"/>
      <c r="GJ38" s="230"/>
      <c r="GK38" s="230"/>
      <c r="GL38" s="230"/>
      <c r="GM38" s="230"/>
      <c r="GN38" s="230"/>
      <c r="GO38" s="230"/>
      <c r="GP38" s="230"/>
      <c r="GQ38" s="230"/>
      <c r="GR38" s="230"/>
      <c r="GS38" s="230"/>
      <c r="GT38" s="230"/>
      <c r="GU38" s="230"/>
      <c r="GV38" s="230"/>
      <c r="GW38" s="230"/>
      <c r="GX38" s="230"/>
      <c r="GY38" s="230"/>
      <c r="GZ38" s="230"/>
      <c r="HA38" s="230"/>
      <c r="HB38" s="230"/>
      <c r="HC38" s="230"/>
      <c r="HD38" s="230"/>
      <c r="HE38" s="230"/>
      <c r="HF38" s="230"/>
      <c r="HG38" s="230"/>
      <c r="HH38" s="230"/>
      <c r="HI38" s="230"/>
      <c r="HJ38" s="230"/>
      <c r="HK38" s="230"/>
      <c r="HL38" s="230"/>
      <c r="HM38" s="230"/>
      <c r="HN38" s="230"/>
      <c r="HO38" s="230"/>
      <c r="HP38" s="230"/>
      <c r="HQ38" s="230"/>
      <c r="HR38" s="230"/>
      <c r="HS38" s="230"/>
      <c r="HT38" s="230"/>
      <c r="HU38" s="230"/>
      <c r="HV38" s="230"/>
      <c r="HW38" s="230"/>
      <c r="HX38" s="230"/>
      <c r="HY38" s="230"/>
      <c r="HZ38" s="230"/>
      <c r="IA38" s="230"/>
      <c r="IB38" s="230"/>
      <c r="IC38" s="230"/>
      <c r="ID38" s="230"/>
      <c r="IE38" s="230"/>
      <c r="IF38" s="230"/>
      <c r="IG38" s="230"/>
      <c r="IH38" s="230"/>
      <c r="II38" s="230"/>
      <c r="IJ38" s="230"/>
      <c r="IK38" s="230"/>
      <c r="IL38" s="230"/>
      <c r="IM38" s="230"/>
      <c r="IN38" s="230"/>
      <c r="IO38" s="230"/>
      <c r="IP38" s="230"/>
      <c r="IQ38" s="230"/>
      <c r="IR38" s="230"/>
    </row>
    <row r="39" spans="1:252">
      <c r="C39" s="225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  <c r="AA39" s="229"/>
      <c r="AB39" s="229"/>
      <c r="AC39" s="229"/>
      <c r="AD39" s="229"/>
      <c r="AE39" s="229"/>
      <c r="AF39" s="229"/>
      <c r="AG39" s="229"/>
      <c r="AH39" s="229"/>
      <c r="AI39" s="229"/>
      <c r="AJ39" s="229"/>
      <c r="AK39" s="229"/>
      <c r="AL39" s="229"/>
      <c r="AM39" s="229"/>
      <c r="AN39" s="229"/>
      <c r="AO39" s="229"/>
      <c r="AP39" s="229"/>
      <c r="AQ39" s="229"/>
      <c r="AR39" s="229"/>
      <c r="AS39" s="229"/>
      <c r="AT39" s="229"/>
      <c r="AU39" s="229"/>
      <c r="AV39" s="229"/>
      <c r="AW39" s="229"/>
      <c r="AX39" s="229"/>
      <c r="AY39" s="229"/>
      <c r="AZ39" s="229"/>
      <c r="BA39" s="229"/>
      <c r="BB39" s="229"/>
      <c r="BC39" s="229"/>
      <c r="BD39" s="229"/>
      <c r="BE39" s="229"/>
      <c r="BF39" s="229"/>
      <c r="BG39" s="229"/>
      <c r="BH39" s="229"/>
      <c r="BI39" s="229"/>
      <c r="BJ39" s="229"/>
      <c r="BK39" s="229"/>
      <c r="BL39" s="235"/>
      <c r="BM39" s="235"/>
      <c r="BN39" s="235"/>
      <c r="BO39" s="235"/>
      <c r="BP39" s="235"/>
      <c r="BQ39" s="235"/>
      <c r="BR39" s="235"/>
      <c r="IR39" s="228"/>
    </row>
    <row r="40" spans="1:252">
      <c r="B40" s="228" t="str">
        <f>'Balance Sheet'!E25</f>
        <v>Retained Earnings</v>
      </c>
      <c r="C40" s="225"/>
      <c r="D40" s="229">
        <f ca="1">'Balance Sheet'!J25</f>
        <v>-46000</v>
      </c>
      <c r="E40" s="229">
        <f ca="1">'Balance Sheet'!K25</f>
        <v>-100565.05176275744</v>
      </c>
      <c r="F40" s="229">
        <f ca="1">'Balance Sheet'!L25</f>
        <v>-156435.88319980982</v>
      </c>
      <c r="G40" s="229">
        <f ca="1">'Balance Sheet'!M25</f>
        <v>-214344.35039282092</v>
      </c>
      <c r="H40" s="229">
        <f ca="1">'Balance Sheet'!N25</f>
        <v>-273769.29454510426</v>
      </c>
      <c r="I40" s="229">
        <f ca="1">'Balance Sheet'!O25</f>
        <v>-334749.29442721617</v>
      </c>
      <c r="J40" s="229">
        <f ca="1">'Balance Sheet'!P25</f>
        <v>-398054.65742984624</v>
      </c>
      <c r="K40" s="229">
        <f ca="1">'Balance Sheet'!Q25</f>
        <v>-323522.2360380665</v>
      </c>
      <c r="L40" s="229">
        <f ca="1">'Balance Sheet'!R25</f>
        <v>-224627.29354566085</v>
      </c>
      <c r="M40" s="229">
        <f ca="1">'Balance Sheet'!S25</f>
        <v>-127938.21921522322</v>
      </c>
      <c r="N40" s="229">
        <f ca="1">'Balance Sheet'!T25</f>
        <v>-53950.364440825346</v>
      </c>
      <c r="O40" s="229">
        <f ca="1">'Balance Sheet'!U25</f>
        <v>18227.46527023922</v>
      </c>
      <c r="P40" s="229">
        <f ca="1">'Balance Sheet'!V25</f>
        <v>88044.131936905891</v>
      </c>
      <c r="Q40" s="229">
        <f ca="1">'Balance Sheet'!W25</f>
        <v>272359.34033282101</v>
      </c>
      <c r="R40" s="229">
        <f ca="1">'Balance Sheet'!X25</f>
        <v>470727.87035642535</v>
      </c>
      <c r="S40" s="229">
        <f ca="1">'Balance Sheet'!Y25</f>
        <v>666273.05993389327</v>
      </c>
      <c r="T40" s="229">
        <f ca="1">'Balance Sheet'!Z25</f>
        <v>859393.58513899322</v>
      </c>
      <c r="U40" s="229">
        <f ca="1">'Balance Sheet'!AA25</f>
        <v>1042736.2934229415</v>
      </c>
      <c r="V40" s="229">
        <f ca="1">'Balance Sheet'!AB25</f>
        <v>1222809.7629630142</v>
      </c>
      <c r="W40" s="229">
        <f ca="1">'Balance Sheet'!AC25</f>
        <v>1540092.1821436328</v>
      </c>
      <c r="X40" s="229">
        <f ca="1">'Balance Sheet'!AD25</f>
        <v>1854290.449729356</v>
      </c>
      <c r="Y40" s="229">
        <f ca="1">'Balance Sheet'!AE25</f>
        <v>2157390.6170722069</v>
      </c>
      <c r="Z40" s="229">
        <f ca="1">'Balance Sheet'!AF25</f>
        <v>2457392.0086154272</v>
      </c>
      <c r="AA40" s="229">
        <f ca="1">'Balance Sheet'!AG25</f>
        <v>2893765.0184405441</v>
      </c>
      <c r="AB40" s="229">
        <f ca="1">'Balance Sheet'!AH25</f>
        <v>3289450.4008953809</v>
      </c>
      <c r="AC40" s="229">
        <f ca="1">'Balance Sheet'!AI25</f>
        <v>3694025.6099093514</v>
      </c>
      <c r="AD40" s="229">
        <f ca="1">'Balance Sheet'!AJ25</f>
        <v>4100943.7863921789</v>
      </c>
      <c r="AE40" s="229">
        <f ca="1">'Balance Sheet'!AK25</f>
        <v>4657256.1847394155</v>
      </c>
      <c r="AF40" s="229">
        <f ca="1">'Balance Sheet'!AL25</f>
        <v>5224156.2692881264</v>
      </c>
      <c r="AG40" s="229">
        <f ca="1">'Balance Sheet'!AM25</f>
        <v>5795239.3858931158</v>
      </c>
      <c r="AH40" s="229">
        <f ca="1">'Balance Sheet'!AN25</f>
        <v>6517608.9213692658</v>
      </c>
      <c r="AI40" s="229">
        <f ca="1">'Balance Sheet'!AO25</f>
        <v>7252863.0380995739</v>
      </c>
      <c r="AJ40" s="229">
        <f ca="1">'Balance Sheet'!AP25</f>
        <v>8134129.6461683484</v>
      </c>
      <c r="AK40" s="229">
        <f ca="1">'Balance Sheet'!AQ25</f>
        <v>9028932.8164410628</v>
      </c>
      <c r="AL40" s="229">
        <f ca="1">'Balance Sheet'!AR25</f>
        <v>9932421.5820214897</v>
      </c>
      <c r="AM40" s="229">
        <f ca="1">'Balance Sheet'!AS25</f>
        <v>10991760.232333895</v>
      </c>
      <c r="AN40" s="229">
        <f ca="1">'Balance Sheet'!AT25</f>
        <v>12060369.243370049</v>
      </c>
      <c r="AO40" s="229">
        <f ca="1">'Balance Sheet'!AU25</f>
        <v>13139411.992856814</v>
      </c>
      <c r="AP40" s="229">
        <f ca="1">'Balance Sheet'!AV25</f>
        <v>14377752.337192958</v>
      </c>
      <c r="AQ40" s="229">
        <f ca="1">'Balance Sheet'!AW25</f>
        <v>15628146.089575386</v>
      </c>
      <c r="AR40" s="229">
        <f ca="1">'Balance Sheet'!AX25</f>
        <v>17032450.249275498</v>
      </c>
      <c r="AS40" s="229">
        <f ca="1">'Balance Sheet'!AY25</f>
        <v>18459729.27484541</v>
      </c>
      <c r="AT40" s="229">
        <f ca="1">'Balance Sheet'!AZ25</f>
        <v>20042855.49964666</v>
      </c>
      <c r="AU40" s="229">
        <f ca="1">'Balance Sheet'!BA25</f>
        <v>21784481.664247084</v>
      </c>
      <c r="AV40" s="229">
        <f ca="1">'Balance Sheet'!BB25</f>
        <v>23545411.961287707</v>
      </c>
      <c r="AW40" s="229">
        <f ca="1">'Balance Sheet'!BC25</f>
        <v>25466720.227145471</v>
      </c>
      <c r="AX40" s="229">
        <f ca="1">'Balance Sheet'!BD25</f>
        <v>27552763.87322633</v>
      </c>
      <c r="AY40" s="229">
        <f ca="1">'Balance Sheet'!BE25</f>
        <v>29663222.876222033</v>
      </c>
      <c r="AZ40" s="229">
        <f ca="1">'Balance Sheet'!BF25</f>
        <v>31927477.598079607</v>
      </c>
      <c r="BA40" s="229">
        <f ca="1">'Balance Sheet'!BG25</f>
        <v>34372529.61781434</v>
      </c>
      <c r="BB40" s="229">
        <f ca="1">'Balance Sheet'!BH25</f>
        <v>37002141.488822192</v>
      </c>
      <c r="BC40" s="229">
        <f ca="1">'Balance Sheet'!BI25</f>
        <v>39817740.20741266</v>
      </c>
      <c r="BD40" s="229">
        <f ca="1">'Balance Sheet'!BJ25</f>
        <v>42823308.513468735</v>
      </c>
      <c r="BE40" s="229">
        <f ca="1">'Balance Sheet'!BK25</f>
        <v>46023326.642907783</v>
      </c>
      <c r="BF40" s="229">
        <f ca="1">'Balance Sheet'!BL25</f>
        <v>49419612.180270262</v>
      </c>
      <c r="BG40" s="229">
        <f ca="1">'Balance Sheet'!BM25</f>
        <v>53017924.073937289</v>
      </c>
      <c r="BH40" s="229">
        <f ca="1">'Balance Sheet'!BN25</f>
        <v>56821548.487890348</v>
      </c>
      <c r="BI40" s="229">
        <f ca="1">'Balance Sheet'!BO25</f>
        <v>60833762.469809815</v>
      </c>
      <c r="BJ40" s="229">
        <f ca="1">'Balance Sheet'!BP25</f>
        <v>65063079.570166416</v>
      </c>
      <c r="BK40" s="229">
        <f ca="1">'Balance Sheet'!BQ25</f>
        <v>69510763.829430103</v>
      </c>
      <c r="BL40" s="235"/>
      <c r="BM40" s="235"/>
      <c r="BN40" s="235"/>
      <c r="BO40" s="235"/>
      <c r="BP40" s="235"/>
      <c r="BQ40" s="235"/>
      <c r="BR40" s="235"/>
      <c r="IR40" s="228"/>
    </row>
    <row r="41" spans="1:252">
      <c r="B41" s="228" t="str">
        <f>'Balance Sheet'!E26</f>
        <v>Share Capital</v>
      </c>
      <c r="C41" s="225"/>
      <c r="D41" s="229">
        <f>'Balance Sheet'!J26</f>
        <v>0</v>
      </c>
      <c r="E41" s="229">
        <f>'Balance Sheet'!K26</f>
        <v>0</v>
      </c>
      <c r="F41" s="229">
        <f>'Balance Sheet'!L26</f>
        <v>0</v>
      </c>
      <c r="G41" s="229">
        <f>'Balance Sheet'!M26</f>
        <v>0</v>
      </c>
      <c r="H41" s="229">
        <f>'Balance Sheet'!N26</f>
        <v>0</v>
      </c>
      <c r="I41" s="229">
        <f>'Balance Sheet'!O26</f>
        <v>0</v>
      </c>
      <c r="J41" s="229">
        <f>'Balance Sheet'!P26</f>
        <v>0</v>
      </c>
      <c r="K41" s="229">
        <f>'Balance Sheet'!Q26</f>
        <v>0</v>
      </c>
      <c r="L41" s="229">
        <f>'Balance Sheet'!R26</f>
        <v>0</v>
      </c>
      <c r="M41" s="229">
        <f>'Balance Sheet'!S26</f>
        <v>0</v>
      </c>
      <c r="N41" s="229">
        <f>'Balance Sheet'!T26</f>
        <v>0</v>
      </c>
      <c r="O41" s="229">
        <f>'Balance Sheet'!U26</f>
        <v>0</v>
      </c>
      <c r="P41" s="229">
        <f>'Balance Sheet'!V26</f>
        <v>0</v>
      </c>
      <c r="Q41" s="229">
        <f>'Balance Sheet'!W26</f>
        <v>0</v>
      </c>
      <c r="R41" s="229">
        <f>'Balance Sheet'!X26</f>
        <v>0</v>
      </c>
      <c r="S41" s="229">
        <f>'Balance Sheet'!Y26</f>
        <v>0</v>
      </c>
      <c r="T41" s="229">
        <f>'Balance Sheet'!Z26</f>
        <v>0</v>
      </c>
      <c r="U41" s="229">
        <f>'Balance Sheet'!AA26</f>
        <v>0</v>
      </c>
      <c r="V41" s="229">
        <f>'Balance Sheet'!AB26</f>
        <v>0</v>
      </c>
      <c r="W41" s="229">
        <f>'Balance Sheet'!AC26</f>
        <v>0</v>
      </c>
      <c r="X41" s="229">
        <f>'Balance Sheet'!AD26</f>
        <v>0</v>
      </c>
      <c r="Y41" s="229">
        <f>'Balance Sheet'!AE26</f>
        <v>0</v>
      </c>
      <c r="Z41" s="229">
        <f>'Balance Sheet'!AF26</f>
        <v>0</v>
      </c>
      <c r="AA41" s="229">
        <f>'Balance Sheet'!AG26</f>
        <v>0</v>
      </c>
      <c r="AB41" s="229">
        <f>'Balance Sheet'!AH26</f>
        <v>0</v>
      </c>
      <c r="AC41" s="229">
        <f>'Balance Sheet'!AI26</f>
        <v>0</v>
      </c>
      <c r="AD41" s="229">
        <f>'Balance Sheet'!AJ26</f>
        <v>0</v>
      </c>
      <c r="AE41" s="229">
        <f>'Balance Sheet'!AK26</f>
        <v>0</v>
      </c>
      <c r="AF41" s="229">
        <f>'Balance Sheet'!AL26</f>
        <v>0</v>
      </c>
      <c r="AG41" s="229">
        <f>'Balance Sheet'!AM26</f>
        <v>0</v>
      </c>
      <c r="AH41" s="229">
        <f>'Balance Sheet'!AN26</f>
        <v>0</v>
      </c>
      <c r="AI41" s="229">
        <f>'Balance Sheet'!AO26</f>
        <v>0</v>
      </c>
      <c r="AJ41" s="229">
        <f>'Balance Sheet'!AP26</f>
        <v>0</v>
      </c>
      <c r="AK41" s="229">
        <f>'Balance Sheet'!AQ26</f>
        <v>0</v>
      </c>
      <c r="AL41" s="229">
        <f>'Balance Sheet'!AR26</f>
        <v>0</v>
      </c>
      <c r="AM41" s="229">
        <f>'Balance Sheet'!AS26</f>
        <v>0</v>
      </c>
      <c r="AN41" s="229">
        <f>'Balance Sheet'!AT26</f>
        <v>0</v>
      </c>
      <c r="AO41" s="229">
        <f>'Balance Sheet'!AU26</f>
        <v>0</v>
      </c>
      <c r="AP41" s="229">
        <f>'Balance Sheet'!AV26</f>
        <v>0</v>
      </c>
      <c r="AQ41" s="229">
        <f>'Balance Sheet'!AW26</f>
        <v>0</v>
      </c>
      <c r="AR41" s="229">
        <f>'Balance Sheet'!AX26</f>
        <v>0</v>
      </c>
      <c r="AS41" s="229">
        <f>'Balance Sheet'!AY26</f>
        <v>0</v>
      </c>
      <c r="AT41" s="229">
        <f>'Balance Sheet'!AZ26</f>
        <v>0</v>
      </c>
      <c r="AU41" s="229">
        <f>'Balance Sheet'!BA26</f>
        <v>0</v>
      </c>
      <c r="AV41" s="229">
        <f>'Balance Sheet'!BB26</f>
        <v>0</v>
      </c>
      <c r="AW41" s="229">
        <f>'Balance Sheet'!BC26</f>
        <v>0</v>
      </c>
      <c r="AX41" s="229">
        <f>'Balance Sheet'!BD26</f>
        <v>0</v>
      </c>
      <c r="AY41" s="229">
        <f>'Balance Sheet'!BE26</f>
        <v>0</v>
      </c>
      <c r="AZ41" s="229">
        <f>'Balance Sheet'!BF26</f>
        <v>0</v>
      </c>
      <c r="BA41" s="229">
        <f>'Balance Sheet'!BG26</f>
        <v>0</v>
      </c>
      <c r="BB41" s="229">
        <f>'Balance Sheet'!BH26</f>
        <v>0</v>
      </c>
      <c r="BC41" s="229">
        <f>'Balance Sheet'!BI26</f>
        <v>0</v>
      </c>
      <c r="BD41" s="229">
        <f>'Balance Sheet'!BJ26</f>
        <v>0</v>
      </c>
      <c r="BE41" s="229">
        <f>'Balance Sheet'!BK26</f>
        <v>0</v>
      </c>
      <c r="BF41" s="229">
        <f>'Balance Sheet'!BL26</f>
        <v>0</v>
      </c>
      <c r="BG41" s="229">
        <f>'Balance Sheet'!BM26</f>
        <v>0</v>
      </c>
      <c r="BH41" s="229">
        <f>'Balance Sheet'!BN26</f>
        <v>0</v>
      </c>
      <c r="BI41" s="229">
        <f>'Balance Sheet'!BO26</f>
        <v>0</v>
      </c>
      <c r="BJ41" s="229">
        <f>'Balance Sheet'!BP26</f>
        <v>0</v>
      </c>
      <c r="BK41" s="229">
        <f>'Balance Sheet'!BQ26</f>
        <v>0</v>
      </c>
      <c r="BL41" s="235"/>
      <c r="BM41" s="235"/>
      <c r="BN41" s="235"/>
      <c r="BO41" s="235"/>
      <c r="BP41" s="235"/>
      <c r="BQ41" s="235"/>
      <c r="BR41" s="235"/>
      <c r="IR41" s="228"/>
    </row>
    <row r="42" spans="1:252">
      <c r="B42" s="230" t="str">
        <f>'Balance Sheet'!E27</f>
        <v>Shareholder Equity</v>
      </c>
      <c r="C42" s="231"/>
      <c r="D42" s="232">
        <f ca="1">'Balance Sheet'!J27</f>
        <v>-46000</v>
      </c>
      <c r="E42" s="232">
        <f ca="1">'Balance Sheet'!K27</f>
        <v>-100565.05176275744</v>
      </c>
      <c r="F42" s="232">
        <f ca="1">'Balance Sheet'!L27</f>
        <v>-156435.88319980982</v>
      </c>
      <c r="G42" s="232">
        <f ca="1">'Balance Sheet'!M27</f>
        <v>-214344.35039282092</v>
      </c>
      <c r="H42" s="232">
        <f ca="1">'Balance Sheet'!N27</f>
        <v>-273769.29454510426</v>
      </c>
      <c r="I42" s="232">
        <f ca="1">'Balance Sheet'!O27</f>
        <v>-334749.29442721617</v>
      </c>
      <c r="J42" s="232">
        <f ca="1">'Balance Sheet'!P27</f>
        <v>-398054.65742984624</v>
      </c>
      <c r="K42" s="232">
        <f ca="1">'Balance Sheet'!Q27</f>
        <v>-323522.2360380665</v>
      </c>
      <c r="L42" s="232">
        <f ca="1">'Balance Sheet'!R27</f>
        <v>-224627.29354566085</v>
      </c>
      <c r="M42" s="232">
        <f ca="1">'Balance Sheet'!S27</f>
        <v>-127938.21921522322</v>
      </c>
      <c r="N42" s="232">
        <f ca="1">'Balance Sheet'!T27</f>
        <v>-53950.364440825346</v>
      </c>
      <c r="O42" s="232">
        <f ca="1">'Balance Sheet'!U27</f>
        <v>18227.46527023922</v>
      </c>
      <c r="P42" s="232">
        <f ca="1">'Balance Sheet'!V27</f>
        <v>88044.131936905891</v>
      </c>
      <c r="Q42" s="232">
        <f ca="1">'Balance Sheet'!W27</f>
        <v>272359.34033282101</v>
      </c>
      <c r="R42" s="232">
        <f ca="1">'Balance Sheet'!X27</f>
        <v>470727.87035642535</v>
      </c>
      <c r="S42" s="232">
        <f ca="1">'Balance Sheet'!Y27</f>
        <v>666273.05993389327</v>
      </c>
      <c r="T42" s="232">
        <f ca="1">'Balance Sheet'!Z27</f>
        <v>859393.58513899322</v>
      </c>
      <c r="U42" s="232">
        <f ca="1">'Balance Sheet'!AA27</f>
        <v>1042736.2934229415</v>
      </c>
      <c r="V42" s="232">
        <f ca="1">'Balance Sheet'!AB27</f>
        <v>1222809.7629630142</v>
      </c>
      <c r="W42" s="232">
        <f ca="1">'Balance Sheet'!AC27</f>
        <v>1540092.1821436328</v>
      </c>
      <c r="X42" s="232">
        <f ca="1">'Balance Sheet'!AD27</f>
        <v>1854290.449729356</v>
      </c>
      <c r="Y42" s="232">
        <f ca="1">'Balance Sheet'!AE27</f>
        <v>2157390.6170722069</v>
      </c>
      <c r="Z42" s="232">
        <f ca="1">'Balance Sheet'!AF27</f>
        <v>2457392.0086154272</v>
      </c>
      <c r="AA42" s="232">
        <f ca="1">'Balance Sheet'!AG27</f>
        <v>2893765.0184405441</v>
      </c>
      <c r="AB42" s="232">
        <f ca="1">'Balance Sheet'!AH27</f>
        <v>3289450.4008953809</v>
      </c>
      <c r="AC42" s="232">
        <f ca="1">'Balance Sheet'!AI27</f>
        <v>3694025.6099093514</v>
      </c>
      <c r="AD42" s="232">
        <f ca="1">'Balance Sheet'!AJ27</f>
        <v>4100943.7863921789</v>
      </c>
      <c r="AE42" s="232">
        <f ca="1">'Balance Sheet'!AK27</f>
        <v>4657256.1847394155</v>
      </c>
      <c r="AF42" s="232">
        <f ca="1">'Balance Sheet'!AL27</f>
        <v>5224156.2692881264</v>
      </c>
      <c r="AG42" s="232">
        <f ca="1">'Balance Sheet'!AM27</f>
        <v>5795239.3858931158</v>
      </c>
      <c r="AH42" s="232">
        <f ca="1">'Balance Sheet'!AN27</f>
        <v>6517608.9213692658</v>
      </c>
      <c r="AI42" s="232">
        <f ca="1">'Balance Sheet'!AO27</f>
        <v>7252863.0380995739</v>
      </c>
      <c r="AJ42" s="232">
        <f ca="1">'Balance Sheet'!AP27</f>
        <v>8134129.6461683484</v>
      </c>
      <c r="AK42" s="232">
        <f ca="1">'Balance Sheet'!AQ27</f>
        <v>9028932.8164410628</v>
      </c>
      <c r="AL42" s="232">
        <f ca="1">'Balance Sheet'!AR27</f>
        <v>9932421.5820214897</v>
      </c>
      <c r="AM42" s="232">
        <f ca="1">'Balance Sheet'!AS27</f>
        <v>10991760.232333895</v>
      </c>
      <c r="AN42" s="232">
        <f ca="1">'Balance Sheet'!AT27</f>
        <v>12060369.243370049</v>
      </c>
      <c r="AO42" s="232">
        <f ca="1">'Balance Sheet'!AU27</f>
        <v>13139411.992856814</v>
      </c>
      <c r="AP42" s="232">
        <f ca="1">'Balance Sheet'!AV27</f>
        <v>14377752.337192958</v>
      </c>
      <c r="AQ42" s="232">
        <f ca="1">'Balance Sheet'!AW27</f>
        <v>15628146.089575386</v>
      </c>
      <c r="AR42" s="232">
        <f ca="1">'Balance Sheet'!AX27</f>
        <v>17032450.249275498</v>
      </c>
      <c r="AS42" s="232">
        <f ca="1">'Balance Sheet'!AY27</f>
        <v>18459729.27484541</v>
      </c>
      <c r="AT42" s="232">
        <f ca="1">'Balance Sheet'!AZ27</f>
        <v>20042855.49964666</v>
      </c>
      <c r="AU42" s="232">
        <f ca="1">'Balance Sheet'!BA27</f>
        <v>21784481.664247084</v>
      </c>
      <c r="AV42" s="232">
        <f ca="1">'Balance Sheet'!BB27</f>
        <v>23545411.961287707</v>
      </c>
      <c r="AW42" s="232">
        <f ca="1">'Balance Sheet'!BC27</f>
        <v>25466720.227145471</v>
      </c>
      <c r="AX42" s="232">
        <f ca="1">'Balance Sheet'!BD27</f>
        <v>27552763.87322633</v>
      </c>
      <c r="AY42" s="232">
        <f ca="1">'Balance Sheet'!BE27</f>
        <v>29663222.876222033</v>
      </c>
      <c r="AZ42" s="232">
        <f ca="1">'Balance Sheet'!BF27</f>
        <v>31927477.598079607</v>
      </c>
      <c r="BA42" s="232">
        <f ca="1">'Balance Sheet'!BG27</f>
        <v>34372529.61781434</v>
      </c>
      <c r="BB42" s="232">
        <f ca="1">'Balance Sheet'!BH27</f>
        <v>37002141.488822192</v>
      </c>
      <c r="BC42" s="232">
        <f ca="1">'Balance Sheet'!BI27</f>
        <v>39817740.20741266</v>
      </c>
      <c r="BD42" s="232">
        <f ca="1">'Balance Sheet'!BJ27</f>
        <v>42823308.513468735</v>
      </c>
      <c r="BE42" s="232">
        <f ca="1">'Balance Sheet'!BK27</f>
        <v>46023326.642907783</v>
      </c>
      <c r="BF42" s="232">
        <f ca="1">'Balance Sheet'!BL27</f>
        <v>49419612.180270262</v>
      </c>
      <c r="BG42" s="232">
        <f ca="1">'Balance Sheet'!BM27</f>
        <v>53017924.073937289</v>
      </c>
      <c r="BH42" s="232">
        <f ca="1">'Balance Sheet'!BN27</f>
        <v>56821548.487890348</v>
      </c>
      <c r="BI42" s="232">
        <f ca="1">'Balance Sheet'!BO27</f>
        <v>60833762.469809815</v>
      </c>
      <c r="BJ42" s="232">
        <f ca="1">'Balance Sheet'!BP27</f>
        <v>65063079.570166416</v>
      </c>
      <c r="BK42" s="232">
        <f ca="1">'Balance Sheet'!BQ27</f>
        <v>69510763.829430103</v>
      </c>
      <c r="BL42" s="235"/>
      <c r="BM42" s="235"/>
      <c r="BN42" s="235"/>
      <c r="BO42" s="235"/>
      <c r="BP42" s="235"/>
      <c r="BQ42" s="235"/>
      <c r="BR42" s="235"/>
      <c r="IR42" s="228"/>
    </row>
    <row r="43" spans="1:252">
      <c r="C43" s="225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  <c r="AA43" s="229"/>
      <c r="AB43" s="229"/>
      <c r="AC43" s="229"/>
      <c r="AD43" s="229"/>
      <c r="AE43" s="229"/>
      <c r="AF43" s="229"/>
      <c r="AG43" s="229"/>
      <c r="AH43" s="229"/>
      <c r="AI43" s="229"/>
      <c r="AJ43" s="229"/>
      <c r="AK43" s="229"/>
      <c r="AL43" s="229"/>
      <c r="AM43" s="229"/>
      <c r="AN43" s="229"/>
      <c r="AO43" s="229"/>
      <c r="AP43" s="229"/>
      <c r="AQ43" s="229"/>
      <c r="AR43" s="229"/>
      <c r="AS43" s="229"/>
      <c r="AT43" s="229"/>
      <c r="AU43" s="229"/>
      <c r="AV43" s="229"/>
      <c r="AW43" s="229"/>
      <c r="AX43" s="229"/>
      <c r="AY43" s="229"/>
      <c r="AZ43" s="229"/>
      <c r="BA43" s="229"/>
      <c r="BB43" s="229"/>
      <c r="BC43" s="229"/>
      <c r="BD43" s="229"/>
      <c r="BE43" s="229"/>
      <c r="BF43" s="229"/>
      <c r="BG43" s="229"/>
      <c r="BH43" s="229"/>
      <c r="BI43" s="229"/>
      <c r="BJ43" s="229"/>
      <c r="BK43" s="229"/>
      <c r="BL43" s="235"/>
      <c r="BM43" s="235"/>
      <c r="BN43" s="235"/>
      <c r="BO43" s="235"/>
      <c r="BP43" s="235"/>
      <c r="BQ43" s="235"/>
      <c r="BR43" s="235"/>
      <c r="IR43" s="228"/>
    </row>
    <row r="44" spans="1:252">
      <c r="A44" s="224"/>
      <c r="B44" s="224"/>
      <c r="C44" s="225"/>
      <c r="D44" s="224"/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4"/>
      <c r="AW44" s="224"/>
      <c r="AX44" s="224"/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224"/>
      <c r="BJ44" s="224"/>
      <c r="BK44" s="224"/>
      <c r="BL44" s="224"/>
      <c r="BM44" s="224"/>
      <c r="BN44" s="224"/>
      <c r="BO44" s="224"/>
      <c r="BP44" s="224"/>
      <c r="BQ44" s="224"/>
      <c r="BR44" s="224"/>
      <c r="BS44" s="224"/>
      <c r="BT44" s="224"/>
      <c r="BU44" s="224"/>
      <c r="BV44" s="224"/>
      <c r="BW44" s="224"/>
      <c r="BX44" s="224"/>
      <c r="BY44" s="224"/>
      <c r="BZ44" s="224"/>
      <c r="CA44" s="224"/>
      <c r="CB44" s="224"/>
      <c r="CC44" s="224"/>
      <c r="CD44" s="224"/>
      <c r="CE44" s="224"/>
      <c r="CF44" s="224"/>
      <c r="CG44" s="224"/>
      <c r="CH44" s="224"/>
      <c r="CI44" s="224"/>
      <c r="CJ44" s="224"/>
      <c r="CK44" s="224"/>
      <c r="CL44" s="224"/>
      <c r="CM44" s="224"/>
      <c r="CN44" s="224"/>
      <c r="CO44" s="224"/>
      <c r="CP44" s="224"/>
      <c r="CQ44" s="224"/>
      <c r="CR44" s="224"/>
      <c r="CS44" s="224"/>
      <c r="CT44" s="224"/>
      <c r="CU44" s="224"/>
      <c r="CV44" s="224"/>
      <c r="CW44" s="224"/>
      <c r="CX44" s="224"/>
      <c r="CY44" s="224"/>
      <c r="CZ44" s="224"/>
      <c r="DA44" s="224"/>
      <c r="DB44" s="224"/>
      <c r="DC44" s="224"/>
      <c r="DD44" s="224"/>
      <c r="DE44" s="224"/>
      <c r="DF44" s="224"/>
      <c r="DG44" s="224"/>
      <c r="DH44" s="224"/>
      <c r="DI44" s="224"/>
      <c r="DJ44" s="224"/>
      <c r="DK44" s="224"/>
      <c r="DL44" s="224"/>
      <c r="DM44" s="224"/>
      <c r="DN44" s="224"/>
      <c r="DO44" s="224"/>
      <c r="DP44" s="224"/>
      <c r="DQ44" s="224"/>
      <c r="DR44" s="224"/>
      <c r="DS44" s="224"/>
      <c r="DT44" s="224"/>
      <c r="DU44" s="224"/>
      <c r="DV44" s="224"/>
      <c r="DW44" s="224"/>
      <c r="DX44" s="224"/>
      <c r="DY44" s="224"/>
      <c r="DZ44" s="224"/>
      <c r="EA44" s="224"/>
      <c r="EB44" s="224"/>
      <c r="EC44" s="224"/>
      <c r="ED44" s="224"/>
      <c r="EE44" s="224"/>
      <c r="EF44" s="224"/>
      <c r="EG44" s="224"/>
      <c r="EH44" s="224"/>
      <c r="EI44" s="224"/>
      <c r="EJ44" s="224"/>
      <c r="EK44" s="224"/>
      <c r="EL44" s="224"/>
      <c r="EM44" s="224"/>
      <c r="EN44" s="224"/>
      <c r="EO44" s="224"/>
      <c r="EP44" s="224"/>
      <c r="EQ44" s="224"/>
      <c r="ER44" s="224"/>
      <c r="ES44" s="224"/>
      <c r="ET44" s="224"/>
      <c r="EU44" s="224"/>
      <c r="EV44" s="224"/>
      <c r="EW44" s="224"/>
      <c r="EX44" s="224"/>
      <c r="EY44" s="224"/>
      <c r="EZ44" s="224"/>
      <c r="FA44" s="224"/>
      <c r="FB44" s="224"/>
      <c r="FC44" s="224"/>
      <c r="FD44" s="224"/>
      <c r="FE44" s="224"/>
      <c r="FF44" s="224"/>
      <c r="FG44" s="224"/>
      <c r="FH44" s="224"/>
      <c r="FI44" s="224"/>
      <c r="FJ44" s="224"/>
      <c r="FK44" s="224"/>
      <c r="FL44" s="224"/>
      <c r="FM44" s="224"/>
      <c r="FN44" s="224"/>
      <c r="FO44" s="224"/>
      <c r="FP44" s="224"/>
      <c r="FQ44" s="224"/>
      <c r="FR44" s="224"/>
      <c r="FS44" s="224"/>
      <c r="FT44" s="224"/>
      <c r="FU44" s="224"/>
      <c r="FV44" s="224"/>
      <c r="FW44" s="224"/>
      <c r="FX44" s="224"/>
      <c r="FY44" s="224"/>
      <c r="FZ44" s="224"/>
      <c r="GA44" s="224"/>
      <c r="GB44" s="224"/>
      <c r="GC44" s="224"/>
      <c r="GD44" s="224"/>
      <c r="GE44" s="224"/>
      <c r="GF44" s="224"/>
      <c r="GG44" s="224"/>
      <c r="GH44" s="224"/>
      <c r="GI44" s="224"/>
      <c r="GJ44" s="224"/>
      <c r="GK44" s="224"/>
      <c r="GL44" s="224"/>
      <c r="GM44" s="224"/>
      <c r="GN44" s="224"/>
      <c r="GO44" s="224"/>
      <c r="GP44" s="224"/>
      <c r="GQ44" s="224"/>
      <c r="GR44" s="224"/>
      <c r="GS44" s="224"/>
      <c r="GT44" s="224"/>
      <c r="GU44" s="224"/>
      <c r="GV44" s="224"/>
      <c r="GW44" s="224"/>
      <c r="GX44" s="224"/>
      <c r="GY44" s="224"/>
      <c r="GZ44" s="224"/>
      <c r="HA44" s="224"/>
      <c r="HB44" s="224"/>
      <c r="HC44" s="224"/>
      <c r="HD44" s="224"/>
      <c r="HE44" s="224"/>
      <c r="HF44" s="224"/>
      <c r="HG44" s="224"/>
      <c r="HH44" s="224"/>
      <c r="HI44" s="224"/>
      <c r="HJ44" s="224"/>
      <c r="HK44" s="224"/>
      <c r="HL44" s="224"/>
      <c r="HM44" s="224"/>
      <c r="HN44" s="224"/>
      <c r="HO44" s="224"/>
      <c r="HP44" s="224"/>
      <c r="HQ44" s="224"/>
      <c r="HR44" s="224"/>
      <c r="HS44" s="224"/>
      <c r="HT44" s="224"/>
      <c r="HU44" s="224"/>
      <c r="HV44" s="224"/>
      <c r="HW44" s="224"/>
      <c r="HX44" s="224"/>
      <c r="HY44" s="224"/>
      <c r="HZ44" s="224"/>
      <c r="IA44" s="224"/>
      <c r="IB44" s="224"/>
      <c r="IC44" s="224"/>
      <c r="ID44" s="224"/>
      <c r="IE44" s="224"/>
      <c r="IF44" s="224"/>
      <c r="IG44" s="224"/>
      <c r="IH44" s="224"/>
      <c r="II44" s="224"/>
      <c r="IJ44" s="224"/>
      <c r="IK44" s="224"/>
      <c r="IL44" s="224"/>
      <c r="IM44" s="224"/>
      <c r="IN44" s="224"/>
      <c r="IO44" s="224"/>
      <c r="IP44" s="224"/>
      <c r="IQ44" s="224"/>
      <c r="IR44" s="224"/>
    </row>
    <row r="45" spans="1:252">
      <c r="A45" s="239"/>
      <c r="B45" s="239" t="s">
        <v>344</v>
      </c>
      <c r="C45" s="225"/>
      <c r="D45" s="240">
        <f t="shared" ref="D45:AI45" si="2">D2</f>
        <v>45077</v>
      </c>
      <c r="E45" s="240">
        <f t="shared" si="2"/>
        <v>45107</v>
      </c>
      <c r="F45" s="240">
        <f t="shared" si="2"/>
        <v>45138</v>
      </c>
      <c r="G45" s="240">
        <f t="shared" si="2"/>
        <v>45169</v>
      </c>
      <c r="H45" s="240">
        <f t="shared" si="2"/>
        <v>45199</v>
      </c>
      <c r="I45" s="240">
        <f t="shared" si="2"/>
        <v>45230</v>
      </c>
      <c r="J45" s="240">
        <f t="shared" si="2"/>
        <v>45260</v>
      </c>
      <c r="K45" s="240">
        <f t="shared" si="2"/>
        <v>45291</v>
      </c>
      <c r="L45" s="240">
        <f t="shared" si="2"/>
        <v>45322</v>
      </c>
      <c r="M45" s="240">
        <f t="shared" si="2"/>
        <v>45351</v>
      </c>
      <c r="N45" s="240">
        <f t="shared" si="2"/>
        <v>45382</v>
      </c>
      <c r="O45" s="240">
        <f t="shared" si="2"/>
        <v>45412</v>
      </c>
      <c r="P45" s="240">
        <f t="shared" si="2"/>
        <v>45443</v>
      </c>
      <c r="Q45" s="240">
        <f t="shared" si="2"/>
        <v>45473</v>
      </c>
      <c r="R45" s="240">
        <f t="shared" si="2"/>
        <v>45504</v>
      </c>
      <c r="S45" s="240">
        <f t="shared" si="2"/>
        <v>45535</v>
      </c>
      <c r="T45" s="240">
        <f t="shared" si="2"/>
        <v>45565</v>
      </c>
      <c r="U45" s="240">
        <f t="shared" si="2"/>
        <v>45596</v>
      </c>
      <c r="V45" s="240">
        <f t="shared" si="2"/>
        <v>45626</v>
      </c>
      <c r="W45" s="240">
        <f t="shared" si="2"/>
        <v>45657</v>
      </c>
      <c r="X45" s="240">
        <f t="shared" si="2"/>
        <v>45688</v>
      </c>
      <c r="Y45" s="240">
        <f t="shared" si="2"/>
        <v>45716</v>
      </c>
      <c r="Z45" s="240">
        <f t="shared" si="2"/>
        <v>45747</v>
      </c>
      <c r="AA45" s="240">
        <f t="shared" si="2"/>
        <v>45777</v>
      </c>
      <c r="AB45" s="240">
        <f t="shared" si="2"/>
        <v>45808</v>
      </c>
      <c r="AC45" s="240">
        <f t="shared" si="2"/>
        <v>45838</v>
      </c>
      <c r="AD45" s="240">
        <f t="shared" si="2"/>
        <v>45869</v>
      </c>
      <c r="AE45" s="240">
        <f t="shared" si="2"/>
        <v>45900</v>
      </c>
      <c r="AF45" s="240">
        <f t="shared" si="2"/>
        <v>45930</v>
      </c>
      <c r="AG45" s="240">
        <f t="shared" si="2"/>
        <v>45961</v>
      </c>
      <c r="AH45" s="240">
        <f t="shared" si="2"/>
        <v>45991</v>
      </c>
      <c r="AI45" s="240">
        <f t="shared" si="2"/>
        <v>46022</v>
      </c>
      <c r="AJ45" s="240">
        <f t="shared" ref="AJ45:BK45" si="3">AJ2</f>
        <v>46053</v>
      </c>
      <c r="AK45" s="240">
        <f t="shared" si="3"/>
        <v>46081</v>
      </c>
      <c r="AL45" s="240">
        <f t="shared" si="3"/>
        <v>46112</v>
      </c>
      <c r="AM45" s="240">
        <f t="shared" si="3"/>
        <v>46142</v>
      </c>
      <c r="AN45" s="240">
        <f t="shared" si="3"/>
        <v>46173</v>
      </c>
      <c r="AO45" s="240">
        <f t="shared" si="3"/>
        <v>46203</v>
      </c>
      <c r="AP45" s="240">
        <f t="shared" si="3"/>
        <v>46234</v>
      </c>
      <c r="AQ45" s="240">
        <f t="shared" si="3"/>
        <v>46265</v>
      </c>
      <c r="AR45" s="240">
        <f t="shared" si="3"/>
        <v>46295</v>
      </c>
      <c r="AS45" s="240">
        <f t="shared" si="3"/>
        <v>46326</v>
      </c>
      <c r="AT45" s="240">
        <f t="shared" si="3"/>
        <v>46356</v>
      </c>
      <c r="AU45" s="240">
        <f t="shared" si="3"/>
        <v>46387</v>
      </c>
      <c r="AV45" s="240">
        <f t="shared" si="3"/>
        <v>46418</v>
      </c>
      <c r="AW45" s="240">
        <f t="shared" si="3"/>
        <v>46446</v>
      </c>
      <c r="AX45" s="240">
        <f t="shared" si="3"/>
        <v>46477</v>
      </c>
      <c r="AY45" s="240">
        <f t="shared" si="3"/>
        <v>46507</v>
      </c>
      <c r="AZ45" s="240">
        <f t="shared" si="3"/>
        <v>46538</v>
      </c>
      <c r="BA45" s="240">
        <f t="shared" si="3"/>
        <v>46568</v>
      </c>
      <c r="BB45" s="240">
        <f t="shared" si="3"/>
        <v>46599</v>
      </c>
      <c r="BC45" s="240">
        <f t="shared" si="3"/>
        <v>46630</v>
      </c>
      <c r="BD45" s="240">
        <f t="shared" si="3"/>
        <v>46660</v>
      </c>
      <c r="BE45" s="240">
        <f t="shared" si="3"/>
        <v>46691</v>
      </c>
      <c r="BF45" s="240">
        <f t="shared" si="3"/>
        <v>46721</v>
      </c>
      <c r="BG45" s="240">
        <f t="shared" si="3"/>
        <v>46752</v>
      </c>
      <c r="BH45" s="240">
        <f t="shared" si="3"/>
        <v>46783</v>
      </c>
      <c r="BI45" s="240">
        <f t="shared" si="3"/>
        <v>46812</v>
      </c>
      <c r="BJ45" s="240">
        <f t="shared" si="3"/>
        <v>46843</v>
      </c>
      <c r="BK45" s="240">
        <f t="shared" si="3"/>
        <v>46873</v>
      </c>
      <c r="BL45" s="239"/>
      <c r="BM45" s="239"/>
      <c r="BN45" s="239"/>
      <c r="BO45" s="239"/>
      <c r="BP45" s="239"/>
      <c r="BQ45" s="239"/>
      <c r="BR45" s="239"/>
      <c r="BS45" s="239"/>
      <c r="BT45" s="239"/>
      <c r="BU45" s="239"/>
      <c r="BV45" s="239"/>
      <c r="BW45" s="239"/>
      <c r="BX45" s="239"/>
      <c r="BY45" s="239"/>
      <c r="BZ45" s="239"/>
      <c r="CA45" s="239"/>
      <c r="CB45" s="239"/>
      <c r="CC45" s="239"/>
      <c r="CD45" s="239"/>
      <c r="CE45" s="239"/>
      <c r="CF45" s="239"/>
      <c r="CG45" s="239"/>
      <c r="CH45" s="239"/>
      <c r="CI45" s="239"/>
      <c r="CJ45" s="239"/>
      <c r="CK45" s="239"/>
      <c r="CL45" s="239"/>
      <c r="CM45" s="239"/>
      <c r="CN45" s="239"/>
      <c r="CO45" s="239"/>
      <c r="CP45" s="239"/>
      <c r="CQ45" s="239"/>
      <c r="CR45" s="239"/>
      <c r="CS45" s="239"/>
      <c r="CT45" s="239"/>
      <c r="CU45" s="239"/>
      <c r="CV45" s="239"/>
      <c r="CW45" s="239"/>
      <c r="CX45" s="239"/>
      <c r="CY45" s="239"/>
      <c r="CZ45" s="239"/>
      <c r="DA45" s="239"/>
      <c r="DB45" s="239"/>
      <c r="DC45" s="239"/>
      <c r="DD45" s="239"/>
      <c r="DE45" s="239"/>
      <c r="DF45" s="239"/>
      <c r="DG45" s="239"/>
      <c r="DH45" s="239"/>
      <c r="DI45" s="239"/>
      <c r="DJ45" s="239"/>
      <c r="DK45" s="239"/>
      <c r="DL45" s="239"/>
      <c r="DM45" s="239"/>
      <c r="DN45" s="239"/>
      <c r="DO45" s="239"/>
      <c r="DP45" s="239"/>
      <c r="DQ45" s="239"/>
      <c r="DR45" s="239"/>
      <c r="DS45" s="239"/>
      <c r="DT45" s="239"/>
      <c r="DU45" s="239"/>
      <c r="DV45" s="239"/>
      <c r="DW45" s="239"/>
      <c r="DX45" s="239"/>
      <c r="DY45" s="239"/>
      <c r="DZ45" s="239"/>
      <c r="EA45" s="239"/>
      <c r="EB45" s="239"/>
      <c r="EC45" s="239"/>
      <c r="ED45" s="239"/>
      <c r="EE45" s="239"/>
      <c r="EF45" s="239"/>
      <c r="EG45" s="239"/>
      <c r="EH45" s="239"/>
      <c r="EI45" s="239"/>
      <c r="EJ45" s="239"/>
      <c r="EK45" s="239"/>
      <c r="EL45" s="239"/>
      <c r="EM45" s="239"/>
      <c r="EN45" s="239"/>
      <c r="EO45" s="239"/>
      <c r="EP45" s="239"/>
      <c r="EQ45" s="239"/>
      <c r="ER45" s="239"/>
      <c r="ES45" s="239"/>
      <c r="ET45" s="239"/>
      <c r="EU45" s="239"/>
      <c r="EV45" s="239"/>
      <c r="EW45" s="239"/>
      <c r="EX45" s="239"/>
      <c r="EY45" s="239"/>
      <c r="EZ45" s="239"/>
      <c r="FA45" s="239"/>
      <c r="FB45" s="239"/>
      <c r="FC45" s="239"/>
      <c r="FD45" s="239"/>
      <c r="FE45" s="239"/>
      <c r="FF45" s="239"/>
      <c r="FG45" s="239"/>
      <c r="FH45" s="239"/>
      <c r="FI45" s="239"/>
      <c r="FJ45" s="239"/>
      <c r="FK45" s="239"/>
      <c r="FL45" s="239"/>
      <c r="FM45" s="239"/>
      <c r="FN45" s="239"/>
      <c r="FO45" s="239"/>
      <c r="FP45" s="239"/>
      <c r="FQ45" s="239"/>
      <c r="FR45" s="239"/>
      <c r="FS45" s="239"/>
      <c r="FT45" s="239"/>
      <c r="FU45" s="239"/>
      <c r="FV45" s="239"/>
      <c r="FW45" s="239"/>
      <c r="FX45" s="239"/>
      <c r="FY45" s="239"/>
      <c r="FZ45" s="239"/>
      <c r="GA45" s="239"/>
      <c r="GB45" s="239"/>
      <c r="GC45" s="239"/>
      <c r="GD45" s="239"/>
      <c r="GE45" s="239"/>
      <c r="GF45" s="239"/>
      <c r="GG45" s="239"/>
      <c r="GH45" s="239"/>
      <c r="GI45" s="239"/>
      <c r="GJ45" s="239"/>
      <c r="GK45" s="239"/>
      <c r="GL45" s="239"/>
      <c r="GM45" s="239"/>
      <c r="GN45" s="239"/>
      <c r="GO45" s="239"/>
      <c r="GP45" s="239"/>
      <c r="GQ45" s="239"/>
      <c r="GR45" s="239"/>
      <c r="GS45" s="239"/>
      <c r="GT45" s="239"/>
      <c r="GU45" s="239"/>
      <c r="GV45" s="239"/>
      <c r="GW45" s="239"/>
      <c r="GX45" s="239"/>
      <c r="GY45" s="239"/>
      <c r="GZ45" s="239"/>
      <c r="HA45" s="239"/>
      <c r="HB45" s="239"/>
      <c r="HC45" s="239"/>
      <c r="HD45" s="239"/>
      <c r="HE45" s="239"/>
      <c r="HF45" s="239"/>
      <c r="HG45" s="239"/>
      <c r="HH45" s="239"/>
      <c r="HI45" s="239"/>
      <c r="HJ45" s="239"/>
      <c r="HK45" s="239"/>
      <c r="HL45" s="239"/>
      <c r="HM45" s="239"/>
      <c r="HN45" s="239"/>
      <c r="HO45" s="239"/>
      <c r="HP45" s="239"/>
      <c r="HQ45" s="239"/>
      <c r="HR45" s="239"/>
      <c r="HS45" s="239"/>
      <c r="HT45" s="239"/>
      <c r="HU45" s="239"/>
      <c r="HV45" s="239"/>
      <c r="HW45" s="239"/>
      <c r="HX45" s="239"/>
      <c r="HY45" s="239"/>
      <c r="HZ45" s="239"/>
      <c r="IA45" s="239"/>
      <c r="IB45" s="239"/>
      <c r="IC45" s="239"/>
      <c r="ID45" s="239"/>
      <c r="IE45" s="239"/>
      <c r="IF45" s="239"/>
      <c r="IG45" s="239"/>
      <c r="IH45" s="239"/>
      <c r="II45" s="239"/>
      <c r="IJ45" s="239"/>
      <c r="IK45" s="239"/>
      <c r="IL45" s="239"/>
      <c r="IM45" s="239"/>
      <c r="IN45" s="239"/>
      <c r="IO45" s="239"/>
      <c r="IP45" s="239"/>
      <c r="IQ45" s="239"/>
      <c r="IR45" s="239"/>
    </row>
    <row r="46" spans="1:252">
      <c r="A46" s="224"/>
      <c r="B46" s="224"/>
      <c r="C46" s="225"/>
      <c r="D46" s="234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4"/>
      <c r="Z46" s="234"/>
      <c r="AA46" s="234"/>
      <c r="AB46" s="234"/>
      <c r="AC46" s="234"/>
      <c r="AD46" s="234"/>
      <c r="AE46" s="234"/>
      <c r="AF46" s="234"/>
      <c r="AG46" s="234"/>
      <c r="AH46" s="234"/>
      <c r="AI46" s="234"/>
      <c r="AJ46" s="234"/>
      <c r="AK46" s="234"/>
      <c r="AL46" s="234"/>
      <c r="AM46" s="234"/>
      <c r="AN46" s="234"/>
      <c r="AO46" s="234"/>
      <c r="AP46" s="234"/>
      <c r="AQ46" s="234"/>
      <c r="AR46" s="234"/>
      <c r="AS46" s="234"/>
      <c r="AT46" s="234"/>
      <c r="AU46" s="234"/>
      <c r="AV46" s="234"/>
      <c r="AW46" s="234"/>
      <c r="AX46" s="234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24"/>
      <c r="BM46" s="224"/>
      <c r="BN46" s="224"/>
      <c r="BO46" s="224"/>
      <c r="BP46" s="224"/>
      <c r="BQ46" s="224"/>
      <c r="BR46" s="224"/>
      <c r="BS46" s="224"/>
      <c r="BT46" s="224"/>
      <c r="BU46" s="224"/>
      <c r="BV46" s="224"/>
      <c r="BW46" s="224"/>
      <c r="BX46" s="224"/>
      <c r="BY46" s="224"/>
      <c r="BZ46" s="224"/>
      <c r="CA46" s="224"/>
      <c r="CB46" s="224"/>
      <c r="CC46" s="224"/>
      <c r="CD46" s="224"/>
      <c r="CE46" s="224"/>
      <c r="CF46" s="224"/>
      <c r="CG46" s="224"/>
      <c r="CH46" s="224"/>
      <c r="CI46" s="224"/>
      <c r="CJ46" s="224"/>
      <c r="CK46" s="224"/>
      <c r="CL46" s="224"/>
      <c r="CM46" s="224"/>
      <c r="CN46" s="224"/>
      <c r="CO46" s="224"/>
      <c r="CP46" s="224"/>
      <c r="CQ46" s="224"/>
      <c r="CR46" s="224"/>
      <c r="CS46" s="224"/>
      <c r="CT46" s="224"/>
      <c r="CU46" s="224"/>
      <c r="CV46" s="224"/>
      <c r="CW46" s="224"/>
      <c r="CX46" s="224"/>
      <c r="CY46" s="224"/>
      <c r="CZ46" s="224"/>
      <c r="DA46" s="224"/>
      <c r="DB46" s="224"/>
      <c r="DC46" s="224"/>
      <c r="DD46" s="224"/>
      <c r="DE46" s="224"/>
      <c r="DF46" s="224"/>
      <c r="DG46" s="224"/>
      <c r="DH46" s="224"/>
      <c r="DI46" s="224"/>
      <c r="DJ46" s="224"/>
      <c r="DK46" s="224"/>
      <c r="DL46" s="224"/>
      <c r="DM46" s="224"/>
      <c r="DN46" s="224"/>
      <c r="DO46" s="224"/>
      <c r="DP46" s="224"/>
      <c r="DQ46" s="224"/>
      <c r="DR46" s="224"/>
      <c r="DS46" s="224"/>
      <c r="DT46" s="224"/>
      <c r="DU46" s="224"/>
      <c r="DV46" s="224"/>
      <c r="DW46" s="224"/>
      <c r="DX46" s="224"/>
      <c r="DY46" s="224"/>
      <c r="DZ46" s="224"/>
      <c r="EA46" s="224"/>
      <c r="EB46" s="224"/>
      <c r="EC46" s="224"/>
      <c r="ED46" s="224"/>
      <c r="EE46" s="224"/>
      <c r="EF46" s="224"/>
      <c r="EG46" s="224"/>
      <c r="EH46" s="224"/>
      <c r="EI46" s="224"/>
      <c r="EJ46" s="224"/>
      <c r="EK46" s="224"/>
      <c r="EL46" s="224"/>
      <c r="EM46" s="224"/>
      <c r="EN46" s="224"/>
      <c r="EO46" s="224"/>
      <c r="EP46" s="224"/>
      <c r="EQ46" s="224"/>
      <c r="ER46" s="224"/>
      <c r="ES46" s="224"/>
      <c r="ET46" s="224"/>
      <c r="EU46" s="224"/>
      <c r="EV46" s="224"/>
      <c r="EW46" s="224"/>
      <c r="EX46" s="224"/>
      <c r="EY46" s="224"/>
      <c r="EZ46" s="224"/>
      <c r="FA46" s="224"/>
      <c r="FB46" s="224"/>
      <c r="FC46" s="224"/>
      <c r="FD46" s="224"/>
      <c r="FE46" s="224"/>
      <c r="FF46" s="224"/>
      <c r="FG46" s="224"/>
      <c r="FH46" s="224"/>
      <c r="FI46" s="224"/>
      <c r="FJ46" s="224"/>
      <c r="FK46" s="224"/>
      <c r="FL46" s="224"/>
      <c r="FM46" s="224"/>
      <c r="FN46" s="224"/>
      <c r="FO46" s="224"/>
      <c r="FP46" s="224"/>
      <c r="FQ46" s="224"/>
      <c r="FR46" s="224"/>
      <c r="FS46" s="224"/>
      <c r="FT46" s="224"/>
      <c r="FU46" s="224"/>
      <c r="FV46" s="224"/>
      <c r="FW46" s="224"/>
      <c r="FX46" s="224"/>
      <c r="FY46" s="224"/>
      <c r="FZ46" s="224"/>
      <c r="GA46" s="224"/>
      <c r="GB46" s="224"/>
      <c r="GC46" s="224"/>
      <c r="GD46" s="224"/>
      <c r="GE46" s="224"/>
      <c r="GF46" s="224"/>
      <c r="GG46" s="224"/>
      <c r="GH46" s="224"/>
      <c r="GI46" s="224"/>
      <c r="GJ46" s="224"/>
      <c r="GK46" s="224"/>
      <c r="GL46" s="224"/>
      <c r="GM46" s="224"/>
      <c r="GN46" s="224"/>
      <c r="GO46" s="224"/>
      <c r="GP46" s="224"/>
      <c r="GQ46" s="224"/>
      <c r="GR46" s="224"/>
      <c r="GS46" s="224"/>
      <c r="GT46" s="224"/>
      <c r="GU46" s="224"/>
      <c r="GV46" s="224"/>
      <c r="GW46" s="224"/>
      <c r="GX46" s="224"/>
      <c r="GY46" s="224"/>
      <c r="GZ46" s="224"/>
      <c r="HA46" s="224"/>
      <c r="HB46" s="224"/>
      <c r="HC46" s="224"/>
      <c r="HD46" s="224"/>
      <c r="HE46" s="224"/>
      <c r="HF46" s="224"/>
      <c r="HG46" s="224"/>
      <c r="HH46" s="224"/>
      <c r="HI46" s="224"/>
      <c r="HJ46" s="224"/>
      <c r="HK46" s="224"/>
      <c r="HL46" s="224"/>
      <c r="HM46" s="224"/>
      <c r="HN46" s="224"/>
      <c r="HO46" s="224"/>
      <c r="HP46" s="224"/>
      <c r="HQ46" s="224"/>
      <c r="HR46" s="224"/>
      <c r="HS46" s="224"/>
      <c r="HT46" s="224"/>
      <c r="HU46" s="224"/>
      <c r="HV46" s="224"/>
      <c r="HW46" s="224"/>
      <c r="HX46" s="224"/>
      <c r="HY46" s="224"/>
      <c r="HZ46" s="224"/>
      <c r="IA46" s="224"/>
      <c r="IB46" s="224"/>
      <c r="IC46" s="224"/>
      <c r="ID46" s="224"/>
      <c r="IE46" s="224"/>
      <c r="IF46" s="224"/>
      <c r="IG46" s="224"/>
      <c r="IH46" s="224"/>
      <c r="II46" s="224"/>
      <c r="IJ46" s="224"/>
      <c r="IK46" s="224"/>
      <c r="IL46" s="224"/>
      <c r="IM46" s="224"/>
      <c r="IN46" s="224"/>
      <c r="IO46" s="224"/>
      <c r="IP46" s="224"/>
      <c r="IQ46" s="224"/>
      <c r="IR46" s="224"/>
    </row>
    <row r="47" spans="1:252" s="233" customFormat="1">
      <c r="A47" s="228"/>
      <c r="B47" s="228" t="str">
        <f>Cashflow!E8</f>
        <v>Cash in from Sales</v>
      </c>
      <c r="C47" s="225"/>
      <c r="D47" s="229">
        <f ca="1">Cashflow!J8</f>
        <v>0</v>
      </c>
      <c r="E47" s="229">
        <f ca="1">Cashflow!K8</f>
        <v>0</v>
      </c>
      <c r="F47" s="229">
        <f ca="1">Cashflow!L8</f>
        <v>0</v>
      </c>
      <c r="G47" s="229">
        <f ca="1">Cashflow!M8</f>
        <v>0</v>
      </c>
      <c r="H47" s="229">
        <f ca="1">Cashflow!N8</f>
        <v>0</v>
      </c>
      <c r="I47" s="229">
        <f ca="1">Cashflow!O8</f>
        <v>0</v>
      </c>
      <c r="J47" s="229">
        <f ca="1">Cashflow!P8</f>
        <v>0</v>
      </c>
      <c r="K47" s="229">
        <f ca="1">Cashflow!Q8</f>
        <v>0</v>
      </c>
      <c r="L47" s="229">
        <f ca="1">Cashflow!R8</f>
        <v>0</v>
      </c>
      <c r="M47" s="229">
        <f ca="1">Cashflow!S8</f>
        <v>2115007.122900594</v>
      </c>
      <c r="N47" s="229">
        <f ca="1">Cashflow!T8</f>
        <v>378350.95944001654</v>
      </c>
      <c r="O47" s="229">
        <f ca="1">Cashflow!U8</f>
        <v>26641.917659389357</v>
      </c>
      <c r="P47" s="229">
        <f ca="1">Cashflow!V8</f>
        <v>0</v>
      </c>
      <c r="Q47" s="229">
        <f ca="1">Cashflow!W8</f>
        <v>0</v>
      </c>
      <c r="R47" s="229">
        <f ca="1">Cashflow!X8</f>
        <v>0</v>
      </c>
      <c r="S47" s="229">
        <f ca="1">Cashflow!Y8</f>
        <v>2229454.0798477093</v>
      </c>
      <c r="T47" s="229">
        <f ca="1">Cashflow!Z8</f>
        <v>290545.92015229096</v>
      </c>
      <c r="U47" s="229">
        <f ca="1">Cashflow!AA8</f>
        <v>0</v>
      </c>
      <c r="V47" s="229">
        <f ca="1">Cashflow!AB8</f>
        <v>0</v>
      </c>
      <c r="W47" s="229">
        <f ca="1">Cashflow!AC8</f>
        <v>0</v>
      </c>
      <c r="X47" s="229">
        <f ca="1">Cashflow!AD8</f>
        <v>0</v>
      </c>
      <c r="Y47" s="229">
        <f ca="1">Cashflow!AE8</f>
        <v>4635007.122900594</v>
      </c>
      <c r="Z47" s="229">
        <f ca="1">Cashflow!AF8</f>
        <v>378350.95944001654</v>
      </c>
      <c r="AA47" s="229">
        <f ca="1">Cashflow!AG8</f>
        <v>26641.917659389357</v>
      </c>
      <c r="AB47" s="229">
        <f ca="1">Cashflow!AH8</f>
        <v>0</v>
      </c>
      <c r="AC47" s="229">
        <f ca="1">Cashflow!AI8</f>
        <v>2520000</v>
      </c>
      <c r="AD47" s="229">
        <f ca="1">Cashflow!AJ8</f>
        <v>0</v>
      </c>
      <c r="AE47" s="229">
        <f ca="1">Cashflow!AK8</f>
        <v>2733454.0798477093</v>
      </c>
      <c r="AF47" s="229">
        <f ca="1">Cashflow!AL8</f>
        <v>825107.16245846951</v>
      </c>
      <c r="AG47" s="229">
        <f ca="1">Cashflow!AM8</f>
        <v>3085899.9544892567</v>
      </c>
      <c r="AH47" s="229">
        <f ca="1">Cashflow!AN8</f>
        <v>600214.64819997398</v>
      </c>
      <c r="AI47" s="229">
        <f ca="1">Cashflow!AO8</f>
        <v>636610.09522250784</v>
      </c>
      <c r="AJ47" s="229">
        <f ca="1">Cashflow!AP8</f>
        <v>3193931.4327383935</v>
      </c>
      <c r="AK47" s="229">
        <f ca="1">Cashflow!AQ8</f>
        <v>3234796.8728448781</v>
      </c>
      <c r="AL47" s="229">
        <f ca="1">Cashflow!AR8</f>
        <v>3276701.9188800333</v>
      </c>
      <c r="AM47" s="229">
        <f ca="1">Cashflow!AS8</f>
        <v>802586.34486503876</v>
      </c>
      <c r="AN47" s="229">
        <f ca="1">Cashflow!AT8</f>
        <v>851253.08247823431</v>
      </c>
      <c r="AO47" s="229">
        <f ca="1">Cashflow!AU8</f>
        <v>5938025.9078854611</v>
      </c>
      <c r="AP47" s="229">
        <f ca="1">Cashflow!AV8</f>
        <v>952326.6597854615</v>
      </c>
      <c r="AQ47" s="229">
        <f ca="1">Cashflow!AW8</f>
        <v>1512000</v>
      </c>
      <c r="AR47" s="229">
        <f ca="1">Cashflow!AX8</f>
        <v>4124611.7901749071</v>
      </c>
      <c r="AS47" s="229">
        <f ca="1">Cashflow!AY8</f>
        <v>4218594.0537811257</v>
      </c>
      <c r="AT47" s="229">
        <f ca="1">Cashflow!AZ8</f>
        <v>4321495.6089445259</v>
      </c>
      <c r="AU47" s="229">
        <f ca="1">Cashflow!BA8</f>
        <v>1910630.9871380979</v>
      </c>
      <c r="AV47" s="229">
        <f ca="1">Cashflow!BB8</f>
        <v>7062536.8322885334</v>
      </c>
      <c r="AW47" s="229">
        <f ca="1">Cashflow!BC8</f>
        <v>4665062.9888683474</v>
      </c>
      <c r="AX47" s="229">
        <f ca="1">Cashflow!BD8</f>
        <v>4790699.5456871251</v>
      </c>
      <c r="AY47" s="229">
        <f ca="1">Cashflow!BE8</f>
        <v>4929108.5195189901</v>
      </c>
      <c r="AZ47" s="229">
        <f ca="1">Cashflow!BF8</f>
        <v>5075099.0395485163</v>
      </c>
      <c r="BA47" s="229">
        <f ca="1">Cashflow!BG8</f>
        <v>5214835.1389446659</v>
      </c>
      <c r="BB47" s="229">
        <f ca="1">Cashflow!BH8</f>
        <v>5377987.3423877656</v>
      </c>
      <c r="BC47" s="229">
        <f ca="1">Cashflow!BI8</f>
        <v>5998875.3893117439</v>
      </c>
      <c r="BD47" s="229">
        <f ca="1">Cashflow!BJ8</f>
        <v>8730638.4384846445</v>
      </c>
      <c r="BE47" s="229">
        <f ca="1">Cashflow!BK8</f>
        <v>6426796.5170864165</v>
      </c>
      <c r="BF47" s="229">
        <f ca="1">Cashflow!BL8</f>
        <v>9183468.6732587721</v>
      </c>
      <c r="BG47" s="229">
        <f ca="1">Cashflow!BM8</f>
        <v>6914478.3356949268</v>
      </c>
      <c r="BH47" s="229">
        <f ca="1">Cashflow!BN8</f>
        <v>9691859.8262239788</v>
      </c>
      <c r="BI47" s="229">
        <f ca="1">Cashflow!BO8</f>
        <v>9973667.6254992504</v>
      </c>
      <c r="BJ47" s="229">
        <f ca="1">Cashflow!BP8</f>
        <v>7742629.0574945863</v>
      </c>
      <c r="BK47" s="229">
        <f ca="1">Cashflow!BQ8</f>
        <v>10581219.741162475</v>
      </c>
      <c r="BL47" s="228"/>
      <c r="BM47" s="228"/>
      <c r="BN47" s="228"/>
      <c r="BO47" s="228"/>
      <c r="BP47" s="228"/>
      <c r="BQ47" s="228"/>
      <c r="BR47" s="228"/>
      <c r="BS47" s="228"/>
      <c r="BT47" s="228"/>
      <c r="BU47" s="228"/>
      <c r="BV47" s="228"/>
      <c r="BW47" s="228"/>
      <c r="BX47" s="228"/>
      <c r="BY47" s="228"/>
      <c r="BZ47" s="228"/>
      <c r="CA47" s="228"/>
      <c r="CB47" s="228"/>
      <c r="CC47" s="228"/>
      <c r="CD47" s="228"/>
      <c r="CE47" s="228"/>
      <c r="CF47" s="228"/>
      <c r="CG47" s="228"/>
      <c r="CH47" s="228"/>
      <c r="CI47" s="228"/>
      <c r="CJ47" s="228"/>
      <c r="CK47" s="228"/>
      <c r="CL47" s="228"/>
      <c r="CM47" s="228"/>
      <c r="CN47" s="228"/>
      <c r="CO47" s="228"/>
      <c r="CP47" s="228"/>
      <c r="CQ47" s="228"/>
      <c r="CR47" s="228"/>
      <c r="CS47" s="228"/>
      <c r="CT47" s="228"/>
      <c r="CU47" s="228"/>
      <c r="CV47" s="228"/>
      <c r="CW47" s="228"/>
      <c r="CX47" s="228"/>
      <c r="CY47" s="228"/>
      <c r="CZ47" s="228"/>
      <c r="DA47" s="228"/>
      <c r="DB47" s="228"/>
      <c r="DC47" s="228"/>
      <c r="DD47" s="228"/>
      <c r="DE47" s="228"/>
      <c r="DF47" s="228"/>
      <c r="DG47" s="228"/>
      <c r="DH47" s="228"/>
      <c r="DI47" s="228"/>
      <c r="DJ47" s="228"/>
      <c r="DK47" s="228"/>
      <c r="DL47" s="228"/>
      <c r="DM47" s="228"/>
      <c r="DN47" s="228"/>
      <c r="DO47" s="228"/>
      <c r="DP47" s="228"/>
      <c r="DQ47" s="228"/>
      <c r="DR47" s="228"/>
      <c r="DS47" s="228"/>
      <c r="DT47" s="228"/>
      <c r="DU47" s="228"/>
      <c r="DV47" s="228"/>
      <c r="DW47" s="228"/>
      <c r="DX47" s="228"/>
      <c r="DY47" s="228"/>
      <c r="DZ47" s="228"/>
      <c r="EA47" s="228"/>
      <c r="EB47" s="228"/>
      <c r="EC47" s="228"/>
      <c r="ED47" s="228"/>
      <c r="EE47" s="228"/>
      <c r="EF47" s="228"/>
      <c r="EG47" s="228"/>
      <c r="EH47" s="228"/>
      <c r="EI47" s="228"/>
      <c r="EJ47" s="228"/>
      <c r="EK47" s="228"/>
      <c r="EL47" s="228"/>
      <c r="EM47" s="228"/>
      <c r="EN47" s="228"/>
      <c r="EO47" s="228"/>
      <c r="EP47" s="228"/>
      <c r="EQ47" s="228"/>
      <c r="ER47" s="228"/>
      <c r="ES47" s="228"/>
      <c r="ET47" s="228"/>
      <c r="EU47" s="228"/>
      <c r="EV47" s="228"/>
      <c r="EW47" s="228"/>
      <c r="EX47" s="228"/>
      <c r="EY47" s="228"/>
      <c r="EZ47" s="228"/>
      <c r="FA47" s="228"/>
      <c r="FB47" s="228"/>
      <c r="FC47" s="228"/>
      <c r="FD47" s="228"/>
      <c r="FE47" s="228"/>
      <c r="FF47" s="228"/>
      <c r="FG47" s="228"/>
      <c r="FH47" s="228"/>
      <c r="FI47" s="228"/>
      <c r="FJ47" s="228"/>
      <c r="FK47" s="228"/>
      <c r="FL47" s="228"/>
      <c r="FM47" s="228"/>
      <c r="FN47" s="228"/>
      <c r="FO47" s="228"/>
      <c r="FP47" s="228"/>
      <c r="FQ47" s="228"/>
      <c r="FR47" s="228"/>
      <c r="FS47" s="228"/>
      <c r="FT47" s="228"/>
      <c r="FU47" s="228"/>
      <c r="FV47" s="228"/>
      <c r="FW47" s="228"/>
      <c r="FX47" s="228"/>
      <c r="FY47" s="228"/>
      <c r="FZ47" s="228"/>
      <c r="GA47" s="228"/>
      <c r="GB47" s="228"/>
      <c r="GC47" s="228"/>
      <c r="GD47" s="228"/>
      <c r="GE47" s="228"/>
      <c r="GF47" s="228"/>
      <c r="GG47" s="228"/>
      <c r="GH47" s="228"/>
      <c r="GI47" s="228"/>
      <c r="GJ47" s="228"/>
      <c r="GK47" s="228"/>
      <c r="GL47" s="228"/>
      <c r="GM47" s="228"/>
      <c r="GN47" s="228"/>
      <c r="GO47" s="228"/>
      <c r="GP47" s="228"/>
      <c r="GQ47" s="228"/>
      <c r="GR47" s="228"/>
      <c r="GS47" s="228"/>
      <c r="GT47" s="228"/>
      <c r="GU47" s="228"/>
      <c r="GV47" s="228"/>
      <c r="GW47" s="228"/>
      <c r="GX47" s="228"/>
      <c r="GY47" s="228"/>
      <c r="GZ47" s="228"/>
      <c r="HA47" s="228"/>
      <c r="HB47" s="228"/>
      <c r="HC47" s="228"/>
      <c r="HD47" s="228"/>
      <c r="HE47" s="228"/>
      <c r="HF47" s="228"/>
      <c r="HG47" s="228"/>
      <c r="HH47" s="228"/>
      <c r="HI47" s="228"/>
      <c r="HJ47" s="228"/>
      <c r="HK47" s="228"/>
      <c r="HL47" s="228"/>
      <c r="HM47" s="228"/>
      <c r="HN47" s="228"/>
      <c r="HO47" s="228"/>
      <c r="HP47" s="228"/>
      <c r="HQ47" s="228"/>
      <c r="HR47" s="228"/>
      <c r="HS47" s="228"/>
      <c r="HT47" s="228"/>
      <c r="HU47" s="228"/>
      <c r="HV47" s="228"/>
      <c r="HW47" s="228"/>
      <c r="HX47" s="228"/>
      <c r="HY47" s="228"/>
      <c r="HZ47" s="228"/>
      <c r="IA47" s="228"/>
      <c r="IB47" s="228"/>
      <c r="IC47" s="228"/>
      <c r="ID47" s="228"/>
      <c r="IE47" s="228"/>
      <c r="IF47" s="228"/>
      <c r="IG47" s="228"/>
      <c r="IH47" s="228"/>
      <c r="II47" s="228"/>
      <c r="IJ47" s="228"/>
      <c r="IK47" s="228"/>
      <c r="IL47" s="228"/>
      <c r="IM47" s="228"/>
      <c r="IN47" s="228"/>
      <c r="IO47" s="228"/>
      <c r="IP47" s="228"/>
      <c r="IQ47" s="228"/>
      <c r="IR47" s="228"/>
    </row>
    <row r="48" spans="1:252">
      <c r="B48" s="228" t="str">
        <f>Cashflow!E9</f>
        <v xml:space="preserve">Cash out on Operating Expense </v>
      </c>
      <c r="C48" s="225"/>
      <c r="D48" s="229">
        <f ca="1">Cashflow!J9</f>
        <v>-50600</v>
      </c>
      <c r="E48" s="229">
        <f ca="1">Cashflow!K9</f>
        <v>-52000.723605699852</v>
      </c>
      <c r="F48" s="229">
        <f ca="1">Cashflow!L9</f>
        <v>-53437.081247424263</v>
      </c>
      <c r="G48" s="229">
        <f ca="1">Cashflow!M9</f>
        <v>-55678.480578978881</v>
      </c>
      <c r="H48" s="229">
        <f ca="1">Cashflow!N9</f>
        <v>-57346.605234178351</v>
      </c>
      <c r="I48" s="229">
        <f ca="1">Cashflow!O9</f>
        <v>-59057.166536989782</v>
      </c>
      <c r="J48" s="229">
        <f ca="1">Cashflow!P9</f>
        <v>-61615.065969559735</v>
      </c>
      <c r="K48" s="229">
        <f ca="1">Cashflow!Q9</f>
        <v>-63535.713912837666</v>
      </c>
      <c r="L48" s="229">
        <f ca="1">Cashflow!R9</f>
        <v>-65638.750103817103</v>
      </c>
      <c r="M48" s="229">
        <f ca="1">Cashflow!S9</f>
        <v>-68570.861854038318</v>
      </c>
      <c r="N48" s="229">
        <f ca="1">Cashflow!T9</f>
        <v>-70714.616351869583</v>
      </c>
      <c r="O48" s="229">
        <f ca="1">Cashflow!U9</f>
        <v>-73203.400813952903</v>
      </c>
      <c r="P48" s="229">
        <f ca="1">Cashflow!V9</f>
        <v>-76450</v>
      </c>
      <c r="Q48" s="229">
        <f ca="1">Cashflow!W9</f>
        <v>-79293.983443983379</v>
      </c>
      <c r="R48" s="229">
        <f ca="1">Cashflow!X9</f>
        <v>-82165.146217544039</v>
      </c>
      <c r="S48" s="229">
        <f ca="1">Cashflow!Y9</f>
        <v>-86047.239330981596</v>
      </c>
      <c r="T48" s="229">
        <f ca="1">Cashflow!Z9</f>
        <v>-89381.152842987532</v>
      </c>
      <c r="U48" s="229">
        <f ca="1">Cashflow!AA9</f>
        <v>-92799.609442904417</v>
      </c>
      <c r="V48" s="229">
        <f ca="1">Cashflow!AB9</f>
        <v>-97294.812715733482</v>
      </c>
      <c r="W48" s="229">
        <f ca="1">Cashflow!AC9</f>
        <v>-101132.50695998287</v>
      </c>
      <c r="X48" s="229">
        <f ca="1">Cashflow!AD9</f>
        <v>-105373.21540296389</v>
      </c>
      <c r="Y48" s="229">
        <f ca="1">Cashflow!AE9</f>
        <v>-110607.06157024635</v>
      </c>
      <c r="Z48" s="229">
        <f ca="1">Cashflow!AF9</f>
        <v>-114867.87829473858</v>
      </c>
      <c r="AA48" s="229">
        <f ca="1">Cashflow!AG9</f>
        <v>-119856.90315713073</v>
      </c>
      <c r="AB48" s="229">
        <f ca="1">Cashflow!AH9</f>
        <v>-146526.34912459942</v>
      </c>
      <c r="AC48" s="229">
        <f ca="1">Cashflow!AI9</f>
        <v>-153388.17210104069</v>
      </c>
      <c r="AD48" s="229">
        <f ca="1">Cashflow!AJ9</f>
        <v>-160424.25459672793</v>
      </c>
      <c r="AE48" s="229">
        <f ca="1">Cashflow!AK9</f>
        <v>-168936.54461704276</v>
      </c>
      <c r="AF48" s="229">
        <f ca="1">Cashflow!AL9</f>
        <v>-177107.24063336066</v>
      </c>
      <c r="AG48" s="229">
        <f ca="1">Cashflow!AM9</f>
        <v>-185485.43568269192</v>
      </c>
      <c r="AH48" s="229">
        <f ca="1">Cashflow!AN9</f>
        <v>-195486.86136317009</v>
      </c>
      <c r="AI48" s="229">
        <f ca="1">Cashflow!AO9</f>
        <v>-204893.23275204026</v>
      </c>
      <c r="AJ48" s="229">
        <f ca="1">Cashflow!AP9</f>
        <v>-215254.59731050421</v>
      </c>
      <c r="AK48" s="229">
        <f ca="1">Cashflow!AQ9</f>
        <v>-227033.94502030418</v>
      </c>
      <c r="AL48" s="229">
        <f ca="1">Cashflow!AR9</f>
        <v>-237485.27892457432</v>
      </c>
      <c r="AM48" s="229">
        <f ca="1">Cashflow!AS9</f>
        <v>-249703.73854854278</v>
      </c>
      <c r="AN48" s="229">
        <f ca="1">Cashflow!AT9</f>
        <v>-263072.58397971501</v>
      </c>
      <c r="AO48" s="229">
        <f ca="1">Cashflow!AU9</f>
        <v>-276835.37407347193</v>
      </c>
      <c r="AP48" s="229">
        <f ca="1">Cashflow!AV9</f>
        <v>-290907.1768290163</v>
      </c>
      <c r="AQ48" s="229">
        <f ca="1">Cashflow!AW9</f>
        <v>-307203.9454318725</v>
      </c>
      <c r="AR48" s="229">
        <f ca="1">Cashflow!AX9</f>
        <v>-323544.79234598787</v>
      </c>
      <c r="AS48" s="229">
        <f ca="1">Cashflow!AY9</f>
        <v>-340300.56021164847</v>
      </c>
      <c r="AT48" s="229">
        <f ca="1">Cashflow!AZ9</f>
        <v>-359557.6405185723</v>
      </c>
      <c r="AU48" s="229">
        <f ca="1">Cashflow!BA9</f>
        <v>-378369.54257691785</v>
      </c>
      <c r="AV48" s="229">
        <f ca="1">Cashflow!BB9</f>
        <v>-399104.47971558699</v>
      </c>
      <c r="AW48" s="229">
        <f ca="1">Cashflow!BC9</f>
        <v>-421897.56996647298</v>
      </c>
      <c r="AX48" s="229">
        <f ca="1">Cashflow!BD9</f>
        <v>-442776.60014628631</v>
      </c>
      <c r="AY48" s="229">
        <f ca="1">Cashflow!BE9</f>
        <v>-467224.43414522201</v>
      </c>
      <c r="AZ48" s="229">
        <f ca="1">Cashflow!BF9</f>
        <v>-493217.78772715008</v>
      </c>
      <c r="BA48" s="229">
        <f ca="1">Cashflow!BG9</f>
        <v>-520666.28599284997</v>
      </c>
      <c r="BB48" s="229">
        <f ca="1">Cashflow!BH9</f>
        <v>-548812.06506456423</v>
      </c>
      <c r="BC48" s="229">
        <f ca="1">Cashflow!BI9</f>
        <v>-580607.98944408761</v>
      </c>
      <c r="BD48" s="229">
        <f ca="1">Cashflow!BJ9</f>
        <v>-613292.95310492406</v>
      </c>
      <c r="BE48" s="229">
        <f ca="1">Cashflow!BK9</f>
        <v>-646808.22076895298</v>
      </c>
      <c r="BF48" s="229">
        <f ca="1">Cashflow!BL9</f>
        <v>-684507.09840851917</v>
      </c>
      <c r="BG48" s="229">
        <f ca="1">Cashflow!BM9</f>
        <v>-722135.9438568044</v>
      </c>
      <c r="BH48" s="229">
        <f ca="1">Cashflow!BN9</f>
        <v>-762697.39166037564</v>
      </c>
      <c r="BI48" s="229">
        <f ca="1">Cashflow!BO9</f>
        <v>-807363.99157833657</v>
      </c>
      <c r="BJ48" s="229">
        <f ca="1">Cashflow!BP9</f>
        <v>-850304.48729419091</v>
      </c>
      <c r="BK48" s="229">
        <f ca="1">Cashflow!BQ9</f>
        <v>-899197.38444061228</v>
      </c>
      <c r="BL48" s="235"/>
      <c r="BM48" s="235"/>
      <c r="BN48" s="235"/>
      <c r="BO48" s="235"/>
      <c r="BP48" s="235"/>
      <c r="BQ48" s="235"/>
      <c r="BR48" s="235"/>
      <c r="BS48" s="235"/>
      <c r="BT48" s="235"/>
      <c r="BU48" s="235"/>
      <c r="BV48" s="235"/>
      <c r="BW48" s="235"/>
      <c r="BX48" s="235"/>
      <c r="BY48" s="235"/>
      <c r="BZ48" s="235"/>
      <c r="CA48" s="235"/>
      <c r="CB48" s="235"/>
      <c r="CC48" s="235"/>
      <c r="CD48" s="235"/>
      <c r="CE48" s="235"/>
      <c r="CF48" s="235"/>
      <c r="CG48" s="235"/>
      <c r="CH48" s="235"/>
      <c r="CI48" s="235"/>
      <c r="CJ48" s="235"/>
      <c r="CK48" s="235"/>
      <c r="CL48" s="235"/>
      <c r="CM48" s="235"/>
      <c r="CN48" s="235"/>
      <c r="CO48" s="235"/>
      <c r="CP48" s="235"/>
      <c r="CQ48" s="235"/>
      <c r="CR48" s="235"/>
      <c r="CS48" s="235"/>
      <c r="CT48" s="235"/>
      <c r="CU48" s="235"/>
      <c r="CV48" s="235"/>
      <c r="CW48" s="235"/>
      <c r="CX48" s="235"/>
      <c r="CY48" s="235"/>
      <c r="CZ48" s="235"/>
      <c r="DA48" s="235"/>
      <c r="DB48" s="235"/>
      <c r="DC48" s="235"/>
      <c r="DD48" s="235"/>
      <c r="DE48" s="235"/>
      <c r="DF48" s="235"/>
      <c r="DG48" s="235"/>
      <c r="DH48" s="235"/>
      <c r="DI48" s="235"/>
      <c r="DJ48" s="235"/>
      <c r="DK48" s="235"/>
      <c r="DL48" s="235"/>
      <c r="DM48" s="235"/>
      <c r="DN48" s="235"/>
      <c r="DO48" s="235"/>
      <c r="DP48" s="235"/>
      <c r="DQ48" s="235"/>
      <c r="DR48" s="235"/>
      <c r="DS48" s="235"/>
      <c r="DT48" s="235"/>
      <c r="DU48" s="235"/>
      <c r="DV48" s="235"/>
      <c r="DW48" s="235"/>
      <c r="DX48" s="235"/>
      <c r="DY48" s="235"/>
      <c r="DZ48" s="235"/>
      <c r="EA48" s="235"/>
      <c r="EB48" s="235"/>
      <c r="EC48" s="235"/>
      <c r="ED48" s="235"/>
      <c r="EE48" s="235"/>
      <c r="EF48" s="235"/>
      <c r="EG48" s="235"/>
      <c r="EH48" s="235"/>
      <c r="EI48" s="235"/>
      <c r="EJ48" s="235"/>
      <c r="EK48" s="235"/>
      <c r="EL48" s="235"/>
      <c r="EM48" s="235"/>
      <c r="EN48" s="235"/>
      <c r="EO48" s="235"/>
      <c r="EP48" s="235"/>
      <c r="EQ48" s="235"/>
      <c r="ER48" s="235"/>
      <c r="ES48" s="235"/>
      <c r="ET48" s="235"/>
      <c r="EU48" s="235"/>
      <c r="EV48" s="235"/>
      <c r="EW48" s="235"/>
      <c r="EX48" s="235"/>
      <c r="EY48" s="235"/>
      <c r="EZ48" s="235"/>
      <c r="FA48" s="235"/>
      <c r="FB48" s="235"/>
      <c r="FC48" s="235"/>
      <c r="FD48" s="235"/>
      <c r="FE48" s="235"/>
      <c r="FF48" s="235"/>
      <c r="FG48" s="235"/>
      <c r="FH48" s="235"/>
      <c r="FI48" s="235"/>
      <c r="FJ48" s="235"/>
      <c r="FK48" s="235"/>
      <c r="FL48" s="235"/>
      <c r="FM48" s="235"/>
      <c r="FN48" s="235"/>
      <c r="FO48" s="235"/>
      <c r="FP48" s="235"/>
      <c r="FQ48" s="235"/>
      <c r="FR48" s="235"/>
      <c r="FS48" s="235"/>
      <c r="FT48" s="235"/>
      <c r="FU48" s="235"/>
      <c r="FV48" s="235"/>
      <c r="FW48" s="235"/>
      <c r="FX48" s="235"/>
      <c r="FY48" s="235"/>
      <c r="FZ48" s="235"/>
      <c r="GA48" s="235"/>
      <c r="GB48" s="235"/>
      <c r="GC48" s="235"/>
      <c r="GD48" s="235"/>
      <c r="GE48" s="235"/>
      <c r="GF48" s="235"/>
      <c r="GG48" s="235"/>
      <c r="GH48" s="235"/>
      <c r="GI48" s="235"/>
      <c r="GJ48" s="235"/>
      <c r="GK48" s="235"/>
      <c r="GL48" s="235"/>
      <c r="GM48" s="235"/>
      <c r="GN48" s="235"/>
      <c r="GO48" s="235"/>
      <c r="GP48" s="235"/>
      <c r="GQ48" s="235"/>
      <c r="GR48" s="235"/>
      <c r="GS48" s="235"/>
      <c r="GT48" s="235"/>
      <c r="GU48" s="235"/>
      <c r="GV48" s="235"/>
      <c r="GW48" s="235"/>
      <c r="GX48" s="235"/>
      <c r="GY48" s="235"/>
      <c r="GZ48" s="235"/>
      <c r="HA48" s="235"/>
      <c r="HB48" s="235"/>
      <c r="HC48" s="235"/>
      <c r="HD48" s="235"/>
      <c r="HE48" s="235"/>
      <c r="HF48" s="235"/>
      <c r="HG48" s="235"/>
      <c r="HH48" s="235"/>
      <c r="HI48" s="235"/>
      <c r="HJ48" s="235"/>
      <c r="HK48" s="235"/>
      <c r="HL48" s="235"/>
      <c r="HM48" s="235"/>
      <c r="HN48" s="235"/>
      <c r="HO48" s="235"/>
      <c r="HP48" s="235"/>
      <c r="HQ48" s="235"/>
      <c r="HR48" s="235"/>
      <c r="HS48" s="235"/>
      <c r="HT48" s="235"/>
      <c r="HU48" s="235"/>
      <c r="HV48" s="235"/>
      <c r="HW48" s="235"/>
      <c r="HX48" s="235"/>
      <c r="HY48" s="235"/>
      <c r="HZ48" s="235"/>
      <c r="IA48" s="235"/>
      <c r="IB48" s="235"/>
      <c r="IC48" s="235"/>
      <c r="ID48" s="235"/>
      <c r="IE48" s="235"/>
      <c r="IF48" s="235"/>
      <c r="IG48" s="235"/>
      <c r="IH48" s="235"/>
      <c r="II48" s="235"/>
      <c r="IJ48" s="235"/>
      <c r="IK48" s="235"/>
      <c r="IL48" s="235"/>
      <c r="IM48" s="235"/>
      <c r="IN48" s="235"/>
      <c r="IO48" s="235"/>
      <c r="IP48" s="235"/>
      <c r="IQ48" s="235"/>
      <c r="IR48" s="235"/>
    </row>
    <row r="49" spans="1:252">
      <c r="B49" s="228" t="str">
        <f>Cashflow!E10</f>
        <v xml:space="preserve">VAT paid </v>
      </c>
      <c r="C49" s="225"/>
      <c r="D49" s="229">
        <f ca="1">Cashflow!J10</f>
        <v>0</v>
      </c>
      <c r="E49" s="229">
        <f ca="1">Cashflow!K10</f>
        <v>0</v>
      </c>
      <c r="F49" s="229">
        <f ca="1">Cashflow!L10</f>
        <v>44327.338509609079</v>
      </c>
      <c r="G49" s="229">
        <f ca="1">Cashflow!M10</f>
        <v>0</v>
      </c>
      <c r="H49" s="229">
        <f ca="1">Cashflow!N10</f>
        <v>0</v>
      </c>
      <c r="I49" s="229">
        <f ca="1">Cashflow!O10</f>
        <v>15132.924278234681</v>
      </c>
      <c r="J49" s="229">
        <f ca="1">Cashflow!P10</f>
        <v>0</v>
      </c>
      <c r="K49" s="229">
        <f ca="1">Cashflow!Q10</f>
        <v>0</v>
      </c>
      <c r="L49" s="229">
        <f ca="1">Cashflow!R10</f>
        <v>-300755.010202882</v>
      </c>
      <c r="M49" s="229">
        <f ca="1">Cashflow!S10</f>
        <v>0</v>
      </c>
      <c r="N49" s="229">
        <f ca="1">Cashflow!T10</f>
        <v>0</v>
      </c>
      <c r="O49" s="229">
        <f ca="1">Cashflow!U10</f>
        <v>-48869.337549016898</v>
      </c>
      <c r="P49" s="229">
        <f ca="1">Cashflow!V10</f>
        <v>0</v>
      </c>
      <c r="Q49" s="229">
        <f ca="1">Cashflow!W10</f>
        <v>0</v>
      </c>
      <c r="R49" s="229">
        <f ca="1">Cashflow!X10</f>
        <v>-315762.28140571486</v>
      </c>
      <c r="S49" s="229">
        <f ca="1">Cashflow!Y10</f>
        <v>0</v>
      </c>
      <c r="T49" s="229">
        <f ca="1">Cashflow!Z10</f>
        <v>0</v>
      </c>
      <c r="U49" s="229">
        <f ca="1">Cashflow!AA10</f>
        <v>9993.2743738466306</v>
      </c>
      <c r="V49" s="229">
        <f ca="1">Cashflow!AB10</f>
        <v>0</v>
      </c>
      <c r="W49" s="229">
        <f ca="1">Cashflow!AC10</f>
        <v>0</v>
      </c>
      <c r="X49" s="229">
        <f ca="1">Cashflow!AD10</f>
        <v>-746026.01177567896</v>
      </c>
      <c r="Y49" s="229">
        <f ca="1">Cashflow!AE10</f>
        <v>0</v>
      </c>
      <c r="Z49" s="229">
        <f ca="1">Cashflow!AF10</f>
        <v>0</v>
      </c>
      <c r="AA49" s="229">
        <f ca="1">Cashflow!AG10</f>
        <v>-2421.7078255419929</v>
      </c>
      <c r="AB49" s="229">
        <f ca="1">Cashflow!AH10</f>
        <v>0</v>
      </c>
      <c r="AC49" s="229">
        <f ca="1">Cashflow!AI10</f>
        <v>0</v>
      </c>
      <c r="AD49" s="229">
        <f ca="1">Cashflow!AJ10</f>
        <v>-767414.64139436628</v>
      </c>
      <c r="AE49" s="229">
        <f ca="1">Cashflow!AK10</f>
        <v>0</v>
      </c>
      <c r="AF49" s="229">
        <f ca="1">Cashflow!AL10</f>
        <v>0</v>
      </c>
      <c r="AG49" s="229">
        <f ca="1">Cashflow!AM10</f>
        <v>-670827.74511427153</v>
      </c>
      <c r="AH49" s="229">
        <f ca="1">Cashflow!AN10</f>
        <v>0</v>
      </c>
      <c r="AI49" s="229">
        <f ca="1">Cashflow!AO10</f>
        <v>0</v>
      </c>
      <c r="AJ49" s="229">
        <f ca="1">Cashflow!AP10</f>
        <v>-1089295.8974253964</v>
      </c>
      <c r="AK49" s="229">
        <f ca="1">Cashflow!AQ10</f>
        <v>0</v>
      </c>
      <c r="AL49" s="229">
        <f ca="1">Cashflow!AR10</f>
        <v>0</v>
      </c>
      <c r="AM49" s="229">
        <f ca="1">Cashflow!AS10</f>
        <v>-724959.27092309203</v>
      </c>
      <c r="AN49" s="229">
        <f ca="1">Cashflow!AT10</f>
        <v>0</v>
      </c>
      <c r="AO49" s="229">
        <f ca="1">Cashflow!AU10</f>
        <v>0</v>
      </c>
      <c r="AP49" s="229">
        <f ca="1">Cashflow!AV10</f>
        <v>-1258609.2131025724</v>
      </c>
      <c r="AQ49" s="229">
        <f ca="1">Cashflow!AW10</f>
        <v>0</v>
      </c>
      <c r="AR49" s="229">
        <f ca="1">Cashflow!AX10</f>
        <v>0</v>
      </c>
      <c r="AS49" s="229">
        <f ca="1">Cashflow!AY10</f>
        <v>-1956996.6741555287</v>
      </c>
      <c r="AT49" s="229">
        <f ca="1">Cashflow!AZ10</f>
        <v>0</v>
      </c>
      <c r="AU49" s="229">
        <f ca="1">Cashflow!BA10</f>
        <v>0</v>
      </c>
      <c r="AV49" s="229">
        <f ca="1">Cashflow!BB10</f>
        <v>-2070017.7641121505</v>
      </c>
      <c r="AW49" s="229">
        <f ca="1">Cashflow!BC10</f>
        <v>0</v>
      </c>
      <c r="AX49" s="229">
        <f ca="1">Cashflow!BD10</f>
        <v>0</v>
      </c>
      <c r="AY49" s="229">
        <f ca="1">Cashflow!BE10</f>
        <v>-2245928.8826262252</v>
      </c>
      <c r="AZ49" s="229">
        <f ca="1">Cashflow!BF10</f>
        <v>0</v>
      </c>
      <c r="BA49" s="229">
        <f ca="1">Cashflow!BG10</f>
        <v>0</v>
      </c>
      <c r="BB49" s="229">
        <f ca="1">Cashflow!BH10</f>
        <v>-2525636.7504529487</v>
      </c>
      <c r="BC49" s="229">
        <f ca="1">Cashflow!BI10</f>
        <v>0</v>
      </c>
      <c r="BD49" s="229">
        <f ca="1">Cashflow!BJ10</f>
        <v>0</v>
      </c>
      <c r="BE49" s="229">
        <f ca="1">Cashflow!BK10</f>
        <v>-3793388.8162340415</v>
      </c>
      <c r="BF49" s="229">
        <f ca="1">Cashflow!BL10</f>
        <v>0</v>
      </c>
      <c r="BG49" s="229">
        <f ca="1">Cashflow!BM10</f>
        <v>0</v>
      </c>
      <c r="BH49" s="229">
        <f ca="1">Cashflow!BN10</f>
        <v>-4138323.577021122</v>
      </c>
      <c r="BI49" s="229">
        <f ca="1">Cashflow!BO10</f>
        <v>0</v>
      </c>
      <c r="BJ49" s="229">
        <f ca="1">Cashflow!BP10</f>
        <v>0</v>
      </c>
      <c r="BK49" s="229">
        <f ca="1">Cashflow!BQ10</f>
        <v>-4548440.8738798015</v>
      </c>
      <c r="BS49" s="230"/>
      <c r="BT49" s="230"/>
      <c r="BU49" s="230"/>
      <c r="BV49" s="230"/>
      <c r="BW49" s="230"/>
      <c r="BX49" s="230"/>
      <c r="BY49" s="230"/>
      <c r="BZ49" s="230"/>
      <c r="CA49" s="230"/>
      <c r="CB49" s="230"/>
      <c r="CC49" s="230"/>
      <c r="CD49" s="230"/>
      <c r="CE49" s="230"/>
      <c r="CF49" s="230"/>
      <c r="CG49" s="230"/>
      <c r="CH49" s="230"/>
      <c r="CI49" s="230"/>
      <c r="CJ49" s="230"/>
      <c r="CK49" s="230"/>
      <c r="CL49" s="230"/>
      <c r="CM49" s="230"/>
      <c r="CN49" s="230"/>
      <c r="CO49" s="230"/>
      <c r="CP49" s="230"/>
      <c r="CQ49" s="230"/>
      <c r="CR49" s="230"/>
      <c r="CS49" s="230"/>
      <c r="CT49" s="230"/>
      <c r="CU49" s="230"/>
      <c r="CV49" s="230"/>
      <c r="CW49" s="230"/>
      <c r="CX49" s="230"/>
      <c r="CY49" s="230"/>
      <c r="CZ49" s="230"/>
      <c r="DA49" s="230"/>
      <c r="DB49" s="230"/>
      <c r="DC49" s="230"/>
      <c r="DD49" s="230"/>
      <c r="DE49" s="230"/>
      <c r="DF49" s="230"/>
      <c r="DG49" s="230"/>
      <c r="DH49" s="230"/>
      <c r="DI49" s="230"/>
      <c r="DJ49" s="230"/>
      <c r="DK49" s="230"/>
      <c r="DL49" s="230"/>
      <c r="DM49" s="230"/>
      <c r="DN49" s="230"/>
      <c r="DO49" s="230"/>
      <c r="DP49" s="230"/>
      <c r="DQ49" s="230"/>
      <c r="DR49" s="230"/>
      <c r="DS49" s="230"/>
      <c r="DT49" s="230"/>
      <c r="DU49" s="230"/>
      <c r="DV49" s="230"/>
      <c r="DW49" s="230"/>
      <c r="DX49" s="230"/>
      <c r="DY49" s="230"/>
      <c r="DZ49" s="230"/>
      <c r="EA49" s="230"/>
      <c r="EB49" s="230"/>
      <c r="EC49" s="230"/>
      <c r="ED49" s="230"/>
      <c r="EE49" s="230"/>
      <c r="EF49" s="230"/>
      <c r="EG49" s="230"/>
      <c r="EH49" s="230"/>
      <c r="EI49" s="230"/>
      <c r="EJ49" s="230"/>
      <c r="EK49" s="230"/>
      <c r="EL49" s="230"/>
      <c r="EM49" s="230"/>
      <c r="EN49" s="230"/>
      <c r="EO49" s="230"/>
      <c r="EP49" s="230"/>
      <c r="EQ49" s="230"/>
      <c r="ER49" s="230"/>
      <c r="ES49" s="230"/>
      <c r="ET49" s="230"/>
      <c r="EU49" s="230"/>
      <c r="EV49" s="230"/>
      <c r="EW49" s="230"/>
      <c r="EX49" s="230"/>
      <c r="EY49" s="230"/>
      <c r="EZ49" s="230"/>
      <c r="FA49" s="230"/>
      <c r="FB49" s="230"/>
      <c r="FC49" s="230"/>
      <c r="FD49" s="230"/>
      <c r="FE49" s="230"/>
      <c r="FF49" s="230"/>
      <c r="FG49" s="230"/>
      <c r="FH49" s="230"/>
      <c r="FI49" s="230"/>
      <c r="FJ49" s="230"/>
      <c r="FK49" s="230"/>
      <c r="FL49" s="230"/>
      <c r="FM49" s="230"/>
      <c r="FN49" s="230"/>
      <c r="FO49" s="230"/>
      <c r="FP49" s="230"/>
      <c r="FQ49" s="230"/>
      <c r="FR49" s="230"/>
      <c r="FS49" s="230"/>
      <c r="FT49" s="230"/>
      <c r="FU49" s="230"/>
      <c r="FV49" s="230"/>
      <c r="FW49" s="230"/>
      <c r="FX49" s="230"/>
      <c r="FY49" s="230"/>
      <c r="FZ49" s="230"/>
      <c r="GA49" s="230"/>
      <c r="GB49" s="230"/>
      <c r="GC49" s="230"/>
      <c r="GD49" s="230"/>
      <c r="GE49" s="230"/>
      <c r="GF49" s="230"/>
      <c r="GG49" s="230"/>
      <c r="GH49" s="230"/>
      <c r="GI49" s="230"/>
      <c r="GJ49" s="230"/>
      <c r="GK49" s="230"/>
      <c r="GL49" s="230"/>
      <c r="GM49" s="230"/>
      <c r="GN49" s="230"/>
      <c r="GO49" s="230"/>
      <c r="GP49" s="230"/>
      <c r="GQ49" s="230"/>
      <c r="GR49" s="230"/>
      <c r="GS49" s="230"/>
      <c r="GT49" s="230"/>
      <c r="GU49" s="230"/>
      <c r="GV49" s="230"/>
      <c r="GW49" s="230"/>
      <c r="GX49" s="230"/>
      <c r="GY49" s="230"/>
      <c r="GZ49" s="230"/>
      <c r="HA49" s="230"/>
      <c r="HB49" s="230"/>
      <c r="HC49" s="230"/>
      <c r="HD49" s="230"/>
      <c r="HE49" s="230"/>
      <c r="HF49" s="230"/>
      <c r="HG49" s="230"/>
      <c r="HH49" s="230"/>
      <c r="HI49" s="230"/>
      <c r="HJ49" s="230"/>
      <c r="HK49" s="230"/>
      <c r="HL49" s="230"/>
      <c r="HM49" s="230"/>
      <c r="HN49" s="230"/>
      <c r="HO49" s="230"/>
      <c r="HP49" s="230"/>
      <c r="HQ49" s="230"/>
      <c r="HR49" s="230"/>
      <c r="HS49" s="230"/>
      <c r="HT49" s="230"/>
      <c r="HU49" s="230"/>
      <c r="HV49" s="230"/>
      <c r="HW49" s="230"/>
      <c r="HX49" s="230"/>
      <c r="HY49" s="230"/>
      <c r="HZ49" s="230"/>
      <c r="IA49" s="230"/>
      <c r="IB49" s="230"/>
      <c r="IC49" s="230"/>
      <c r="ID49" s="230"/>
      <c r="IE49" s="230"/>
      <c r="IF49" s="230"/>
      <c r="IG49" s="230"/>
      <c r="IH49" s="230"/>
      <c r="II49" s="230"/>
      <c r="IJ49" s="230"/>
      <c r="IK49" s="230"/>
      <c r="IL49" s="230"/>
      <c r="IM49" s="230"/>
      <c r="IN49" s="230"/>
      <c r="IO49" s="230"/>
      <c r="IP49" s="230"/>
      <c r="IQ49" s="230"/>
      <c r="IR49" s="230"/>
    </row>
    <row r="50" spans="1:252" s="233" customFormat="1">
      <c r="A50" s="224"/>
      <c r="B50" s="228" t="str">
        <f>Cashflow!E11</f>
        <v xml:space="preserve">Corporation tax paid </v>
      </c>
      <c r="C50" s="225"/>
      <c r="D50" s="229">
        <f>Cashflow!J11</f>
        <v>0</v>
      </c>
      <c r="E50" s="229">
        <f ca="1">Cashflow!K11</f>
        <v>0</v>
      </c>
      <c r="F50" s="229">
        <f ca="1">Cashflow!L11</f>
        <v>0</v>
      </c>
      <c r="G50" s="229">
        <f ca="1">Cashflow!M11</f>
        <v>0</v>
      </c>
      <c r="H50" s="229">
        <f ca="1">Cashflow!N11</f>
        <v>0</v>
      </c>
      <c r="I50" s="229">
        <f ca="1">Cashflow!O11</f>
        <v>0</v>
      </c>
      <c r="J50" s="229">
        <f ca="1">Cashflow!P11</f>
        <v>0</v>
      </c>
      <c r="K50" s="229">
        <f ca="1">Cashflow!Q11</f>
        <v>0</v>
      </c>
      <c r="L50" s="229">
        <f ca="1">Cashflow!R11</f>
        <v>0</v>
      </c>
      <c r="M50" s="229">
        <f ca="1">Cashflow!S11</f>
        <v>0</v>
      </c>
      <c r="N50" s="229">
        <f ca="1">Cashflow!T11</f>
        <v>0</v>
      </c>
      <c r="O50" s="229">
        <f ca="1">Cashflow!U11</f>
        <v>0</v>
      </c>
      <c r="P50" s="229">
        <f ca="1">Cashflow!V11</f>
        <v>0</v>
      </c>
      <c r="Q50" s="229">
        <f ca="1">Cashflow!W11</f>
        <v>0</v>
      </c>
      <c r="R50" s="229">
        <f ca="1">Cashflow!X11</f>
        <v>0</v>
      </c>
      <c r="S50" s="229">
        <f ca="1">Cashflow!Y11</f>
        <v>-172931.96758910635</v>
      </c>
      <c r="T50" s="229">
        <f ca="1">Cashflow!Z11</f>
        <v>0</v>
      </c>
      <c r="U50" s="229">
        <f ca="1">Cashflow!AA11</f>
        <v>0</v>
      </c>
      <c r="V50" s="229">
        <f ca="1">Cashflow!AB11</f>
        <v>0</v>
      </c>
      <c r="W50" s="229">
        <f ca="1">Cashflow!AC11</f>
        <v>0</v>
      </c>
      <c r="X50" s="229">
        <f ca="1">Cashflow!AD11</f>
        <v>0</v>
      </c>
      <c r="Y50" s="229">
        <f ca="1">Cashflow!AE11</f>
        <v>0</v>
      </c>
      <c r="Z50" s="229">
        <f ca="1">Cashflow!AF11</f>
        <v>0</v>
      </c>
      <c r="AA50" s="229">
        <f ca="1">Cashflow!AG11</f>
        <v>0</v>
      </c>
      <c r="AB50" s="229">
        <f ca="1">Cashflow!AH11</f>
        <v>0</v>
      </c>
      <c r="AC50" s="229">
        <f ca="1">Cashflow!AI11</f>
        <v>0</v>
      </c>
      <c r="AD50" s="229">
        <f ca="1">Cashflow!AJ11</f>
        <v>0</v>
      </c>
      <c r="AE50" s="229">
        <f ca="1">Cashflow!AK11</f>
        <v>-1009079.3836522016</v>
      </c>
      <c r="AF50" s="229">
        <f ca="1">Cashflow!AL11</f>
        <v>0</v>
      </c>
      <c r="AG50" s="229">
        <f ca="1">Cashflow!AM11</f>
        <v>0</v>
      </c>
      <c r="AH50" s="229">
        <f ca="1">Cashflow!AN11</f>
        <v>0</v>
      </c>
      <c r="AI50" s="229">
        <f ca="1">Cashflow!AO11</f>
        <v>0</v>
      </c>
      <c r="AJ50" s="229">
        <f ca="1">Cashflow!AP11</f>
        <v>0</v>
      </c>
      <c r="AK50" s="229">
        <f ca="1">Cashflow!AQ11</f>
        <v>0</v>
      </c>
      <c r="AL50" s="229">
        <f ca="1">Cashflow!AR11</f>
        <v>0</v>
      </c>
      <c r="AM50" s="229">
        <f ca="1">Cashflow!AS11</f>
        <v>0</v>
      </c>
      <c r="AN50" s="229">
        <f ca="1">Cashflow!AT11</f>
        <v>0</v>
      </c>
      <c r="AO50" s="229">
        <f ca="1">Cashflow!AU11</f>
        <v>0</v>
      </c>
      <c r="AP50" s="229">
        <f ca="1">Cashflow!AV11</f>
        <v>0</v>
      </c>
      <c r="AQ50" s="229">
        <f ca="1">Cashflow!AW11</f>
        <v>-2746983.6823349316</v>
      </c>
      <c r="AR50" s="229">
        <f ca="1">Cashflow!AX11</f>
        <v>0</v>
      </c>
      <c r="AS50" s="229">
        <f ca="1">Cashflow!AY11</f>
        <v>0</v>
      </c>
      <c r="AT50" s="229">
        <f ca="1">Cashflow!AZ11</f>
        <v>0</v>
      </c>
      <c r="AU50" s="229">
        <f ca="1">Cashflow!BA11</f>
        <v>0</v>
      </c>
      <c r="AV50" s="229">
        <f ca="1">Cashflow!BB11</f>
        <v>0</v>
      </c>
      <c r="AW50" s="229">
        <f ca="1">Cashflow!BC11</f>
        <v>0</v>
      </c>
      <c r="AX50" s="229">
        <f ca="1">Cashflow!BD11</f>
        <v>0</v>
      </c>
      <c r="AY50" s="229">
        <f ca="1">Cashflow!BE11</f>
        <v>0</v>
      </c>
      <c r="AZ50" s="229">
        <f ca="1">Cashflow!BF11</f>
        <v>0</v>
      </c>
      <c r="BA50" s="229">
        <f ca="1">Cashflow!BG11</f>
        <v>0</v>
      </c>
      <c r="BB50" s="229">
        <f ca="1">Cashflow!BH11</f>
        <v>0</v>
      </c>
      <c r="BC50" s="229">
        <f ca="1">Cashflow!BI11</f>
        <v>-5956047.8758138604</v>
      </c>
      <c r="BD50" s="229">
        <f ca="1">Cashflow!BJ11</f>
        <v>0</v>
      </c>
      <c r="BE50" s="229">
        <f ca="1">Cashflow!BK11</f>
        <v>0</v>
      </c>
      <c r="BF50" s="229">
        <f ca="1">Cashflow!BL11</f>
        <v>0</v>
      </c>
      <c r="BG50" s="229">
        <f ca="1">Cashflow!BM11</f>
        <v>0</v>
      </c>
      <c r="BH50" s="229">
        <f ca="1">Cashflow!BN11</f>
        <v>0</v>
      </c>
      <c r="BI50" s="229">
        <f ca="1">Cashflow!BO11</f>
        <v>0</v>
      </c>
      <c r="BJ50" s="229">
        <f ca="1">Cashflow!BP11</f>
        <v>0</v>
      </c>
      <c r="BK50" s="229">
        <f ca="1">Cashflow!BQ11</f>
        <v>0</v>
      </c>
      <c r="BL50" s="224"/>
      <c r="BM50" s="224"/>
      <c r="BN50" s="224"/>
      <c r="BO50" s="224"/>
      <c r="BP50" s="224"/>
      <c r="BQ50" s="224"/>
      <c r="BR50" s="224"/>
      <c r="BS50" s="224"/>
      <c r="BT50" s="224"/>
      <c r="BU50" s="224"/>
      <c r="BV50" s="224"/>
      <c r="BW50" s="224"/>
      <c r="BX50" s="224"/>
      <c r="BY50" s="224"/>
      <c r="BZ50" s="224"/>
      <c r="CA50" s="224"/>
      <c r="CB50" s="224"/>
      <c r="CC50" s="224"/>
      <c r="CD50" s="224"/>
      <c r="CE50" s="224"/>
      <c r="CF50" s="224"/>
      <c r="CG50" s="224"/>
      <c r="CH50" s="224"/>
      <c r="CI50" s="224"/>
      <c r="CJ50" s="224"/>
      <c r="CK50" s="224"/>
      <c r="CL50" s="224"/>
      <c r="CM50" s="224"/>
      <c r="CN50" s="224"/>
      <c r="CO50" s="224"/>
      <c r="CP50" s="224"/>
      <c r="CQ50" s="224"/>
      <c r="CR50" s="224"/>
      <c r="CS50" s="224"/>
      <c r="CT50" s="224"/>
      <c r="CU50" s="224"/>
      <c r="CV50" s="224"/>
      <c r="CW50" s="224"/>
      <c r="CX50" s="224"/>
      <c r="CY50" s="224"/>
      <c r="CZ50" s="224"/>
      <c r="DA50" s="224"/>
      <c r="DB50" s="224"/>
      <c r="DC50" s="224"/>
      <c r="DD50" s="224"/>
      <c r="DE50" s="224"/>
      <c r="DF50" s="224"/>
      <c r="DG50" s="224"/>
      <c r="DH50" s="224"/>
      <c r="DI50" s="224"/>
      <c r="DJ50" s="224"/>
      <c r="DK50" s="224"/>
      <c r="DL50" s="224"/>
      <c r="DM50" s="224"/>
      <c r="DN50" s="224"/>
      <c r="DO50" s="224"/>
      <c r="DP50" s="224"/>
      <c r="DQ50" s="224"/>
      <c r="DR50" s="224"/>
      <c r="DS50" s="224"/>
      <c r="DT50" s="224"/>
      <c r="DU50" s="224"/>
      <c r="DV50" s="224"/>
      <c r="DW50" s="224"/>
      <c r="DX50" s="224"/>
      <c r="DY50" s="224"/>
      <c r="DZ50" s="224"/>
      <c r="EA50" s="224"/>
      <c r="EB50" s="224"/>
      <c r="EC50" s="224"/>
      <c r="ED50" s="224"/>
      <c r="EE50" s="224"/>
      <c r="EF50" s="224"/>
      <c r="EG50" s="224"/>
      <c r="EH50" s="224"/>
      <c r="EI50" s="224"/>
      <c r="EJ50" s="224"/>
      <c r="EK50" s="224"/>
      <c r="EL50" s="224"/>
      <c r="EM50" s="224"/>
      <c r="EN50" s="224"/>
      <c r="EO50" s="224"/>
      <c r="EP50" s="224"/>
      <c r="EQ50" s="224"/>
      <c r="ER50" s="224"/>
      <c r="ES50" s="224"/>
      <c r="ET50" s="224"/>
      <c r="EU50" s="224"/>
      <c r="EV50" s="224"/>
      <c r="EW50" s="224"/>
      <c r="EX50" s="224"/>
      <c r="EY50" s="224"/>
      <c r="EZ50" s="224"/>
      <c r="FA50" s="224"/>
      <c r="FB50" s="224"/>
      <c r="FC50" s="224"/>
      <c r="FD50" s="224"/>
      <c r="FE50" s="224"/>
      <c r="FF50" s="224"/>
      <c r="FG50" s="224"/>
      <c r="FH50" s="224"/>
      <c r="FI50" s="224"/>
      <c r="FJ50" s="224"/>
      <c r="FK50" s="224"/>
      <c r="FL50" s="224"/>
      <c r="FM50" s="224"/>
      <c r="FN50" s="224"/>
      <c r="FO50" s="224"/>
      <c r="FP50" s="224"/>
      <c r="FQ50" s="224"/>
      <c r="FR50" s="224"/>
      <c r="FS50" s="224"/>
      <c r="FT50" s="224"/>
      <c r="FU50" s="224"/>
      <c r="FV50" s="224"/>
      <c r="FW50" s="224"/>
      <c r="FX50" s="224"/>
      <c r="FY50" s="224"/>
      <c r="FZ50" s="224"/>
      <c r="GA50" s="224"/>
      <c r="GB50" s="224"/>
      <c r="GC50" s="224"/>
      <c r="GD50" s="224"/>
      <c r="GE50" s="224"/>
      <c r="GF50" s="224"/>
      <c r="GG50" s="224"/>
      <c r="GH50" s="224"/>
      <c r="GI50" s="224"/>
      <c r="GJ50" s="224"/>
      <c r="GK50" s="224"/>
      <c r="GL50" s="224"/>
      <c r="GM50" s="224"/>
      <c r="GN50" s="224"/>
      <c r="GO50" s="224"/>
      <c r="GP50" s="224"/>
      <c r="GQ50" s="224"/>
      <c r="GR50" s="224"/>
      <c r="GS50" s="224"/>
      <c r="GT50" s="224"/>
      <c r="GU50" s="224"/>
      <c r="GV50" s="224"/>
      <c r="GW50" s="224"/>
      <c r="GX50" s="224"/>
      <c r="GY50" s="224"/>
      <c r="GZ50" s="224"/>
      <c r="HA50" s="224"/>
      <c r="HB50" s="224"/>
      <c r="HC50" s="224"/>
      <c r="HD50" s="224"/>
      <c r="HE50" s="224"/>
      <c r="HF50" s="224"/>
      <c r="HG50" s="224"/>
      <c r="HH50" s="224"/>
      <c r="HI50" s="224"/>
      <c r="HJ50" s="224"/>
      <c r="HK50" s="224"/>
      <c r="HL50" s="224"/>
      <c r="HM50" s="224"/>
      <c r="HN50" s="224"/>
      <c r="HO50" s="224"/>
      <c r="HP50" s="224"/>
      <c r="HQ50" s="224"/>
      <c r="HR50" s="224"/>
      <c r="HS50" s="224"/>
      <c r="HT50" s="224"/>
      <c r="HU50" s="224"/>
      <c r="HV50" s="224"/>
      <c r="HW50" s="224"/>
      <c r="HX50" s="224"/>
      <c r="HY50" s="224"/>
      <c r="HZ50" s="224"/>
      <c r="IA50" s="224"/>
      <c r="IB50" s="224"/>
      <c r="IC50" s="224"/>
      <c r="ID50" s="224"/>
      <c r="IE50" s="224"/>
      <c r="IF50" s="224"/>
      <c r="IG50" s="224"/>
      <c r="IH50" s="224"/>
      <c r="II50" s="224"/>
      <c r="IJ50" s="224"/>
      <c r="IK50" s="224"/>
      <c r="IL50" s="224"/>
      <c r="IM50" s="224"/>
      <c r="IN50" s="224"/>
      <c r="IO50" s="224"/>
      <c r="IP50" s="224"/>
      <c r="IQ50" s="224"/>
      <c r="IR50" s="224"/>
    </row>
    <row r="51" spans="1:252">
      <c r="B51" s="230" t="str">
        <f>Cashflow!E12</f>
        <v>Operating Cashflow</v>
      </c>
      <c r="C51" s="231"/>
      <c r="D51" s="232">
        <f ca="1">Cashflow!J12</f>
        <v>-50600</v>
      </c>
      <c r="E51" s="232">
        <f ca="1">Cashflow!K12</f>
        <v>-52000.723605699852</v>
      </c>
      <c r="F51" s="232">
        <f ca="1">Cashflow!L12</f>
        <v>-9109.7427378151842</v>
      </c>
      <c r="G51" s="232">
        <f ca="1">Cashflow!M12</f>
        <v>-55678.480578978881</v>
      </c>
      <c r="H51" s="232">
        <f ca="1">Cashflow!N12</f>
        <v>-57346.605234178351</v>
      </c>
      <c r="I51" s="232">
        <f ca="1">Cashflow!O12</f>
        <v>-43924.242258755097</v>
      </c>
      <c r="J51" s="232">
        <f ca="1">Cashflow!P12</f>
        <v>-61615.065969559735</v>
      </c>
      <c r="K51" s="232">
        <f ca="1">Cashflow!Q12</f>
        <v>-63535.713912837666</v>
      </c>
      <c r="L51" s="232">
        <f ca="1">Cashflow!R12</f>
        <v>-366393.76030669909</v>
      </c>
      <c r="M51" s="232">
        <f ca="1">Cashflow!S12</f>
        <v>2046436.2610465558</v>
      </c>
      <c r="N51" s="232">
        <f ca="1">Cashflow!T12</f>
        <v>307636.34308814694</v>
      </c>
      <c r="O51" s="232">
        <f ca="1">Cashflow!U12</f>
        <v>-95430.820703580452</v>
      </c>
      <c r="P51" s="232">
        <f ca="1">Cashflow!V12</f>
        <v>-76450</v>
      </c>
      <c r="Q51" s="232">
        <f ca="1">Cashflow!W12</f>
        <v>-79293.983443983379</v>
      </c>
      <c r="R51" s="232">
        <f ca="1">Cashflow!X12</f>
        <v>-397927.4276232589</v>
      </c>
      <c r="S51" s="232">
        <f ca="1">Cashflow!Y12</f>
        <v>1970474.8729276215</v>
      </c>
      <c r="T51" s="232">
        <f ca="1">Cashflow!Z12</f>
        <v>201164.76730930342</v>
      </c>
      <c r="U51" s="232">
        <f ca="1">Cashflow!AA12</f>
        <v>-82806.335069057794</v>
      </c>
      <c r="V51" s="232">
        <f ca="1">Cashflow!AB12</f>
        <v>-97294.812715733482</v>
      </c>
      <c r="W51" s="232">
        <f ca="1">Cashflow!AC12</f>
        <v>-101132.50695998287</v>
      </c>
      <c r="X51" s="232">
        <f ca="1">Cashflow!AD12</f>
        <v>-851399.22717864288</v>
      </c>
      <c r="Y51" s="232">
        <f ca="1">Cashflow!AE12</f>
        <v>4524400.0613303473</v>
      </c>
      <c r="Z51" s="232">
        <f ca="1">Cashflow!AF12</f>
        <v>263483.08114527795</v>
      </c>
      <c r="AA51" s="232">
        <f ca="1">Cashflow!AG12</f>
        <v>-95636.693323283369</v>
      </c>
      <c r="AB51" s="232">
        <f ca="1">Cashflow!AH12</f>
        <v>-146526.34912459942</v>
      </c>
      <c r="AC51" s="232">
        <f ca="1">Cashflow!AI12</f>
        <v>2366611.8278989592</v>
      </c>
      <c r="AD51" s="232">
        <f ca="1">Cashflow!AJ12</f>
        <v>-927838.89599109418</v>
      </c>
      <c r="AE51" s="232">
        <f ca="1">Cashflow!AK12</f>
        <v>1555438.1515784648</v>
      </c>
      <c r="AF51" s="232">
        <f ca="1">Cashflow!AL12</f>
        <v>647999.92182510882</v>
      </c>
      <c r="AG51" s="232">
        <f ca="1">Cashflow!AM12</f>
        <v>2229586.7736922931</v>
      </c>
      <c r="AH51" s="232">
        <f ca="1">Cashflow!AN12</f>
        <v>404727.78683680389</v>
      </c>
      <c r="AI51" s="232">
        <f ca="1">Cashflow!AO12</f>
        <v>431716.86247046757</v>
      </c>
      <c r="AJ51" s="232">
        <f ca="1">Cashflow!AP12</f>
        <v>1889380.9380024928</v>
      </c>
      <c r="AK51" s="232">
        <f ca="1">Cashflow!AQ12</f>
        <v>3007762.9278245741</v>
      </c>
      <c r="AL51" s="232">
        <f ca="1">Cashflow!AR12</f>
        <v>3039216.6399554592</v>
      </c>
      <c r="AM51" s="232">
        <f ca="1">Cashflow!AS12</f>
        <v>-172076.66460659611</v>
      </c>
      <c r="AN51" s="232">
        <f ca="1">Cashflow!AT12</f>
        <v>588180.4984985193</v>
      </c>
      <c r="AO51" s="232">
        <f ca="1">Cashflow!AU12</f>
        <v>5661190.5338119892</v>
      </c>
      <c r="AP51" s="232">
        <f ca="1">Cashflow!AV12</f>
        <v>-597189.73014612717</v>
      </c>
      <c r="AQ51" s="232">
        <f ca="1">Cashflow!AW12</f>
        <v>-1542187.6277668041</v>
      </c>
      <c r="AR51" s="232">
        <f ca="1">Cashflow!AX12</f>
        <v>3801066.9978289194</v>
      </c>
      <c r="AS51" s="232">
        <f ca="1">Cashflow!AY12</f>
        <v>1921296.8194139488</v>
      </c>
      <c r="AT51" s="232">
        <f ca="1">Cashflow!AZ12</f>
        <v>3961937.9684259538</v>
      </c>
      <c r="AU51" s="232">
        <f ca="1">Cashflow!BA12</f>
        <v>1532261.44456118</v>
      </c>
      <c r="AV51" s="232">
        <f ca="1">Cashflow!BB12</f>
        <v>4593414.5884607965</v>
      </c>
      <c r="AW51" s="232">
        <f ca="1">Cashflow!BC12</f>
        <v>4243165.4189018747</v>
      </c>
      <c r="AX51" s="232">
        <f ca="1">Cashflow!BD12</f>
        <v>4347922.9455408389</v>
      </c>
      <c r="AY51" s="232">
        <f ca="1">Cashflow!BE12</f>
        <v>2215955.2027475424</v>
      </c>
      <c r="AZ51" s="232">
        <f ca="1">Cashflow!BF12</f>
        <v>4581881.2518213661</v>
      </c>
      <c r="BA51" s="232">
        <f ca="1">Cashflow!BG12</f>
        <v>4694168.8529518163</v>
      </c>
      <c r="BB51" s="232">
        <f ca="1">Cashflow!BH12</f>
        <v>2303538.5268702526</v>
      </c>
      <c r="BC51" s="232">
        <f ca="1">Cashflow!BI12</f>
        <v>-537780.47594620381</v>
      </c>
      <c r="BD51" s="232">
        <f ca="1">Cashflow!BJ12</f>
        <v>8117345.4853797201</v>
      </c>
      <c r="BE51" s="232">
        <f ca="1">Cashflow!BK12</f>
        <v>1986599.4800834223</v>
      </c>
      <c r="BF51" s="232">
        <f ca="1">Cashflow!BL12</f>
        <v>8498961.5748502538</v>
      </c>
      <c r="BG51" s="232">
        <f ca="1">Cashflow!BM12</f>
        <v>6192342.3918381222</v>
      </c>
      <c r="BH51" s="232">
        <f ca="1">Cashflow!BN12</f>
        <v>4790838.8575424813</v>
      </c>
      <c r="BI51" s="232">
        <f ca="1">Cashflow!BO12</f>
        <v>9166303.6339209136</v>
      </c>
      <c r="BJ51" s="232">
        <f ca="1">Cashflow!BP12</f>
        <v>6892324.5702003958</v>
      </c>
      <c r="BK51" s="232">
        <f ca="1">Cashflow!BQ12</f>
        <v>5133581.4828420617</v>
      </c>
      <c r="BL51" s="235"/>
      <c r="BM51" s="235"/>
      <c r="BN51" s="235"/>
      <c r="BO51" s="235"/>
      <c r="BP51" s="235"/>
      <c r="BQ51" s="235"/>
      <c r="BR51" s="235"/>
      <c r="BS51" s="235"/>
      <c r="BT51" s="235"/>
      <c r="BU51" s="235"/>
      <c r="BV51" s="235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35"/>
      <c r="CL51" s="235"/>
      <c r="CM51" s="235"/>
      <c r="CN51" s="235"/>
      <c r="CO51" s="235"/>
      <c r="CP51" s="235"/>
      <c r="CQ51" s="235"/>
      <c r="CR51" s="235"/>
      <c r="CS51" s="235"/>
      <c r="CT51" s="235"/>
      <c r="CU51" s="235"/>
      <c r="CV51" s="235"/>
      <c r="CW51" s="235"/>
      <c r="CX51" s="235"/>
      <c r="CY51" s="235"/>
      <c r="CZ51" s="235"/>
      <c r="DA51" s="235"/>
      <c r="DB51" s="235"/>
      <c r="DC51" s="235"/>
      <c r="DD51" s="235"/>
      <c r="DE51" s="235"/>
      <c r="DF51" s="235"/>
      <c r="DG51" s="235"/>
      <c r="DH51" s="235"/>
      <c r="DI51" s="235"/>
      <c r="DJ51" s="235"/>
      <c r="DK51" s="235"/>
      <c r="DL51" s="235"/>
      <c r="DM51" s="235"/>
      <c r="DN51" s="235"/>
      <c r="DO51" s="235"/>
      <c r="DP51" s="235"/>
      <c r="DQ51" s="235"/>
      <c r="DR51" s="235"/>
      <c r="DS51" s="235"/>
      <c r="DT51" s="235"/>
      <c r="DU51" s="235"/>
      <c r="DV51" s="235"/>
      <c r="DW51" s="235"/>
      <c r="DX51" s="235"/>
      <c r="DY51" s="235"/>
      <c r="DZ51" s="235"/>
      <c r="EA51" s="235"/>
      <c r="EB51" s="235"/>
      <c r="EC51" s="235"/>
      <c r="ED51" s="235"/>
      <c r="EE51" s="235"/>
      <c r="EF51" s="235"/>
      <c r="EG51" s="235"/>
      <c r="EH51" s="235"/>
      <c r="EI51" s="235"/>
      <c r="EJ51" s="235"/>
      <c r="EK51" s="235"/>
      <c r="EL51" s="235"/>
      <c r="EM51" s="235"/>
      <c r="EN51" s="235"/>
      <c r="EO51" s="235"/>
      <c r="EP51" s="235"/>
      <c r="EQ51" s="235"/>
      <c r="ER51" s="235"/>
      <c r="ES51" s="235"/>
      <c r="ET51" s="235"/>
      <c r="EU51" s="235"/>
      <c r="EV51" s="235"/>
      <c r="EW51" s="235"/>
      <c r="EX51" s="235"/>
      <c r="EY51" s="235"/>
      <c r="EZ51" s="235"/>
      <c r="FA51" s="235"/>
      <c r="FB51" s="235"/>
      <c r="FC51" s="235"/>
      <c r="FD51" s="235"/>
      <c r="FE51" s="235"/>
      <c r="FF51" s="235"/>
      <c r="FG51" s="235"/>
      <c r="FH51" s="235"/>
      <c r="FI51" s="235"/>
      <c r="FJ51" s="235"/>
      <c r="FK51" s="235"/>
      <c r="FL51" s="235"/>
      <c r="FM51" s="235"/>
      <c r="FN51" s="235"/>
      <c r="FO51" s="235"/>
      <c r="FP51" s="235"/>
      <c r="FQ51" s="235"/>
      <c r="FR51" s="235"/>
      <c r="FS51" s="235"/>
      <c r="FT51" s="235"/>
      <c r="FU51" s="235"/>
      <c r="FV51" s="235"/>
      <c r="FW51" s="235"/>
      <c r="FX51" s="235"/>
      <c r="FY51" s="235"/>
      <c r="FZ51" s="235"/>
      <c r="GA51" s="235"/>
      <c r="GB51" s="235"/>
      <c r="GC51" s="235"/>
      <c r="GD51" s="235"/>
      <c r="GE51" s="235"/>
      <c r="GF51" s="235"/>
      <c r="GG51" s="235"/>
      <c r="GH51" s="235"/>
      <c r="GI51" s="235"/>
      <c r="GJ51" s="235"/>
      <c r="GK51" s="235"/>
      <c r="GL51" s="235"/>
      <c r="GM51" s="235"/>
      <c r="GN51" s="235"/>
      <c r="GO51" s="235"/>
      <c r="GP51" s="235"/>
      <c r="GQ51" s="235"/>
      <c r="GR51" s="235"/>
      <c r="GS51" s="235"/>
      <c r="GT51" s="235"/>
      <c r="GU51" s="235"/>
      <c r="GV51" s="235"/>
      <c r="GW51" s="235"/>
      <c r="GX51" s="235"/>
      <c r="GY51" s="235"/>
      <c r="GZ51" s="235"/>
      <c r="HA51" s="235"/>
      <c r="HB51" s="235"/>
      <c r="HC51" s="235"/>
      <c r="HD51" s="235"/>
      <c r="HE51" s="235"/>
      <c r="HF51" s="235"/>
      <c r="HG51" s="235"/>
      <c r="HH51" s="235"/>
      <c r="HI51" s="235"/>
      <c r="HJ51" s="235"/>
      <c r="HK51" s="235"/>
      <c r="HL51" s="235"/>
      <c r="HM51" s="235"/>
      <c r="HN51" s="235"/>
      <c r="HO51" s="235"/>
      <c r="HP51" s="235"/>
      <c r="HQ51" s="235"/>
      <c r="HR51" s="235"/>
      <c r="HS51" s="235"/>
      <c r="HT51" s="235"/>
      <c r="HU51" s="235"/>
      <c r="HV51" s="235"/>
      <c r="HW51" s="235"/>
      <c r="HX51" s="235"/>
      <c r="HY51" s="235"/>
      <c r="HZ51" s="235"/>
      <c r="IA51" s="235"/>
      <c r="IB51" s="235"/>
      <c r="IC51" s="235"/>
      <c r="ID51" s="235"/>
      <c r="IE51" s="235"/>
      <c r="IF51" s="235"/>
      <c r="IG51" s="235"/>
      <c r="IH51" s="235"/>
      <c r="II51" s="235"/>
      <c r="IJ51" s="235"/>
      <c r="IK51" s="235"/>
      <c r="IL51" s="235"/>
      <c r="IM51" s="235"/>
      <c r="IN51" s="235"/>
      <c r="IO51" s="235"/>
      <c r="IP51" s="235"/>
      <c r="IQ51" s="235"/>
      <c r="IR51" s="235"/>
    </row>
    <row r="52" spans="1:252">
      <c r="C52" s="225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  <c r="AA52" s="229"/>
      <c r="AB52" s="229"/>
      <c r="AC52" s="229"/>
      <c r="AD52" s="229"/>
      <c r="AE52" s="229"/>
      <c r="AF52" s="229"/>
      <c r="AG52" s="229"/>
      <c r="AH52" s="229"/>
      <c r="AI52" s="229"/>
      <c r="AJ52" s="229"/>
      <c r="AK52" s="229"/>
      <c r="AL52" s="229"/>
      <c r="AM52" s="229"/>
      <c r="AN52" s="229"/>
      <c r="AO52" s="229"/>
      <c r="AP52" s="229"/>
      <c r="AQ52" s="229"/>
      <c r="AR52" s="229"/>
      <c r="AS52" s="229"/>
      <c r="AT52" s="229"/>
      <c r="AU52" s="229"/>
      <c r="AV52" s="229"/>
      <c r="AW52" s="229"/>
      <c r="AX52" s="229"/>
      <c r="AY52" s="229"/>
      <c r="AZ52" s="229"/>
      <c r="BA52" s="229"/>
      <c r="BB52" s="229"/>
      <c r="BC52" s="229"/>
      <c r="BD52" s="229"/>
      <c r="BE52" s="229"/>
      <c r="BF52" s="229"/>
      <c r="BG52" s="229"/>
      <c r="BH52" s="229"/>
      <c r="BI52" s="229"/>
      <c r="BJ52" s="229"/>
      <c r="BK52" s="229"/>
      <c r="BS52" s="230"/>
      <c r="BT52" s="230"/>
      <c r="BU52" s="230"/>
      <c r="BV52" s="230"/>
      <c r="BW52" s="230"/>
      <c r="BX52" s="230"/>
      <c r="BY52" s="230"/>
      <c r="BZ52" s="230"/>
      <c r="CA52" s="230"/>
      <c r="CB52" s="230"/>
      <c r="CC52" s="230"/>
      <c r="CD52" s="230"/>
      <c r="CE52" s="230"/>
      <c r="CF52" s="230"/>
      <c r="CG52" s="230"/>
      <c r="CH52" s="230"/>
      <c r="CI52" s="230"/>
      <c r="CJ52" s="230"/>
      <c r="CK52" s="230"/>
      <c r="CL52" s="230"/>
      <c r="CM52" s="230"/>
      <c r="CN52" s="230"/>
      <c r="CO52" s="230"/>
      <c r="CP52" s="230"/>
      <c r="CQ52" s="230"/>
      <c r="CR52" s="230"/>
      <c r="CS52" s="230"/>
      <c r="CT52" s="230"/>
      <c r="CU52" s="230"/>
      <c r="CV52" s="230"/>
      <c r="CW52" s="230"/>
      <c r="CX52" s="230"/>
      <c r="CY52" s="230"/>
      <c r="CZ52" s="230"/>
      <c r="DA52" s="230"/>
      <c r="DB52" s="230"/>
      <c r="DC52" s="230"/>
      <c r="DD52" s="230"/>
      <c r="DE52" s="230"/>
      <c r="DF52" s="230"/>
      <c r="DG52" s="230"/>
      <c r="DH52" s="230"/>
      <c r="DI52" s="230"/>
      <c r="DJ52" s="230"/>
      <c r="DK52" s="230"/>
      <c r="DL52" s="230"/>
      <c r="DM52" s="230"/>
      <c r="DN52" s="230"/>
      <c r="DO52" s="230"/>
      <c r="DP52" s="230"/>
      <c r="DQ52" s="230"/>
      <c r="DR52" s="230"/>
      <c r="DS52" s="230"/>
      <c r="DT52" s="230"/>
      <c r="DU52" s="230"/>
      <c r="DV52" s="230"/>
      <c r="DW52" s="230"/>
      <c r="DX52" s="230"/>
      <c r="DY52" s="230"/>
      <c r="DZ52" s="230"/>
      <c r="EA52" s="230"/>
      <c r="EB52" s="230"/>
      <c r="EC52" s="230"/>
      <c r="ED52" s="230"/>
      <c r="EE52" s="230"/>
      <c r="EF52" s="230"/>
      <c r="EG52" s="230"/>
      <c r="EH52" s="230"/>
      <c r="EI52" s="230"/>
      <c r="EJ52" s="230"/>
      <c r="EK52" s="230"/>
      <c r="EL52" s="230"/>
      <c r="EM52" s="230"/>
      <c r="EN52" s="230"/>
      <c r="EO52" s="230"/>
      <c r="EP52" s="230"/>
      <c r="EQ52" s="230"/>
      <c r="ER52" s="230"/>
      <c r="ES52" s="230"/>
      <c r="ET52" s="230"/>
      <c r="EU52" s="230"/>
      <c r="EV52" s="230"/>
      <c r="EW52" s="230"/>
      <c r="EX52" s="230"/>
      <c r="EY52" s="230"/>
      <c r="EZ52" s="230"/>
      <c r="FA52" s="230"/>
      <c r="FB52" s="230"/>
      <c r="FC52" s="230"/>
      <c r="FD52" s="230"/>
      <c r="FE52" s="230"/>
      <c r="FF52" s="230"/>
      <c r="FG52" s="230"/>
      <c r="FH52" s="230"/>
      <c r="FI52" s="230"/>
      <c r="FJ52" s="230"/>
      <c r="FK52" s="230"/>
      <c r="FL52" s="230"/>
      <c r="FM52" s="230"/>
      <c r="FN52" s="230"/>
      <c r="FO52" s="230"/>
      <c r="FP52" s="230"/>
      <c r="FQ52" s="230"/>
      <c r="FR52" s="230"/>
      <c r="FS52" s="230"/>
      <c r="FT52" s="230"/>
      <c r="FU52" s="230"/>
      <c r="FV52" s="230"/>
      <c r="FW52" s="230"/>
      <c r="FX52" s="230"/>
      <c r="FY52" s="230"/>
      <c r="FZ52" s="230"/>
      <c r="GA52" s="230"/>
      <c r="GB52" s="230"/>
      <c r="GC52" s="230"/>
      <c r="GD52" s="230"/>
      <c r="GE52" s="230"/>
      <c r="GF52" s="230"/>
      <c r="GG52" s="230"/>
      <c r="GH52" s="230"/>
      <c r="GI52" s="230"/>
      <c r="GJ52" s="230"/>
      <c r="GK52" s="230"/>
      <c r="GL52" s="230"/>
      <c r="GM52" s="230"/>
      <c r="GN52" s="230"/>
      <c r="GO52" s="230"/>
      <c r="GP52" s="230"/>
      <c r="GQ52" s="230"/>
      <c r="GR52" s="230"/>
      <c r="GS52" s="230"/>
      <c r="GT52" s="230"/>
      <c r="GU52" s="230"/>
      <c r="GV52" s="230"/>
      <c r="GW52" s="230"/>
      <c r="GX52" s="230"/>
      <c r="GY52" s="230"/>
      <c r="GZ52" s="230"/>
      <c r="HA52" s="230"/>
      <c r="HB52" s="230"/>
      <c r="HC52" s="230"/>
      <c r="HD52" s="230"/>
      <c r="HE52" s="230"/>
      <c r="HF52" s="230"/>
      <c r="HG52" s="230"/>
      <c r="HH52" s="230"/>
      <c r="HI52" s="230"/>
      <c r="HJ52" s="230"/>
      <c r="HK52" s="230"/>
      <c r="HL52" s="230"/>
      <c r="HM52" s="230"/>
      <c r="HN52" s="230"/>
      <c r="HO52" s="230"/>
      <c r="HP52" s="230"/>
      <c r="HQ52" s="230"/>
      <c r="HR52" s="230"/>
      <c r="HS52" s="230"/>
      <c r="HT52" s="230"/>
      <c r="HU52" s="230"/>
      <c r="HV52" s="230"/>
      <c r="HW52" s="230"/>
      <c r="HX52" s="230"/>
      <c r="HY52" s="230"/>
      <c r="HZ52" s="230"/>
      <c r="IA52" s="230"/>
      <c r="IB52" s="230"/>
      <c r="IC52" s="230"/>
      <c r="ID52" s="230"/>
      <c r="IE52" s="230"/>
      <c r="IF52" s="230"/>
      <c r="IG52" s="230"/>
      <c r="IH52" s="230"/>
      <c r="II52" s="230"/>
      <c r="IJ52" s="230"/>
      <c r="IK52" s="230"/>
      <c r="IL52" s="230"/>
      <c r="IM52" s="230"/>
      <c r="IN52" s="230"/>
      <c r="IO52" s="230"/>
      <c r="IP52" s="230"/>
      <c r="IQ52" s="230"/>
      <c r="IR52" s="230"/>
    </row>
    <row r="53" spans="1:252">
      <c r="A53" s="224"/>
      <c r="B53" s="228" t="str">
        <f>Cashflow!E14</f>
        <v xml:space="preserve">Cash out on Inventory </v>
      </c>
      <c r="C53" s="225"/>
      <c r="D53" s="229">
        <f ca="1">Cashflow!J14</f>
        <v>-52500</v>
      </c>
      <c r="E53" s="229">
        <f ca="1">Cashflow!K14</f>
        <v>0</v>
      </c>
      <c r="F53" s="229">
        <f ca="1">Cashflow!L14</f>
        <v>0</v>
      </c>
      <c r="G53" s="229">
        <f ca="1">Cashflow!M14</f>
        <v>0</v>
      </c>
      <c r="H53" s="229">
        <f ca="1">Cashflow!N14</f>
        <v>0</v>
      </c>
      <c r="I53" s="229">
        <f ca="1">Cashflow!O14</f>
        <v>0</v>
      </c>
      <c r="J53" s="229">
        <f ca="1">Cashflow!P14</f>
        <v>-199499.99999999997</v>
      </c>
      <c r="K53" s="229">
        <f ca="1">Cashflow!Q14</f>
        <v>0</v>
      </c>
      <c r="L53" s="229">
        <f ca="1">Cashflow!R14</f>
        <v>0</v>
      </c>
      <c r="M53" s="229">
        <f ca="1">Cashflow!S14</f>
        <v>0</v>
      </c>
      <c r="N53" s="229">
        <f ca="1">Cashflow!T14</f>
        <v>0</v>
      </c>
      <c r="O53" s="229">
        <f ca="1">Cashflow!U14</f>
        <v>0</v>
      </c>
      <c r="P53" s="229">
        <f ca="1">Cashflow!V14</f>
        <v>-199499.99999999997</v>
      </c>
      <c r="Q53" s="229">
        <f ca="1">Cashflow!W14</f>
        <v>0</v>
      </c>
      <c r="R53" s="229">
        <f ca="1">Cashflow!X14</f>
        <v>0</v>
      </c>
      <c r="S53" s="229">
        <f ca="1">Cashflow!Y14</f>
        <v>0</v>
      </c>
      <c r="T53" s="229">
        <f ca="1">Cashflow!Z14</f>
        <v>-52500</v>
      </c>
      <c r="U53" s="229">
        <f ca="1">Cashflow!AA14</f>
        <v>0</v>
      </c>
      <c r="V53" s="229">
        <f ca="1">Cashflow!AB14</f>
        <v>-146999.99999999997</v>
      </c>
      <c r="W53" s="229">
        <f ca="1">Cashflow!AC14</f>
        <v>0</v>
      </c>
      <c r="X53" s="229">
        <f ca="1">Cashflow!AD14</f>
        <v>-52500</v>
      </c>
      <c r="Y53" s="229">
        <f ca="1">Cashflow!AE14</f>
        <v>0</v>
      </c>
      <c r="Z53" s="229">
        <f ca="1">Cashflow!AF14</f>
        <v>-146999.99999999997</v>
      </c>
      <c r="AA53" s="229">
        <f ca="1">Cashflow!AG14</f>
        <v>-52500</v>
      </c>
      <c r="AB53" s="229">
        <f ca="1">Cashflow!AH14</f>
        <v>0</v>
      </c>
      <c r="AC53" s="229">
        <f ca="1">Cashflow!AI14</f>
        <v>-52500</v>
      </c>
      <c r="AD53" s="229">
        <f ca="1">Cashflow!AJ14</f>
        <v>-146999.99999999997</v>
      </c>
      <c r="AE53" s="229">
        <f ca="1">Cashflow!AK14</f>
        <v>0</v>
      </c>
      <c r="AF53" s="229">
        <f ca="1">Cashflow!AL14</f>
        <v>-52500</v>
      </c>
      <c r="AG53" s="229">
        <f ca="1">Cashflow!AM14</f>
        <v>-146999.99999999997</v>
      </c>
      <c r="AH53" s="229">
        <f ca="1">Cashflow!AN14</f>
        <v>0</v>
      </c>
      <c r="AI53" s="229">
        <f ca="1">Cashflow!AO14</f>
        <v>-199499.99999999997</v>
      </c>
      <c r="AJ53" s="229">
        <f ca="1">Cashflow!AP14</f>
        <v>0</v>
      </c>
      <c r="AK53" s="229">
        <f ca="1">Cashflow!AQ14</f>
        <v>-52500</v>
      </c>
      <c r="AL53" s="229">
        <f ca="1">Cashflow!AR14</f>
        <v>-146999.99999999997</v>
      </c>
      <c r="AM53" s="229">
        <f ca="1">Cashflow!AS14</f>
        <v>-52500</v>
      </c>
      <c r="AN53" s="229">
        <f ca="1">Cashflow!AT14</f>
        <v>-52500</v>
      </c>
      <c r="AO53" s="229">
        <f ca="1">Cashflow!AU14</f>
        <v>-146999.99999999997</v>
      </c>
      <c r="AP53" s="229">
        <f ca="1">Cashflow!AV14</f>
        <v>-52500</v>
      </c>
      <c r="AQ53" s="229">
        <f ca="1">Cashflow!AW14</f>
        <v>-199499.99999999997</v>
      </c>
      <c r="AR53" s="229">
        <f ca="1">Cashflow!AX14</f>
        <v>0</v>
      </c>
      <c r="AS53" s="229">
        <f ca="1">Cashflow!AY14</f>
        <v>-199499.99999999997</v>
      </c>
      <c r="AT53" s="229">
        <f ca="1">Cashflow!AZ14</f>
        <v>-199499.99999999997</v>
      </c>
      <c r="AU53" s="229">
        <f ca="1">Cashflow!BA14</f>
        <v>-52500</v>
      </c>
      <c r="AV53" s="229">
        <f ca="1">Cashflow!BB14</f>
        <v>-199499.99999999997</v>
      </c>
      <c r="AW53" s="229">
        <f ca="1">Cashflow!BC14</f>
        <v>-199499.99999999997</v>
      </c>
      <c r="AX53" s="229">
        <f ca="1">Cashflow!BD14</f>
        <v>-52500</v>
      </c>
      <c r="AY53" s="229">
        <f ca="1">Cashflow!BE14</f>
        <v>-199499.99999999997</v>
      </c>
      <c r="AZ53" s="229">
        <f ca="1">Cashflow!BF14</f>
        <v>-199499.99999999997</v>
      </c>
      <c r="BA53" s="229">
        <f ca="1">Cashflow!BG14</f>
        <v>-199499.99999999997</v>
      </c>
      <c r="BB53" s="229">
        <f ca="1">Cashflow!BH14</f>
        <v>-199499.99999999997</v>
      </c>
      <c r="BC53" s="229">
        <f ca="1">Cashflow!BI14</f>
        <v>-199499.99999999997</v>
      </c>
      <c r="BD53" s="229">
        <f ca="1">Cashflow!BJ14</f>
        <v>-199499.99999999997</v>
      </c>
      <c r="BE53" s="229">
        <f ca="1">Cashflow!BK14</f>
        <v>-199499.99999999997</v>
      </c>
      <c r="BF53" s="229">
        <f ca="1">Cashflow!BL14</f>
        <v>-199499.99999999997</v>
      </c>
      <c r="BG53" s="229">
        <f ca="1">Cashflow!BM14</f>
        <v>-199499.99999999997</v>
      </c>
      <c r="BH53" s="229">
        <f ca="1">Cashflow!BN14</f>
        <v>-199499.99999999997</v>
      </c>
      <c r="BI53" s="229">
        <f ca="1">Cashflow!BO14</f>
        <v>-199499.99999999997</v>
      </c>
      <c r="BJ53" s="229">
        <f ca="1">Cashflow!BP14</f>
        <v>-199499.99999999997</v>
      </c>
      <c r="BK53" s="229">
        <f ca="1">Cashflow!BQ14</f>
        <v>-199499.99999999997</v>
      </c>
      <c r="BL53" s="224"/>
      <c r="BM53" s="224"/>
      <c r="BN53" s="224"/>
      <c r="BO53" s="224"/>
      <c r="BP53" s="224"/>
      <c r="BQ53" s="224"/>
      <c r="BR53" s="224"/>
      <c r="BS53" s="224"/>
      <c r="BT53" s="224"/>
      <c r="BU53" s="224"/>
      <c r="BV53" s="224"/>
      <c r="BW53" s="224"/>
      <c r="BX53" s="224"/>
      <c r="BY53" s="224"/>
      <c r="BZ53" s="224"/>
      <c r="CA53" s="224"/>
      <c r="CB53" s="224"/>
      <c r="CC53" s="224"/>
      <c r="CD53" s="224"/>
      <c r="CE53" s="224"/>
      <c r="CF53" s="224"/>
      <c r="CG53" s="224"/>
      <c r="CH53" s="224"/>
      <c r="CI53" s="224"/>
      <c r="CJ53" s="224"/>
      <c r="CK53" s="224"/>
      <c r="CL53" s="224"/>
      <c r="CM53" s="224"/>
      <c r="CN53" s="224"/>
      <c r="CO53" s="224"/>
      <c r="CP53" s="224"/>
      <c r="CQ53" s="224"/>
      <c r="CR53" s="224"/>
      <c r="CS53" s="224"/>
      <c r="CT53" s="224"/>
      <c r="CU53" s="224"/>
      <c r="CV53" s="224"/>
      <c r="CW53" s="224"/>
      <c r="CX53" s="224"/>
      <c r="CY53" s="224"/>
      <c r="CZ53" s="224"/>
      <c r="DA53" s="224"/>
      <c r="DB53" s="224"/>
      <c r="DC53" s="224"/>
      <c r="DD53" s="224"/>
      <c r="DE53" s="224"/>
      <c r="DF53" s="224"/>
      <c r="DG53" s="224"/>
      <c r="DH53" s="224"/>
      <c r="DI53" s="224"/>
      <c r="DJ53" s="224"/>
      <c r="DK53" s="224"/>
      <c r="DL53" s="224"/>
      <c r="DM53" s="224"/>
      <c r="DN53" s="224"/>
      <c r="DO53" s="224"/>
      <c r="DP53" s="224"/>
      <c r="DQ53" s="224"/>
      <c r="DR53" s="224"/>
      <c r="DS53" s="224"/>
      <c r="DT53" s="224"/>
      <c r="DU53" s="224"/>
      <c r="DV53" s="224"/>
      <c r="DW53" s="224"/>
      <c r="DX53" s="224"/>
      <c r="DY53" s="224"/>
      <c r="DZ53" s="224"/>
      <c r="EA53" s="224"/>
      <c r="EB53" s="224"/>
      <c r="EC53" s="224"/>
      <c r="ED53" s="224"/>
      <c r="EE53" s="224"/>
      <c r="EF53" s="224"/>
      <c r="EG53" s="224"/>
      <c r="EH53" s="224"/>
      <c r="EI53" s="224"/>
      <c r="EJ53" s="224"/>
      <c r="EK53" s="224"/>
      <c r="EL53" s="224"/>
      <c r="EM53" s="224"/>
      <c r="EN53" s="224"/>
      <c r="EO53" s="224"/>
      <c r="EP53" s="224"/>
      <c r="EQ53" s="224"/>
      <c r="ER53" s="224"/>
      <c r="ES53" s="224"/>
      <c r="ET53" s="224"/>
      <c r="EU53" s="224"/>
      <c r="EV53" s="224"/>
      <c r="EW53" s="224"/>
      <c r="EX53" s="224"/>
      <c r="EY53" s="224"/>
      <c r="EZ53" s="224"/>
      <c r="FA53" s="224"/>
      <c r="FB53" s="224"/>
      <c r="FC53" s="224"/>
      <c r="FD53" s="224"/>
      <c r="FE53" s="224"/>
      <c r="FF53" s="224"/>
      <c r="FG53" s="224"/>
      <c r="FH53" s="224"/>
      <c r="FI53" s="224"/>
      <c r="FJ53" s="224"/>
      <c r="FK53" s="224"/>
      <c r="FL53" s="224"/>
      <c r="FM53" s="224"/>
      <c r="FN53" s="224"/>
      <c r="FO53" s="224"/>
      <c r="FP53" s="224"/>
      <c r="FQ53" s="224"/>
      <c r="FR53" s="224"/>
      <c r="FS53" s="224"/>
      <c r="FT53" s="224"/>
      <c r="FU53" s="224"/>
      <c r="FV53" s="224"/>
      <c r="FW53" s="224"/>
      <c r="FX53" s="224"/>
      <c r="FY53" s="224"/>
      <c r="FZ53" s="224"/>
      <c r="GA53" s="224"/>
      <c r="GB53" s="224"/>
      <c r="GC53" s="224"/>
      <c r="GD53" s="224"/>
      <c r="GE53" s="224"/>
      <c r="GF53" s="224"/>
      <c r="GG53" s="224"/>
      <c r="GH53" s="224"/>
      <c r="GI53" s="224"/>
      <c r="GJ53" s="224"/>
      <c r="GK53" s="224"/>
      <c r="GL53" s="224"/>
      <c r="GM53" s="224"/>
      <c r="GN53" s="224"/>
      <c r="GO53" s="224"/>
      <c r="GP53" s="224"/>
      <c r="GQ53" s="224"/>
      <c r="GR53" s="224"/>
      <c r="GS53" s="224"/>
      <c r="GT53" s="224"/>
      <c r="GU53" s="224"/>
      <c r="GV53" s="224"/>
      <c r="GW53" s="224"/>
      <c r="GX53" s="224"/>
      <c r="GY53" s="224"/>
      <c r="GZ53" s="224"/>
      <c r="HA53" s="224"/>
      <c r="HB53" s="224"/>
      <c r="HC53" s="224"/>
      <c r="HD53" s="224"/>
      <c r="HE53" s="224"/>
      <c r="HF53" s="224"/>
      <c r="HG53" s="224"/>
      <c r="HH53" s="224"/>
      <c r="HI53" s="224"/>
      <c r="HJ53" s="224"/>
      <c r="HK53" s="224"/>
      <c r="HL53" s="224"/>
      <c r="HM53" s="224"/>
      <c r="HN53" s="224"/>
      <c r="HO53" s="224"/>
      <c r="HP53" s="224"/>
      <c r="HQ53" s="224"/>
      <c r="HR53" s="224"/>
      <c r="HS53" s="224"/>
      <c r="HT53" s="224"/>
      <c r="HU53" s="224"/>
      <c r="HV53" s="224"/>
      <c r="HW53" s="224"/>
      <c r="HX53" s="224"/>
      <c r="HY53" s="224"/>
      <c r="HZ53" s="224"/>
      <c r="IA53" s="224"/>
      <c r="IB53" s="224"/>
      <c r="IC53" s="224"/>
      <c r="ID53" s="224"/>
      <c r="IE53" s="224"/>
      <c r="IF53" s="224"/>
      <c r="IG53" s="224"/>
      <c r="IH53" s="224"/>
      <c r="II53" s="224"/>
      <c r="IJ53" s="224"/>
      <c r="IK53" s="224"/>
      <c r="IL53" s="224"/>
      <c r="IM53" s="224"/>
      <c r="IN53" s="224"/>
      <c r="IO53" s="224"/>
      <c r="IP53" s="224"/>
      <c r="IQ53" s="224"/>
      <c r="IR53" s="224"/>
    </row>
    <row r="54" spans="1:252">
      <c r="B54" s="230" t="str">
        <f>Cashflow!E15</f>
        <v>CF after capex</v>
      </c>
      <c r="C54" s="231"/>
      <c r="D54" s="232">
        <f ca="1">Cashflow!J15</f>
        <v>-103100</v>
      </c>
      <c r="E54" s="232">
        <f ca="1">Cashflow!K15</f>
        <v>-52000.723605699852</v>
      </c>
      <c r="F54" s="232">
        <f ca="1">Cashflow!L15</f>
        <v>-9109.7427378151842</v>
      </c>
      <c r="G54" s="232">
        <f ca="1">Cashflow!M15</f>
        <v>-55678.480578978881</v>
      </c>
      <c r="H54" s="232">
        <f ca="1">Cashflow!N15</f>
        <v>-57346.605234178351</v>
      </c>
      <c r="I54" s="232">
        <f ca="1">Cashflow!O15</f>
        <v>-43924.242258755097</v>
      </c>
      <c r="J54" s="232">
        <f ca="1">Cashflow!P15</f>
        <v>-261115.06596955971</v>
      </c>
      <c r="K54" s="232">
        <f ca="1">Cashflow!Q15</f>
        <v>-63535.713912837666</v>
      </c>
      <c r="L54" s="232">
        <f ca="1">Cashflow!R15</f>
        <v>-366393.76030669909</v>
      </c>
      <c r="M54" s="232">
        <f ca="1">Cashflow!S15</f>
        <v>2046436.2610465558</v>
      </c>
      <c r="N54" s="232">
        <f ca="1">Cashflow!T15</f>
        <v>307636.34308814694</v>
      </c>
      <c r="O54" s="232">
        <f ca="1">Cashflow!U15</f>
        <v>-95430.820703580452</v>
      </c>
      <c r="P54" s="232">
        <f ca="1">Cashflow!V15</f>
        <v>-275950</v>
      </c>
      <c r="Q54" s="232">
        <f ca="1">Cashflow!W15</f>
        <v>-79293.983443983379</v>
      </c>
      <c r="R54" s="232">
        <f ca="1">Cashflow!X15</f>
        <v>-397927.4276232589</v>
      </c>
      <c r="S54" s="232">
        <f ca="1">Cashflow!Y15</f>
        <v>1970474.8729276215</v>
      </c>
      <c r="T54" s="232">
        <f ca="1">Cashflow!Z15</f>
        <v>148664.76730930342</v>
      </c>
      <c r="U54" s="232">
        <f ca="1">Cashflow!AA15</f>
        <v>-82806.335069057794</v>
      </c>
      <c r="V54" s="232">
        <f ca="1">Cashflow!AB15</f>
        <v>-244294.81271573345</v>
      </c>
      <c r="W54" s="232">
        <f ca="1">Cashflow!AC15</f>
        <v>-101132.50695998287</v>
      </c>
      <c r="X54" s="232">
        <f ca="1">Cashflow!AD15</f>
        <v>-903899.22717864288</v>
      </c>
      <c r="Y54" s="232">
        <f ca="1">Cashflow!AE15</f>
        <v>4524400.0613303473</v>
      </c>
      <c r="Z54" s="232">
        <f ca="1">Cashflow!AF15</f>
        <v>116483.08114527797</v>
      </c>
      <c r="AA54" s="232">
        <f ca="1">Cashflow!AG15</f>
        <v>-148136.69332328337</v>
      </c>
      <c r="AB54" s="232">
        <f ca="1">Cashflow!AH15</f>
        <v>-146526.34912459942</v>
      </c>
      <c r="AC54" s="232">
        <f ca="1">Cashflow!AI15</f>
        <v>2314111.8278989592</v>
      </c>
      <c r="AD54" s="232">
        <f ca="1">Cashflow!AJ15</f>
        <v>-1074838.8959910942</v>
      </c>
      <c r="AE54" s="232">
        <f ca="1">Cashflow!AK15</f>
        <v>1555438.1515784648</v>
      </c>
      <c r="AF54" s="232">
        <f ca="1">Cashflow!AL15</f>
        <v>595499.92182510882</v>
      </c>
      <c r="AG54" s="232">
        <f ca="1">Cashflow!AM15</f>
        <v>2082586.7736922931</v>
      </c>
      <c r="AH54" s="232">
        <f ca="1">Cashflow!AN15</f>
        <v>404727.78683680389</v>
      </c>
      <c r="AI54" s="232">
        <f ca="1">Cashflow!AO15</f>
        <v>232216.8624704676</v>
      </c>
      <c r="AJ54" s="232">
        <f ca="1">Cashflow!AP15</f>
        <v>1889380.9380024928</v>
      </c>
      <c r="AK54" s="232">
        <f ca="1">Cashflow!AQ15</f>
        <v>2955262.9278245741</v>
      </c>
      <c r="AL54" s="232">
        <f ca="1">Cashflow!AR15</f>
        <v>2892216.6399554592</v>
      </c>
      <c r="AM54" s="232">
        <f ca="1">Cashflow!AS15</f>
        <v>-224576.66460659611</v>
      </c>
      <c r="AN54" s="232">
        <f ca="1">Cashflow!AT15</f>
        <v>535680.4984985193</v>
      </c>
      <c r="AO54" s="232">
        <f ca="1">Cashflow!AU15</f>
        <v>5514190.5338119892</v>
      </c>
      <c r="AP54" s="232">
        <f ca="1">Cashflow!AV15</f>
        <v>-649689.73014612717</v>
      </c>
      <c r="AQ54" s="232">
        <f ca="1">Cashflow!AW15</f>
        <v>-1741687.6277668041</v>
      </c>
      <c r="AR54" s="232">
        <f ca="1">Cashflow!AX15</f>
        <v>3801066.9978289194</v>
      </c>
      <c r="AS54" s="232">
        <f ca="1">Cashflow!AY15</f>
        <v>1721796.8194139488</v>
      </c>
      <c r="AT54" s="232">
        <f ca="1">Cashflow!AZ15</f>
        <v>3762437.9684259538</v>
      </c>
      <c r="AU54" s="232">
        <f ca="1">Cashflow!BA15</f>
        <v>1479761.44456118</v>
      </c>
      <c r="AV54" s="232">
        <f ca="1">Cashflow!BB15</f>
        <v>4393914.5884607965</v>
      </c>
      <c r="AW54" s="232">
        <f ca="1">Cashflow!BC15</f>
        <v>4043665.4189018747</v>
      </c>
      <c r="AX54" s="232">
        <f ca="1">Cashflow!BD15</f>
        <v>4295422.9455408389</v>
      </c>
      <c r="AY54" s="232">
        <f ca="1">Cashflow!BE15</f>
        <v>2016455.2027475424</v>
      </c>
      <c r="AZ54" s="232">
        <f ca="1">Cashflow!BF15</f>
        <v>4382381.2518213661</v>
      </c>
      <c r="BA54" s="232">
        <f ca="1">Cashflow!BG15</f>
        <v>4494668.8529518163</v>
      </c>
      <c r="BB54" s="232">
        <f ca="1">Cashflow!BH15</f>
        <v>2104038.5268702526</v>
      </c>
      <c r="BC54" s="232">
        <f ca="1">Cashflow!BI15</f>
        <v>-737280.47594620381</v>
      </c>
      <c r="BD54" s="232">
        <f ca="1">Cashflow!BJ15</f>
        <v>7917845.4853797201</v>
      </c>
      <c r="BE54" s="232">
        <f ca="1">Cashflow!BK15</f>
        <v>1787099.4800834223</v>
      </c>
      <c r="BF54" s="232">
        <f ca="1">Cashflow!BL15</f>
        <v>8299461.5748502538</v>
      </c>
      <c r="BG54" s="232">
        <f ca="1">Cashflow!BM15</f>
        <v>5992842.3918381222</v>
      </c>
      <c r="BH54" s="232">
        <f ca="1">Cashflow!BN15</f>
        <v>4591338.8575424813</v>
      </c>
      <c r="BI54" s="232">
        <f ca="1">Cashflow!BO15</f>
        <v>8966803.6339209136</v>
      </c>
      <c r="BJ54" s="232">
        <f ca="1">Cashflow!BP15</f>
        <v>6692824.5702003958</v>
      </c>
      <c r="BK54" s="232">
        <f ca="1">Cashflow!BQ15</f>
        <v>4934081.4828420617</v>
      </c>
      <c r="IR54" s="228"/>
    </row>
    <row r="55" spans="1:252">
      <c r="C55" s="225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  <c r="AA55" s="229"/>
      <c r="AB55" s="229"/>
      <c r="AC55" s="229"/>
      <c r="AD55" s="229"/>
      <c r="AE55" s="229"/>
      <c r="AF55" s="229"/>
      <c r="AG55" s="229"/>
      <c r="AH55" s="229"/>
      <c r="AI55" s="229"/>
      <c r="AJ55" s="229"/>
      <c r="AK55" s="229"/>
      <c r="AL55" s="229"/>
      <c r="AM55" s="229"/>
      <c r="AN55" s="229"/>
      <c r="AO55" s="229"/>
      <c r="AP55" s="229"/>
      <c r="AQ55" s="229"/>
      <c r="AR55" s="229"/>
      <c r="AS55" s="229"/>
      <c r="AT55" s="229"/>
      <c r="AU55" s="229"/>
      <c r="AV55" s="229"/>
      <c r="AW55" s="229"/>
      <c r="AX55" s="229"/>
      <c r="AY55" s="229"/>
      <c r="AZ55" s="229"/>
      <c r="BA55" s="229"/>
      <c r="BB55" s="229"/>
      <c r="BC55" s="229"/>
      <c r="BD55" s="229"/>
      <c r="BE55" s="229"/>
      <c r="BF55" s="229"/>
      <c r="BG55" s="229"/>
      <c r="BH55" s="229"/>
      <c r="BI55" s="229"/>
      <c r="BJ55" s="229"/>
      <c r="BK55" s="229"/>
      <c r="IR55" s="228"/>
    </row>
    <row r="56" spans="1:252">
      <c r="B56" s="228" t="str">
        <f>Cashflow!E17</f>
        <v>Supply Chain Finance drawdown</v>
      </c>
      <c r="C56" s="225"/>
      <c r="D56" s="229">
        <f ca="1">Cashflow!J17</f>
        <v>0</v>
      </c>
      <c r="E56" s="229">
        <f ca="1">Cashflow!K17</f>
        <v>0</v>
      </c>
      <c r="F56" s="229">
        <f ca="1">Cashflow!L17</f>
        <v>0</v>
      </c>
      <c r="G56" s="229">
        <f ca="1">Cashflow!M17</f>
        <v>0</v>
      </c>
      <c r="H56" s="229">
        <f ca="1">Cashflow!N17</f>
        <v>0</v>
      </c>
      <c r="I56" s="229">
        <f ca="1">Cashflow!O17</f>
        <v>0</v>
      </c>
      <c r="J56" s="229">
        <f ca="1">Cashflow!P17</f>
        <v>0</v>
      </c>
      <c r="K56" s="229">
        <f ca="1">Cashflow!Q17</f>
        <v>0</v>
      </c>
      <c r="L56" s="229">
        <f ca="1">Cashflow!R17</f>
        <v>0</v>
      </c>
      <c r="M56" s="229">
        <f ca="1">Cashflow!S17</f>
        <v>0</v>
      </c>
      <c r="N56" s="229">
        <f ca="1">Cashflow!T17</f>
        <v>0</v>
      </c>
      <c r="O56" s="229">
        <f ca="1">Cashflow!U17</f>
        <v>0</v>
      </c>
      <c r="P56" s="229">
        <f ca="1">Cashflow!V17</f>
        <v>0</v>
      </c>
      <c r="Q56" s="229">
        <f ca="1">Cashflow!W17</f>
        <v>0</v>
      </c>
      <c r="R56" s="229">
        <f ca="1">Cashflow!X17</f>
        <v>0</v>
      </c>
      <c r="S56" s="229">
        <f ca="1">Cashflow!Y17</f>
        <v>0</v>
      </c>
      <c r="T56" s="229">
        <f ca="1">Cashflow!Z17</f>
        <v>0</v>
      </c>
      <c r="U56" s="229">
        <f ca="1">Cashflow!AA17</f>
        <v>0</v>
      </c>
      <c r="V56" s="229">
        <f ca="1">Cashflow!AB17</f>
        <v>0</v>
      </c>
      <c r="W56" s="229">
        <f ca="1">Cashflow!AC17</f>
        <v>0</v>
      </c>
      <c r="X56" s="229">
        <f ca="1">Cashflow!AD17</f>
        <v>0</v>
      </c>
      <c r="Y56" s="229">
        <f ca="1">Cashflow!AE17</f>
        <v>0</v>
      </c>
      <c r="Z56" s="229">
        <f ca="1">Cashflow!AF17</f>
        <v>0</v>
      </c>
      <c r="AA56" s="229">
        <f ca="1">Cashflow!AG17</f>
        <v>0</v>
      </c>
      <c r="AB56" s="229">
        <f ca="1">Cashflow!AH17</f>
        <v>0</v>
      </c>
      <c r="AC56" s="229">
        <f ca="1">Cashflow!AI17</f>
        <v>0</v>
      </c>
      <c r="AD56" s="229">
        <f ca="1">Cashflow!AJ17</f>
        <v>0</v>
      </c>
      <c r="AE56" s="229">
        <f ca="1">Cashflow!AK17</f>
        <v>0</v>
      </c>
      <c r="AF56" s="229">
        <f ca="1">Cashflow!AL17</f>
        <v>0</v>
      </c>
      <c r="AG56" s="229">
        <f ca="1">Cashflow!AM17</f>
        <v>0</v>
      </c>
      <c r="AH56" s="229">
        <f ca="1">Cashflow!AN17</f>
        <v>0</v>
      </c>
      <c r="AI56" s="229">
        <f ca="1">Cashflow!AO17</f>
        <v>0</v>
      </c>
      <c r="AJ56" s="229">
        <f ca="1">Cashflow!AP17</f>
        <v>0</v>
      </c>
      <c r="AK56" s="229">
        <f ca="1">Cashflow!AQ17</f>
        <v>0</v>
      </c>
      <c r="AL56" s="229">
        <f ca="1">Cashflow!AR17</f>
        <v>0</v>
      </c>
      <c r="AM56" s="229">
        <f ca="1">Cashflow!AS17</f>
        <v>0</v>
      </c>
      <c r="AN56" s="229">
        <f ca="1">Cashflow!AT17</f>
        <v>0</v>
      </c>
      <c r="AO56" s="229">
        <f ca="1">Cashflow!AU17</f>
        <v>0</v>
      </c>
      <c r="AP56" s="229">
        <f ca="1">Cashflow!AV17</f>
        <v>0</v>
      </c>
      <c r="AQ56" s="229">
        <f ca="1">Cashflow!AW17</f>
        <v>0</v>
      </c>
      <c r="AR56" s="229">
        <f ca="1">Cashflow!AX17</f>
        <v>0</v>
      </c>
      <c r="AS56" s="229">
        <f ca="1">Cashflow!AY17</f>
        <v>0</v>
      </c>
      <c r="AT56" s="229">
        <f ca="1">Cashflow!AZ17</f>
        <v>0</v>
      </c>
      <c r="AU56" s="229">
        <f ca="1">Cashflow!BA17</f>
        <v>0</v>
      </c>
      <c r="AV56" s="229">
        <f ca="1">Cashflow!BB17</f>
        <v>0</v>
      </c>
      <c r="AW56" s="229">
        <f ca="1">Cashflow!BC17</f>
        <v>0</v>
      </c>
      <c r="AX56" s="229">
        <f ca="1">Cashflow!BD17</f>
        <v>0</v>
      </c>
      <c r="AY56" s="229">
        <f ca="1">Cashflow!BE17</f>
        <v>0</v>
      </c>
      <c r="AZ56" s="229">
        <f ca="1">Cashflow!BF17</f>
        <v>0</v>
      </c>
      <c r="BA56" s="229">
        <f ca="1">Cashflow!BG17</f>
        <v>0</v>
      </c>
      <c r="BB56" s="229">
        <f ca="1">Cashflow!BH17</f>
        <v>0</v>
      </c>
      <c r="BC56" s="229">
        <f ca="1">Cashflow!BI17</f>
        <v>0</v>
      </c>
      <c r="BD56" s="229">
        <f ca="1">Cashflow!BJ17</f>
        <v>0</v>
      </c>
      <c r="BE56" s="229">
        <f ca="1">Cashflow!BK17</f>
        <v>0</v>
      </c>
      <c r="BF56" s="229">
        <f ca="1">Cashflow!BL17</f>
        <v>0</v>
      </c>
      <c r="BG56" s="229">
        <f ca="1">Cashflow!BM17</f>
        <v>0</v>
      </c>
      <c r="BH56" s="229">
        <f ca="1">Cashflow!BN17</f>
        <v>0</v>
      </c>
      <c r="BI56" s="229">
        <f ca="1">Cashflow!BO17</f>
        <v>0</v>
      </c>
      <c r="BJ56" s="229">
        <f ca="1">Cashflow!BP17</f>
        <v>0</v>
      </c>
      <c r="BK56" s="229">
        <f ca="1">Cashflow!BQ17</f>
        <v>0</v>
      </c>
      <c r="IR56" s="228"/>
    </row>
    <row r="57" spans="1:252">
      <c r="B57" s="228" t="str">
        <f>Cashflow!E18</f>
        <v xml:space="preserve">Supply Chain Finance principal repayment </v>
      </c>
      <c r="C57" s="225"/>
      <c r="D57" s="229">
        <f ca="1">Cashflow!J18</f>
        <v>0</v>
      </c>
      <c r="E57" s="229">
        <f ca="1">Cashflow!K18</f>
        <v>0</v>
      </c>
      <c r="F57" s="229">
        <f ca="1">Cashflow!L18</f>
        <v>0</v>
      </c>
      <c r="G57" s="229">
        <f ca="1">Cashflow!M18</f>
        <v>0</v>
      </c>
      <c r="H57" s="229">
        <f ca="1">Cashflow!N18</f>
        <v>0</v>
      </c>
      <c r="I57" s="229">
        <f ca="1">Cashflow!O18</f>
        <v>0</v>
      </c>
      <c r="J57" s="229">
        <f ca="1">Cashflow!P18</f>
        <v>0</v>
      </c>
      <c r="K57" s="229">
        <f ca="1">Cashflow!Q18</f>
        <v>0</v>
      </c>
      <c r="L57" s="229">
        <f ca="1">Cashflow!R18</f>
        <v>0</v>
      </c>
      <c r="M57" s="229">
        <f ca="1">Cashflow!S18</f>
        <v>0</v>
      </c>
      <c r="N57" s="229">
        <f ca="1">Cashflow!T18</f>
        <v>0</v>
      </c>
      <c r="O57" s="229">
        <f ca="1">Cashflow!U18</f>
        <v>0</v>
      </c>
      <c r="P57" s="229">
        <f ca="1">Cashflow!V18</f>
        <v>0</v>
      </c>
      <c r="Q57" s="229">
        <f ca="1">Cashflow!W18</f>
        <v>0</v>
      </c>
      <c r="R57" s="229">
        <f ca="1">Cashflow!X18</f>
        <v>0</v>
      </c>
      <c r="S57" s="229">
        <f ca="1">Cashflow!Y18</f>
        <v>0</v>
      </c>
      <c r="T57" s="229">
        <f ca="1">Cashflow!Z18</f>
        <v>0</v>
      </c>
      <c r="U57" s="229">
        <f ca="1">Cashflow!AA18</f>
        <v>0</v>
      </c>
      <c r="V57" s="229">
        <f ca="1">Cashflow!AB18</f>
        <v>0</v>
      </c>
      <c r="W57" s="229">
        <f ca="1">Cashflow!AC18</f>
        <v>0</v>
      </c>
      <c r="X57" s="229">
        <f ca="1">Cashflow!AD18</f>
        <v>0</v>
      </c>
      <c r="Y57" s="229">
        <f ca="1">Cashflow!AE18</f>
        <v>0</v>
      </c>
      <c r="Z57" s="229">
        <f ca="1">Cashflow!AF18</f>
        <v>0</v>
      </c>
      <c r="AA57" s="229">
        <f ca="1">Cashflow!AG18</f>
        <v>0</v>
      </c>
      <c r="AB57" s="229">
        <f ca="1">Cashflow!AH18</f>
        <v>0</v>
      </c>
      <c r="AC57" s="229">
        <f ca="1">Cashflow!AI18</f>
        <v>0</v>
      </c>
      <c r="AD57" s="229">
        <f ca="1">Cashflow!AJ18</f>
        <v>0</v>
      </c>
      <c r="AE57" s="229">
        <f ca="1">Cashflow!AK18</f>
        <v>0</v>
      </c>
      <c r="AF57" s="229">
        <f ca="1">Cashflow!AL18</f>
        <v>0</v>
      </c>
      <c r="AG57" s="229">
        <f ca="1">Cashflow!AM18</f>
        <v>0</v>
      </c>
      <c r="AH57" s="229">
        <f ca="1">Cashflow!AN18</f>
        <v>0</v>
      </c>
      <c r="AI57" s="229">
        <f ca="1">Cashflow!AO18</f>
        <v>0</v>
      </c>
      <c r="AJ57" s="229">
        <f ca="1">Cashflow!AP18</f>
        <v>0</v>
      </c>
      <c r="AK57" s="229">
        <f ca="1">Cashflow!AQ18</f>
        <v>0</v>
      </c>
      <c r="AL57" s="229">
        <f ca="1">Cashflow!AR18</f>
        <v>0</v>
      </c>
      <c r="AM57" s="229">
        <f ca="1">Cashflow!AS18</f>
        <v>0</v>
      </c>
      <c r="AN57" s="229">
        <f ca="1">Cashflow!AT18</f>
        <v>0</v>
      </c>
      <c r="AO57" s="229">
        <f ca="1">Cashflow!AU18</f>
        <v>0</v>
      </c>
      <c r="AP57" s="229">
        <f ca="1">Cashflow!AV18</f>
        <v>0</v>
      </c>
      <c r="AQ57" s="229">
        <f ca="1">Cashflow!AW18</f>
        <v>0</v>
      </c>
      <c r="AR57" s="229">
        <f ca="1">Cashflow!AX18</f>
        <v>0</v>
      </c>
      <c r="AS57" s="229">
        <f ca="1">Cashflow!AY18</f>
        <v>0</v>
      </c>
      <c r="AT57" s="229">
        <f ca="1">Cashflow!AZ18</f>
        <v>0</v>
      </c>
      <c r="AU57" s="229">
        <f ca="1">Cashflow!BA18</f>
        <v>0</v>
      </c>
      <c r="AV57" s="229">
        <f ca="1">Cashflow!BB18</f>
        <v>0</v>
      </c>
      <c r="AW57" s="229">
        <f ca="1">Cashflow!BC18</f>
        <v>0</v>
      </c>
      <c r="AX57" s="229">
        <f ca="1">Cashflow!BD18</f>
        <v>0</v>
      </c>
      <c r="AY57" s="229">
        <f ca="1">Cashflow!BE18</f>
        <v>0</v>
      </c>
      <c r="AZ57" s="229">
        <f ca="1">Cashflow!BF18</f>
        <v>0</v>
      </c>
      <c r="BA57" s="229">
        <f ca="1">Cashflow!BG18</f>
        <v>0</v>
      </c>
      <c r="BB57" s="229">
        <f ca="1">Cashflow!BH18</f>
        <v>0</v>
      </c>
      <c r="BC57" s="229">
        <f ca="1">Cashflow!BI18</f>
        <v>0</v>
      </c>
      <c r="BD57" s="229">
        <f ca="1">Cashflow!BJ18</f>
        <v>0</v>
      </c>
      <c r="BE57" s="229">
        <f ca="1">Cashflow!BK18</f>
        <v>0</v>
      </c>
      <c r="BF57" s="229">
        <f ca="1">Cashflow!BL18</f>
        <v>0</v>
      </c>
      <c r="BG57" s="229">
        <f ca="1">Cashflow!BM18</f>
        <v>0</v>
      </c>
      <c r="BH57" s="229">
        <f ca="1">Cashflow!BN18</f>
        <v>0</v>
      </c>
      <c r="BI57" s="229">
        <f ca="1">Cashflow!BO18</f>
        <v>0</v>
      </c>
      <c r="BJ57" s="229">
        <f ca="1">Cashflow!BP18</f>
        <v>0</v>
      </c>
      <c r="BK57" s="229">
        <f ca="1">Cashflow!BQ18</f>
        <v>0</v>
      </c>
      <c r="IR57" s="228"/>
    </row>
    <row r="58" spans="1:252" s="233" customFormat="1">
      <c r="A58" s="228"/>
      <c r="B58" s="228" t="str">
        <f>Cashflow!E19</f>
        <v>Invoice finance drawdown</v>
      </c>
      <c r="C58" s="225"/>
      <c r="D58" s="229">
        <f ca="1">Cashflow!J19</f>
        <v>0</v>
      </c>
      <c r="E58" s="229">
        <f ca="1">Cashflow!K19</f>
        <v>0</v>
      </c>
      <c r="F58" s="229">
        <f ca="1">Cashflow!L19</f>
        <v>0</v>
      </c>
      <c r="G58" s="229">
        <f ca="1">Cashflow!M19</f>
        <v>0</v>
      </c>
      <c r="H58" s="229">
        <f ca="1">Cashflow!N19</f>
        <v>0</v>
      </c>
      <c r="I58" s="229">
        <f ca="1">Cashflow!O19</f>
        <v>0</v>
      </c>
      <c r="J58" s="229">
        <f ca="1">Cashflow!P19</f>
        <v>0</v>
      </c>
      <c r="K58" s="229">
        <f ca="1">Cashflow!Q19</f>
        <v>0</v>
      </c>
      <c r="L58" s="229">
        <f ca="1">Cashflow!R19</f>
        <v>0</v>
      </c>
      <c r="M58" s="229">
        <f ca="1">Cashflow!S19</f>
        <v>0</v>
      </c>
      <c r="N58" s="229">
        <f ca="1">Cashflow!T19</f>
        <v>0</v>
      </c>
      <c r="O58" s="229">
        <f ca="1">Cashflow!U19</f>
        <v>0</v>
      </c>
      <c r="P58" s="229">
        <f ca="1">Cashflow!V19</f>
        <v>0</v>
      </c>
      <c r="Q58" s="229">
        <f ca="1">Cashflow!W19</f>
        <v>0</v>
      </c>
      <c r="R58" s="229">
        <f ca="1">Cashflow!X19</f>
        <v>0</v>
      </c>
      <c r="S58" s="229">
        <f ca="1">Cashflow!Y19</f>
        <v>0</v>
      </c>
      <c r="T58" s="229">
        <f ca="1">Cashflow!Z19</f>
        <v>0</v>
      </c>
      <c r="U58" s="229">
        <f ca="1">Cashflow!AA19</f>
        <v>0</v>
      </c>
      <c r="V58" s="229">
        <f ca="1">Cashflow!AB19</f>
        <v>0</v>
      </c>
      <c r="W58" s="229">
        <f ca="1">Cashflow!AC19</f>
        <v>0</v>
      </c>
      <c r="X58" s="229">
        <f ca="1">Cashflow!AD19</f>
        <v>0</v>
      </c>
      <c r="Y58" s="229">
        <f ca="1">Cashflow!AE19</f>
        <v>0</v>
      </c>
      <c r="Z58" s="229">
        <f ca="1">Cashflow!AF19</f>
        <v>0</v>
      </c>
      <c r="AA58" s="229">
        <f ca="1">Cashflow!AG19</f>
        <v>0</v>
      </c>
      <c r="AB58" s="229">
        <f ca="1">Cashflow!AH19</f>
        <v>0</v>
      </c>
      <c r="AC58" s="229">
        <f ca="1">Cashflow!AI19</f>
        <v>0</v>
      </c>
      <c r="AD58" s="229">
        <f ca="1">Cashflow!AJ19</f>
        <v>0</v>
      </c>
      <c r="AE58" s="229">
        <f ca="1">Cashflow!AK19</f>
        <v>0</v>
      </c>
      <c r="AF58" s="229">
        <f ca="1">Cashflow!AL19</f>
        <v>0</v>
      </c>
      <c r="AG58" s="229">
        <f ca="1">Cashflow!AM19</f>
        <v>0</v>
      </c>
      <c r="AH58" s="229">
        <f ca="1">Cashflow!AN19</f>
        <v>0</v>
      </c>
      <c r="AI58" s="229">
        <f ca="1">Cashflow!AO19</f>
        <v>0</v>
      </c>
      <c r="AJ58" s="229">
        <f ca="1">Cashflow!AP19</f>
        <v>0</v>
      </c>
      <c r="AK58" s="229">
        <f ca="1">Cashflow!AQ19</f>
        <v>0</v>
      </c>
      <c r="AL58" s="229">
        <f ca="1">Cashflow!AR19</f>
        <v>0</v>
      </c>
      <c r="AM58" s="229">
        <f ca="1">Cashflow!AS19</f>
        <v>0</v>
      </c>
      <c r="AN58" s="229">
        <f ca="1">Cashflow!AT19</f>
        <v>0</v>
      </c>
      <c r="AO58" s="229">
        <f ca="1">Cashflow!AU19</f>
        <v>0</v>
      </c>
      <c r="AP58" s="229">
        <f ca="1">Cashflow!AV19</f>
        <v>0</v>
      </c>
      <c r="AQ58" s="229">
        <f ca="1">Cashflow!AW19</f>
        <v>0</v>
      </c>
      <c r="AR58" s="229">
        <f ca="1">Cashflow!AX19</f>
        <v>0</v>
      </c>
      <c r="AS58" s="229">
        <f ca="1">Cashflow!AY19</f>
        <v>0</v>
      </c>
      <c r="AT58" s="229">
        <f ca="1">Cashflow!AZ19</f>
        <v>0</v>
      </c>
      <c r="AU58" s="229">
        <f ca="1">Cashflow!BA19</f>
        <v>0</v>
      </c>
      <c r="AV58" s="229">
        <f ca="1">Cashflow!BB19</f>
        <v>0</v>
      </c>
      <c r="AW58" s="229">
        <f ca="1">Cashflow!BC19</f>
        <v>0</v>
      </c>
      <c r="AX58" s="229">
        <f ca="1">Cashflow!BD19</f>
        <v>0</v>
      </c>
      <c r="AY58" s="229">
        <f ca="1">Cashflow!BE19</f>
        <v>0</v>
      </c>
      <c r="AZ58" s="229">
        <f ca="1">Cashflow!BF19</f>
        <v>0</v>
      </c>
      <c r="BA58" s="229">
        <f ca="1">Cashflow!BG19</f>
        <v>0</v>
      </c>
      <c r="BB58" s="229">
        <f ca="1">Cashflow!BH19</f>
        <v>0</v>
      </c>
      <c r="BC58" s="229">
        <f ca="1">Cashflow!BI19</f>
        <v>0</v>
      </c>
      <c r="BD58" s="229">
        <f ca="1">Cashflow!BJ19</f>
        <v>0</v>
      </c>
      <c r="BE58" s="229">
        <f ca="1">Cashflow!BK19</f>
        <v>0</v>
      </c>
      <c r="BF58" s="229">
        <f ca="1">Cashflow!BL19</f>
        <v>0</v>
      </c>
      <c r="BG58" s="229">
        <f ca="1">Cashflow!BM19</f>
        <v>0</v>
      </c>
      <c r="BH58" s="229">
        <f ca="1">Cashflow!BN19</f>
        <v>0</v>
      </c>
      <c r="BI58" s="229">
        <f ca="1">Cashflow!BO19</f>
        <v>0</v>
      </c>
      <c r="BJ58" s="229">
        <f ca="1">Cashflow!BP19</f>
        <v>0</v>
      </c>
      <c r="BK58" s="229">
        <f ca="1">Cashflow!BQ19</f>
        <v>0</v>
      </c>
      <c r="BL58" s="228"/>
      <c r="BM58" s="228"/>
      <c r="BN58" s="228"/>
      <c r="BO58" s="228"/>
      <c r="BP58" s="228"/>
      <c r="BQ58" s="228"/>
      <c r="BR58" s="228"/>
      <c r="BS58" s="228"/>
      <c r="BT58" s="228"/>
      <c r="BU58" s="228"/>
      <c r="BV58" s="228"/>
      <c r="BW58" s="228"/>
      <c r="BX58" s="228"/>
      <c r="BY58" s="228"/>
      <c r="BZ58" s="228"/>
      <c r="CA58" s="228"/>
      <c r="CB58" s="228"/>
      <c r="CC58" s="228"/>
      <c r="CD58" s="228"/>
      <c r="CE58" s="228"/>
      <c r="CF58" s="228"/>
      <c r="CG58" s="228"/>
      <c r="CH58" s="228"/>
      <c r="CI58" s="228"/>
      <c r="CJ58" s="228"/>
      <c r="CK58" s="228"/>
      <c r="CL58" s="228"/>
      <c r="CM58" s="228"/>
      <c r="CN58" s="228"/>
      <c r="CO58" s="228"/>
      <c r="CP58" s="228"/>
      <c r="CQ58" s="228"/>
      <c r="CR58" s="228"/>
      <c r="CS58" s="228"/>
      <c r="CT58" s="228"/>
      <c r="CU58" s="228"/>
      <c r="CV58" s="228"/>
      <c r="CW58" s="228"/>
      <c r="CX58" s="228"/>
      <c r="CY58" s="228"/>
      <c r="CZ58" s="228"/>
      <c r="DA58" s="228"/>
      <c r="DB58" s="228"/>
      <c r="DC58" s="228"/>
      <c r="DD58" s="228"/>
      <c r="DE58" s="228"/>
      <c r="DF58" s="228"/>
      <c r="DG58" s="228"/>
      <c r="DH58" s="228"/>
      <c r="DI58" s="228"/>
      <c r="DJ58" s="228"/>
      <c r="DK58" s="228"/>
      <c r="DL58" s="228"/>
      <c r="DM58" s="228"/>
      <c r="DN58" s="228"/>
      <c r="DO58" s="228"/>
      <c r="DP58" s="228"/>
      <c r="DQ58" s="228"/>
      <c r="DR58" s="228"/>
      <c r="DS58" s="228"/>
      <c r="DT58" s="228"/>
      <c r="DU58" s="228"/>
      <c r="DV58" s="228"/>
      <c r="DW58" s="228"/>
      <c r="DX58" s="228"/>
      <c r="DY58" s="228"/>
      <c r="DZ58" s="228"/>
      <c r="EA58" s="228"/>
      <c r="EB58" s="228"/>
      <c r="EC58" s="228"/>
      <c r="ED58" s="228"/>
      <c r="EE58" s="228"/>
      <c r="EF58" s="228"/>
      <c r="EG58" s="228"/>
      <c r="EH58" s="228"/>
      <c r="EI58" s="228"/>
      <c r="EJ58" s="228"/>
      <c r="EK58" s="228"/>
      <c r="EL58" s="228"/>
      <c r="EM58" s="228"/>
      <c r="EN58" s="228"/>
      <c r="EO58" s="228"/>
      <c r="EP58" s="228"/>
      <c r="EQ58" s="228"/>
      <c r="ER58" s="228"/>
      <c r="ES58" s="228"/>
      <c r="ET58" s="228"/>
      <c r="EU58" s="228"/>
      <c r="EV58" s="228"/>
      <c r="EW58" s="228"/>
      <c r="EX58" s="228"/>
      <c r="EY58" s="228"/>
      <c r="EZ58" s="228"/>
      <c r="FA58" s="228"/>
      <c r="FB58" s="228"/>
      <c r="FC58" s="228"/>
      <c r="FD58" s="228"/>
      <c r="FE58" s="228"/>
      <c r="FF58" s="228"/>
      <c r="FG58" s="228"/>
      <c r="FH58" s="228"/>
      <c r="FI58" s="228"/>
      <c r="FJ58" s="228"/>
      <c r="FK58" s="228"/>
      <c r="FL58" s="228"/>
      <c r="FM58" s="228"/>
      <c r="FN58" s="228"/>
      <c r="FO58" s="228"/>
      <c r="FP58" s="228"/>
      <c r="FQ58" s="228"/>
      <c r="FR58" s="228"/>
      <c r="FS58" s="228"/>
      <c r="FT58" s="228"/>
      <c r="FU58" s="228"/>
      <c r="FV58" s="228"/>
      <c r="FW58" s="228"/>
      <c r="FX58" s="228"/>
      <c r="FY58" s="228"/>
      <c r="FZ58" s="228"/>
      <c r="GA58" s="228"/>
      <c r="GB58" s="228"/>
      <c r="GC58" s="228"/>
      <c r="GD58" s="228"/>
      <c r="GE58" s="228"/>
      <c r="GF58" s="228"/>
      <c r="GG58" s="228"/>
      <c r="GH58" s="228"/>
      <c r="GI58" s="228"/>
      <c r="GJ58" s="228"/>
      <c r="GK58" s="228"/>
      <c r="GL58" s="228"/>
      <c r="GM58" s="228"/>
      <c r="GN58" s="228"/>
      <c r="GO58" s="228"/>
      <c r="GP58" s="228"/>
      <c r="GQ58" s="228"/>
      <c r="GR58" s="228"/>
      <c r="GS58" s="228"/>
      <c r="GT58" s="228"/>
      <c r="GU58" s="228"/>
      <c r="GV58" s="228"/>
      <c r="GW58" s="228"/>
      <c r="GX58" s="228"/>
      <c r="GY58" s="228"/>
      <c r="GZ58" s="228"/>
      <c r="HA58" s="228"/>
      <c r="HB58" s="228"/>
      <c r="HC58" s="228"/>
      <c r="HD58" s="228"/>
      <c r="HE58" s="228"/>
      <c r="HF58" s="228"/>
      <c r="HG58" s="228"/>
      <c r="HH58" s="228"/>
      <c r="HI58" s="228"/>
      <c r="HJ58" s="228"/>
      <c r="HK58" s="228"/>
      <c r="HL58" s="228"/>
      <c r="HM58" s="228"/>
      <c r="HN58" s="228"/>
      <c r="HO58" s="228"/>
      <c r="HP58" s="228"/>
      <c r="HQ58" s="228"/>
      <c r="HR58" s="228"/>
      <c r="HS58" s="228"/>
      <c r="HT58" s="228"/>
      <c r="HU58" s="228"/>
      <c r="HV58" s="228"/>
      <c r="HW58" s="228"/>
      <c r="HX58" s="228"/>
      <c r="HY58" s="228"/>
      <c r="HZ58" s="228"/>
      <c r="IA58" s="228"/>
      <c r="IB58" s="228"/>
      <c r="IC58" s="228"/>
      <c r="ID58" s="228"/>
      <c r="IE58" s="228"/>
      <c r="IF58" s="228"/>
      <c r="IG58" s="228"/>
      <c r="IH58" s="228"/>
      <c r="II58" s="228"/>
      <c r="IJ58" s="228"/>
      <c r="IK58" s="228"/>
      <c r="IL58" s="228"/>
      <c r="IM58" s="228"/>
      <c r="IN58" s="228"/>
      <c r="IO58" s="228"/>
      <c r="IP58" s="228"/>
      <c r="IQ58" s="228"/>
      <c r="IR58" s="228"/>
    </row>
    <row r="59" spans="1:252">
      <c r="B59" s="228" t="str">
        <f>Cashflow!E20</f>
        <v xml:space="preserve">Invoice finance principal repayment </v>
      </c>
      <c r="C59" s="225"/>
      <c r="D59" s="229">
        <f ca="1">Cashflow!J20</f>
        <v>0</v>
      </c>
      <c r="E59" s="229">
        <f ca="1">Cashflow!K20</f>
        <v>0</v>
      </c>
      <c r="F59" s="229">
        <f ca="1">Cashflow!L20</f>
        <v>0</v>
      </c>
      <c r="G59" s="229">
        <f ca="1">Cashflow!M20</f>
        <v>0</v>
      </c>
      <c r="H59" s="229">
        <f ca="1">Cashflow!N20</f>
        <v>0</v>
      </c>
      <c r="I59" s="229">
        <f ca="1">Cashflow!O20</f>
        <v>0</v>
      </c>
      <c r="J59" s="229">
        <f ca="1">Cashflow!P20</f>
        <v>0</v>
      </c>
      <c r="K59" s="229">
        <f ca="1">Cashflow!Q20</f>
        <v>0</v>
      </c>
      <c r="L59" s="229">
        <f ca="1">Cashflow!R20</f>
        <v>0</v>
      </c>
      <c r="M59" s="229">
        <f ca="1">Cashflow!S20</f>
        <v>0</v>
      </c>
      <c r="N59" s="229">
        <f ca="1">Cashflow!T20</f>
        <v>0</v>
      </c>
      <c r="O59" s="229">
        <f ca="1">Cashflow!U20</f>
        <v>0</v>
      </c>
      <c r="P59" s="229">
        <f ca="1">Cashflow!V20</f>
        <v>0</v>
      </c>
      <c r="Q59" s="229">
        <f ca="1">Cashflow!W20</f>
        <v>0</v>
      </c>
      <c r="R59" s="229">
        <f ca="1">Cashflow!X20</f>
        <v>0</v>
      </c>
      <c r="S59" s="229">
        <f ca="1">Cashflow!Y20</f>
        <v>0</v>
      </c>
      <c r="T59" s="229">
        <f ca="1">Cashflow!Z20</f>
        <v>0</v>
      </c>
      <c r="U59" s="229">
        <f ca="1">Cashflow!AA20</f>
        <v>0</v>
      </c>
      <c r="V59" s="229">
        <f ca="1">Cashflow!AB20</f>
        <v>0</v>
      </c>
      <c r="W59" s="229">
        <f ca="1">Cashflow!AC20</f>
        <v>0</v>
      </c>
      <c r="X59" s="229">
        <f ca="1">Cashflow!AD20</f>
        <v>0</v>
      </c>
      <c r="Y59" s="229">
        <f ca="1">Cashflow!AE20</f>
        <v>0</v>
      </c>
      <c r="Z59" s="229">
        <f ca="1">Cashflow!AF20</f>
        <v>0</v>
      </c>
      <c r="AA59" s="229">
        <f ca="1">Cashflow!AG20</f>
        <v>0</v>
      </c>
      <c r="AB59" s="229">
        <f ca="1">Cashflow!AH20</f>
        <v>0</v>
      </c>
      <c r="AC59" s="229">
        <f ca="1">Cashflow!AI20</f>
        <v>0</v>
      </c>
      <c r="AD59" s="229">
        <f ca="1">Cashflow!AJ20</f>
        <v>0</v>
      </c>
      <c r="AE59" s="229">
        <f ca="1">Cashflow!AK20</f>
        <v>0</v>
      </c>
      <c r="AF59" s="229">
        <f ca="1">Cashflow!AL20</f>
        <v>0</v>
      </c>
      <c r="AG59" s="229">
        <f ca="1">Cashflow!AM20</f>
        <v>0</v>
      </c>
      <c r="AH59" s="229">
        <f ca="1">Cashflow!AN20</f>
        <v>0</v>
      </c>
      <c r="AI59" s="229">
        <f ca="1">Cashflow!AO20</f>
        <v>0</v>
      </c>
      <c r="AJ59" s="229">
        <f ca="1">Cashflow!AP20</f>
        <v>0</v>
      </c>
      <c r="AK59" s="229">
        <f ca="1">Cashflow!AQ20</f>
        <v>0</v>
      </c>
      <c r="AL59" s="229">
        <f ca="1">Cashflow!AR20</f>
        <v>0</v>
      </c>
      <c r="AM59" s="229">
        <f ca="1">Cashflow!AS20</f>
        <v>0</v>
      </c>
      <c r="AN59" s="229">
        <f ca="1">Cashflow!AT20</f>
        <v>0</v>
      </c>
      <c r="AO59" s="229">
        <f ca="1">Cashflow!AU20</f>
        <v>0</v>
      </c>
      <c r="AP59" s="229">
        <f ca="1">Cashflow!AV20</f>
        <v>0</v>
      </c>
      <c r="AQ59" s="229">
        <f ca="1">Cashflow!AW20</f>
        <v>0</v>
      </c>
      <c r="AR59" s="229">
        <f ca="1">Cashflow!AX20</f>
        <v>0</v>
      </c>
      <c r="AS59" s="229">
        <f ca="1">Cashflow!AY20</f>
        <v>0</v>
      </c>
      <c r="AT59" s="229">
        <f ca="1">Cashflow!AZ20</f>
        <v>0</v>
      </c>
      <c r="AU59" s="229">
        <f ca="1">Cashflow!BA20</f>
        <v>0</v>
      </c>
      <c r="AV59" s="229">
        <f ca="1">Cashflow!BB20</f>
        <v>0</v>
      </c>
      <c r="AW59" s="229">
        <f ca="1">Cashflow!BC20</f>
        <v>0</v>
      </c>
      <c r="AX59" s="229">
        <f ca="1">Cashflow!BD20</f>
        <v>0</v>
      </c>
      <c r="AY59" s="229">
        <f ca="1">Cashflow!BE20</f>
        <v>0</v>
      </c>
      <c r="AZ59" s="229">
        <f ca="1">Cashflow!BF20</f>
        <v>0</v>
      </c>
      <c r="BA59" s="229">
        <f ca="1">Cashflow!BG20</f>
        <v>0</v>
      </c>
      <c r="BB59" s="229">
        <f ca="1">Cashflow!BH20</f>
        <v>0</v>
      </c>
      <c r="BC59" s="229">
        <f ca="1">Cashflow!BI20</f>
        <v>0</v>
      </c>
      <c r="BD59" s="229">
        <f ca="1">Cashflow!BJ20</f>
        <v>0</v>
      </c>
      <c r="BE59" s="229">
        <f ca="1">Cashflow!BK20</f>
        <v>0</v>
      </c>
      <c r="BF59" s="229">
        <f ca="1">Cashflow!BL20</f>
        <v>0</v>
      </c>
      <c r="BG59" s="229">
        <f ca="1">Cashflow!BM20</f>
        <v>0</v>
      </c>
      <c r="BH59" s="229">
        <f ca="1">Cashflow!BN20</f>
        <v>0</v>
      </c>
      <c r="BI59" s="229">
        <f ca="1">Cashflow!BO20</f>
        <v>0</v>
      </c>
      <c r="BJ59" s="229">
        <f ca="1">Cashflow!BP20</f>
        <v>0</v>
      </c>
      <c r="BK59" s="229">
        <f ca="1">Cashflow!BQ20</f>
        <v>0</v>
      </c>
      <c r="BL59" s="235"/>
      <c r="BM59" s="235"/>
      <c r="BN59" s="235"/>
      <c r="BO59" s="235"/>
      <c r="BP59" s="235"/>
      <c r="BQ59" s="235"/>
      <c r="BR59" s="235"/>
      <c r="BS59" s="235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5"/>
      <c r="CJ59" s="235"/>
      <c r="CK59" s="235"/>
      <c r="CL59" s="235"/>
      <c r="CM59" s="235"/>
      <c r="CN59" s="235"/>
      <c r="CO59" s="235"/>
      <c r="CP59" s="235"/>
      <c r="CQ59" s="235"/>
      <c r="CR59" s="235"/>
      <c r="CS59" s="235"/>
      <c r="CT59" s="235"/>
      <c r="CU59" s="235"/>
      <c r="CV59" s="235"/>
      <c r="CW59" s="235"/>
      <c r="CX59" s="235"/>
      <c r="CY59" s="235"/>
      <c r="CZ59" s="235"/>
      <c r="DA59" s="235"/>
      <c r="DB59" s="235"/>
      <c r="DC59" s="235"/>
      <c r="DD59" s="235"/>
      <c r="DE59" s="235"/>
      <c r="DF59" s="235"/>
      <c r="DG59" s="235"/>
      <c r="DH59" s="235"/>
      <c r="DI59" s="235"/>
      <c r="DJ59" s="235"/>
      <c r="DK59" s="235"/>
      <c r="DL59" s="235"/>
      <c r="DM59" s="235"/>
      <c r="DN59" s="235"/>
      <c r="DO59" s="235"/>
      <c r="DP59" s="235"/>
      <c r="DQ59" s="235"/>
      <c r="DR59" s="235"/>
      <c r="DS59" s="235"/>
      <c r="DT59" s="235"/>
      <c r="DU59" s="235"/>
      <c r="DV59" s="235"/>
      <c r="DW59" s="235"/>
      <c r="DX59" s="235"/>
      <c r="DY59" s="235"/>
      <c r="DZ59" s="235"/>
      <c r="EA59" s="235"/>
      <c r="EB59" s="235"/>
      <c r="EC59" s="235"/>
      <c r="ED59" s="235"/>
      <c r="EE59" s="235"/>
      <c r="EF59" s="235"/>
      <c r="EG59" s="235"/>
      <c r="EH59" s="235"/>
      <c r="EI59" s="235"/>
      <c r="EJ59" s="235"/>
      <c r="EK59" s="235"/>
      <c r="EL59" s="235"/>
      <c r="EM59" s="235"/>
      <c r="EN59" s="235"/>
      <c r="EO59" s="235"/>
      <c r="EP59" s="235"/>
      <c r="EQ59" s="235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235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P59" s="235"/>
      <c r="FQ59" s="235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C59" s="235"/>
      <c r="GD59" s="235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P59" s="235"/>
      <c r="GQ59" s="235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C59" s="235"/>
      <c r="HD59" s="235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P59" s="235"/>
      <c r="HQ59" s="235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C59" s="235"/>
      <c r="ID59" s="235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  <c r="IO59" s="235"/>
      <c r="IP59" s="235"/>
      <c r="IQ59" s="235"/>
      <c r="IR59" s="235"/>
    </row>
    <row r="60" spans="1:252">
      <c r="B60" s="228" t="str">
        <f>Cashflow!E21</f>
        <v>Asset Finance drawdown</v>
      </c>
      <c r="C60" s="225"/>
      <c r="D60" s="229">
        <f ca="1">Cashflow!J21</f>
        <v>0</v>
      </c>
      <c r="E60" s="229">
        <f ca="1">Cashflow!K21</f>
        <v>0</v>
      </c>
      <c r="F60" s="229">
        <f ca="1">Cashflow!L21</f>
        <v>0</v>
      </c>
      <c r="G60" s="229">
        <f ca="1">Cashflow!M21</f>
        <v>0</v>
      </c>
      <c r="H60" s="229">
        <f ca="1">Cashflow!N21</f>
        <v>0</v>
      </c>
      <c r="I60" s="229">
        <f ca="1">Cashflow!O21</f>
        <v>0</v>
      </c>
      <c r="J60" s="229">
        <f ca="1">Cashflow!P21</f>
        <v>0</v>
      </c>
      <c r="K60" s="229">
        <f ca="1">Cashflow!Q21</f>
        <v>0</v>
      </c>
      <c r="L60" s="229">
        <f ca="1">Cashflow!R21</f>
        <v>0</v>
      </c>
      <c r="M60" s="229">
        <f ca="1">Cashflow!S21</f>
        <v>0</v>
      </c>
      <c r="N60" s="229">
        <f ca="1">Cashflow!T21</f>
        <v>0</v>
      </c>
      <c r="O60" s="229">
        <f ca="1">Cashflow!U21</f>
        <v>0</v>
      </c>
      <c r="P60" s="229">
        <f ca="1">Cashflow!V21</f>
        <v>0</v>
      </c>
      <c r="Q60" s="229">
        <f ca="1">Cashflow!W21</f>
        <v>0</v>
      </c>
      <c r="R60" s="229">
        <f ca="1">Cashflow!X21</f>
        <v>0</v>
      </c>
      <c r="S60" s="229">
        <f ca="1">Cashflow!Y21</f>
        <v>0</v>
      </c>
      <c r="T60" s="229">
        <f ca="1">Cashflow!Z21</f>
        <v>0</v>
      </c>
      <c r="U60" s="229">
        <f ca="1">Cashflow!AA21</f>
        <v>0</v>
      </c>
      <c r="V60" s="229">
        <f ca="1">Cashflow!AB21</f>
        <v>0</v>
      </c>
      <c r="W60" s="229">
        <f ca="1">Cashflow!AC21</f>
        <v>0</v>
      </c>
      <c r="X60" s="229">
        <f ca="1">Cashflow!AD21</f>
        <v>0</v>
      </c>
      <c r="Y60" s="229">
        <f ca="1">Cashflow!AE21</f>
        <v>0</v>
      </c>
      <c r="Z60" s="229">
        <f ca="1">Cashflow!AF21</f>
        <v>0</v>
      </c>
      <c r="AA60" s="229">
        <f ca="1">Cashflow!AG21</f>
        <v>0</v>
      </c>
      <c r="AB60" s="229">
        <f ca="1">Cashflow!AH21</f>
        <v>0</v>
      </c>
      <c r="AC60" s="229">
        <f ca="1">Cashflow!AI21</f>
        <v>0</v>
      </c>
      <c r="AD60" s="229">
        <f ca="1">Cashflow!AJ21</f>
        <v>0</v>
      </c>
      <c r="AE60" s="229">
        <f ca="1">Cashflow!AK21</f>
        <v>0</v>
      </c>
      <c r="AF60" s="229">
        <f ca="1">Cashflow!AL21</f>
        <v>0</v>
      </c>
      <c r="AG60" s="229">
        <f ca="1">Cashflow!AM21</f>
        <v>0</v>
      </c>
      <c r="AH60" s="229">
        <f ca="1">Cashflow!AN21</f>
        <v>0</v>
      </c>
      <c r="AI60" s="229">
        <f ca="1">Cashflow!AO21</f>
        <v>0</v>
      </c>
      <c r="AJ60" s="229">
        <f ca="1">Cashflow!AP21</f>
        <v>0</v>
      </c>
      <c r="AK60" s="229">
        <f ca="1">Cashflow!AQ21</f>
        <v>0</v>
      </c>
      <c r="AL60" s="229">
        <f ca="1">Cashflow!AR21</f>
        <v>0</v>
      </c>
      <c r="AM60" s="229">
        <f ca="1">Cashflow!AS21</f>
        <v>0</v>
      </c>
      <c r="AN60" s="229">
        <f ca="1">Cashflow!AT21</f>
        <v>0</v>
      </c>
      <c r="AO60" s="229">
        <f ca="1">Cashflow!AU21</f>
        <v>0</v>
      </c>
      <c r="AP60" s="229">
        <f ca="1">Cashflow!AV21</f>
        <v>0</v>
      </c>
      <c r="AQ60" s="229">
        <f ca="1">Cashflow!AW21</f>
        <v>0</v>
      </c>
      <c r="AR60" s="229">
        <f ca="1">Cashflow!AX21</f>
        <v>0</v>
      </c>
      <c r="AS60" s="229">
        <f ca="1">Cashflow!AY21</f>
        <v>0</v>
      </c>
      <c r="AT60" s="229">
        <f ca="1">Cashflow!AZ21</f>
        <v>0</v>
      </c>
      <c r="AU60" s="229">
        <f ca="1">Cashflow!BA21</f>
        <v>0</v>
      </c>
      <c r="AV60" s="229">
        <f ca="1">Cashflow!BB21</f>
        <v>0</v>
      </c>
      <c r="AW60" s="229">
        <f ca="1">Cashflow!BC21</f>
        <v>0</v>
      </c>
      <c r="AX60" s="229">
        <f ca="1">Cashflow!BD21</f>
        <v>0</v>
      </c>
      <c r="AY60" s="229">
        <f ca="1">Cashflow!BE21</f>
        <v>0</v>
      </c>
      <c r="AZ60" s="229">
        <f ca="1">Cashflow!BF21</f>
        <v>0</v>
      </c>
      <c r="BA60" s="229">
        <f ca="1">Cashflow!BG21</f>
        <v>0</v>
      </c>
      <c r="BB60" s="229">
        <f ca="1">Cashflow!BH21</f>
        <v>0</v>
      </c>
      <c r="BC60" s="229">
        <f ca="1">Cashflow!BI21</f>
        <v>0</v>
      </c>
      <c r="BD60" s="229">
        <f ca="1">Cashflow!BJ21</f>
        <v>0</v>
      </c>
      <c r="BE60" s="229">
        <f ca="1">Cashflow!BK21</f>
        <v>0</v>
      </c>
      <c r="BF60" s="229">
        <f ca="1">Cashflow!BL21</f>
        <v>0</v>
      </c>
      <c r="BG60" s="229">
        <f ca="1">Cashflow!BM21</f>
        <v>0</v>
      </c>
      <c r="BH60" s="229">
        <f ca="1">Cashflow!BN21</f>
        <v>0</v>
      </c>
      <c r="BI60" s="229">
        <f ca="1">Cashflow!BO21</f>
        <v>0</v>
      </c>
      <c r="BJ60" s="229">
        <f ca="1">Cashflow!BP21</f>
        <v>0</v>
      </c>
      <c r="BK60" s="229">
        <f ca="1">Cashflow!BQ21</f>
        <v>0</v>
      </c>
      <c r="BS60" s="230"/>
      <c r="BT60" s="230"/>
      <c r="BU60" s="230"/>
      <c r="BV60" s="230"/>
      <c r="BW60" s="230"/>
      <c r="BX60" s="230"/>
      <c r="BY60" s="230"/>
      <c r="BZ60" s="230"/>
      <c r="CA60" s="230"/>
      <c r="CB60" s="230"/>
      <c r="CC60" s="230"/>
      <c r="CD60" s="230"/>
      <c r="CE60" s="230"/>
      <c r="CF60" s="230"/>
      <c r="CG60" s="230"/>
      <c r="CH60" s="230"/>
      <c r="CI60" s="230"/>
      <c r="CJ60" s="230"/>
      <c r="CK60" s="230"/>
      <c r="CL60" s="230"/>
      <c r="CM60" s="230"/>
      <c r="CN60" s="230"/>
      <c r="CO60" s="230"/>
      <c r="CP60" s="230"/>
      <c r="CQ60" s="230"/>
      <c r="CR60" s="230"/>
      <c r="CS60" s="230"/>
      <c r="CT60" s="230"/>
      <c r="CU60" s="230"/>
      <c r="CV60" s="230"/>
      <c r="CW60" s="230"/>
      <c r="CX60" s="230"/>
      <c r="CY60" s="230"/>
      <c r="CZ60" s="230"/>
      <c r="DA60" s="230"/>
      <c r="DB60" s="230"/>
      <c r="DC60" s="230"/>
      <c r="DD60" s="230"/>
      <c r="DE60" s="230"/>
      <c r="DF60" s="230"/>
      <c r="DG60" s="230"/>
      <c r="DH60" s="230"/>
      <c r="DI60" s="230"/>
      <c r="DJ60" s="230"/>
      <c r="DK60" s="230"/>
      <c r="DL60" s="230"/>
      <c r="DM60" s="230"/>
      <c r="DN60" s="230"/>
      <c r="DO60" s="230"/>
      <c r="DP60" s="230"/>
      <c r="DQ60" s="230"/>
      <c r="DR60" s="230"/>
      <c r="DS60" s="230"/>
      <c r="DT60" s="230"/>
      <c r="DU60" s="230"/>
      <c r="DV60" s="230"/>
      <c r="DW60" s="230"/>
      <c r="DX60" s="230"/>
      <c r="DY60" s="230"/>
      <c r="DZ60" s="230"/>
      <c r="EA60" s="230"/>
      <c r="EB60" s="230"/>
      <c r="EC60" s="230"/>
      <c r="ED60" s="230"/>
      <c r="EE60" s="230"/>
      <c r="EF60" s="230"/>
      <c r="EG60" s="230"/>
      <c r="EH60" s="230"/>
      <c r="EI60" s="230"/>
      <c r="EJ60" s="230"/>
      <c r="EK60" s="230"/>
      <c r="EL60" s="230"/>
      <c r="EM60" s="230"/>
      <c r="EN60" s="230"/>
      <c r="EO60" s="230"/>
      <c r="EP60" s="230"/>
      <c r="EQ60" s="230"/>
      <c r="ER60" s="230"/>
      <c r="ES60" s="230"/>
      <c r="ET60" s="230"/>
      <c r="EU60" s="230"/>
      <c r="EV60" s="230"/>
      <c r="EW60" s="230"/>
      <c r="EX60" s="230"/>
      <c r="EY60" s="230"/>
      <c r="EZ60" s="230"/>
      <c r="FA60" s="230"/>
      <c r="FB60" s="230"/>
      <c r="FC60" s="230"/>
      <c r="FD60" s="230"/>
      <c r="FE60" s="230"/>
      <c r="FF60" s="230"/>
      <c r="FG60" s="230"/>
      <c r="FH60" s="230"/>
      <c r="FI60" s="230"/>
      <c r="FJ60" s="230"/>
      <c r="FK60" s="230"/>
      <c r="FL60" s="230"/>
      <c r="FM60" s="230"/>
      <c r="FN60" s="230"/>
      <c r="FO60" s="230"/>
      <c r="FP60" s="230"/>
      <c r="FQ60" s="230"/>
      <c r="FR60" s="230"/>
      <c r="FS60" s="230"/>
      <c r="FT60" s="230"/>
      <c r="FU60" s="230"/>
      <c r="FV60" s="230"/>
      <c r="FW60" s="230"/>
      <c r="FX60" s="230"/>
      <c r="FY60" s="230"/>
      <c r="FZ60" s="230"/>
      <c r="GA60" s="230"/>
      <c r="GB60" s="230"/>
      <c r="GC60" s="230"/>
      <c r="GD60" s="230"/>
      <c r="GE60" s="230"/>
      <c r="GF60" s="230"/>
      <c r="GG60" s="230"/>
      <c r="GH60" s="230"/>
      <c r="GI60" s="230"/>
      <c r="GJ60" s="230"/>
      <c r="GK60" s="230"/>
      <c r="GL60" s="230"/>
      <c r="GM60" s="230"/>
      <c r="GN60" s="230"/>
      <c r="GO60" s="230"/>
      <c r="GP60" s="230"/>
      <c r="GQ60" s="230"/>
      <c r="GR60" s="230"/>
      <c r="GS60" s="230"/>
      <c r="GT60" s="230"/>
      <c r="GU60" s="230"/>
      <c r="GV60" s="230"/>
      <c r="GW60" s="230"/>
      <c r="GX60" s="230"/>
      <c r="GY60" s="230"/>
      <c r="GZ60" s="230"/>
      <c r="HA60" s="230"/>
      <c r="HB60" s="230"/>
      <c r="HC60" s="230"/>
      <c r="HD60" s="230"/>
      <c r="HE60" s="230"/>
      <c r="HF60" s="230"/>
      <c r="HG60" s="230"/>
      <c r="HH60" s="230"/>
      <c r="HI60" s="230"/>
      <c r="HJ60" s="230"/>
      <c r="HK60" s="230"/>
      <c r="HL60" s="230"/>
      <c r="HM60" s="230"/>
      <c r="HN60" s="230"/>
      <c r="HO60" s="230"/>
      <c r="HP60" s="230"/>
      <c r="HQ60" s="230"/>
      <c r="HR60" s="230"/>
      <c r="HS60" s="230"/>
      <c r="HT60" s="230"/>
      <c r="HU60" s="230"/>
      <c r="HV60" s="230"/>
      <c r="HW60" s="230"/>
      <c r="HX60" s="230"/>
      <c r="HY60" s="230"/>
      <c r="HZ60" s="230"/>
      <c r="IA60" s="230"/>
      <c r="IB60" s="230"/>
      <c r="IC60" s="230"/>
      <c r="ID60" s="230"/>
      <c r="IE60" s="230"/>
      <c r="IF60" s="230"/>
      <c r="IG60" s="230"/>
      <c r="IH60" s="230"/>
      <c r="II60" s="230"/>
      <c r="IJ60" s="230"/>
      <c r="IK60" s="230"/>
      <c r="IL60" s="230"/>
      <c r="IM60" s="230"/>
      <c r="IN60" s="230"/>
      <c r="IO60" s="230"/>
      <c r="IP60" s="230"/>
      <c r="IQ60" s="230"/>
      <c r="IR60" s="230"/>
    </row>
    <row r="61" spans="1:252" s="233" customFormat="1">
      <c r="A61" s="224"/>
      <c r="B61" s="228" t="str">
        <f>Cashflow!E22</f>
        <v xml:space="preserve">Asset Finance principal repayment </v>
      </c>
      <c r="C61" s="225"/>
      <c r="D61" s="229">
        <f>Cashflow!J22</f>
        <v>0</v>
      </c>
      <c r="E61" s="229">
        <f ca="1">Cashflow!K22</f>
        <v>0</v>
      </c>
      <c r="F61" s="229">
        <f ca="1">Cashflow!L22</f>
        <v>0</v>
      </c>
      <c r="G61" s="229">
        <f ca="1">Cashflow!M22</f>
        <v>0</v>
      </c>
      <c r="H61" s="229">
        <f ca="1">Cashflow!N22</f>
        <v>0</v>
      </c>
      <c r="I61" s="229">
        <f ca="1">Cashflow!O22</f>
        <v>0</v>
      </c>
      <c r="J61" s="229">
        <f ca="1">Cashflow!P22</f>
        <v>0</v>
      </c>
      <c r="K61" s="229">
        <f ca="1">Cashflow!Q22</f>
        <v>0</v>
      </c>
      <c r="L61" s="229">
        <f ca="1">Cashflow!R22</f>
        <v>0</v>
      </c>
      <c r="M61" s="229">
        <f ca="1">Cashflow!S22</f>
        <v>0</v>
      </c>
      <c r="N61" s="229">
        <f ca="1">Cashflow!T22</f>
        <v>0</v>
      </c>
      <c r="O61" s="229">
        <f ca="1">Cashflow!U22</f>
        <v>0</v>
      </c>
      <c r="P61" s="229">
        <f ca="1">Cashflow!V22</f>
        <v>0</v>
      </c>
      <c r="Q61" s="229">
        <f ca="1">Cashflow!W22</f>
        <v>0</v>
      </c>
      <c r="R61" s="229">
        <f ca="1">Cashflow!X22</f>
        <v>0</v>
      </c>
      <c r="S61" s="229">
        <f ca="1">Cashflow!Y22</f>
        <v>0</v>
      </c>
      <c r="T61" s="229">
        <f ca="1">Cashflow!Z22</f>
        <v>0</v>
      </c>
      <c r="U61" s="229">
        <f ca="1">Cashflow!AA22</f>
        <v>0</v>
      </c>
      <c r="V61" s="229">
        <f ca="1">Cashflow!AB22</f>
        <v>0</v>
      </c>
      <c r="W61" s="229">
        <f ca="1">Cashflow!AC22</f>
        <v>0</v>
      </c>
      <c r="X61" s="229">
        <f ca="1">Cashflow!AD22</f>
        <v>0</v>
      </c>
      <c r="Y61" s="229">
        <f ca="1">Cashflow!AE22</f>
        <v>0</v>
      </c>
      <c r="Z61" s="229">
        <f ca="1">Cashflow!AF22</f>
        <v>0</v>
      </c>
      <c r="AA61" s="229">
        <f ca="1">Cashflow!AG22</f>
        <v>0</v>
      </c>
      <c r="AB61" s="229">
        <f ca="1">Cashflow!AH22</f>
        <v>0</v>
      </c>
      <c r="AC61" s="229">
        <f ca="1">Cashflow!AI22</f>
        <v>0</v>
      </c>
      <c r="AD61" s="229">
        <f ca="1">Cashflow!AJ22</f>
        <v>0</v>
      </c>
      <c r="AE61" s="229">
        <f ca="1">Cashflow!AK22</f>
        <v>0</v>
      </c>
      <c r="AF61" s="229">
        <f ca="1">Cashflow!AL22</f>
        <v>0</v>
      </c>
      <c r="AG61" s="229">
        <f ca="1">Cashflow!AM22</f>
        <v>0</v>
      </c>
      <c r="AH61" s="229">
        <f ca="1">Cashflow!AN22</f>
        <v>0</v>
      </c>
      <c r="AI61" s="229">
        <f ca="1">Cashflow!AO22</f>
        <v>0</v>
      </c>
      <c r="AJ61" s="229">
        <f ca="1">Cashflow!AP22</f>
        <v>0</v>
      </c>
      <c r="AK61" s="229">
        <f ca="1">Cashflow!AQ22</f>
        <v>0</v>
      </c>
      <c r="AL61" s="229">
        <f ca="1">Cashflow!AR22</f>
        <v>0</v>
      </c>
      <c r="AM61" s="229">
        <f ca="1">Cashflow!AS22</f>
        <v>0</v>
      </c>
      <c r="AN61" s="229">
        <f ca="1">Cashflow!AT22</f>
        <v>0</v>
      </c>
      <c r="AO61" s="229">
        <f ca="1">Cashflow!AU22</f>
        <v>0</v>
      </c>
      <c r="AP61" s="229">
        <f ca="1">Cashflow!AV22</f>
        <v>0</v>
      </c>
      <c r="AQ61" s="229">
        <f ca="1">Cashflow!AW22</f>
        <v>0</v>
      </c>
      <c r="AR61" s="229">
        <f ca="1">Cashflow!AX22</f>
        <v>0</v>
      </c>
      <c r="AS61" s="229">
        <f ca="1">Cashflow!AY22</f>
        <v>0</v>
      </c>
      <c r="AT61" s="229">
        <f ca="1">Cashflow!AZ22</f>
        <v>0</v>
      </c>
      <c r="AU61" s="229">
        <f ca="1">Cashflow!BA22</f>
        <v>0</v>
      </c>
      <c r="AV61" s="229">
        <f ca="1">Cashflow!BB22</f>
        <v>0</v>
      </c>
      <c r="AW61" s="229">
        <f ca="1">Cashflow!BC22</f>
        <v>0</v>
      </c>
      <c r="AX61" s="229">
        <f ca="1">Cashflow!BD22</f>
        <v>0</v>
      </c>
      <c r="AY61" s="229">
        <f ca="1">Cashflow!BE22</f>
        <v>0</v>
      </c>
      <c r="AZ61" s="229">
        <f ca="1">Cashflow!BF22</f>
        <v>0</v>
      </c>
      <c r="BA61" s="229">
        <f ca="1">Cashflow!BG22</f>
        <v>0</v>
      </c>
      <c r="BB61" s="229">
        <f ca="1">Cashflow!BH22</f>
        <v>0</v>
      </c>
      <c r="BC61" s="229">
        <f ca="1">Cashflow!BI22</f>
        <v>0</v>
      </c>
      <c r="BD61" s="229">
        <f ca="1">Cashflow!BJ22</f>
        <v>0</v>
      </c>
      <c r="BE61" s="229">
        <f ca="1">Cashflow!BK22</f>
        <v>0</v>
      </c>
      <c r="BF61" s="229">
        <f ca="1">Cashflow!BL22</f>
        <v>0</v>
      </c>
      <c r="BG61" s="229">
        <f ca="1">Cashflow!BM22</f>
        <v>0</v>
      </c>
      <c r="BH61" s="229">
        <f ca="1">Cashflow!BN22</f>
        <v>0</v>
      </c>
      <c r="BI61" s="229">
        <f ca="1">Cashflow!BO22</f>
        <v>0</v>
      </c>
      <c r="BJ61" s="229">
        <f ca="1">Cashflow!BP22</f>
        <v>0</v>
      </c>
      <c r="BK61" s="229">
        <f ca="1">Cashflow!BQ22</f>
        <v>0</v>
      </c>
      <c r="BL61" s="224"/>
      <c r="BM61" s="224"/>
      <c r="BN61" s="224"/>
      <c r="BO61" s="224"/>
      <c r="BP61" s="224"/>
      <c r="BQ61" s="224"/>
      <c r="BR61" s="224"/>
      <c r="BS61" s="224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4"/>
      <c r="CJ61" s="224"/>
      <c r="CK61" s="224"/>
      <c r="CL61" s="224"/>
      <c r="CM61" s="224"/>
      <c r="CN61" s="224"/>
      <c r="CO61" s="224"/>
      <c r="CP61" s="224"/>
      <c r="CQ61" s="224"/>
      <c r="CR61" s="224"/>
      <c r="CS61" s="224"/>
      <c r="CT61" s="224"/>
      <c r="CU61" s="224"/>
      <c r="CV61" s="224"/>
      <c r="CW61" s="224"/>
      <c r="CX61" s="224"/>
      <c r="CY61" s="224"/>
      <c r="CZ61" s="224"/>
      <c r="DA61" s="224"/>
      <c r="DB61" s="224"/>
      <c r="DC61" s="224"/>
      <c r="DD61" s="224"/>
      <c r="DE61" s="224"/>
      <c r="DF61" s="224"/>
      <c r="DG61" s="224"/>
      <c r="DH61" s="224"/>
      <c r="DI61" s="224"/>
      <c r="DJ61" s="224"/>
      <c r="DK61" s="224"/>
      <c r="DL61" s="224"/>
      <c r="DM61" s="224"/>
      <c r="DN61" s="224"/>
      <c r="DO61" s="224"/>
      <c r="DP61" s="224"/>
      <c r="DQ61" s="224"/>
      <c r="DR61" s="224"/>
      <c r="DS61" s="224"/>
      <c r="DT61" s="224"/>
      <c r="DU61" s="224"/>
      <c r="DV61" s="224"/>
      <c r="DW61" s="224"/>
      <c r="DX61" s="224"/>
      <c r="DY61" s="224"/>
      <c r="DZ61" s="224"/>
      <c r="EA61" s="224"/>
      <c r="EB61" s="224"/>
      <c r="EC61" s="224"/>
      <c r="ED61" s="224"/>
      <c r="EE61" s="224"/>
      <c r="EF61" s="224"/>
      <c r="EG61" s="224"/>
      <c r="EH61" s="224"/>
      <c r="EI61" s="224"/>
      <c r="EJ61" s="224"/>
      <c r="EK61" s="224"/>
      <c r="EL61" s="224"/>
      <c r="EM61" s="224"/>
      <c r="EN61" s="224"/>
      <c r="EO61" s="224"/>
      <c r="EP61" s="224"/>
      <c r="EQ61" s="224"/>
      <c r="ER61" s="224"/>
      <c r="ES61" s="224"/>
      <c r="ET61" s="224"/>
      <c r="EU61" s="224"/>
      <c r="EV61" s="224"/>
      <c r="EW61" s="224"/>
      <c r="EX61" s="224"/>
      <c r="EY61" s="224"/>
      <c r="EZ61" s="224"/>
      <c r="FA61" s="224"/>
      <c r="FB61" s="224"/>
      <c r="FC61" s="224"/>
      <c r="FD61" s="224"/>
      <c r="FE61" s="224"/>
      <c r="FF61" s="224"/>
      <c r="FG61" s="224"/>
      <c r="FH61" s="224"/>
      <c r="FI61" s="224"/>
      <c r="FJ61" s="224"/>
      <c r="FK61" s="224"/>
      <c r="FL61" s="224"/>
      <c r="FM61" s="224"/>
      <c r="FN61" s="224"/>
      <c r="FO61" s="224"/>
      <c r="FP61" s="224"/>
      <c r="FQ61" s="224"/>
      <c r="FR61" s="224"/>
      <c r="FS61" s="224"/>
      <c r="FT61" s="224"/>
      <c r="FU61" s="224"/>
      <c r="FV61" s="224"/>
      <c r="FW61" s="224"/>
      <c r="FX61" s="224"/>
      <c r="FY61" s="224"/>
      <c r="FZ61" s="224"/>
      <c r="GA61" s="224"/>
      <c r="GB61" s="224"/>
      <c r="GC61" s="224"/>
      <c r="GD61" s="224"/>
      <c r="GE61" s="224"/>
      <c r="GF61" s="224"/>
      <c r="GG61" s="224"/>
      <c r="GH61" s="224"/>
      <c r="GI61" s="224"/>
      <c r="GJ61" s="224"/>
      <c r="GK61" s="224"/>
      <c r="GL61" s="224"/>
      <c r="GM61" s="224"/>
      <c r="GN61" s="224"/>
      <c r="GO61" s="224"/>
      <c r="GP61" s="224"/>
      <c r="GQ61" s="224"/>
      <c r="GR61" s="224"/>
      <c r="GS61" s="224"/>
      <c r="GT61" s="224"/>
      <c r="GU61" s="224"/>
      <c r="GV61" s="224"/>
      <c r="GW61" s="224"/>
      <c r="GX61" s="224"/>
      <c r="GY61" s="224"/>
      <c r="GZ61" s="224"/>
      <c r="HA61" s="224"/>
      <c r="HB61" s="224"/>
      <c r="HC61" s="224"/>
      <c r="HD61" s="224"/>
      <c r="HE61" s="224"/>
      <c r="HF61" s="224"/>
      <c r="HG61" s="224"/>
      <c r="HH61" s="224"/>
      <c r="HI61" s="224"/>
      <c r="HJ61" s="224"/>
      <c r="HK61" s="224"/>
      <c r="HL61" s="224"/>
      <c r="HM61" s="224"/>
      <c r="HN61" s="224"/>
      <c r="HO61" s="224"/>
      <c r="HP61" s="224"/>
      <c r="HQ61" s="224"/>
      <c r="HR61" s="224"/>
      <c r="HS61" s="224"/>
      <c r="HT61" s="224"/>
      <c r="HU61" s="224"/>
      <c r="HV61" s="224"/>
      <c r="HW61" s="224"/>
      <c r="HX61" s="224"/>
      <c r="HY61" s="224"/>
      <c r="HZ61" s="224"/>
      <c r="IA61" s="224"/>
      <c r="IB61" s="224"/>
      <c r="IC61" s="224"/>
      <c r="ID61" s="224"/>
      <c r="IE61" s="224"/>
      <c r="IF61" s="224"/>
      <c r="IG61" s="224"/>
      <c r="IH61" s="224"/>
      <c r="II61" s="224"/>
      <c r="IJ61" s="224"/>
      <c r="IK61" s="224"/>
      <c r="IL61" s="224"/>
      <c r="IM61" s="224"/>
      <c r="IN61" s="224"/>
      <c r="IO61" s="224"/>
      <c r="IP61" s="224"/>
      <c r="IQ61" s="224"/>
      <c r="IR61" s="224"/>
    </row>
    <row r="62" spans="1:252">
      <c r="B62" s="228" t="str">
        <f>Cashflow!E23</f>
        <v xml:space="preserve">Supply Chain Finance interest paid </v>
      </c>
      <c r="C62" s="225"/>
      <c r="D62" s="229">
        <f>Cashflow!J23</f>
        <v>0</v>
      </c>
      <c r="E62" s="229">
        <f ca="1">Cashflow!K23</f>
        <v>0</v>
      </c>
      <c r="F62" s="229">
        <f ca="1">Cashflow!L23</f>
        <v>0</v>
      </c>
      <c r="G62" s="229">
        <f ca="1">Cashflow!M23</f>
        <v>0</v>
      </c>
      <c r="H62" s="229">
        <f ca="1">Cashflow!N23</f>
        <v>0</v>
      </c>
      <c r="I62" s="229">
        <f ca="1">Cashflow!O23</f>
        <v>0</v>
      </c>
      <c r="J62" s="229">
        <f ca="1">Cashflow!P23</f>
        <v>0</v>
      </c>
      <c r="K62" s="229">
        <f ca="1">Cashflow!Q23</f>
        <v>0</v>
      </c>
      <c r="L62" s="229">
        <f ca="1">Cashflow!R23</f>
        <v>0</v>
      </c>
      <c r="M62" s="229">
        <f ca="1">Cashflow!S23</f>
        <v>0</v>
      </c>
      <c r="N62" s="229">
        <f ca="1">Cashflow!T23</f>
        <v>0</v>
      </c>
      <c r="O62" s="229">
        <f ca="1">Cashflow!U23</f>
        <v>0</v>
      </c>
      <c r="P62" s="229">
        <f ca="1">Cashflow!V23</f>
        <v>0</v>
      </c>
      <c r="Q62" s="229">
        <f ca="1">Cashflow!W23</f>
        <v>0</v>
      </c>
      <c r="R62" s="229">
        <f ca="1">Cashflow!X23</f>
        <v>0</v>
      </c>
      <c r="S62" s="229">
        <f ca="1">Cashflow!Y23</f>
        <v>0</v>
      </c>
      <c r="T62" s="229">
        <f ca="1">Cashflow!Z23</f>
        <v>0</v>
      </c>
      <c r="U62" s="229">
        <f ca="1">Cashflow!AA23</f>
        <v>0</v>
      </c>
      <c r="V62" s="229">
        <f ca="1">Cashflow!AB23</f>
        <v>0</v>
      </c>
      <c r="W62" s="229">
        <f ca="1">Cashflow!AC23</f>
        <v>0</v>
      </c>
      <c r="X62" s="229">
        <f ca="1">Cashflow!AD23</f>
        <v>0</v>
      </c>
      <c r="Y62" s="229">
        <f ca="1">Cashflow!AE23</f>
        <v>0</v>
      </c>
      <c r="Z62" s="229">
        <f ca="1">Cashflow!AF23</f>
        <v>0</v>
      </c>
      <c r="AA62" s="229">
        <f ca="1">Cashflow!AG23</f>
        <v>0</v>
      </c>
      <c r="AB62" s="229">
        <f ca="1">Cashflow!AH23</f>
        <v>0</v>
      </c>
      <c r="AC62" s="229">
        <f ca="1">Cashflow!AI23</f>
        <v>0</v>
      </c>
      <c r="AD62" s="229">
        <f ca="1">Cashflow!AJ23</f>
        <v>0</v>
      </c>
      <c r="AE62" s="229">
        <f ca="1">Cashflow!AK23</f>
        <v>0</v>
      </c>
      <c r="AF62" s="229">
        <f ca="1">Cashflow!AL23</f>
        <v>0</v>
      </c>
      <c r="AG62" s="229">
        <f ca="1">Cashflow!AM23</f>
        <v>0</v>
      </c>
      <c r="AH62" s="229">
        <f ca="1">Cashflow!AN23</f>
        <v>0</v>
      </c>
      <c r="AI62" s="229">
        <f ca="1">Cashflow!AO23</f>
        <v>0</v>
      </c>
      <c r="AJ62" s="229">
        <f ca="1">Cashflow!AP23</f>
        <v>0</v>
      </c>
      <c r="AK62" s="229">
        <f ca="1">Cashflow!AQ23</f>
        <v>0</v>
      </c>
      <c r="AL62" s="229">
        <f ca="1">Cashflow!AR23</f>
        <v>0</v>
      </c>
      <c r="AM62" s="229">
        <f ca="1">Cashflow!AS23</f>
        <v>0</v>
      </c>
      <c r="AN62" s="229">
        <f ca="1">Cashflow!AT23</f>
        <v>0</v>
      </c>
      <c r="AO62" s="229">
        <f ca="1">Cashflow!AU23</f>
        <v>0</v>
      </c>
      <c r="AP62" s="229">
        <f ca="1">Cashflow!AV23</f>
        <v>0</v>
      </c>
      <c r="AQ62" s="229">
        <f ca="1">Cashflow!AW23</f>
        <v>0</v>
      </c>
      <c r="AR62" s="229">
        <f ca="1">Cashflow!AX23</f>
        <v>0</v>
      </c>
      <c r="AS62" s="229">
        <f ca="1">Cashflow!AY23</f>
        <v>0</v>
      </c>
      <c r="AT62" s="229">
        <f ca="1">Cashflow!AZ23</f>
        <v>0</v>
      </c>
      <c r="AU62" s="229">
        <f ca="1">Cashflow!BA23</f>
        <v>0</v>
      </c>
      <c r="AV62" s="229">
        <f ca="1">Cashflow!BB23</f>
        <v>0</v>
      </c>
      <c r="AW62" s="229">
        <f ca="1">Cashflow!BC23</f>
        <v>0</v>
      </c>
      <c r="AX62" s="229">
        <f ca="1">Cashflow!BD23</f>
        <v>0</v>
      </c>
      <c r="AY62" s="229">
        <f ca="1">Cashflow!BE23</f>
        <v>0</v>
      </c>
      <c r="AZ62" s="229">
        <f ca="1">Cashflow!BF23</f>
        <v>0</v>
      </c>
      <c r="BA62" s="229">
        <f ca="1">Cashflow!BG23</f>
        <v>0</v>
      </c>
      <c r="BB62" s="229">
        <f ca="1">Cashflow!BH23</f>
        <v>0</v>
      </c>
      <c r="BC62" s="229">
        <f ca="1">Cashflow!BI23</f>
        <v>0</v>
      </c>
      <c r="BD62" s="229">
        <f ca="1">Cashflow!BJ23</f>
        <v>0</v>
      </c>
      <c r="BE62" s="229">
        <f ca="1">Cashflow!BK23</f>
        <v>0</v>
      </c>
      <c r="BF62" s="229">
        <f ca="1">Cashflow!BL23</f>
        <v>0</v>
      </c>
      <c r="BG62" s="229">
        <f ca="1">Cashflow!BM23</f>
        <v>0</v>
      </c>
      <c r="BH62" s="229">
        <f ca="1">Cashflow!BN23</f>
        <v>0</v>
      </c>
      <c r="BI62" s="229">
        <f ca="1">Cashflow!BO23</f>
        <v>0</v>
      </c>
      <c r="BJ62" s="229">
        <f ca="1">Cashflow!BP23</f>
        <v>0</v>
      </c>
      <c r="BK62" s="229">
        <f ca="1">Cashflow!BQ23</f>
        <v>0</v>
      </c>
      <c r="BL62" s="235"/>
      <c r="BM62" s="235"/>
      <c r="BN62" s="235"/>
      <c r="BO62" s="235"/>
      <c r="BP62" s="235"/>
      <c r="BQ62" s="235"/>
      <c r="BR62" s="235"/>
      <c r="BS62" s="235"/>
      <c r="BT62" s="235"/>
      <c r="BU62" s="235"/>
      <c r="BV62" s="235"/>
      <c r="BW62" s="235"/>
      <c r="BX62" s="235"/>
      <c r="BY62" s="235"/>
      <c r="BZ62" s="235"/>
      <c r="CA62" s="235"/>
      <c r="CB62" s="235"/>
      <c r="CC62" s="235"/>
      <c r="CD62" s="235"/>
      <c r="CE62" s="235"/>
      <c r="CF62" s="235"/>
      <c r="CG62" s="235"/>
      <c r="CH62" s="235"/>
      <c r="CI62" s="235"/>
      <c r="CJ62" s="235"/>
      <c r="CK62" s="235"/>
      <c r="CL62" s="235"/>
      <c r="CM62" s="235"/>
      <c r="CN62" s="235"/>
      <c r="CO62" s="235"/>
      <c r="CP62" s="235"/>
      <c r="CQ62" s="235"/>
      <c r="CR62" s="235"/>
      <c r="CS62" s="235"/>
      <c r="CT62" s="235"/>
      <c r="CU62" s="235"/>
      <c r="CV62" s="235"/>
      <c r="CW62" s="235"/>
      <c r="CX62" s="235"/>
      <c r="CY62" s="235"/>
      <c r="CZ62" s="235"/>
      <c r="DA62" s="235"/>
      <c r="DB62" s="235"/>
      <c r="DC62" s="235"/>
      <c r="DD62" s="235"/>
      <c r="DE62" s="235"/>
      <c r="DF62" s="235"/>
      <c r="DG62" s="235"/>
      <c r="DH62" s="235"/>
      <c r="DI62" s="235"/>
      <c r="DJ62" s="235"/>
      <c r="DK62" s="235"/>
      <c r="DL62" s="235"/>
      <c r="DM62" s="235"/>
      <c r="DN62" s="235"/>
      <c r="DO62" s="235"/>
      <c r="DP62" s="235"/>
      <c r="DQ62" s="235"/>
      <c r="DR62" s="235"/>
      <c r="DS62" s="235"/>
      <c r="DT62" s="235"/>
      <c r="DU62" s="235"/>
      <c r="DV62" s="235"/>
      <c r="DW62" s="235"/>
      <c r="DX62" s="235"/>
      <c r="DY62" s="235"/>
      <c r="DZ62" s="235"/>
      <c r="EA62" s="235"/>
      <c r="EB62" s="235"/>
      <c r="EC62" s="235"/>
      <c r="ED62" s="235"/>
      <c r="EE62" s="235"/>
      <c r="EF62" s="235"/>
      <c r="EG62" s="235"/>
      <c r="EH62" s="235"/>
      <c r="EI62" s="235"/>
      <c r="EJ62" s="235"/>
      <c r="EK62" s="235"/>
      <c r="EL62" s="235"/>
      <c r="EM62" s="235"/>
      <c r="EN62" s="235"/>
      <c r="EO62" s="235"/>
      <c r="EP62" s="235"/>
      <c r="EQ62" s="235"/>
      <c r="ER62" s="235"/>
      <c r="ES62" s="235"/>
      <c r="ET62" s="235"/>
      <c r="EU62" s="235"/>
      <c r="EV62" s="235"/>
      <c r="EW62" s="235"/>
      <c r="EX62" s="235"/>
      <c r="EY62" s="235"/>
      <c r="EZ62" s="235"/>
      <c r="FA62" s="235"/>
      <c r="FB62" s="235"/>
      <c r="FC62" s="235"/>
      <c r="FD62" s="235"/>
      <c r="FE62" s="235"/>
      <c r="FF62" s="235"/>
      <c r="FG62" s="235"/>
      <c r="FH62" s="235"/>
      <c r="FI62" s="235"/>
      <c r="FJ62" s="235"/>
      <c r="FK62" s="235"/>
      <c r="FL62" s="235"/>
      <c r="FM62" s="235"/>
      <c r="FN62" s="235"/>
      <c r="FO62" s="235"/>
      <c r="FP62" s="235"/>
      <c r="FQ62" s="235"/>
      <c r="FR62" s="235"/>
      <c r="FS62" s="235"/>
      <c r="FT62" s="235"/>
      <c r="FU62" s="235"/>
      <c r="FV62" s="235"/>
      <c r="FW62" s="235"/>
      <c r="FX62" s="235"/>
      <c r="FY62" s="235"/>
      <c r="FZ62" s="235"/>
      <c r="GA62" s="235"/>
      <c r="GB62" s="235"/>
      <c r="GC62" s="235"/>
      <c r="GD62" s="235"/>
      <c r="GE62" s="235"/>
      <c r="GF62" s="235"/>
      <c r="GG62" s="235"/>
      <c r="GH62" s="235"/>
      <c r="GI62" s="235"/>
      <c r="GJ62" s="235"/>
      <c r="GK62" s="235"/>
      <c r="GL62" s="235"/>
      <c r="GM62" s="235"/>
      <c r="GN62" s="235"/>
      <c r="GO62" s="235"/>
      <c r="GP62" s="235"/>
      <c r="GQ62" s="235"/>
      <c r="GR62" s="235"/>
      <c r="GS62" s="235"/>
      <c r="GT62" s="235"/>
      <c r="GU62" s="235"/>
      <c r="GV62" s="235"/>
      <c r="GW62" s="235"/>
      <c r="GX62" s="235"/>
      <c r="GY62" s="235"/>
      <c r="GZ62" s="235"/>
      <c r="HA62" s="235"/>
      <c r="HB62" s="235"/>
      <c r="HC62" s="235"/>
      <c r="HD62" s="235"/>
      <c r="HE62" s="235"/>
      <c r="HF62" s="235"/>
      <c r="HG62" s="235"/>
      <c r="HH62" s="235"/>
      <c r="HI62" s="235"/>
      <c r="HJ62" s="235"/>
      <c r="HK62" s="235"/>
      <c r="HL62" s="235"/>
      <c r="HM62" s="235"/>
      <c r="HN62" s="235"/>
      <c r="HO62" s="235"/>
      <c r="HP62" s="235"/>
      <c r="HQ62" s="235"/>
      <c r="HR62" s="235"/>
      <c r="HS62" s="235"/>
      <c r="HT62" s="235"/>
      <c r="HU62" s="235"/>
      <c r="HV62" s="235"/>
      <c r="HW62" s="235"/>
      <c r="HX62" s="235"/>
      <c r="HY62" s="235"/>
      <c r="HZ62" s="235"/>
      <c r="IA62" s="235"/>
      <c r="IB62" s="235"/>
      <c r="IC62" s="235"/>
      <c r="ID62" s="235"/>
      <c r="IE62" s="235"/>
      <c r="IF62" s="235"/>
      <c r="IG62" s="235"/>
      <c r="IH62" s="235"/>
      <c r="II62" s="235"/>
      <c r="IJ62" s="235"/>
      <c r="IK62" s="235"/>
      <c r="IL62" s="235"/>
      <c r="IM62" s="235"/>
      <c r="IN62" s="235"/>
      <c r="IO62" s="235"/>
      <c r="IP62" s="235"/>
      <c r="IQ62" s="235"/>
      <c r="IR62" s="235"/>
    </row>
    <row r="63" spans="1:252">
      <c r="B63" s="228" t="str">
        <f>Cashflow!E24</f>
        <v xml:space="preserve">Invoice finance interest paid </v>
      </c>
      <c r="C63" s="225"/>
      <c r="D63" s="229">
        <f>Cashflow!J24</f>
        <v>0</v>
      </c>
      <c r="E63" s="229">
        <f ca="1">Cashflow!K24</f>
        <v>0</v>
      </c>
      <c r="F63" s="229">
        <f ca="1">Cashflow!L24</f>
        <v>0</v>
      </c>
      <c r="G63" s="229">
        <f ca="1">Cashflow!M24</f>
        <v>0</v>
      </c>
      <c r="H63" s="229">
        <f ca="1">Cashflow!N24</f>
        <v>0</v>
      </c>
      <c r="I63" s="229">
        <f ca="1">Cashflow!O24</f>
        <v>0</v>
      </c>
      <c r="J63" s="229">
        <f ca="1">Cashflow!P24</f>
        <v>0</v>
      </c>
      <c r="K63" s="229">
        <f ca="1">Cashflow!Q24</f>
        <v>0</v>
      </c>
      <c r="L63" s="229">
        <f ca="1">Cashflow!R24</f>
        <v>0</v>
      </c>
      <c r="M63" s="229">
        <f ca="1">Cashflow!S24</f>
        <v>0</v>
      </c>
      <c r="N63" s="229">
        <f ca="1">Cashflow!T24</f>
        <v>0</v>
      </c>
      <c r="O63" s="229">
        <f ca="1">Cashflow!U24</f>
        <v>0</v>
      </c>
      <c r="P63" s="229">
        <f ca="1">Cashflow!V24</f>
        <v>0</v>
      </c>
      <c r="Q63" s="229">
        <f ca="1">Cashflow!W24</f>
        <v>0</v>
      </c>
      <c r="R63" s="229">
        <f ca="1">Cashflow!X24</f>
        <v>0</v>
      </c>
      <c r="S63" s="229">
        <f ca="1">Cashflow!Y24</f>
        <v>0</v>
      </c>
      <c r="T63" s="229">
        <f ca="1">Cashflow!Z24</f>
        <v>0</v>
      </c>
      <c r="U63" s="229">
        <f ca="1">Cashflow!AA24</f>
        <v>0</v>
      </c>
      <c r="V63" s="229">
        <f ca="1">Cashflow!AB24</f>
        <v>0</v>
      </c>
      <c r="W63" s="229">
        <f ca="1">Cashflow!AC24</f>
        <v>0</v>
      </c>
      <c r="X63" s="229">
        <f ca="1">Cashflow!AD24</f>
        <v>0</v>
      </c>
      <c r="Y63" s="229">
        <f ca="1">Cashflow!AE24</f>
        <v>0</v>
      </c>
      <c r="Z63" s="229">
        <f ca="1">Cashflow!AF24</f>
        <v>0</v>
      </c>
      <c r="AA63" s="229">
        <f ca="1">Cashflow!AG24</f>
        <v>0</v>
      </c>
      <c r="AB63" s="229">
        <f ca="1">Cashflow!AH24</f>
        <v>0</v>
      </c>
      <c r="AC63" s="229">
        <f ca="1">Cashflow!AI24</f>
        <v>0</v>
      </c>
      <c r="AD63" s="229">
        <f ca="1">Cashflow!AJ24</f>
        <v>0</v>
      </c>
      <c r="AE63" s="229">
        <f ca="1">Cashflow!AK24</f>
        <v>0</v>
      </c>
      <c r="AF63" s="229">
        <f ca="1">Cashflow!AL24</f>
        <v>0</v>
      </c>
      <c r="AG63" s="229">
        <f ca="1">Cashflow!AM24</f>
        <v>0</v>
      </c>
      <c r="AH63" s="229">
        <f ca="1">Cashflow!AN24</f>
        <v>0</v>
      </c>
      <c r="AI63" s="229">
        <f ca="1">Cashflow!AO24</f>
        <v>0</v>
      </c>
      <c r="AJ63" s="229">
        <f ca="1">Cashflow!AP24</f>
        <v>0</v>
      </c>
      <c r="AK63" s="229">
        <f ca="1">Cashflow!AQ24</f>
        <v>0</v>
      </c>
      <c r="AL63" s="229">
        <f ca="1">Cashflow!AR24</f>
        <v>0</v>
      </c>
      <c r="AM63" s="229">
        <f ca="1">Cashflow!AS24</f>
        <v>0</v>
      </c>
      <c r="AN63" s="229">
        <f ca="1">Cashflow!AT24</f>
        <v>0</v>
      </c>
      <c r="AO63" s="229">
        <f ca="1">Cashflow!AU24</f>
        <v>0</v>
      </c>
      <c r="AP63" s="229">
        <f ca="1">Cashflow!AV24</f>
        <v>0</v>
      </c>
      <c r="AQ63" s="229">
        <f ca="1">Cashflow!AW24</f>
        <v>0</v>
      </c>
      <c r="AR63" s="229">
        <f ca="1">Cashflow!AX24</f>
        <v>0</v>
      </c>
      <c r="AS63" s="229">
        <f ca="1">Cashflow!AY24</f>
        <v>0</v>
      </c>
      <c r="AT63" s="229">
        <f ca="1">Cashflow!AZ24</f>
        <v>0</v>
      </c>
      <c r="AU63" s="229">
        <f ca="1">Cashflow!BA24</f>
        <v>0</v>
      </c>
      <c r="AV63" s="229">
        <f ca="1">Cashflow!BB24</f>
        <v>0</v>
      </c>
      <c r="AW63" s="229">
        <f ca="1">Cashflow!BC24</f>
        <v>0</v>
      </c>
      <c r="AX63" s="229">
        <f ca="1">Cashflow!BD24</f>
        <v>0</v>
      </c>
      <c r="AY63" s="229">
        <f ca="1">Cashflow!BE24</f>
        <v>0</v>
      </c>
      <c r="AZ63" s="229">
        <f ca="1">Cashflow!BF24</f>
        <v>0</v>
      </c>
      <c r="BA63" s="229">
        <f ca="1">Cashflow!BG24</f>
        <v>0</v>
      </c>
      <c r="BB63" s="229">
        <f ca="1">Cashflow!BH24</f>
        <v>0</v>
      </c>
      <c r="BC63" s="229">
        <f ca="1">Cashflow!BI24</f>
        <v>0</v>
      </c>
      <c r="BD63" s="229">
        <f ca="1">Cashflow!BJ24</f>
        <v>0</v>
      </c>
      <c r="BE63" s="229">
        <f ca="1">Cashflow!BK24</f>
        <v>0</v>
      </c>
      <c r="BF63" s="229">
        <f ca="1">Cashflow!BL24</f>
        <v>0</v>
      </c>
      <c r="BG63" s="229">
        <f ca="1">Cashflow!BM24</f>
        <v>0</v>
      </c>
      <c r="BH63" s="229">
        <f ca="1">Cashflow!BN24</f>
        <v>0</v>
      </c>
      <c r="BI63" s="229">
        <f ca="1">Cashflow!BO24</f>
        <v>0</v>
      </c>
      <c r="BJ63" s="229">
        <f ca="1">Cashflow!BP24</f>
        <v>0</v>
      </c>
      <c r="BK63" s="229">
        <f ca="1">Cashflow!BQ24</f>
        <v>0</v>
      </c>
      <c r="BL63" s="235"/>
      <c r="BM63" s="235"/>
      <c r="BN63" s="235"/>
      <c r="BO63" s="235"/>
      <c r="BP63" s="235"/>
      <c r="BQ63" s="235"/>
      <c r="BR63" s="235"/>
      <c r="BS63" s="230"/>
      <c r="BT63" s="230"/>
      <c r="BU63" s="230"/>
      <c r="BV63" s="230"/>
      <c r="BW63" s="230"/>
      <c r="BX63" s="230"/>
      <c r="BY63" s="230"/>
      <c r="BZ63" s="230"/>
      <c r="CA63" s="230"/>
      <c r="CB63" s="230"/>
      <c r="CC63" s="230"/>
      <c r="CD63" s="230"/>
      <c r="CE63" s="230"/>
      <c r="CF63" s="230"/>
      <c r="CG63" s="230"/>
      <c r="CH63" s="230"/>
      <c r="CI63" s="230"/>
      <c r="CJ63" s="230"/>
      <c r="CK63" s="230"/>
      <c r="CL63" s="230"/>
      <c r="CM63" s="230"/>
      <c r="CN63" s="230"/>
      <c r="CO63" s="230"/>
      <c r="CP63" s="230"/>
      <c r="CQ63" s="230"/>
      <c r="CR63" s="230"/>
      <c r="CS63" s="230"/>
      <c r="CT63" s="230"/>
      <c r="CU63" s="230"/>
      <c r="CV63" s="230"/>
      <c r="CW63" s="230"/>
      <c r="CX63" s="230"/>
      <c r="CY63" s="230"/>
      <c r="CZ63" s="230"/>
      <c r="DA63" s="230"/>
      <c r="DB63" s="230"/>
      <c r="DC63" s="230"/>
      <c r="DD63" s="230"/>
      <c r="DE63" s="230"/>
      <c r="DF63" s="230"/>
      <c r="DG63" s="230"/>
      <c r="DH63" s="230"/>
      <c r="DI63" s="230"/>
      <c r="DJ63" s="230"/>
      <c r="DK63" s="230"/>
      <c r="DL63" s="230"/>
      <c r="DM63" s="230"/>
      <c r="DN63" s="230"/>
      <c r="DO63" s="230"/>
      <c r="DP63" s="230"/>
      <c r="DQ63" s="230"/>
      <c r="DR63" s="230"/>
      <c r="DS63" s="230"/>
      <c r="DT63" s="230"/>
      <c r="DU63" s="230"/>
      <c r="DV63" s="230"/>
      <c r="DW63" s="230"/>
      <c r="DX63" s="230"/>
      <c r="DY63" s="230"/>
      <c r="DZ63" s="230"/>
      <c r="EA63" s="230"/>
      <c r="EB63" s="230"/>
      <c r="EC63" s="230"/>
      <c r="ED63" s="230"/>
      <c r="EE63" s="230"/>
      <c r="EF63" s="230"/>
      <c r="EG63" s="230"/>
      <c r="EH63" s="230"/>
      <c r="EI63" s="230"/>
      <c r="EJ63" s="230"/>
      <c r="EK63" s="230"/>
      <c r="EL63" s="230"/>
      <c r="EM63" s="230"/>
      <c r="EN63" s="230"/>
      <c r="EO63" s="230"/>
      <c r="EP63" s="230"/>
      <c r="EQ63" s="230"/>
      <c r="ER63" s="230"/>
      <c r="ES63" s="230"/>
      <c r="ET63" s="230"/>
      <c r="EU63" s="230"/>
      <c r="EV63" s="230"/>
      <c r="EW63" s="230"/>
      <c r="EX63" s="230"/>
      <c r="EY63" s="230"/>
      <c r="EZ63" s="230"/>
      <c r="FA63" s="230"/>
      <c r="FB63" s="230"/>
      <c r="FC63" s="230"/>
      <c r="FD63" s="230"/>
      <c r="FE63" s="230"/>
      <c r="FF63" s="230"/>
      <c r="FG63" s="230"/>
      <c r="FH63" s="230"/>
      <c r="FI63" s="230"/>
      <c r="FJ63" s="230"/>
      <c r="FK63" s="230"/>
      <c r="FL63" s="230"/>
      <c r="FM63" s="230"/>
      <c r="FN63" s="230"/>
      <c r="FO63" s="230"/>
      <c r="FP63" s="230"/>
      <c r="FQ63" s="230"/>
      <c r="FR63" s="230"/>
      <c r="FS63" s="230"/>
      <c r="FT63" s="230"/>
      <c r="FU63" s="230"/>
      <c r="FV63" s="230"/>
      <c r="FW63" s="230"/>
      <c r="FX63" s="230"/>
      <c r="FY63" s="230"/>
      <c r="FZ63" s="230"/>
      <c r="GA63" s="230"/>
      <c r="GB63" s="230"/>
      <c r="GC63" s="230"/>
      <c r="GD63" s="230"/>
      <c r="GE63" s="230"/>
      <c r="GF63" s="230"/>
      <c r="GG63" s="230"/>
      <c r="GH63" s="230"/>
      <c r="GI63" s="230"/>
      <c r="GJ63" s="230"/>
      <c r="GK63" s="230"/>
      <c r="GL63" s="230"/>
      <c r="GM63" s="230"/>
      <c r="GN63" s="230"/>
      <c r="GO63" s="230"/>
      <c r="GP63" s="230"/>
      <c r="GQ63" s="230"/>
      <c r="GR63" s="230"/>
      <c r="GS63" s="230"/>
      <c r="GT63" s="230"/>
      <c r="GU63" s="230"/>
      <c r="GV63" s="230"/>
      <c r="GW63" s="230"/>
      <c r="GX63" s="230"/>
      <c r="GY63" s="230"/>
      <c r="GZ63" s="230"/>
      <c r="HA63" s="230"/>
      <c r="HB63" s="230"/>
      <c r="HC63" s="230"/>
      <c r="HD63" s="230"/>
      <c r="HE63" s="230"/>
      <c r="HF63" s="230"/>
      <c r="HG63" s="230"/>
      <c r="HH63" s="230"/>
      <c r="HI63" s="230"/>
      <c r="HJ63" s="230"/>
      <c r="HK63" s="230"/>
      <c r="HL63" s="230"/>
      <c r="HM63" s="230"/>
      <c r="HN63" s="230"/>
      <c r="HO63" s="230"/>
      <c r="HP63" s="230"/>
      <c r="HQ63" s="230"/>
      <c r="HR63" s="230"/>
      <c r="HS63" s="230"/>
      <c r="HT63" s="230"/>
      <c r="HU63" s="230"/>
      <c r="HV63" s="230"/>
      <c r="HW63" s="230"/>
      <c r="HX63" s="230"/>
      <c r="HY63" s="230"/>
      <c r="HZ63" s="230"/>
      <c r="IA63" s="230"/>
      <c r="IB63" s="230"/>
      <c r="IC63" s="230"/>
      <c r="ID63" s="230"/>
      <c r="IE63" s="230"/>
      <c r="IF63" s="230"/>
      <c r="IG63" s="230"/>
      <c r="IH63" s="230"/>
      <c r="II63" s="230"/>
      <c r="IJ63" s="230"/>
      <c r="IK63" s="230"/>
      <c r="IL63" s="230"/>
      <c r="IM63" s="230"/>
      <c r="IN63" s="230"/>
      <c r="IO63" s="230"/>
      <c r="IP63" s="230"/>
      <c r="IQ63" s="230"/>
      <c r="IR63" s="230"/>
    </row>
    <row r="64" spans="1:252">
      <c r="A64" s="225"/>
      <c r="B64" s="228" t="str">
        <f>Cashflow!E25</f>
        <v xml:space="preserve">Asset Finance interest paid </v>
      </c>
      <c r="C64" s="225"/>
      <c r="D64" s="229">
        <f>Cashflow!J25</f>
        <v>0</v>
      </c>
      <c r="E64" s="229">
        <f ca="1">Cashflow!K25</f>
        <v>0</v>
      </c>
      <c r="F64" s="229">
        <f ca="1">Cashflow!L25</f>
        <v>0</v>
      </c>
      <c r="G64" s="229">
        <f ca="1">Cashflow!M25</f>
        <v>0</v>
      </c>
      <c r="H64" s="229">
        <f ca="1">Cashflow!N25</f>
        <v>0</v>
      </c>
      <c r="I64" s="229">
        <f ca="1">Cashflow!O25</f>
        <v>0</v>
      </c>
      <c r="J64" s="229">
        <f ca="1">Cashflow!P25</f>
        <v>0</v>
      </c>
      <c r="K64" s="229">
        <f ca="1">Cashflow!Q25</f>
        <v>0</v>
      </c>
      <c r="L64" s="229">
        <f ca="1">Cashflow!R25</f>
        <v>0</v>
      </c>
      <c r="M64" s="229">
        <f ca="1">Cashflow!S25</f>
        <v>0</v>
      </c>
      <c r="N64" s="229">
        <f ca="1">Cashflow!T25</f>
        <v>0</v>
      </c>
      <c r="O64" s="229">
        <f ca="1">Cashflow!U25</f>
        <v>0</v>
      </c>
      <c r="P64" s="229">
        <f ca="1">Cashflow!V25</f>
        <v>0</v>
      </c>
      <c r="Q64" s="229">
        <f ca="1">Cashflow!W25</f>
        <v>0</v>
      </c>
      <c r="R64" s="229">
        <f ca="1">Cashflow!X25</f>
        <v>0</v>
      </c>
      <c r="S64" s="229">
        <f ca="1">Cashflow!Y25</f>
        <v>0</v>
      </c>
      <c r="T64" s="229">
        <f ca="1">Cashflow!Z25</f>
        <v>0</v>
      </c>
      <c r="U64" s="229">
        <f ca="1">Cashflow!AA25</f>
        <v>0</v>
      </c>
      <c r="V64" s="229">
        <f ca="1">Cashflow!AB25</f>
        <v>0</v>
      </c>
      <c r="W64" s="229">
        <f ca="1">Cashflow!AC25</f>
        <v>0</v>
      </c>
      <c r="X64" s="229">
        <f ca="1">Cashflow!AD25</f>
        <v>0</v>
      </c>
      <c r="Y64" s="229">
        <f ca="1">Cashflow!AE25</f>
        <v>0</v>
      </c>
      <c r="Z64" s="229">
        <f ca="1">Cashflow!AF25</f>
        <v>0</v>
      </c>
      <c r="AA64" s="229">
        <f ca="1">Cashflow!AG25</f>
        <v>0</v>
      </c>
      <c r="AB64" s="229">
        <f ca="1">Cashflow!AH25</f>
        <v>0</v>
      </c>
      <c r="AC64" s="229">
        <f ca="1">Cashflow!AI25</f>
        <v>0</v>
      </c>
      <c r="AD64" s="229">
        <f ca="1">Cashflow!AJ25</f>
        <v>0</v>
      </c>
      <c r="AE64" s="229">
        <f ca="1">Cashflow!AK25</f>
        <v>0</v>
      </c>
      <c r="AF64" s="229">
        <f ca="1">Cashflow!AL25</f>
        <v>0</v>
      </c>
      <c r="AG64" s="229">
        <f ca="1">Cashflow!AM25</f>
        <v>0</v>
      </c>
      <c r="AH64" s="229">
        <f ca="1">Cashflow!AN25</f>
        <v>0</v>
      </c>
      <c r="AI64" s="229">
        <f ca="1">Cashflow!AO25</f>
        <v>0</v>
      </c>
      <c r="AJ64" s="229">
        <f ca="1">Cashflow!AP25</f>
        <v>0</v>
      </c>
      <c r="AK64" s="229">
        <f ca="1">Cashflow!AQ25</f>
        <v>0</v>
      </c>
      <c r="AL64" s="229">
        <f ca="1">Cashflow!AR25</f>
        <v>0</v>
      </c>
      <c r="AM64" s="229">
        <f ca="1">Cashflow!AS25</f>
        <v>0</v>
      </c>
      <c r="AN64" s="229">
        <f ca="1">Cashflow!AT25</f>
        <v>0</v>
      </c>
      <c r="AO64" s="229">
        <f ca="1">Cashflow!AU25</f>
        <v>0</v>
      </c>
      <c r="AP64" s="229">
        <f ca="1">Cashflow!AV25</f>
        <v>0</v>
      </c>
      <c r="AQ64" s="229">
        <f ca="1">Cashflow!AW25</f>
        <v>0</v>
      </c>
      <c r="AR64" s="229">
        <f ca="1">Cashflow!AX25</f>
        <v>0</v>
      </c>
      <c r="AS64" s="229">
        <f ca="1">Cashflow!AY25</f>
        <v>0</v>
      </c>
      <c r="AT64" s="229">
        <f ca="1">Cashflow!AZ25</f>
        <v>0</v>
      </c>
      <c r="AU64" s="229">
        <f ca="1">Cashflow!BA25</f>
        <v>0</v>
      </c>
      <c r="AV64" s="229">
        <f ca="1">Cashflow!BB25</f>
        <v>0</v>
      </c>
      <c r="AW64" s="229">
        <f ca="1">Cashflow!BC25</f>
        <v>0</v>
      </c>
      <c r="AX64" s="229">
        <f ca="1">Cashflow!BD25</f>
        <v>0</v>
      </c>
      <c r="AY64" s="229">
        <f ca="1">Cashflow!BE25</f>
        <v>0</v>
      </c>
      <c r="AZ64" s="229">
        <f ca="1">Cashflow!BF25</f>
        <v>0</v>
      </c>
      <c r="BA64" s="229">
        <f ca="1">Cashflow!BG25</f>
        <v>0</v>
      </c>
      <c r="BB64" s="229">
        <f ca="1">Cashflow!BH25</f>
        <v>0</v>
      </c>
      <c r="BC64" s="229">
        <f ca="1">Cashflow!BI25</f>
        <v>0</v>
      </c>
      <c r="BD64" s="229">
        <f ca="1">Cashflow!BJ25</f>
        <v>0</v>
      </c>
      <c r="BE64" s="229">
        <f ca="1">Cashflow!BK25</f>
        <v>0</v>
      </c>
      <c r="BF64" s="229">
        <f ca="1">Cashflow!BL25</f>
        <v>0</v>
      </c>
      <c r="BG64" s="229">
        <f ca="1">Cashflow!BM25</f>
        <v>0</v>
      </c>
      <c r="BH64" s="229">
        <f ca="1">Cashflow!BN25</f>
        <v>0</v>
      </c>
      <c r="BI64" s="229">
        <f ca="1">Cashflow!BO25</f>
        <v>0</v>
      </c>
      <c r="BJ64" s="229">
        <f ca="1">Cashflow!BP25</f>
        <v>0</v>
      </c>
      <c r="BK64" s="229">
        <f ca="1">Cashflow!BQ25</f>
        <v>0</v>
      </c>
      <c r="BL64" s="225"/>
    </row>
    <row r="65" spans="2:63">
      <c r="B65" s="230" t="str">
        <f>Cashflow!E26</f>
        <v>CF after financing</v>
      </c>
      <c r="C65" s="231"/>
      <c r="D65" s="232">
        <f ca="1">Cashflow!J26</f>
        <v>-103100</v>
      </c>
      <c r="E65" s="232">
        <f ca="1">Cashflow!K26</f>
        <v>-52000.723605699852</v>
      </c>
      <c r="F65" s="232">
        <f ca="1">Cashflow!L26</f>
        <v>-9109.7427378151842</v>
      </c>
      <c r="G65" s="232">
        <f ca="1">Cashflow!M26</f>
        <v>-55678.480578978881</v>
      </c>
      <c r="H65" s="232">
        <f ca="1">Cashflow!N26</f>
        <v>-57346.605234178351</v>
      </c>
      <c r="I65" s="232">
        <f ca="1">Cashflow!O26</f>
        <v>-43924.242258755097</v>
      </c>
      <c r="J65" s="232">
        <f ca="1">Cashflow!P26</f>
        <v>-261115.06596955971</v>
      </c>
      <c r="K65" s="232">
        <f ca="1">Cashflow!Q26</f>
        <v>-63535.713912837666</v>
      </c>
      <c r="L65" s="232">
        <f ca="1">Cashflow!R26</f>
        <v>-366393.76030669909</v>
      </c>
      <c r="M65" s="232">
        <f ca="1">Cashflow!S26</f>
        <v>2046436.2610465558</v>
      </c>
      <c r="N65" s="232">
        <f ca="1">Cashflow!T26</f>
        <v>307636.34308814694</v>
      </c>
      <c r="O65" s="232">
        <f ca="1">Cashflow!U26</f>
        <v>-95430.820703580452</v>
      </c>
      <c r="P65" s="232">
        <f ca="1">Cashflow!V26</f>
        <v>-275950</v>
      </c>
      <c r="Q65" s="232">
        <f ca="1">Cashflow!W26</f>
        <v>-79293.983443983379</v>
      </c>
      <c r="R65" s="232">
        <f ca="1">Cashflow!X26</f>
        <v>-397927.4276232589</v>
      </c>
      <c r="S65" s="232">
        <f ca="1">Cashflow!Y26</f>
        <v>1970474.8729276215</v>
      </c>
      <c r="T65" s="232">
        <f ca="1">Cashflow!Z26</f>
        <v>148664.76730930342</v>
      </c>
      <c r="U65" s="232">
        <f ca="1">Cashflow!AA26</f>
        <v>-82806.335069057794</v>
      </c>
      <c r="V65" s="232">
        <f ca="1">Cashflow!AB26</f>
        <v>-244294.81271573345</v>
      </c>
      <c r="W65" s="232">
        <f ca="1">Cashflow!AC26</f>
        <v>-101132.50695998287</v>
      </c>
      <c r="X65" s="232">
        <f ca="1">Cashflow!AD26</f>
        <v>-903899.22717864288</v>
      </c>
      <c r="Y65" s="232">
        <f ca="1">Cashflow!AE26</f>
        <v>4524400.0613303473</v>
      </c>
      <c r="Z65" s="232">
        <f ca="1">Cashflow!AF26</f>
        <v>116483.08114527797</v>
      </c>
      <c r="AA65" s="232">
        <f ca="1">Cashflow!AG26</f>
        <v>-148136.69332328337</v>
      </c>
      <c r="AB65" s="232">
        <f ca="1">Cashflow!AH26</f>
        <v>-146526.34912459942</v>
      </c>
      <c r="AC65" s="232">
        <f ca="1">Cashflow!AI26</f>
        <v>2314111.8278989592</v>
      </c>
      <c r="AD65" s="232">
        <f ca="1">Cashflow!AJ26</f>
        <v>-1074838.8959910942</v>
      </c>
      <c r="AE65" s="232">
        <f ca="1">Cashflow!AK26</f>
        <v>1555438.1515784648</v>
      </c>
      <c r="AF65" s="232">
        <f ca="1">Cashflow!AL26</f>
        <v>595499.92182510882</v>
      </c>
      <c r="AG65" s="232">
        <f ca="1">Cashflow!AM26</f>
        <v>2082586.7736922931</v>
      </c>
      <c r="AH65" s="232">
        <f ca="1">Cashflow!AN26</f>
        <v>404727.78683680389</v>
      </c>
      <c r="AI65" s="232">
        <f ca="1">Cashflow!AO26</f>
        <v>232216.8624704676</v>
      </c>
      <c r="AJ65" s="232">
        <f ca="1">Cashflow!AP26</f>
        <v>1889380.9380024928</v>
      </c>
      <c r="AK65" s="232">
        <f ca="1">Cashflow!AQ26</f>
        <v>2955262.9278245741</v>
      </c>
      <c r="AL65" s="232">
        <f ca="1">Cashflow!AR26</f>
        <v>2892216.6399554592</v>
      </c>
      <c r="AM65" s="232">
        <f ca="1">Cashflow!AS26</f>
        <v>-224576.66460659611</v>
      </c>
      <c r="AN65" s="232">
        <f ca="1">Cashflow!AT26</f>
        <v>535680.4984985193</v>
      </c>
      <c r="AO65" s="232">
        <f ca="1">Cashflow!AU26</f>
        <v>5514190.5338119892</v>
      </c>
      <c r="AP65" s="232">
        <f ca="1">Cashflow!AV26</f>
        <v>-649689.73014612717</v>
      </c>
      <c r="AQ65" s="232">
        <f ca="1">Cashflow!AW26</f>
        <v>-1741687.6277668041</v>
      </c>
      <c r="AR65" s="232">
        <f ca="1">Cashflow!AX26</f>
        <v>3801066.9978289194</v>
      </c>
      <c r="AS65" s="232">
        <f ca="1">Cashflow!AY26</f>
        <v>1721796.8194139488</v>
      </c>
      <c r="AT65" s="232">
        <f ca="1">Cashflow!AZ26</f>
        <v>3762437.9684259538</v>
      </c>
      <c r="AU65" s="232">
        <f ca="1">Cashflow!BA26</f>
        <v>1479761.44456118</v>
      </c>
      <c r="AV65" s="232">
        <f ca="1">Cashflow!BB26</f>
        <v>4393914.5884607965</v>
      </c>
      <c r="AW65" s="232">
        <f ca="1">Cashflow!BC26</f>
        <v>4043665.4189018747</v>
      </c>
      <c r="AX65" s="232">
        <f ca="1">Cashflow!BD26</f>
        <v>4295422.9455408389</v>
      </c>
      <c r="AY65" s="232">
        <f ca="1">Cashflow!BE26</f>
        <v>2016455.2027475424</v>
      </c>
      <c r="AZ65" s="232">
        <f ca="1">Cashflow!BF26</f>
        <v>4382381.2518213661</v>
      </c>
      <c r="BA65" s="232">
        <f ca="1">Cashflow!BG26</f>
        <v>4494668.8529518163</v>
      </c>
      <c r="BB65" s="232">
        <f ca="1">Cashflow!BH26</f>
        <v>2104038.5268702526</v>
      </c>
      <c r="BC65" s="232">
        <f ca="1">Cashflow!BI26</f>
        <v>-737280.47594620381</v>
      </c>
      <c r="BD65" s="232">
        <f ca="1">Cashflow!BJ26</f>
        <v>7917845.4853797201</v>
      </c>
      <c r="BE65" s="232">
        <f ca="1">Cashflow!BK26</f>
        <v>1787099.4800834223</v>
      </c>
      <c r="BF65" s="232">
        <f ca="1">Cashflow!BL26</f>
        <v>8299461.5748502538</v>
      </c>
      <c r="BG65" s="232">
        <f ca="1">Cashflow!BM26</f>
        <v>5992842.3918381222</v>
      </c>
      <c r="BH65" s="232">
        <f ca="1">Cashflow!BN26</f>
        <v>4591338.8575424813</v>
      </c>
      <c r="BI65" s="232">
        <f ca="1">Cashflow!BO26</f>
        <v>8966803.6339209136</v>
      </c>
      <c r="BJ65" s="232">
        <f ca="1">Cashflow!BP26</f>
        <v>6692824.5702003958</v>
      </c>
      <c r="BK65" s="232">
        <f ca="1">Cashflow!BQ26</f>
        <v>4934081.4828420617</v>
      </c>
    </row>
    <row r="66" spans="2:63">
      <c r="C66" s="225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  <c r="AA66" s="229"/>
      <c r="AB66" s="229"/>
      <c r="AC66" s="229"/>
      <c r="AD66" s="229"/>
      <c r="AE66" s="229"/>
      <c r="AF66" s="229"/>
      <c r="AG66" s="229"/>
      <c r="AH66" s="229"/>
      <c r="AI66" s="229"/>
      <c r="AJ66" s="229"/>
      <c r="AK66" s="229"/>
      <c r="AL66" s="229"/>
      <c r="AM66" s="229"/>
      <c r="AN66" s="229"/>
      <c r="AO66" s="229"/>
      <c r="AP66" s="229"/>
      <c r="AQ66" s="229"/>
      <c r="AR66" s="229"/>
      <c r="AS66" s="229"/>
      <c r="AT66" s="229"/>
      <c r="AU66" s="229"/>
      <c r="AV66" s="229"/>
      <c r="AW66" s="229"/>
      <c r="AX66" s="229"/>
      <c r="AY66" s="229"/>
      <c r="AZ66" s="229"/>
      <c r="BA66" s="229"/>
      <c r="BB66" s="229"/>
      <c r="BC66" s="229"/>
      <c r="BD66" s="229"/>
      <c r="BE66" s="229"/>
      <c r="BF66" s="229"/>
      <c r="BG66" s="229"/>
      <c r="BH66" s="229"/>
      <c r="BI66" s="229"/>
      <c r="BJ66" s="229"/>
      <c r="BK66" s="229"/>
    </row>
    <row r="67" spans="2:63">
      <c r="B67" s="228" t="str">
        <f>Cashflow!E28</f>
        <v>New share capital issued</v>
      </c>
      <c r="C67" s="225"/>
      <c r="D67" s="229">
        <f>Cashflow!J28</f>
        <v>0</v>
      </c>
      <c r="E67" s="229">
        <f>Cashflow!K28</f>
        <v>0</v>
      </c>
      <c r="F67" s="229">
        <f>Cashflow!L28</f>
        <v>0</v>
      </c>
      <c r="G67" s="229">
        <f>Cashflow!M28</f>
        <v>0</v>
      </c>
      <c r="H67" s="229">
        <f>Cashflow!N28</f>
        <v>0</v>
      </c>
      <c r="I67" s="229">
        <f>Cashflow!O28</f>
        <v>0</v>
      </c>
      <c r="J67" s="229">
        <f>Cashflow!P28</f>
        <v>0</v>
      </c>
      <c r="K67" s="229">
        <f>Cashflow!Q28</f>
        <v>0</v>
      </c>
      <c r="L67" s="229">
        <f>Cashflow!R28</f>
        <v>0</v>
      </c>
      <c r="M67" s="229">
        <f>Cashflow!S28</f>
        <v>0</v>
      </c>
      <c r="N67" s="229">
        <f>Cashflow!T28</f>
        <v>0</v>
      </c>
      <c r="O67" s="229">
        <f>Cashflow!U28</f>
        <v>0</v>
      </c>
      <c r="P67" s="229">
        <f>Cashflow!V28</f>
        <v>0</v>
      </c>
      <c r="Q67" s="229">
        <f>Cashflow!W28</f>
        <v>0</v>
      </c>
      <c r="R67" s="229">
        <f>Cashflow!X28</f>
        <v>0</v>
      </c>
      <c r="S67" s="229">
        <f>Cashflow!Y28</f>
        <v>0</v>
      </c>
      <c r="T67" s="229">
        <f>Cashflow!Z28</f>
        <v>0</v>
      </c>
      <c r="U67" s="229">
        <f>Cashflow!AA28</f>
        <v>0</v>
      </c>
      <c r="V67" s="229">
        <f>Cashflow!AB28</f>
        <v>0</v>
      </c>
      <c r="W67" s="229">
        <f>Cashflow!AC28</f>
        <v>0</v>
      </c>
      <c r="X67" s="229">
        <f>Cashflow!AD28</f>
        <v>0</v>
      </c>
      <c r="Y67" s="229">
        <f>Cashflow!AE28</f>
        <v>0</v>
      </c>
      <c r="Z67" s="229">
        <f>Cashflow!AF28</f>
        <v>0</v>
      </c>
      <c r="AA67" s="229">
        <f>Cashflow!AG28</f>
        <v>0</v>
      </c>
      <c r="AB67" s="229">
        <f>Cashflow!AH28</f>
        <v>0</v>
      </c>
      <c r="AC67" s="229">
        <f>Cashflow!AI28</f>
        <v>0</v>
      </c>
      <c r="AD67" s="229">
        <f>Cashflow!AJ28</f>
        <v>0</v>
      </c>
      <c r="AE67" s="229">
        <f>Cashflow!AK28</f>
        <v>0</v>
      </c>
      <c r="AF67" s="229">
        <f>Cashflow!AL28</f>
        <v>0</v>
      </c>
      <c r="AG67" s="229">
        <f>Cashflow!AM28</f>
        <v>0</v>
      </c>
      <c r="AH67" s="229">
        <f>Cashflow!AN28</f>
        <v>0</v>
      </c>
      <c r="AI67" s="229">
        <f>Cashflow!AO28</f>
        <v>0</v>
      </c>
      <c r="AJ67" s="229">
        <f>Cashflow!AP28</f>
        <v>0</v>
      </c>
      <c r="AK67" s="229">
        <f>Cashflow!AQ28</f>
        <v>0</v>
      </c>
      <c r="AL67" s="229">
        <f>Cashflow!AR28</f>
        <v>0</v>
      </c>
      <c r="AM67" s="229">
        <f>Cashflow!AS28</f>
        <v>0</v>
      </c>
      <c r="AN67" s="229">
        <f>Cashflow!AT28</f>
        <v>0</v>
      </c>
      <c r="AO67" s="229">
        <f>Cashflow!AU28</f>
        <v>0</v>
      </c>
      <c r="AP67" s="229">
        <f>Cashflow!AV28</f>
        <v>0</v>
      </c>
      <c r="AQ67" s="229">
        <f>Cashflow!AW28</f>
        <v>0</v>
      </c>
      <c r="AR67" s="229">
        <f>Cashflow!AX28</f>
        <v>0</v>
      </c>
      <c r="AS67" s="229">
        <f>Cashflow!AY28</f>
        <v>0</v>
      </c>
      <c r="AT67" s="229">
        <f>Cashflow!AZ28</f>
        <v>0</v>
      </c>
      <c r="AU67" s="229">
        <f>Cashflow!BA28</f>
        <v>0</v>
      </c>
      <c r="AV67" s="229">
        <f>Cashflow!BB28</f>
        <v>0</v>
      </c>
      <c r="AW67" s="229">
        <f>Cashflow!BC28</f>
        <v>0</v>
      </c>
      <c r="AX67" s="229">
        <f>Cashflow!BD28</f>
        <v>0</v>
      </c>
      <c r="AY67" s="229">
        <f>Cashflow!BE28</f>
        <v>0</v>
      </c>
      <c r="AZ67" s="229">
        <f>Cashflow!BF28</f>
        <v>0</v>
      </c>
      <c r="BA67" s="229">
        <f>Cashflow!BG28</f>
        <v>0</v>
      </c>
      <c r="BB67" s="229">
        <f>Cashflow!BH28</f>
        <v>0</v>
      </c>
      <c r="BC67" s="229">
        <f>Cashflow!BI28</f>
        <v>0</v>
      </c>
      <c r="BD67" s="229">
        <f>Cashflow!BJ28</f>
        <v>0</v>
      </c>
      <c r="BE67" s="229">
        <f>Cashflow!BK28</f>
        <v>0</v>
      </c>
      <c r="BF67" s="229">
        <f>Cashflow!BL28</f>
        <v>0</v>
      </c>
      <c r="BG67" s="229">
        <f>Cashflow!BM28</f>
        <v>0</v>
      </c>
      <c r="BH67" s="229">
        <f>Cashflow!BN28</f>
        <v>0</v>
      </c>
      <c r="BI67" s="229">
        <f>Cashflow!BO28</f>
        <v>0</v>
      </c>
      <c r="BJ67" s="229">
        <f>Cashflow!BP28</f>
        <v>0</v>
      </c>
      <c r="BK67" s="229">
        <f>Cashflow!BQ28</f>
        <v>0</v>
      </c>
    </row>
    <row r="68" spans="2:63">
      <c r="B68" s="230" t="str">
        <f>Cashflow!E29</f>
        <v>Net Cashflow</v>
      </c>
      <c r="C68" s="231"/>
      <c r="D68" s="232">
        <f ca="1">Cashflow!J29</f>
        <v>-103100</v>
      </c>
      <c r="E68" s="232">
        <f ca="1">Cashflow!K29</f>
        <v>-52000.723605699852</v>
      </c>
      <c r="F68" s="232">
        <f ca="1">Cashflow!L29</f>
        <v>-9109.7427378151842</v>
      </c>
      <c r="G68" s="232">
        <f ca="1">Cashflow!M29</f>
        <v>-55678.480578978881</v>
      </c>
      <c r="H68" s="232">
        <f ca="1">Cashflow!N29</f>
        <v>-57346.605234178351</v>
      </c>
      <c r="I68" s="232">
        <f ca="1">Cashflow!O29</f>
        <v>-43924.242258755097</v>
      </c>
      <c r="J68" s="232">
        <f ca="1">Cashflow!P29</f>
        <v>-261115.06596955971</v>
      </c>
      <c r="K68" s="232">
        <f ca="1">Cashflow!Q29</f>
        <v>-63535.713912837666</v>
      </c>
      <c r="L68" s="232">
        <f ca="1">Cashflow!R29</f>
        <v>-366393.76030669909</v>
      </c>
      <c r="M68" s="232">
        <f ca="1">Cashflow!S29</f>
        <v>2046436.2610465558</v>
      </c>
      <c r="N68" s="232">
        <f ca="1">Cashflow!T29</f>
        <v>307636.34308814694</v>
      </c>
      <c r="O68" s="232">
        <f ca="1">Cashflow!U29</f>
        <v>-95430.820703580452</v>
      </c>
      <c r="P68" s="232">
        <f ca="1">Cashflow!V29</f>
        <v>-275950</v>
      </c>
      <c r="Q68" s="232">
        <f ca="1">Cashflow!W29</f>
        <v>-79293.983443983379</v>
      </c>
      <c r="R68" s="232">
        <f ca="1">Cashflow!X29</f>
        <v>-397927.4276232589</v>
      </c>
      <c r="S68" s="232">
        <f ca="1">Cashflow!Y29</f>
        <v>1970474.8729276215</v>
      </c>
      <c r="T68" s="232">
        <f ca="1">Cashflow!Z29</f>
        <v>148664.76730930342</v>
      </c>
      <c r="U68" s="232">
        <f ca="1">Cashflow!AA29</f>
        <v>-82806.335069057794</v>
      </c>
      <c r="V68" s="232">
        <f ca="1">Cashflow!AB29</f>
        <v>-244294.81271573345</v>
      </c>
      <c r="W68" s="232">
        <f ca="1">Cashflow!AC29</f>
        <v>-101132.50695998287</v>
      </c>
      <c r="X68" s="232">
        <f ca="1">Cashflow!AD29</f>
        <v>-903899.22717864288</v>
      </c>
      <c r="Y68" s="232">
        <f ca="1">Cashflow!AE29</f>
        <v>4524400.0613303473</v>
      </c>
      <c r="Z68" s="232">
        <f ca="1">Cashflow!AF29</f>
        <v>116483.08114527797</v>
      </c>
      <c r="AA68" s="232">
        <f ca="1">Cashflow!AG29</f>
        <v>-148136.69332328337</v>
      </c>
      <c r="AB68" s="232">
        <f ca="1">Cashflow!AH29</f>
        <v>-146526.34912459942</v>
      </c>
      <c r="AC68" s="232">
        <f ca="1">Cashflow!AI29</f>
        <v>2314111.8278989592</v>
      </c>
      <c r="AD68" s="232">
        <f ca="1">Cashflow!AJ29</f>
        <v>-1074838.8959910942</v>
      </c>
      <c r="AE68" s="232">
        <f ca="1">Cashflow!AK29</f>
        <v>1555438.1515784648</v>
      </c>
      <c r="AF68" s="232">
        <f ca="1">Cashflow!AL29</f>
        <v>595499.92182510882</v>
      </c>
      <c r="AG68" s="232">
        <f ca="1">Cashflow!AM29</f>
        <v>2082586.7736922931</v>
      </c>
      <c r="AH68" s="232">
        <f ca="1">Cashflow!AN29</f>
        <v>404727.78683680389</v>
      </c>
      <c r="AI68" s="232">
        <f ca="1">Cashflow!AO29</f>
        <v>232216.8624704676</v>
      </c>
      <c r="AJ68" s="232">
        <f ca="1">Cashflow!AP29</f>
        <v>1889380.9380024928</v>
      </c>
      <c r="AK68" s="232">
        <f ca="1">Cashflow!AQ29</f>
        <v>2955262.9278245741</v>
      </c>
      <c r="AL68" s="232">
        <f ca="1">Cashflow!AR29</f>
        <v>2892216.6399554592</v>
      </c>
      <c r="AM68" s="232">
        <f ca="1">Cashflow!AS29</f>
        <v>-224576.66460659611</v>
      </c>
      <c r="AN68" s="232">
        <f ca="1">Cashflow!AT29</f>
        <v>535680.4984985193</v>
      </c>
      <c r="AO68" s="232">
        <f ca="1">Cashflow!AU29</f>
        <v>5514190.5338119892</v>
      </c>
      <c r="AP68" s="232">
        <f ca="1">Cashflow!AV29</f>
        <v>-649689.73014612717</v>
      </c>
      <c r="AQ68" s="232">
        <f ca="1">Cashflow!AW29</f>
        <v>-1741687.6277668041</v>
      </c>
      <c r="AR68" s="232">
        <f ca="1">Cashflow!AX29</f>
        <v>3801066.9978289194</v>
      </c>
      <c r="AS68" s="232">
        <f ca="1">Cashflow!AY29</f>
        <v>1721796.8194139488</v>
      </c>
      <c r="AT68" s="232">
        <f ca="1">Cashflow!AZ29</f>
        <v>3762437.9684259538</v>
      </c>
      <c r="AU68" s="232">
        <f ca="1">Cashflow!BA29</f>
        <v>1479761.44456118</v>
      </c>
      <c r="AV68" s="232">
        <f ca="1">Cashflow!BB29</f>
        <v>4393914.5884607965</v>
      </c>
      <c r="AW68" s="232">
        <f ca="1">Cashflow!BC29</f>
        <v>4043665.4189018747</v>
      </c>
      <c r="AX68" s="232">
        <f ca="1">Cashflow!BD29</f>
        <v>4295422.9455408389</v>
      </c>
      <c r="AY68" s="232">
        <f ca="1">Cashflow!BE29</f>
        <v>2016455.2027475424</v>
      </c>
      <c r="AZ68" s="232">
        <f ca="1">Cashflow!BF29</f>
        <v>4382381.2518213661</v>
      </c>
      <c r="BA68" s="232">
        <f ca="1">Cashflow!BG29</f>
        <v>4494668.8529518163</v>
      </c>
      <c r="BB68" s="232">
        <f ca="1">Cashflow!BH29</f>
        <v>2104038.5268702526</v>
      </c>
      <c r="BC68" s="232">
        <f ca="1">Cashflow!BI29</f>
        <v>-737280.47594620381</v>
      </c>
      <c r="BD68" s="232">
        <f ca="1">Cashflow!BJ29</f>
        <v>7917845.4853797201</v>
      </c>
      <c r="BE68" s="232">
        <f ca="1">Cashflow!BK29</f>
        <v>1787099.4800834223</v>
      </c>
      <c r="BF68" s="232">
        <f ca="1">Cashflow!BL29</f>
        <v>8299461.5748502538</v>
      </c>
      <c r="BG68" s="232">
        <f ca="1">Cashflow!BM29</f>
        <v>5992842.3918381222</v>
      </c>
      <c r="BH68" s="232">
        <f ca="1">Cashflow!BN29</f>
        <v>4591338.8575424813</v>
      </c>
      <c r="BI68" s="232">
        <f ca="1">Cashflow!BO29</f>
        <v>8966803.6339209136</v>
      </c>
      <c r="BJ68" s="232">
        <f ca="1">Cashflow!BP29</f>
        <v>6692824.5702003958</v>
      </c>
      <c r="BK68" s="232">
        <f ca="1">Cashflow!BQ29</f>
        <v>4934081.4828420617</v>
      </c>
    </row>
    <row r="69" spans="2:63">
      <c r="C69" s="225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  <c r="AA69" s="229"/>
      <c r="AB69" s="229"/>
      <c r="AC69" s="229"/>
      <c r="AD69" s="229"/>
      <c r="AE69" s="229"/>
      <c r="AF69" s="229"/>
      <c r="AG69" s="229"/>
      <c r="AH69" s="229"/>
      <c r="AI69" s="229"/>
      <c r="AJ69" s="229"/>
      <c r="AK69" s="229"/>
      <c r="AL69" s="229"/>
      <c r="AM69" s="229"/>
      <c r="AN69" s="229"/>
      <c r="AO69" s="229"/>
      <c r="AP69" s="229"/>
      <c r="AQ69" s="229"/>
      <c r="AR69" s="229"/>
      <c r="AS69" s="229"/>
      <c r="AT69" s="229"/>
      <c r="AU69" s="229"/>
      <c r="AV69" s="229"/>
      <c r="AW69" s="229"/>
      <c r="AX69" s="229"/>
      <c r="AY69" s="229"/>
      <c r="AZ69" s="229"/>
      <c r="BA69" s="229"/>
      <c r="BB69" s="229"/>
      <c r="BC69" s="229"/>
      <c r="BD69" s="229"/>
      <c r="BE69" s="229"/>
      <c r="BF69" s="229"/>
      <c r="BG69" s="229"/>
      <c r="BH69" s="229"/>
      <c r="BI69" s="229"/>
      <c r="BJ69" s="229"/>
      <c r="BK69" s="22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B1:B41"/>
  <sheetViews>
    <sheetView workbookViewId="0"/>
  </sheetViews>
  <sheetFormatPr defaultColWidth="0" defaultRowHeight="12.75" customHeight="1"/>
  <cols>
    <col min="1" max="1" width="11.7265625" style="25" customWidth="1"/>
    <col min="2" max="2" width="83.7265625" style="25" customWidth="1"/>
    <col min="3" max="14" width="11.7265625" style="25" customWidth="1"/>
    <col min="15" max="16384" width="9.1796875" style="25"/>
  </cols>
  <sheetData>
    <row r="1" spans="2:2"/>
    <row r="2" spans="2:2"/>
    <row r="3" spans="2:2"/>
    <row r="4" spans="2:2"/>
    <row r="5" spans="2:2">
      <c r="B5" s="110" t="s">
        <v>155</v>
      </c>
    </row>
    <row r="6" spans="2:2"/>
    <row r="7" spans="2:2"/>
    <row r="8" spans="2:2"/>
    <row r="9" spans="2:2" s="174" customFormat="1">
      <c r="B9" s="110" t="s">
        <v>42</v>
      </c>
    </row>
    <row r="10" spans="2:2"/>
    <row r="11" spans="2:2">
      <c r="B11" s="139" t="s">
        <v>118</v>
      </c>
    </row>
    <row r="12" spans="2:2">
      <c r="B12" s="139" t="s">
        <v>284</v>
      </c>
    </row>
    <row r="13" spans="2:2">
      <c r="B13" s="139" t="s">
        <v>25</v>
      </c>
    </row>
    <row r="14" spans="2:2"/>
    <row r="15" spans="2:2"/>
    <row r="16" spans="2:2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CW138"/>
  <sheetViews>
    <sheetView workbookViewId="0"/>
  </sheetViews>
  <sheetFormatPr defaultColWidth="0" defaultRowHeight="10"/>
  <cols>
    <col min="1" max="1" width="36.7265625" style="90" customWidth="1"/>
    <col min="2" max="2" width="28.7265625" style="90" customWidth="1"/>
    <col min="3" max="3" width="23.7265625" style="90" customWidth="1"/>
    <col min="4" max="56" width="9.7265625" style="90" customWidth="1"/>
    <col min="57" max="16384" width="9.1796875" style="90"/>
  </cols>
  <sheetData>
    <row r="1" spans="1:55" ht="25">
      <c r="A1" s="37" t="str">
        <f ca="1">RIGHT(CELL("filename",A1),LEN(CELL("filename",A1))-SEARCH("]",CELL("filename",A1)))</f>
        <v>Contents</v>
      </c>
    </row>
    <row r="5" spans="1:55" ht="18">
      <c r="A5" s="24" t="s">
        <v>94</v>
      </c>
      <c r="B5" s="132"/>
      <c r="C5" s="132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</row>
    <row r="6" spans="1:55" ht="15.5">
      <c r="A6" s="113" t="str">
        <f>HYPERLINK("#TOCrepobxIncome_Statement_Year","1.Income Statement")</f>
        <v>1.Income Statement</v>
      </c>
      <c r="B6" s="80"/>
      <c r="C6" s="124"/>
    </row>
    <row r="7" spans="1:55" ht="15.5">
      <c r="A7" s="113"/>
      <c r="B7" s="80"/>
      <c r="C7" s="124"/>
    </row>
    <row r="8" spans="1:55" ht="15.5">
      <c r="A8" s="113" t="str">
        <f>HYPERLINK("#TOCrepobxBalance_Sheet_Year","2.Balance Sheet")</f>
        <v>2.Balance Sheet</v>
      </c>
      <c r="B8" s="80"/>
      <c r="C8" s="124"/>
    </row>
    <row r="9" spans="1:55" ht="15.5">
      <c r="A9" s="113"/>
      <c r="B9" s="80"/>
      <c r="C9" s="124"/>
    </row>
    <row r="10" spans="1:55" ht="15.5">
      <c r="A10" s="113" t="str">
        <f>HYPERLINK("#TOCrepobxCashflow_Year","3.Cashflow")</f>
        <v>3.Cashflow</v>
      </c>
      <c r="B10" s="80"/>
      <c r="C10" s="124"/>
    </row>
    <row r="11" spans="1:55" ht="15.5">
      <c r="A11" s="113"/>
      <c r="B11" s="80"/>
      <c r="C11" s="124"/>
    </row>
    <row r="12" spans="1:55" ht="15.5">
      <c r="A12" s="113" t="str">
        <f>HYPERLINK("#TOCrepobxInventory_Report_Year","4.Inventory Report")</f>
        <v>4.Inventory Report</v>
      </c>
      <c r="B12" s="80"/>
      <c r="C12" s="124"/>
    </row>
    <row r="13" spans="1:55" ht="15.5">
      <c r="A13" s="113"/>
      <c r="B13" s="80"/>
      <c r="C13" s="124"/>
    </row>
    <row r="14" spans="1:55" ht="15.5">
      <c r="A14" s="113" t="str">
        <f>HYPERLINK("#TOCrepobxMetrics_Report_Year","5.Metrics Report")</f>
        <v>5.Metrics Report</v>
      </c>
      <c r="B14" s="80"/>
      <c r="C14" s="124"/>
    </row>
    <row r="15" spans="1:55" ht="15.5">
      <c r="A15" s="113"/>
      <c r="B15" s="80"/>
      <c r="C15" s="124"/>
    </row>
    <row r="16" spans="1:55" ht="15.5">
      <c r="A16" s="113" t="str">
        <f>HYPERLINK("#TOCrepobxIncome_Statement_base_Month","6.Income Statement base")</f>
        <v>6.Income Statement base</v>
      </c>
      <c r="B16" s="80"/>
      <c r="C16" s="124"/>
    </row>
    <row r="17" spans="1:3" ht="15.5">
      <c r="A17" s="113"/>
      <c r="B17" s="80"/>
      <c r="C17" s="124"/>
    </row>
    <row r="18" spans="1:3" ht="15.5">
      <c r="A18" s="113" t="str">
        <f>HYPERLINK("#TOCrepobxIncome_Statement_base_1_Quarter","7.Income Statement base 1")</f>
        <v>7.Income Statement base 1</v>
      </c>
      <c r="B18" s="80"/>
      <c r="C18" s="124"/>
    </row>
    <row r="19" spans="1:3" ht="15.5">
      <c r="A19" s="113"/>
      <c r="B19" s="80"/>
      <c r="C19" s="124"/>
    </row>
    <row r="20" spans="1:3" ht="15.5">
      <c r="A20" s="113" t="str">
        <f>HYPERLINK("#TOCrepobxIncome_Statement_base_2_SemiAnnual","8.Income Statement base 2")</f>
        <v>8.Income Statement base 2</v>
      </c>
      <c r="B20" s="80"/>
      <c r="C20" s="124"/>
    </row>
    <row r="21" spans="1:3" ht="15.5">
      <c r="A21" s="113"/>
      <c r="B21" s="80"/>
      <c r="C21" s="124"/>
    </row>
    <row r="22" spans="1:3" ht="15.5">
      <c r="A22" s="113" t="str">
        <f>HYPERLINK("#TOCrepobxBalance_Sheet_base_Month","9.Balance Sheet base")</f>
        <v>9.Balance Sheet base</v>
      </c>
      <c r="B22" s="80"/>
      <c r="C22" s="124"/>
    </row>
    <row r="23" spans="1:3" ht="15.5">
      <c r="A23" s="113"/>
      <c r="B23" s="80"/>
      <c r="C23" s="124"/>
    </row>
    <row r="24" spans="1:3" ht="15.5">
      <c r="A24" s="113" t="str">
        <f>HYPERLINK("#TOCrepobxBalance_Sheet_base_1_Quarter","10.Balance Sheet base 1")</f>
        <v>10.Balance Sheet base 1</v>
      </c>
      <c r="B24" s="80"/>
      <c r="C24" s="124"/>
    </row>
    <row r="25" spans="1:3" ht="15.5">
      <c r="A25" s="113"/>
      <c r="B25" s="80"/>
      <c r="C25" s="124"/>
    </row>
    <row r="26" spans="1:3" ht="15.5">
      <c r="A26" s="113" t="str">
        <f>HYPERLINK("#TOCrepobxBalance_Sheet_base_2_SemiAnnual","11.Balance Sheet base 2")</f>
        <v>11.Balance Sheet base 2</v>
      </c>
      <c r="B26" s="80"/>
      <c r="C26" s="124"/>
    </row>
    <row r="27" spans="1:3" ht="15.5">
      <c r="A27" s="113"/>
      <c r="B27" s="80"/>
      <c r="C27" s="124"/>
    </row>
    <row r="28" spans="1:3" ht="15.5">
      <c r="A28" s="113" t="str">
        <f>HYPERLINK("#TOCrepobxCashflow_base_Month","12.Cashflow base")</f>
        <v>12.Cashflow base</v>
      </c>
      <c r="B28" s="80"/>
      <c r="C28" s="124"/>
    </row>
    <row r="29" spans="1:3" ht="15.5">
      <c r="A29" s="113"/>
      <c r="B29" s="80"/>
      <c r="C29" s="124"/>
    </row>
    <row r="30" spans="1:3" ht="15.5">
      <c r="A30" s="113" t="str">
        <f>HYPERLINK("#TOCrepobxCashflow_base_1_Quarter","13.Cashflow base 1")</f>
        <v>13.Cashflow base 1</v>
      </c>
      <c r="B30" s="80"/>
      <c r="C30" s="124"/>
    </row>
    <row r="31" spans="1:3" ht="15.5">
      <c r="A31" s="113"/>
      <c r="B31" s="80"/>
      <c r="C31" s="124"/>
    </row>
    <row r="32" spans="1:3" ht="15.5">
      <c r="A32" s="113" t="str">
        <f>HYPERLINK("#TOCrepobxCashflow_base_2_SemiAnnual","14.Cashflow base 2")</f>
        <v>14.Cashflow base 2</v>
      </c>
      <c r="B32" s="80"/>
      <c r="C32" s="124"/>
    </row>
    <row r="33" spans="1:101" ht="15.5">
      <c r="A33" s="113"/>
      <c r="B33" s="80"/>
      <c r="C33" s="124"/>
    </row>
    <row r="34" spans="1:101" ht="15.5">
      <c r="A34" s="113" t="str">
        <f>HYPERLINK("#TOCrepobxInventory_Report_base_Month","15.Inventory Report base")</f>
        <v>15.Inventory Report base</v>
      </c>
      <c r="B34" s="80"/>
      <c r="C34" s="124"/>
    </row>
    <row r="35" spans="1:101" ht="15.5">
      <c r="A35" s="113"/>
      <c r="B35" s="80"/>
      <c r="C35" s="124"/>
    </row>
    <row r="36" spans="1:101" ht="15.5">
      <c r="A36" s="113" t="str">
        <f>HYPERLINK("#TOCrepobxInventory_Report_base_1_Quarter","16.Inventory Report base 1")</f>
        <v>16.Inventory Report base 1</v>
      </c>
      <c r="B36" s="80"/>
      <c r="C36" s="124"/>
    </row>
    <row r="37" spans="1:101" ht="15.5">
      <c r="A37" s="113"/>
      <c r="B37" s="80"/>
      <c r="C37" s="124"/>
    </row>
    <row r="38" spans="1:101" ht="15.5">
      <c r="A38" s="113" t="str">
        <f>HYPERLINK("#TOCrepobxInventory_Report_base_2_SemiAnnual","17.Inventory Report base 2")</f>
        <v>17.Inventory Report base 2</v>
      </c>
      <c r="B38" s="80"/>
      <c r="C38" s="124"/>
    </row>
    <row r="39" spans="1:101" ht="15.5">
      <c r="A39" s="113"/>
      <c r="B39" s="80"/>
      <c r="C39" s="124"/>
    </row>
    <row r="40" spans="1:101" ht="15.5">
      <c r="A40" s="113" t="str">
        <f>HYPERLINK("#TOCrepobxMetrics_Report_base_Month","18.Metrics Report base")</f>
        <v>18.Metrics Report base</v>
      </c>
      <c r="B40" s="80"/>
      <c r="C40" s="124"/>
    </row>
    <row r="41" spans="1:101" ht="15.5">
      <c r="A41" s="113"/>
      <c r="B41" s="80"/>
      <c r="C41" s="124"/>
    </row>
    <row r="42" spans="1:101" ht="15.5">
      <c r="A42" s="113" t="str">
        <f>HYPERLINK("#TOCrepobxMetrics_Report_base_1_Quarter","19.Metrics Report base 1")</f>
        <v>19.Metrics Report base 1</v>
      </c>
      <c r="B42" s="80"/>
      <c r="C42" s="124"/>
    </row>
    <row r="43" spans="1:101" ht="15.5">
      <c r="A43" s="113"/>
      <c r="B43" s="80"/>
      <c r="C43" s="124"/>
    </row>
    <row r="44" spans="1:101" ht="15.5">
      <c r="A44" s="113" t="str">
        <f>HYPERLINK("#TOCrepobxMetrics_Report_base_2_SemiAnnual","20.Metrics Report base 2")</f>
        <v>20.Metrics Report base 2</v>
      </c>
      <c r="B44" s="80"/>
      <c r="C44" s="124"/>
    </row>
    <row r="45" spans="1:101" ht="15.5">
      <c r="A45" s="113"/>
      <c r="B45" s="80"/>
      <c r="C45" s="124"/>
    </row>
    <row r="46" spans="1:101" ht="15.5">
      <c r="A46" s="113"/>
      <c r="B46" s="80"/>
      <c r="C46" s="124"/>
    </row>
    <row r="47" spans="1:101" ht="18">
      <c r="A47" s="24" t="s">
        <v>250</v>
      </c>
      <c r="B47" s="24" t="s">
        <v>91</v>
      </c>
      <c r="C47" s="24" t="s">
        <v>121</v>
      </c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</row>
    <row r="48" spans="1:101" ht="15.5">
      <c r="A48" s="113" t="str">
        <f>HYPERLINK("#TOCobxUnallocated","1.Unallocated")</f>
        <v>1.Unallocated</v>
      </c>
      <c r="B48" s="80"/>
      <c r="C48" s="124"/>
    </row>
    <row r="49" spans="1:3" ht="15.5">
      <c r="A49" s="113"/>
      <c r="B49" s="80"/>
      <c r="C49" s="124"/>
    </row>
    <row r="50" spans="1:3" ht="15.5">
      <c r="A50" s="113" t="str">
        <f>HYPERLINK("#TOCobxInputs","2.Inputs")</f>
        <v>2.Inputs</v>
      </c>
      <c r="B50" s="80"/>
      <c r="C50" s="124"/>
    </row>
    <row r="51" spans="1:3" ht="15.5">
      <c r="A51" s="113"/>
      <c r="B51" s="80" t="str">
        <f>HYPERLINK("#TOCobxInputs.Model_Constants","2.1.Model Constants")</f>
        <v>2.1.Model Constants</v>
      </c>
      <c r="C51" s="124"/>
    </row>
    <row r="52" spans="1:3" ht="15.5">
      <c r="A52" s="113"/>
      <c r="B52" s="80" t="str">
        <f>HYPERLINK("#TOCobxInputs.Customer_Orders","2.2.Customer Orders")</f>
        <v>2.2.Customer Orders</v>
      </c>
      <c r="C52" s="124"/>
    </row>
    <row r="53" spans="1:3" ht="15.5">
      <c r="A53" s="113"/>
      <c r="B53" s="80" t="str">
        <f>HYPERLINK("#TOCobxInputs.Expense","2.3.Expense")</f>
        <v>2.3.Expense</v>
      </c>
      <c r="C53" s="124"/>
    </row>
    <row r="54" spans="1:3" ht="15.5">
      <c r="A54" s="113"/>
      <c r="B54" s="80" t="str">
        <f>HYPERLINK("#TOCobxInputs.Supplier_orders","2.4.Supplier orders")</f>
        <v>2.4.Supplier orders</v>
      </c>
      <c r="C54" s="124"/>
    </row>
    <row r="55" spans="1:3" ht="15.5">
      <c r="A55" s="113"/>
      <c r="B55" s="80" t="str">
        <f>HYPERLINK("#TOCobxInputs.Inventory","2.5.Inventory")</f>
        <v>2.5.Inventory</v>
      </c>
      <c r="C55" s="124"/>
    </row>
    <row r="56" spans="1:3" ht="15.5">
      <c r="A56" s="113"/>
      <c r="B56" s="80" t="str">
        <f>HYPERLINK("#TOCobxInputs.Opening_Balances","2.6.Opening Balances")</f>
        <v>2.6.Opening Balances</v>
      </c>
      <c r="C56" s="124"/>
    </row>
    <row r="57" spans="1:3" ht="15.5">
      <c r="A57" s="113"/>
      <c r="B57" s="80" t="str">
        <f>HYPERLINK("#TOCobxInputs.Debt","2.7.Debt")</f>
        <v>2.7.Debt</v>
      </c>
      <c r="C57" s="124"/>
    </row>
    <row r="58" spans="1:3" ht="15.5">
      <c r="A58" s="113"/>
      <c r="B58" s="80"/>
      <c r="C58" s="124" t="str">
        <f>HYPERLINK("#TOCobxInputs.Debt.Invoice_Finance","2.7.1.Invoice Finance")</f>
        <v>2.7.1.Invoice Finance</v>
      </c>
    </row>
    <row r="59" spans="1:3" ht="15.5">
      <c r="A59" s="113"/>
      <c r="B59" s="80"/>
      <c r="C59" s="124" t="str">
        <f>HYPERLINK("#TOCobxInputs.Debt.Supply_Chain_Finance","2.7.2.Supply Chain Finance")</f>
        <v>2.7.2.Supply Chain Finance</v>
      </c>
    </row>
    <row r="60" spans="1:3" ht="15.5">
      <c r="A60" s="113"/>
      <c r="B60" s="80"/>
      <c r="C60" s="124" t="str">
        <f>HYPERLINK("#TOCobxInputs.Debt.Asset_Finance","2.7.3.Asset Finance")</f>
        <v>2.7.3.Asset Finance</v>
      </c>
    </row>
    <row r="61" spans="1:3" ht="15.5">
      <c r="A61" s="113"/>
      <c r="B61" s="80" t="str">
        <f>HYPERLINK("#TOCobxInputs.VAT","2.8.VAT")</f>
        <v>2.8.VAT</v>
      </c>
      <c r="C61" s="124"/>
    </row>
    <row r="62" spans="1:3" ht="15.5">
      <c r="A62" s="113"/>
      <c r="B62" s="80" t="str">
        <f>HYPERLINK("#TOCobxInputs.Corporation_Tax","2.9.Corporation Tax")</f>
        <v>2.9.Corporation Tax</v>
      </c>
      <c r="C62" s="124"/>
    </row>
    <row r="63" spans="1:3" ht="15.5">
      <c r="A63" s="113"/>
      <c r="B63" s="80" t="str">
        <f>HYPERLINK("#TOCobxInputs.Equity","2.10.Equity")</f>
        <v>2.10.Equity</v>
      </c>
      <c r="C63" s="124"/>
    </row>
    <row r="64" spans="1:3" ht="15.5">
      <c r="A64" s="113"/>
      <c r="B64" s="80" t="str">
        <f>HYPERLINK("#TOCobxInputs.Short_term_forecast","2.11.Short term forecast")</f>
        <v>2.11.Short term forecast</v>
      </c>
      <c r="C64" s="124"/>
    </row>
    <row r="65" spans="1:3" ht="15.5">
      <c r="A65" s="113"/>
      <c r="B65" s="80"/>
      <c r="C65" s="124"/>
    </row>
    <row r="66" spans="1:3" ht="15.5">
      <c r="A66" s="113" t="str">
        <f>HYPERLINK("#TOCobxTime","3.Time")</f>
        <v>3.Time</v>
      </c>
      <c r="B66" s="80"/>
      <c r="C66" s="124"/>
    </row>
    <row r="67" spans="1:3" ht="15.5">
      <c r="A67" s="113"/>
      <c r="B67" s="80" t="str">
        <f>HYPERLINK("#TOCobxTime.Headers","3.1.Headers")</f>
        <v>3.1.Headers</v>
      </c>
      <c r="C67" s="124"/>
    </row>
    <row r="68" spans="1:3" ht="15.5">
      <c r="A68" s="113"/>
      <c r="B68" s="80" t="str">
        <f>HYPERLINK("#TOCobxTime.Customer_Order_Growth_index","3.2.Customer Order Growth index")</f>
        <v>3.2.Customer Order Growth index</v>
      </c>
      <c r="C68" s="124"/>
    </row>
    <row r="69" spans="1:3" ht="15.5">
      <c r="A69" s="113"/>
      <c r="B69" s="80" t="str">
        <f>HYPERLINK("#TOCobxTime.Fixed_Operating_Cost_Growth_Rate_index","3.3.Fixed Operating Cost Growth Rate index")</f>
        <v>3.3.Fixed Operating Cost Growth Rate index</v>
      </c>
      <c r="C69" s="124"/>
    </row>
    <row r="70" spans="1:3" ht="15.5">
      <c r="A70" s="113"/>
      <c r="B70" s="80" t="str">
        <f>HYPERLINK("#TOCobxTime.Debts_flags","3.4.Debts flags")</f>
        <v>3.4.Debts flags</v>
      </c>
      <c r="C70" s="124"/>
    </row>
    <row r="71" spans="1:3" ht="15.5">
      <c r="A71" s="113"/>
      <c r="B71" s="80" t="str">
        <f>HYPERLINK("#TOCobxTime.VAT_return_this_period_flag","3.5.VAT return this period flag")</f>
        <v>3.5.VAT return this period flag</v>
      </c>
      <c r="C71" s="124"/>
    </row>
    <row r="72" spans="1:3" ht="15.5">
      <c r="A72" s="113"/>
      <c r="B72" s="80" t="str">
        <f>HYPERLINK("#TOCobxTime.Use_short_term_forecast_flag","3.6.Use short term forecast flag")</f>
        <v>3.6.Use short term forecast flag</v>
      </c>
      <c r="C72" s="124"/>
    </row>
    <row r="73" spans="1:3" ht="15.5">
      <c r="A73" s="113"/>
      <c r="B73" s="80" t="str">
        <f>HYPERLINK("#TOCobxTime.Model_timelines","3.7.Model timelines")</f>
        <v>3.7.Model timelines</v>
      </c>
      <c r="C73" s="124"/>
    </row>
    <row r="74" spans="1:3" ht="15.5">
      <c r="A74" s="113"/>
      <c r="B74" s="80"/>
      <c r="C74" s="124"/>
    </row>
    <row r="75" spans="1:3" ht="15.5">
      <c r="A75" s="113" t="str">
        <f>HYPERLINK("#TOCobxMetrics","4.Metrics")</f>
        <v>4.Metrics</v>
      </c>
      <c r="B75" s="80"/>
      <c r="C75" s="124"/>
    </row>
    <row r="76" spans="1:3" ht="15.5">
      <c r="A76" s="113"/>
      <c r="B76" s="80"/>
      <c r="C76" s="124"/>
    </row>
    <row r="77" spans="1:3" ht="15.5">
      <c r="A77" s="113" t="str">
        <f>HYPERLINK("#TOCobxFinancials","5.Financials")</f>
        <v>5.Financials</v>
      </c>
      <c r="B77" s="80"/>
      <c r="C77" s="124"/>
    </row>
    <row r="78" spans="1:3" ht="15.5">
      <c r="A78" s="113"/>
      <c r="B78" s="80"/>
      <c r="C78" s="124"/>
    </row>
    <row r="79" spans="1:3" ht="15.5">
      <c r="A79" s="113" t="str">
        <f>HYPERLINK("#TOCobxCustomers","6.Customers")</f>
        <v>6.Customers</v>
      </c>
      <c r="B79" s="80"/>
      <c r="C79" s="124"/>
    </row>
    <row r="80" spans="1:3" ht="15.5">
      <c r="A80" s="113"/>
      <c r="B80" s="80"/>
      <c r="C80" s="124"/>
    </row>
    <row r="81" spans="1:3" ht="15.5">
      <c r="A81" s="113" t="str">
        <f>HYPERLINK("#TOCobxIncome","7.Income")</f>
        <v>7.Income</v>
      </c>
      <c r="B81" s="80"/>
      <c r="C81" s="124"/>
    </row>
    <row r="82" spans="1:3" ht="15.5">
      <c r="A82" s="113"/>
      <c r="B82" s="80"/>
      <c r="C82" s="124"/>
    </row>
    <row r="83" spans="1:3" ht="15.5">
      <c r="A83" s="113" t="str">
        <f>HYPERLINK("#TOCobxInventory","8.Inventory")</f>
        <v>8.Inventory</v>
      </c>
      <c r="B83" s="80"/>
      <c r="C83" s="124"/>
    </row>
    <row r="84" spans="1:3" ht="15.5">
      <c r="A84" s="113"/>
      <c r="B84" s="80"/>
      <c r="C84" s="124"/>
    </row>
    <row r="85" spans="1:3" ht="15.5">
      <c r="A85" s="113" t="str">
        <f>HYPERLINK("#TOCobxAssets","9.Assets")</f>
        <v>9.Assets</v>
      </c>
      <c r="B85" s="80"/>
      <c r="C85" s="124"/>
    </row>
    <row r="86" spans="1:3" ht="15.5">
      <c r="A86" s="113"/>
      <c r="B86" s="80"/>
      <c r="C86" s="124"/>
    </row>
    <row r="87" spans="1:3" ht="15.5">
      <c r="A87" s="191" t="str">
        <f>HYPERLINK("#TOCobxExpense","10.Expense")</f>
        <v>10.Expense</v>
      </c>
      <c r="B87" s="80"/>
      <c r="C87" s="124"/>
    </row>
    <row r="88" spans="1:3" ht="15.5">
      <c r="A88" s="191"/>
      <c r="B88" s="80"/>
      <c r="C88" s="124"/>
    </row>
    <row r="89" spans="1:3" ht="15.5">
      <c r="A89" s="191" t="str">
        <f>HYPERLINK("#TOCobxWorking_Capital","11.Working Capital")</f>
        <v>11.Working Capital</v>
      </c>
      <c r="B89" s="80"/>
      <c r="C89" s="124"/>
    </row>
    <row r="90" spans="1:3" ht="15.5">
      <c r="A90" s="191"/>
      <c r="B90" s="80"/>
      <c r="C90" s="124"/>
    </row>
    <row r="91" spans="1:3" ht="15.5">
      <c r="A91" s="191" t="str">
        <f>HYPERLINK("#TOCobxInvoice_finance","12.Invoice finance")</f>
        <v>12.Invoice finance</v>
      </c>
      <c r="B91" s="80"/>
      <c r="C91" s="124"/>
    </row>
    <row r="92" spans="1:3" ht="15.5">
      <c r="A92" s="191"/>
      <c r="B92" s="80"/>
      <c r="C92" s="124"/>
    </row>
    <row r="93" spans="1:3" ht="15.5">
      <c r="A93" s="191" t="str">
        <f>HYPERLINK("#TOCobxSupply_Chain_finance","13.Supply Chain finance")</f>
        <v>13.Supply Chain finance</v>
      </c>
      <c r="B93" s="80"/>
      <c r="C93" s="124"/>
    </row>
    <row r="94" spans="1:3" ht="15.5">
      <c r="A94" s="191"/>
      <c r="B94" s="80"/>
      <c r="C94" s="124"/>
    </row>
    <row r="95" spans="1:3" ht="15.5">
      <c r="A95" s="191" t="str">
        <f>HYPERLINK("#TOCobxAsset_Finance","14.Asset Finance")</f>
        <v>14.Asset Finance</v>
      </c>
      <c r="B95" s="80"/>
      <c r="C95" s="124"/>
    </row>
    <row r="96" spans="1:3" ht="15.5">
      <c r="A96" s="191"/>
      <c r="B96" s="80"/>
      <c r="C96" s="124"/>
    </row>
    <row r="97" spans="1:3" ht="15.5">
      <c r="A97" s="191" t="str">
        <f>HYPERLINK("#TOCobxVAT","15.VAT")</f>
        <v>15.VAT</v>
      </c>
      <c r="B97" s="80"/>
      <c r="C97" s="124"/>
    </row>
    <row r="98" spans="1:3" ht="15.5">
      <c r="A98" s="191"/>
      <c r="B98" s="80"/>
      <c r="C98" s="124"/>
    </row>
    <row r="99" spans="1:3" ht="15.5">
      <c r="A99" s="191" t="str">
        <f>HYPERLINK("#TOCobxCorporation_tax","16.Corporation tax")</f>
        <v>16.Corporation tax</v>
      </c>
      <c r="B99" s="80"/>
      <c r="C99" s="124"/>
    </row>
    <row r="100" spans="1:3" ht="15.5">
      <c r="A100" s="191"/>
      <c r="B100" s="80" t="str">
        <f>HYPERLINK("#TOCobxCorporation_tax.Tax_losses","16.1.Tax losses")</f>
        <v>16.1.Tax losses</v>
      </c>
      <c r="C100" s="124"/>
    </row>
    <row r="101" spans="1:3" ht="15.5">
      <c r="A101" s="191"/>
      <c r="B101" s="80" t="str">
        <f>HYPERLINK("#TOCobxCorporation_tax.Corporation_tax_creditor","16.2.Corporation tax creditor")</f>
        <v>16.2.Corporation tax creditor</v>
      </c>
      <c r="C101" s="124"/>
    </row>
    <row r="102" spans="1:3" ht="15.5">
      <c r="A102" s="191"/>
      <c r="B102" s="80"/>
      <c r="C102" s="124"/>
    </row>
    <row r="103" spans="1:3" ht="15.5">
      <c r="A103" s="191" t="str">
        <f>HYPERLINK("#TOCobxEquity","17.Equity")</f>
        <v>17.Equity</v>
      </c>
      <c r="B103" s="80"/>
      <c r="C103" s="124"/>
    </row>
    <row r="104" spans="1:3" ht="15.5">
      <c r="A104" s="191"/>
      <c r="B104" s="80"/>
      <c r="C104" s="124"/>
    </row>
    <row r="105" spans="1:3" ht="15.5">
      <c r="A105" s="191" t="str">
        <f>HYPERLINK("#TOCobxModel_Checks_and_Alerts","18.Model Checks and Alerts")</f>
        <v>18.Model Checks and Alerts</v>
      </c>
      <c r="B105" s="80"/>
      <c r="C105" s="124"/>
    </row>
    <row r="106" spans="1:3" ht="15.5">
      <c r="A106" s="191"/>
      <c r="B106" s="80" t="str">
        <f>HYPERLINK("#TOCobxModel_Checks_and_Alerts.Model_Checks","18.1.Model Checks")</f>
        <v>18.1.Model Checks</v>
      </c>
      <c r="C106" s="124"/>
    </row>
    <row r="107" spans="1:3" ht="15.5">
      <c r="A107" s="191"/>
      <c r="B107" s="80"/>
      <c r="C107" s="124"/>
    </row>
    <row r="108" spans="1:3" ht="15.5">
      <c r="A108" s="191"/>
      <c r="B108" s="80"/>
      <c r="C108" s="124"/>
    </row>
    <row r="109" spans="1:3" ht="15.5">
      <c r="A109" s="191"/>
      <c r="B109" s="80"/>
      <c r="C109" s="124"/>
    </row>
    <row r="110" spans="1:3" ht="15.5">
      <c r="A110" s="191"/>
      <c r="B110" s="80"/>
      <c r="C110" s="124"/>
    </row>
    <row r="111" spans="1:3" ht="15.5">
      <c r="A111" s="191"/>
      <c r="B111" s="80"/>
      <c r="C111" s="124"/>
    </row>
    <row r="112" spans="1:3" ht="15.5">
      <c r="A112" s="191"/>
      <c r="B112" s="80"/>
      <c r="C112" s="124"/>
    </row>
    <row r="113" spans="1:3" ht="15.5">
      <c r="A113" s="191"/>
      <c r="B113" s="80"/>
      <c r="C113" s="124"/>
    </row>
    <row r="114" spans="1:3" ht="15.5">
      <c r="A114" s="191"/>
      <c r="B114" s="80"/>
      <c r="C114" s="124"/>
    </row>
    <row r="115" spans="1:3" ht="15.5">
      <c r="A115" s="191"/>
      <c r="B115" s="80"/>
      <c r="C115" s="124"/>
    </row>
    <row r="116" spans="1:3" ht="15.5">
      <c r="A116" s="191"/>
      <c r="B116" s="80"/>
      <c r="C116" s="124"/>
    </row>
    <row r="117" spans="1:3" ht="15.5">
      <c r="A117" s="191"/>
      <c r="B117" s="80"/>
      <c r="C117" s="124"/>
    </row>
    <row r="118" spans="1:3" ht="15.5">
      <c r="A118" s="191"/>
      <c r="B118" s="80"/>
      <c r="C118" s="124"/>
    </row>
    <row r="119" spans="1:3" ht="15.5">
      <c r="A119" s="191"/>
      <c r="B119" s="80"/>
      <c r="C119" s="124"/>
    </row>
    <row r="120" spans="1:3" ht="15.5">
      <c r="A120" s="191"/>
      <c r="B120" s="80"/>
      <c r="C120" s="124"/>
    </row>
    <row r="121" spans="1:3" ht="15.5">
      <c r="A121" s="191"/>
      <c r="B121" s="80"/>
      <c r="C121" s="124"/>
    </row>
    <row r="122" spans="1:3" ht="15.5">
      <c r="A122" s="191"/>
      <c r="B122" s="80"/>
      <c r="C122" s="124"/>
    </row>
    <row r="123" spans="1:3" ht="15.5">
      <c r="A123" s="191"/>
      <c r="B123" s="80"/>
      <c r="C123" s="124"/>
    </row>
    <row r="124" spans="1:3" ht="15.5">
      <c r="A124" s="191"/>
      <c r="B124" s="80"/>
      <c r="C124" s="124"/>
    </row>
    <row r="125" spans="1:3" ht="15.5">
      <c r="A125" s="191"/>
      <c r="B125" s="80"/>
      <c r="C125" s="124"/>
    </row>
    <row r="126" spans="1:3" ht="15.5">
      <c r="A126" s="191"/>
      <c r="B126" s="80"/>
      <c r="C126" s="124"/>
    </row>
    <row r="127" spans="1:3" ht="15.5">
      <c r="A127" s="191"/>
      <c r="B127" s="80"/>
      <c r="C127" s="124"/>
    </row>
    <row r="128" spans="1:3" ht="15.5">
      <c r="A128" s="191"/>
      <c r="B128" s="80"/>
      <c r="C128" s="124"/>
    </row>
    <row r="129" spans="1:3" ht="15.5">
      <c r="A129" s="191"/>
      <c r="B129" s="80"/>
      <c r="C129" s="124"/>
    </row>
    <row r="130" spans="1:3" ht="15.5">
      <c r="A130" s="191"/>
      <c r="B130" s="80"/>
      <c r="C130" s="124"/>
    </row>
    <row r="131" spans="1:3" ht="15.5">
      <c r="A131" s="191"/>
      <c r="B131" s="80"/>
      <c r="C131" s="124"/>
    </row>
    <row r="132" spans="1:3" ht="15.5">
      <c r="A132" s="191"/>
      <c r="B132" s="80"/>
      <c r="C132" s="124"/>
    </row>
    <row r="133" spans="1:3" ht="15.5">
      <c r="A133" s="191"/>
      <c r="B133" s="80"/>
      <c r="C133" s="124"/>
    </row>
    <row r="134" spans="1:3" ht="15.5">
      <c r="A134" s="191"/>
      <c r="B134" s="80"/>
      <c r="C134" s="124"/>
    </row>
    <row r="135" spans="1:3" ht="15.5">
      <c r="A135" s="191"/>
      <c r="B135" s="80"/>
      <c r="C135" s="124"/>
    </row>
    <row r="136" spans="1:3" ht="15.5">
      <c r="A136" s="191"/>
      <c r="B136" s="80"/>
      <c r="C136" s="124"/>
    </row>
    <row r="137" spans="1:3" ht="15.5">
      <c r="A137" s="191"/>
      <c r="B137" s="80"/>
      <c r="C137" s="80"/>
    </row>
    <row r="138" spans="1:3" ht="15.5">
      <c r="A138" s="191"/>
      <c r="B138" s="80"/>
      <c r="C138" s="8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X102"/>
  <sheetViews>
    <sheetView topLeftCell="A46" workbookViewId="0">
      <selection activeCell="F77" sqref="F77"/>
    </sheetView>
  </sheetViews>
  <sheetFormatPr defaultColWidth="0" defaultRowHeight="14.5"/>
  <cols>
    <col min="1" max="1" width="1.7265625" style="180" customWidth="1"/>
    <col min="2" max="3" width="1.7265625" style="108" customWidth="1"/>
    <col min="4" max="4" width="1.7265625" style="161" customWidth="1"/>
    <col min="5" max="5" width="72.7265625" style="108" customWidth="1"/>
    <col min="6" max="6" width="19.7265625" style="108" customWidth="1"/>
    <col min="7" max="8" width="47.7265625" style="71" customWidth="1"/>
    <col min="9" max="9" width="5.7265625" style="170" customWidth="1"/>
    <col min="10" max="10" width="1.7265625" style="52" customWidth="1"/>
    <col min="11" max="13" width="19.7265625" style="71" customWidth="1"/>
    <col min="14" max="14" width="1.7265625" style="52" customWidth="1"/>
    <col min="15" max="18" width="14.7265625" style="71" customWidth="1"/>
    <col min="19" max="24" width="11.7265625" style="71" customWidth="1"/>
    <col min="25" max="16384" width="9.1796875" style="71"/>
  </cols>
  <sheetData>
    <row r="1" spans="1:24" ht="25">
      <c r="A1" s="37" t="str">
        <f ca="1">RIGHT(CELL("filename",A1),LEN(CELL("filename",A1))-SEARCH("]",CELL("filename",A1)))</f>
        <v>InpC</v>
      </c>
      <c r="B1" s="22"/>
      <c r="C1" s="40"/>
      <c r="D1" s="54"/>
      <c r="E1" s="2"/>
      <c r="F1" s="42" t="str">
        <f>HYPERLINK("#Contents!A1","Go to contents")</f>
        <v>Go to contents</v>
      </c>
      <c r="G1" s="2"/>
      <c r="H1" s="2"/>
      <c r="I1" s="2"/>
      <c r="J1" s="81"/>
      <c r="K1" s="2"/>
      <c r="L1" s="2"/>
      <c r="M1" s="2"/>
      <c r="N1" s="81"/>
    </row>
    <row r="2" spans="1:24" ht="37" customHeight="1">
      <c r="A2" s="6"/>
      <c r="B2" s="6"/>
      <c r="C2" s="162"/>
      <c r="D2" s="176"/>
      <c r="E2" s="8"/>
      <c r="F2" s="8"/>
      <c r="G2" s="8"/>
      <c r="H2" s="8"/>
      <c r="I2" s="22"/>
      <c r="J2" s="116"/>
      <c r="K2" s="94" t="str">
        <f>IF(K3=$F3,"q","")</f>
        <v>q</v>
      </c>
      <c r="L2" s="94" t="str">
        <f>IF(L3=$F3,"q","")</f>
        <v/>
      </c>
      <c r="M2" s="94" t="str">
        <f>IF(M3=$F3,"q","")</f>
        <v/>
      </c>
      <c r="N2" s="116"/>
    </row>
    <row r="3" spans="1:24">
      <c r="A3" s="22"/>
      <c r="B3" s="22"/>
      <c r="C3" s="40"/>
      <c r="D3" s="54"/>
      <c r="E3" s="6"/>
      <c r="F3" s="173" t="str">
        <f>INDEX(J3:S3,MATCH(F4,J4:S4,0))</f>
        <v>Base case 1</v>
      </c>
      <c r="G3" s="107"/>
      <c r="H3" s="6"/>
      <c r="I3" s="2"/>
      <c r="J3" s="133"/>
      <c r="K3" s="79" t="s">
        <v>226</v>
      </c>
      <c r="L3" s="79" t="s">
        <v>304</v>
      </c>
      <c r="M3" s="79" t="s">
        <v>69</v>
      </c>
      <c r="N3" s="133"/>
      <c r="O3" s="79" t="s">
        <v>303</v>
      </c>
      <c r="P3" s="79" t="s">
        <v>43</v>
      </c>
      <c r="Q3" s="79" t="s">
        <v>142</v>
      </c>
      <c r="R3" s="79" t="s">
        <v>227</v>
      </c>
      <c r="S3"/>
    </row>
    <row r="4" spans="1:24">
      <c r="A4" s="112"/>
      <c r="B4" s="112"/>
      <c r="C4" s="140"/>
      <c r="D4" s="185"/>
      <c r="E4" s="9" t="s">
        <v>120</v>
      </c>
      <c r="F4" s="179">
        <v>1</v>
      </c>
      <c r="G4" s="9"/>
      <c r="H4" s="9"/>
      <c r="I4" s="141">
        <f>MATCH(F4,$J$4:$S$4,0)</f>
        <v>2</v>
      </c>
      <c r="J4" s="83"/>
      <c r="K4" s="78">
        <v>1</v>
      </c>
      <c r="L4" s="78">
        <v>2</v>
      </c>
      <c r="M4" s="78">
        <v>3</v>
      </c>
      <c r="N4" s="83"/>
      <c r="O4" s="89">
        <v>4</v>
      </c>
      <c r="P4" s="89">
        <v>5</v>
      </c>
      <c r="Q4" s="89">
        <v>6</v>
      </c>
      <c r="R4" s="89">
        <v>7</v>
      </c>
      <c r="S4"/>
    </row>
    <row r="5" spans="1:24">
      <c r="A5" s="112"/>
      <c r="B5" s="112"/>
      <c r="C5" s="140"/>
      <c r="D5" s="185"/>
      <c r="E5" s="9" t="s">
        <v>141</v>
      </c>
      <c r="F5" s="147">
        <v>1</v>
      </c>
      <c r="G5" s="9"/>
      <c r="H5" s="9"/>
      <c r="I5" s="141">
        <f>MATCH(F5,$J$4:$S$4,0)</f>
        <v>2</v>
      </c>
      <c r="J5" s="83"/>
      <c r="K5" s="9"/>
      <c r="L5" s="9"/>
      <c r="M5" s="9"/>
      <c r="N5" s="83"/>
      <c r="O5" s="9"/>
      <c r="P5" s="9"/>
      <c r="Q5" s="9"/>
      <c r="R5" s="9"/>
    </row>
    <row r="6" spans="1:24">
      <c r="A6" s="112"/>
      <c r="B6" s="112"/>
      <c r="C6" s="140"/>
      <c r="D6" s="185"/>
      <c r="E6" s="9" t="s">
        <v>157</v>
      </c>
      <c r="F6" s="158">
        <f>INDEX(J6:S6,MATCH(F4,J4:S4,0))</f>
        <v>1</v>
      </c>
      <c r="G6" s="9"/>
      <c r="H6" s="9"/>
      <c r="I6" s="141">
        <f>MATCH(F6,$J$4:$S$4,0)</f>
        <v>2</v>
      </c>
      <c r="J6" s="83"/>
      <c r="K6" s="78">
        <v>1</v>
      </c>
      <c r="L6" s="78">
        <v>2</v>
      </c>
      <c r="M6" s="78">
        <v>3</v>
      </c>
      <c r="N6" s="83"/>
      <c r="O6" s="78">
        <v>1</v>
      </c>
      <c r="P6" s="78">
        <v>1</v>
      </c>
      <c r="Q6" s="78">
        <v>2</v>
      </c>
      <c r="R6" s="78">
        <v>2</v>
      </c>
      <c r="S6"/>
    </row>
    <row r="7" spans="1:24">
      <c r="A7" s="22"/>
      <c r="B7" s="22"/>
      <c r="C7" s="40"/>
      <c r="D7" s="54"/>
      <c r="E7" s="9" t="s">
        <v>68</v>
      </c>
      <c r="F7" s="143">
        <f>COUNTIF($I$13:$I$102,"tu")</f>
        <v>5</v>
      </c>
      <c r="G7" s="9"/>
      <c r="H7" s="9"/>
      <c r="J7" s="83"/>
      <c r="K7" s="98" t="str">
        <f>IF(K6=$F$5,"Base case","")</f>
        <v>Base case</v>
      </c>
      <c r="L7" s="98" t="str">
        <f>IF(L6=$F$5,"Base case","")</f>
        <v/>
      </c>
      <c r="M7" s="98" t="str">
        <f>IF(M6=$F$5,"Base case","")</f>
        <v/>
      </c>
      <c r="N7" s="83"/>
      <c r="O7" s="9"/>
      <c r="P7" s="9"/>
      <c r="Q7" s="9"/>
      <c r="R7" s="9"/>
    </row>
    <row r="8" spans="1:24">
      <c r="A8" s="22"/>
      <c r="B8" s="22"/>
      <c r="C8" s="40"/>
      <c r="D8" s="54"/>
      <c r="E8" s="71"/>
      <c r="F8" s="71"/>
      <c r="I8" s="153"/>
      <c r="J8" s="81"/>
      <c r="K8" s="2"/>
      <c r="L8" s="2"/>
      <c r="M8" s="2"/>
      <c r="N8" s="81"/>
    </row>
    <row r="9" spans="1:24">
      <c r="A9" s="22"/>
      <c r="B9" s="22"/>
      <c r="C9" s="40"/>
      <c r="D9" s="54"/>
      <c r="E9" s="2"/>
      <c r="F9" s="22" t="s">
        <v>248</v>
      </c>
      <c r="G9" s="22" t="s">
        <v>224</v>
      </c>
      <c r="H9" s="22" t="s">
        <v>93</v>
      </c>
      <c r="I9" s="72"/>
      <c r="J9" s="81"/>
      <c r="K9" s="2"/>
      <c r="L9" s="2"/>
      <c r="M9" s="2"/>
      <c r="N9" s="81"/>
    </row>
    <row r="10" spans="1:24">
      <c r="A10" s="22"/>
      <c r="B10" s="22"/>
      <c r="C10" s="40"/>
      <c r="D10" s="54"/>
      <c r="E10" s="2"/>
      <c r="F10" s="22"/>
      <c r="G10" s="22"/>
      <c r="H10" s="22"/>
      <c r="I10" s="72"/>
      <c r="J10" s="81"/>
      <c r="K10" s="2"/>
      <c r="L10" s="2"/>
      <c r="M10" s="2"/>
      <c r="N10" s="81"/>
    </row>
    <row r="11" spans="1:24">
      <c r="A11" s="22"/>
      <c r="B11" s="22"/>
      <c r="C11" s="40"/>
      <c r="D11" s="54"/>
      <c r="E11" s="2"/>
      <c r="F11" s="22"/>
      <c r="G11" s="22"/>
      <c r="H11" s="22"/>
      <c r="I11" s="72"/>
      <c r="J11" s="81"/>
      <c r="K11" s="2"/>
      <c r="L11" s="2"/>
      <c r="M11" s="2"/>
      <c r="N11" s="81"/>
    </row>
    <row r="12" spans="1:24">
      <c r="A12" s="22"/>
      <c r="B12" s="22"/>
      <c r="C12" s="40"/>
      <c r="D12" s="54"/>
      <c r="E12" s="2"/>
      <c r="F12" s="22"/>
      <c r="G12" s="22"/>
      <c r="H12" s="22"/>
      <c r="I12" s="72"/>
      <c r="J12" s="81"/>
      <c r="K12" s="2"/>
      <c r="L12" s="2"/>
      <c r="M12" s="2"/>
      <c r="N12" s="81"/>
    </row>
    <row r="13" spans="1:24">
      <c r="A13" s="22" t="s">
        <v>326</v>
      </c>
      <c r="B13" s="22"/>
      <c r="C13" s="40"/>
      <c r="D13" s="54"/>
      <c r="E13" s="2"/>
      <c r="F13" s="2"/>
      <c r="G13" s="2"/>
      <c r="H13" s="2"/>
      <c r="I13" s="72" t="str">
        <f t="shared" ref="I13:I22" si="0">IF(INDEX(J13:S13,I$5)="",IF(INDEX(J13:S13,I$4)=F13,"vw","tu"),IF(INDEX(J13:S13,I$5)=F13,"vw","tu"))</f>
        <v>vw</v>
      </c>
      <c r="J13" s="81"/>
      <c r="K13" s="2"/>
      <c r="L13" s="2"/>
      <c r="M13" s="2"/>
      <c r="N13" s="81"/>
      <c r="O13" s="35"/>
      <c r="P13" s="35"/>
      <c r="Q13" s="35"/>
      <c r="R13" s="35"/>
      <c r="S13"/>
    </row>
    <row r="14" spans="1:24">
      <c r="A14" s="22"/>
      <c r="B14" s="22"/>
      <c r="C14" s="40"/>
      <c r="D14" s="54"/>
      <c r="E14" s="45" t="s">
        <v>251</v>
      </c>
      <c r="F14" s="2">
        <f>SQRInputBindings!I3</f>
        <v>0.9</v>
      </c>
      <c r="G14" s="45" t="s">
        <v>205</v>
      </c>
      <c r="H14" s="45"/>
      <c r="I14" s="72" t="str">
        <f t="shared" si="0"/>
        <v>vw</v>
      </c>
      <c r="J14" s="85"/>
      <c r="K14" s="29">
        <v>0.9</v>
      </c>
      <c r="L14" s="29">
        <v>0.9</v>
      </c>
      <c r="M14" s="29">
        <v>0.9</v>
      </c>
      <c r="N14" s="85"/>
      <c r="O14" s="29">
        <v>0.9</v>
      </c>
      <c r="P14" s="29">
        <v>0.9</v>
      </c>
      <c r="Q14" s="29">
        <v>0.9</v>
      </c>
      <c r="R14" s="29">
        <v>0.9</v>
      </c>
      <c r="S14"/>
      <c r="T14" s="35"/>
      <c r="U14" s="35"/>
      <c r="V14" s="35"/>
      <c r="W14" s="35"/>
      <c r="X14"/>
    </row>
    <row r="15" spans="1:24">
      <c r="E15" s="49" t="s">
        <v>182</v>
      </c>
      <c r="F15" s="2">
        <f>SQRInputBindings!I4</f>
        <v>500</v>
      </c>
      <c r="G15" s="49" t="s">
        <v>122</v>
      </c>
      <c r="I15" s="72" t="str">
        <f t="shared" si="0"/>
        <v>vw</v>
      </c>
      <c r="J15"/>
      <c r="K15" s="19">
        <v>500</v>
      </c>
      <c r="L15" s="19">
        <v>500</v>
      </c>
      <c r="M15" s="19"/>
      <c r="N15"/>
      <c r="O15" s="19"/>
      <c r="P15" s="19"/>
      <c r="Q15" s="19"/>
      <c r="R15" s="19"/>
      <c r="S15"/>
      <c r="T15" s="35"/>
      <c r="U15" s="35"/>
      <c r="V15" s="35"/>
      <c r="W15" s="35"/>
      <c r="X15"/>
    </row>
    <row r="16" spans="1:24">
      <c r="E16" s="61" t="s">
        <v>70</v>
      </c>
      <c r="F16" s="2">
        <f>SQRInputBindings!I5</f>
        <v>1</v>
      </c>
      <c r="G16" s="61" t="s">
        <v>205</v>
      </c>
      <c r="H16" s="75"/>
      <c r="I16" s="72" t="str">
        <f t="shared" si="0"/>
        <v>vw</v>
      </c>
      <c r="J16" s="60"/>
      <c r="K16" s="29">
        <v>1</v>
      </c>
      <c r="L16" s="29">
        <v>1</v>
      </c>
      <c r="M16" s="29">
        <v>1</v>
      </c>
      <c r="N16" s="60"/>
      <c r="O16" s="29">
        <v>1</v>
      </c>
      <c r="P16" s="29">
        <v>1</v>
      </c>
      <c r="Q16" s="29">
        <v>1</v>
      </c>
      <c r="R16" s="29">
        <v>1</v>
      </c>
      <c r="S16"/>
      <c r="T16" s="35"/>
      <c r="U16" s="35"/>
      <c r="V16" s="35"/>
      <c r="W16" s="35"/>
      <c r="X16"/>
    </row>
    <row r="17" spans="1:24">
      <c r="E17" s="49" t="s">
        <v>206</v>
      </c>
      <c r="F17" s="2">
        <f>SQRInputBindings!I6</f>
        <v>1</v>
      </c>
      <c r="G17" s="49"/>
      <c r="I17" s="72" t="str">
        <f t="shared" si="0"/>
        <v>vw</v>
      </c>
      <c r="J17"/>
      <c r="K17" s="19">
        <v>1</v>
      </c>
      <c r="L17" s="19">
        <v>1</v>
      </c>
      <c r="M17" s="19">
        <v>1</v>
      </c>
      <c r="N17"/>
      <c r="O17" s="19">
        <v>1</v>
      </c>
      <c r="P17" s="19">
        <v>1</v>
      </c>
      <c r="Q17" s="19">
        <v>1</v>
      </c>
      <c r="R17" s="19">
        <v>1</v>
      </c>
      <c r="S17"/>
      <c r="T17" s="35"/>
      <c r="U17" s="35"/>
      <c r="V17" s="35"/>
      <c r="W17" s="35"/>
      <c r="X17"/>
    </row>
    <row r="18" spans="1:24">
      <c r="E18" s="49" t="s">
        <v>183</v>
      </c>
      <c r="F18" s="2">
        <f>SQRInputBindings!I7</f>
        <v>0</v>
      </c>
      <c r="G18" s="49" t="s">
        <v>122</v>
      </c>
      <c r="I18" s="72" t="str">
        <f t="shared" si="0"/>
        <v>vw</v>
      </c>
      <c r="J18"/>
      <c r="K18" s="19">
        <v>0</v>
      </c>
      <c r="L18" s="19">
        <v>0</v>
      </c>
      <c r="M18" s="19">
        <v>0</v>
      </c>
      <c r="N18"/>
      <c r="O18" s="19">
        <v>0</v>
      </c>
      <c r="P18" s="19">
        <v>0</v>
      </c>
      <c r="Q18" s="19">
        <v>0</v>
      </c>
      <c r="R18" s="19">
        <v>0</v>
      </c>
      <c r="S18"/>
      <c r="T18" s="35"/>
      <c r="U18" s="35"/>
      <c r="V18" s="35"/>
      <c r="W18" s="35"/>
      <c r="X18"/>
    </row>
    <row r="19" spans="1:24">
      <c r="E19" s="49" t="s">
        <v>306</v>
      </c>
      <c r="F19" s="2">
        <f>SQRInputBindings!I8</f>
        <v>2</v>
      </c>
      <c r="G19" s="49" t="s">
        <v>71</v>
      </c>
      <c r="I19" s="72" t="str">
        <f t="shared" si="0"/>
        <v>vw</v>
      </c>
      <c r="J19"/>
      <c r="K19" s="19">
        <v>2</v>
      </c>
      <c r="L19" s="19"/>
      <c r="M19" s="19"/>
      <c r="N19"/>
      <c r="O19" s="19"/>
      <c r="P19" s="19"/>
      <c r="Q19" s="19"/>
      <c r="R19" s="19"/>
      <c r="S19"/>
      <c r="T19" s="35"/>
      <c r="U19" s="35"/>
      <c r="V19" s="35"/>
      <c r="W19" s="35"/>
      <c r="X19"/>
    </row>
    <row r="20" spans="1:24">
      <c r="E20" s="49" t="s">
        <v>269</v>
      </c>
      <c r="F20" s="2">
        <f>SQRInputBindings!I9</f>
        <v>35</v>
      </c>
      <c r="G20" s="49" t="s">
        <v>252</v>
      </c>
      <c r="I20" s="72" t="str">
        <f t="shared" si="0"/>
        <v>tu</v>
      </c>
      <c r="J20"/>
      <c r="K20" s="19">
        <v>12</v>
      </c>
      <c r="L20" s="19"/>
      <c r="M20" s="19"/>
      <c r="N20"/>
      <c r="O20" s="19"/>
      <c r="P20" s="19"/>
      <c r="Q20" s="19"/>
      <c r="R20" s="19"/>
      <c r="S20"/>
      <c r="T20" s="35"/>
      <c r="U20" s="35"/>
      <c r="V20" s="35"/>
      <c r="W20" s="35"/>
      <c r="X20"/>
    </row>
    <row r="21" spans="1:24">
      <c r="E21" s="49" t="s">
        <v>270</v>
      </c>
      <c r="F21" s="2">
        <f>SQRInputBindings!I10</f>
        <v>24</v>
      </c>
      <c r="G21" s="49" t="s">
        <v>71</v>
      </c>
      <c r="I21" s="72" t="str">
        <f t="shared" si="0"/>
        <v>vw</v>
      </c>
      <c r="J21"/>
      <c r="K21" s="19">
        <v>24</v>
      </c>
      <c r="L21" s="19"/>
      <c r="M21" s="19"/>
      <c r="N21"/>
      <c r="O21" s="19"/>
      <c r="P21" s="19"/>
      <c r="Q21" s="19"/>
      <c r="R21" s="19"/>
      <c r="S21"/>
      <c r="T21" s="35"/>
      <c r="U21" s="35"/>
      <c r="V21" s="35"/>
      <c r="W21" s="35"/>
      <c r="X21"/>
    </row>
    <row r="22" spans="1:24">
      <c r="E22" s="49" t="s">
        <v>3</v>
      </c>
      <c r="F22" s="2">
        <f>SQRInputBindings!I11</f>
        <v>12</v>
      </c>
      <c r="G22" s="49" t="s">
        <v>71</v>
      </c>
      <c r="I22" s="72" t="str">
        <f t="shared" si="0"/>
        <v>vw</v>
      </c>
      <c r="J22"/>
      <c r="K22" s="19">
        <v>12</v>
      </c>
      <c r="L22" s="19">
        <v>12</v>
      </c>
      <c r="M22" s="19">
        <v>12</v>
      </c>
      <c r="N22"/>
      <c r="O22" s="19">
        <v>12</v>
      </c>
      <c r="P22" s="19">
        <v>12</v>
      </c>
      <c r="Q22" s="19">
        <v>12</v>
      </c>
      <c r="R22" s="19">
        <v>12</v>
      </c>
      <c r="S22"/>
      <c r="T22" s="35"/>
      <c r="U22" s="35"/>
      <c r="V22" s="35"/>
      <c r="W22" s="35"/>
      <c r="X22"/>
    </row>
    <row r="23" spans="1:24">
      <c r="F23" s="2"/>
      <c r="I23"/>
    </row>
    <row r="24" spans="1:24">
      <c r="A24" s="180" t="s">
        <v>159</v>
      </c>
      <c r="F24" s="2"/>
      <c r="I24"/>
    </row>
    <row r="25" spans="1:24">
      <c r="E25" s="49" t="s">
        <v>98</v>
      </c>
      <c r="F25" s="2">
        <f>SQRInputBindings!I14</f>
        <v>25000</v>
      </c>
      <c r="G25" s="49" t="s">
        <v>252</v>
      </c>
      <c r="I25" s="72" t="str">
        <f>IF(INDEX(J25:S25,I$5)="",IF(INDEX(J25:S25,I$4)=F25,"vw","tu"),IF(INDEX(J25:S25,I$5)=F25,"vw","tu"))</f>
        <v>tu</v>
      </c>
      <c r="J25"/>
      <c r="K25" s="19">
        <v>45000</v>
      </c>
      <c r="L25" s="19">
        <v>25000</v>
      </c>
      <c r="M25" s="19">
        <v>25000</v>
      </c>
      <c r="N25"/>
      <c r="O25" s="19">
        <v>25000</v>
      </c>
      <c r="P25" s="19">
        <v>25000</v>
      </c>
      <c r="Q25" s="19">
        <v>25000</v>
      </c>
      <c r="R25" s="19">
        <v>25000</v>
      </c>
      <c r="S25"/>
      <c r="T25" s="35"/>
      <c r="U25" s="35"/>
      <c r="V25" s="35"/>
      <c r="W25" s="35"/>
      <c r="X25"/>
    </row>
    <row r="26" spans="1:24">
      <c r="E26" s="61" t="s">
        <v>327</v>
      </c>
      <c r="F26" s="2">
        <f>SQRInputBindings!I15</f>
        <v>0.1</v>
      </c>
      <c r="G26" s="61" t="s">
        <v>205</v>
      </c>
      <c r="H26" s="75"/>
      <c r="I26" s="72" t="str">
        <f>IF(INDEX(J26:S26,I$5)="",IF(INDEX(J26:S26,I$4)=F26,"vw","tu"),IF(INDEX(J26:S26,I$5)=F26,"vw","tu"))</f>
        <v>vw</v>
      </c>
      <c r="J26" s="60"/>
      <c r="K26" s="29">
        <v>0.1</v>
      </c>
      <c r="L26" s="29">
        <v>0.1</v>
      </c>
      <c r="M26" s="29">
        <v>0.1</v>
      </c>
      <c r="N26" s="60"/>
      <c r="O26" s="29">
        <v>0.1</v>
      </c>
      <c r="P26" s="29">
        <v>0.1</v>
      </c>
      <c r="Q26" s="29">
        <v>0.1</v>
      </c>
      <c r="R26" s="29">
        <v>0.1</v>
      </c>
      <c r="S26"/>
      <c r="T26" s="35"/>
      <c r="U26" s="35"/>
      <c r="V26" s="35"/>
      <c r="W26" s="35"/>
      <c r="X26"/>
    </row>
    <row r="27" spans="1:24">
      <c r="E27" s="49" t="s">
        <v>307</v>
      </c>
      <c r="F27" s="2">
        <f>SQRInputBindings!I16</f>
        <v>3</v>
      </c>
      <c r="G27" s="49" t="s">
        <v>71</v>
      </c>
      <c r="I27" s="72" t="str">
        <f>IF(INDEX(J27:S27,I$5)="",IF(INDEX(J27:S27,I$4)=F27,"vw","tu"),IF(INDEX(J27:S27,I$5)=F27,"vw","tu"))</f>
        <v>vw</v>
      </c>
      <c r="J27"/>
      <c r="K27" s="19">
        <v>3</v>
      </c>
      <c r="L27" s="19">
        <v>3</v>
      </c>
      <c r="M27" s="19">
        <v>3</v>
      </c>
      <c r="N27"/>
      <c r="O27" s="19">
        <v>3</v>
      </c>
      <c r="P27" s="19">
        <v>3</v>
      </c>
      <c r="Q27" s="19">
        <v>3</v>
      </c>
      <c r="R27" s="19">
        <v>3</v>
      </c>
      <c r="S27"/>
      <c r="T27" s="35"/>
      <c r="U27" s="35"/>
      <c r="V27" s="35"/>
      <c r="W27" s="35"/>
      <c r="X27"/>
    </row>
    <row r="28" spans="1:24">
      <c r="E28" s="61" t="s">
        <v>308</v>
      </c>
      <c r="F28" s="2">
        <f>SQRInputBindings!I17</f>
        <v>0.05</v>
      </c>
      <c r="G28" s="61" t="s">
        <v>205</v>
      </c>
      <c r="H28" s="75"/>
      <c r="I28" s="72" t="str">
        <f>IF(INDEX(J28:S28,I$5)="",IF(INDEX(J28:S28,I$4)=F28,"vw","tu"),IF(INDEX(J28:S28,I$5)=F28,"vw","tu"))</f>
        <v>vw</v>
      </c>
      <c r="J28" s="60"/>
      <c r="K28" s="29">
        <v>0.05</v>
      </c>
      <c r="L28" s="29">
        <v>0.05</v>
      </c>
      <c r="M28" s="29">
        <v>0.05</v>
      </c>
      <c r="N28" s="60"/>
      <c r="O28" s="29">
        <v>0.05</v>
      </c>
      <c r="P28" s="29">
        <v>0.05</v>
      </c>
      <c r="Q28" s="29">
        <v>0.05</v>
      </c>
      <c r="R28" s="29">
        <v>0.05</v>
      </c>
      <c r="S28"/>
      <c r="T28" s="35"/>
      <c r="U28" s="35"/>
      <c r="V28" s="35"/>
      <c r="W28" s="35"/>
      <c r="X28"/>
    </row>
    <row r="29" spans="1:24">
      <c r="F29" s="2"/>
      <c r="I29"/>
    </row>
    <row r="30" spans="1:24">
      <c r="A30" s="180" t="s">
        <v>27</v>
      </c>
      <c r="F30" s="2"/>
      <c r="I30"/>
    </row>
    <row r="31" spans="1:24">
      <c r="E31" s="49" t="s">
        <v>72</v>
      </c>
      <c r="F31" s="2">
        <f>SQRInputBindings!I20</f>
        <v>1000</v>
      </c>
      <c r="G31" s="49" t="s">
        <v>122</v>
      </c>
      <c r="I31" s="72" t="str">
        <f>IF(INDEX(J31:S31,I$5)="",IF(INDEX(J31:S31,I$4)=F31,"vw","tu"),IF(INDEX(J31:S31,I$5)=F31,"vw","tu"))</f>
        <v>vw</v>
      </c>
      <c r="J31"/>
      <c r="K31" s="19">
        <v>1000</v>
      </c>
      <c r="L31" s="19">
        <v>1000</v>
      </c>
      <c r="M31" s="19">
        <v>1000</v>
      </c>
      <c r="N31"/>
      <c r="O31" s="19">
        <v>1000</v>
      </c>
      <c r="P31" s="19">
        <v>1000</v>
      </c>
      <c r="Q31" s="19">
        <v>1000</v>
      </c>
      <c r="R31" s="19">
        <v>1000</v>
      </c>
      <c r="S31"/>
      <c r="T31" s="35"/>
      <c r="U31" s="35"/>
      <c r="V31" s="35"/>
      <c r="W31" s="35"/>
      <c r="X31"/>
    </row>
    <row r="32" spans="1:24">
      <c r="E32" s="61" t="s">
        <v>47</v>
      </c>
      <c r="F32" s="2">
        <f>SQRInputBindings!I21</f>
        <v>0.3</v>
      </c>
      <c r="G32" s="61" t="s">
        <v>205</v>
      </c>
      <c r="H32" s="75"/>
      <c r="I32" s="72" t="str">
        <f>IF(INDEX(J32:S32,I$5)="",IF(INDEX(J32:S32,I$4)=F32,"vw","tu"),IF(INDEX(J32:S32,I$5)=F32,"vw","tu"))</f>
        <v>vw</v>
      </c>
      <c r="J32" s="60"/>
      <c r="K32" s="29">
        <v>0.3</v>
      </c>
      <c r="L32" s="29"/>
      <c r="M32" s="29"/>
      <c r="N32" s="60"/>
      <c r="O32" s="29"/>
      <c r="P32" s="29"/>
      <c r="Q32" s="29"/>
      <c r="R32" s="29"/>
      <c r="S32"/>
      <c r="T32" s="35"/>
      <c r="U32" s="35"/>
      <c r="V32" s="35"/>
      <c r="W32" s="35"/>
      <c r="X32"/>
    </row>
    <row r="33" spans="1:24">
      <c r="E33" s="49" t="s">
        <v>48</v>
      </c>
      <c r="F33" s="2">
        <f>SQRInputBindings!I22</f>
        <v>6</v>
      </c>
      <c r="G33" s="49" t="s">
        <v>71</v>
      </c>
      <c r="I33" s="72" t="str">
        <f>IF(INDEX(J33:S33,I$5)="",IF(INDEX(J33:S33,I$4)=F33,"vw","tu"),IF(INDEX(J33:S33,I$5)=F33,"vw","tu"))</f>
        <v>vw</v>
      </c>
      <c r="J33"/>
      <c r="K33" s="19">
        <v>6</v>
      </c>
      <c r="L33" s="19"/>
      <c r="M33" s="19"/>
      <c r="N33"/>
      <c r="O33" s="19"/>
      <c r="P33" s="19"/>
      <c r="Q33" s="19"/>
      <c r="R33" s="19"/>
      <c r="S33"/>
      <c r="T33" s="35"/>
      <c r="U33" s="35"/>
      <c r="V33" s="35"/>
      <c r="W33" s="35"/>
      <c r="X33"/>
    </row>
    <row r="34" spans="1:24">
      <c r="E34" s="49" t="s">
        <v>207</v>
      </c>
      <c r="F34" s="2">
        <f>SQRInputBindings!I23</f>
        <v>35</v>
      </c>
      <c r="G34" s="49" t="s">
        <v>252</v>
      </c>
      <c r="I34" s="72" t="str">
        <f>IF(INDEX(J34:S34,I$5)="",IF(INDEX(J34:S34,I$4)=F34,"vw","tu"),IF(INDEX(J34:S34,I$5)=F34,"vw","tu"))</f>
        <v>vw</v>
      </c>
      <c r="J34"/>
      <c r="K34" s="19">
        <v>35</v>
      </c>
      <c r="L34" s="19"/>
      <c r="M34" s="19"/>
      <c r="N34"/>
      <c r="O34" s="19"/>
      <c r="P34" s="19"/>
      <c r="Q34" s="19"/>
      <c r="R34" s="19"/>
      <c r="S34"/>
      <c r="T34" s="35"/>
      <c r="U34" s="35"/>
      <c r="V34" s="35"/>
      <c r="W34" s="35"/>
      <c r="X34"/>
    </row>
    <row r="35" spans="1:24">
      <c r="E35" s="49" t="s">
        <v>286</v>
      </c>
      <c r="F35" s="2">
        <f>SQRInputBindings!I24</f>
        <v>5000</v>
      </c>
      <c r="G35" s="49" t="s">
        <v>122</v>
      </c>
      <c r="I35" s="72" t="str">
        <f>IF(INDEX(J35:S35,I$5)="",IF(INDEX(J35:S35,I$4)=F35,"vw","tu"),IF(INDEX(J35:S35,I$5)=F35,"vw","tu"))</f>
        <v>vw</v>
      </c>
      <c r="J35"/>
      <c r="K35" s="19">
        <v>5000</v>
      </c>
      <c r="L35" s="19"/>
      <c r="M35" s="19"/>
      <c r="N35"/>
      <c r="O35" s="19"/>
      <c r="P35" s="19"/>
      <c r="Q35" s="19"/>
      <c r="R35" s="19"/>
      <c r="S35"/>
      <c r="T35" s="35"/>
      <c r="U35" s="35"/>
      <c r="V35" s="35"/>
      <c r="W35" s="35"/>
      <c r="X35"/>
    </row>
    <row r="36" spans="1:24">
      <c r="I36"/>
    </row>
    <row r="37" spans="1:24">
      <c r="A37" s="180" t="s">
        <v>208</v>
      </c>
      <c r="I37"/>
    </row>
    <row r="38" spans="1:24">
      <c r="E38" s="49" t="s">
        <v>160</v>
      </c>
      <c r="F38" s="70">
        <f>IF(INDEX(J38:X38,$I$4)="",INDEX(J38:X38,$I$6),INDEX(J38:X38,$I$4))</f>
        <v>24</v>
      </c>
      <c r="G38" s="49" t="s">
        <v>71</v>
      </c>
      <c r="I38" s="72" t="str">
        <f>IF(INDEX(J38:S38,I$5)="",IF(INDEX(J38:S38,I$4)=F38,"vw","tu"),IF(INDEX(J38:S38,I$5)=F38,"vw","tu"))</f>
        <v>vw</v>
      </c>
      <c r="J38"/>
      <c r="K38" s="19">
        <v>24</v>
      </c>
      <c r="L38" s="19"/>
      <c r="M38" s="19"/>
      <c r="N38"/>
      <c r="O38" s="19"/>
      <c r="P38" s="19"/>
      <c r="Q38" s="19"/>
      <c r="R38" s="19"/>
      <c r="S38"/>
      <c r="T38" s="35"/>
      <c r="U38" s="35"/>
      <c r="V38" s="35"/>
      <c r="W38" s="35"/>
      <c r="X38"/>
    </row>
    <row r="39" spans="1:24">
      <c r="E39" s="49" t="s">
        <v>328</v>
      </c>
      <c r="F39" s="70">
        <f>IF(INDEX(J39:X39,$I$4)="",INDEX(J39:X39,$I$6),INDEX(J39:X39,$I$4))</f>
        <v>0</v>
      </c>
      <c r="G39" s="49" t="s">
        <v>122</v>
      </c>
      <c r="I39" s="72" t="str">
        <f>IF(INDEX(J39:S39,I$5)="",IF(INDEX(J39:S39,I$4)=F39,"vw","tu"),IF(INDEX(J39:S39,I$5)=F39,"vw","tu"))</f>
        <v>vw</v>
      </c>
      <c r="J39"/>
      <c r="K39" s="19"/>
      <c r="L39" s="19"/>
      <c r="M39" s="19"/>
      <c r="N39"/>
      <c r="O39" s="19"/>
      <c r="P39" s="19"/>
      <c r="Q39" s="19"/>
      <c r="R39" s="19"/>
      <c r="S39"/>
      <c r="T39" s="35"/>
      <c r="U39" s="35"/>
      <c r="V39" s="35"/>
      <c r="W39" s="35"/>
      <c r="X39"/>
    </row>
    <row r="40" spans="1:24">
      <c r="E40" s="49" t="s">
        <v>287</v>
      </c>
      <c r="F40" s="70">
        <f>IF(INDEX(J40:X40,$I$4)="",INDEX(J40:X40,$I$6),INDEX(J40:X40,$I$4))</f>
        <v>0</v>
      </c>
      <c r="G40" s="49" t="s">
        <v>122</v>
      </c>
      <c r="I40" s="72" t="str">
        <f>IF(INDEX(J40:S40,I$5)="",IF(INDEX(J40:S40,I$4)=F40,"vw","tu"),IF(INDEX(J40:S40,I$5)=F40,"vw","tu"))</f>
        <v>vw</v>
      </c>
      <c r="J40"/>
      <c r="K40" s="19"/>
      <c r="L40" s="19"/>
      <c r="M40" s="19"/>
      <c r="N40"/>
      <c r="O40" s="19"/>
      <c r="P40" s="19"/>
      <c r="Q40" s="19"/>
      <c r="R40" s="19"/>
      <c r="S40"/>
      <c r="T40" s="35"/>
      <c r="U40" s="35"/>
      <c r="V40" s="35"/>
      <c r="W40" s="35"/>
      <c r="X40"/>
    </row>
    <row r="41" spans="1:24">
      <c r="E41" s="49" t="s">
        <v>161</v>
      </c>
      <c r="F41" s="70">
        <f>IF(INDEX(J41:X41,$I$4)="",INDEX(J41:X41,$I$6),INDEX(J41:X41,$I$4))</f>
        <v>0</v>
      </c>
      <c r="G41" s="49" t="s">
        <v>122</v>
      </c>
      <c r="I41" s="72" t="str">
        <f>IF(INDEX(J41:S41,I$5)="",IF(INDEX(J41:S41,I$4)=F41,"vw","tu"),IF(INDEX(J41:S41,I$5)=F41,"vw","tu"))</f>
        <v>vw</v>
      </c>
      <c r="J41"/>
      <c r="K41" s="19"/>
      <c r="L41" s="19"/>
      <c r="M41" s="19"/>
      <c r="N41"/>
      <c r="O41" s="19"/>
      <c r="P41" s="19"/>
      <c r="Q41" s="19"/>
      <c r="R41" s="19"/>
      <c r="S41"/>
      <c r="T41" s="35"/>
      <c r="U41" s="35"/>
      <c r="V41" s="35"/>
      <c r="W41" s="35"/>
      <c r="X41"/>
    </row>
    <row r="42" spans="1:24">
      <c r="I42"/>
    </row>
    <row r="43" spans="1:24">
      <c r="A43" s="180" t="s">
        <v>99</v>
      </c>
      <c r="I43"/>
    </row>
    <row r="44" spans="1:24">
      <c r="E44" s="49" t="s">
        <v>209</v>
      </c>
      <c r="F44" s="70">
        <f t="shared" ref="F44:F52" si="1">IF(INDEX(J44:X44,$I$4)="",INDEX(J44:X44,$I$6),INDEX(J44:X44,$I$4))</f>
        <v>0</v>
      </c>
      <c r="G44" s="49" t="s">
        <v>252</v>
      </c>
      <c r="I44" s="72" t="str">
        <f t="shared" ref="I44:I52" si="2">IF(INDEX(J44:S44,I$5)="",IF(INDEX(J44:S44,I$4)=F44,"vw","tu"),IF(INDEX(J44:S44,I$5)=F44,"vw","tu"))</f>
        <v>vw</v>
      </c>
      <c r="J44"/>
      <c r="K44" s="19">
        <v>0</v>
      </c>
      <c r="L44" s="19">
        <v>0</v>
      </c>
      <c r="M44" s="19">
        <v>0</v>
      </c>
      <c r="N44"/>
      <c r="O44" s="19">
        <v>0</v>
      </c>
      <c r="P44" s="19">
        <v>0</v>
      </c>
      <c r="Q44" s="19">
        <v>0</v>
      </c>
      <c r="R44" s="19">
        <v>0</v>
      </c>
      <c r="S44"/>
      <c r="T44" s="35"/>
      <c r="U44" s="35"/>
      <c r="V44" s="35"/>
      <c r="W44" s="35"/>
      <c r="X44"/>
    </row>
    <row r="45" spans="1:24">
      <c r="E45" s="49" t="s">
        <v>4</v>
      </c>
      <c r="F45" s="70">
        <f t="shared" si="1"/>
        <v>0</v>
      </c>
      <c r="G45" s="49" t="s">
        <v>252</v>
      </c>
      <c r="I45" s="72" t="str">
        <f t="shared" si="2"/>
        <v>vw</v>
      </c>
      <c r="J45"/>
      <c r="K45" s="19">
        <v>0</v>
      </c>
      <c r="L45" s="19">
        <v>0</v>
      </c>
      <c r="M45" s="19">
        <v>0</v>
      </c>
      <c r="N45"/>
      <c r="O45" s="19">
        <v>0</v>
      </c>
      <c r="P45" s="19">
        <v>0</v>
      </c>
      <c r="Q45" s="19">
        <v>0</v>
      </c>
      <c r="R45" s="19">
        <v>0</v>
      </c>
      <c r="S45"/>
      <c r="T45" s="35"/>
      <c r="U45" s="35"/>
      <c r="V45" s="35"/>
      <c r="W45" s="35"/>
      <c r="X45"/>
    </row>
    <row r="46" spans="1:24">
      <c r="E46" s="49" t="s">
        <v>329</v>
      </c>
      <c r="F46" s="70">
        <f t="shared" si="1"/>
        <v>0</v>
      </c>
      <c r="G46" s="49" t="s">
        <v>252</v>
      </c>
      <c r="I46" s="72" t="str">
        <f t="shared" si="2"/>
        <v>vw</v>
      </c>
      <c r="J46"/>
      <c r="K46" s="19">
        <v>0</v>
      </c>
      <c r="L46" s="19">
        <v>0</v>
      </c>
      <c r="M46" s="19">
        <v>0</v>
      </c>
      <c r="N46"/>
      <c r="O46" s="19">
        <v>0</v>
      </c>
      <c r="P46" s="19">
        <v>0</v>
      </c>
      <c r="Q46" s="19">
        <v>0</v>
      </c>
      <c r="R46" s="19">
        <v>0</v>
      </c>
      <c r="S46"/>
      <c r="T46" s="35"/>
      <c r="U46" s="35"/>
      <c r="V46" s="35"/>
      <c r="W46" s="35"/>
      <c r="X46"/>
    </row>
    <row r="47" spans="1:24">
      <c r="E47" s="49" t="s">
        <v>162</v>
      </c>
      <c r="F47" s="70">
        <f t="shared" si="1"/>
        <v>0</v>
      </c>
      <c r="G47" s="49" t="s">
        <v>252</v>
      </c>
      <c r="I47" s="72" t="str">
        <f t="shared" si="2"/>
        <v>vw</v>
      </c>
      <c r="J47"/>
      <c r="K47" s="19"/>
      <c r="L47" s="19"/>
      <c r="M47" s="19"/>
      <c r="N47"/>
      <c r="O47" s="19"/>
      <c r="P47" s="19"/>
      <c r="Q47" s="19"/>
      <c r="R47" s="19"/>
      <c r="S47"/>
      <c r="T47" s="35"/>
      <c r="U47" s="35"/>
      <c r="V47" s="35"/>
      <c r="W47" s="35"/>
      <c r="X47"/>
    </row>
    <row r="48" spans="1:24">
      <c r="E48" s="49" t="s">
        <v>184</v>
      </c>
      <c r="F48" s="70">
        <f t="shared" si="1"/>
        <v>0</v>
      </c>
      <c r="G48" s="49" t="s">
        <v>252</v>
      </c>
      <c r="I48" s="72" t="str">
        <f t="shared" si="2"/>
        <v>vw</v>
      </c>
      <c r="J48"/>
      <c r="K48" s="19">
        <v>0</v>
      </c>
      <c r="L48" s="19">
        <v>0</v>
      </c>
      <c r="M48" s="19">
        <v>0</v>
      </c>
      <c r="N48"/>
      <c r="O48" s="19">
        <v>0</v>
      </c>
      <c r="P48" s="19">
        <v>0</v>
      </c>
      <c r="Q48" s="19">
        <v>0</v>
      </c>
      <c r="R48" s="19">
        <v>0</v>
      </c>
      <c r="S48"/>
      <c r="T48" s="35"/>
      <c r="U48" s="35"/>
      <c r="V48" s="35"/>
      <c r="W48" s="35"/>
      <c r="X48"/>
    </row>
    <row r="49" spans="1:24">
      <c r="E49" s="49" t="s">
        <v>5</v>
      </c>
      <c r="F49" s="70">
        <f t="shared" si="1"/>
        <v>0</v>
      </c>
      <c r="G49" s="49" t="s">
        <v>252</v>
      </c>
      <c r="I49" s="72" t="str">
        <f t="shared" si="2"/>
        <v>vw</v>
      </c>
      <c r="J49"/>
      <c r="K49" s="19">
        <v>0</v>
      </c>
      <c r="L49" s="19">
        <v>0</v>
      </c>
      <c r="M49" s="19">
        <v>0</v>
      </c>
      <c r="N49"/>
      <c r="O49" s="19">
        <v>0</v>
      </c>
      <c r="P49" s="19">
        <v>0</v>
      </c>
      <c r="Q49" s="19">
        <v>0</v>
      </c>
      <c r="R49" s="19">
        <v>0</v>
      </c>
      <c r="S49"/>
      <c r="T49" s="35"/>
      <c r="U49" s="35"/>
      <c r="V49" s="35"/>
      <c r="W49" s="35"/>
      <c r="X49"/>
    </row>
    <row r="50" spans="1:24">
      <c r="E50" s="49" t="s">
        <v>123</v>
      </c>
      <c r="F50" s="70">
        <f t="shared" si="1"/>
        <v>0</v>
      </c>
      <c r="G50" s="49" t="s">
        <v>252</v>
      </c>
      <c r="I50" s="72" t="str">
        <f t="shared" si="2"/>
        <v>vw</v>
      </c>
      <c r="J50"/>
      <c r="K50" s="19">
        <v>0</v>
      </c>
      <c r="L50" s="19">
        <v>0</v>
      </c>
      <c r="M50" s="19">
        <v>0</v>
      </c>
      <c r="N50"/>
      <c r="O50" s="19">
        <v>0</v>
      </c>
      <c r="P50" s="19">
        <v>0</v>
      </c>
      <c r="Q50" s="19">
        <v>0</v>
      </c>
      <c r="R50" s="19">
        <v>0</v>
      </c>
      <c r="S50"/>
      <c r="T50" s="35"/>
      <c r="U50" s="35"/>
      <c r="V50" s="35"/>
      <c r="W50" s="35"/>
      <c r="X50"/>
    </row>
    <row r="51" spans="1:24">
      <c r="E51" s="49" t="s">
        <v>229</v>
      </c>
      <c r="F51" s="70">
        <f t="shared" si="1"/>
        <v>0</v>
      </c>
      <c r="G51" s="49" t="s">
        <v>252</v>
      </c>
      <c r="I51" s="72" t="str">
        <f t="shared" si="2"/>
        <v>vw</v>
      </c>
      <c r="J51"/>
      <c r="K51" s="19">
        <v>0</v>
      </c>
      <c r="L51" s="19">
        <v>0</v>
      </c>
      <c r="M51" s="19">
        <v>0</v>
      </c>
      <c r="N51"/>
      <c r="O51" s="19">
        <v>0</v>
      </c>
      <c r="P51" s="19">
        <v>0</v>
      </c>
      <c r="Q51" s="19">
        <v>0</v>
      </c>
      <c r="R51" s="19">
        <v>0</v>
      </c>
      <c r="S51"/>
      <c r="T51" s="35"/>
      <c r="U51" s="35"/>
      <c r="V51" s="35"/>
      <c r="W51" s="35"/>
      <c r="X51"/>
    </row>
    <row r="52" spans="1:24">
      <c r="E52" s="49" t="s">
        <v>73</v>
      </c>
      <c r="F52" s="70">
        <f t="shared" si="1"/>
        <v>0</v>
      </c>
      <c r="G52" s="49" t="s">
        <v>252</v>
      </c>
      <c r="I52" s="72" t="str">
        <f t="shared" si="2"/>
        <v>vw</v>
      </c>
      <c r="J52"/>
      <c r="K52" s="19">
        <v>0</v>
      </c>
      <c r="L52" s="19">
        <v>0</v>
      </c>
      <c r="M52" s="19">
        <v>0</v>
      </c>
      <c r="N52"/>
      <c r="O52" s="19">
        <v>0</v>
      </c>
      <c r="P52" s="19">
        <v>0</v>
      </c>
      <c r="Q52" s="19">
        <v>0</v>
      </c>
      <c r="R52" s="19">
        <v>0</v>
      </c>
      <c r="S52"/>
      <c r="T52" s="35"/>
      <c r="U52" s="35"/>
      <c r="V52" s="35"/>
      <c r="W52" s="35"/>
      <c r="X52"/>
    </row>
    <row r="53" spans="1:24">
      <c r="I53"/>
    </row>
    <row r="54" spans="1:24">
      <c r="A54" s="180" t="s">
        <v>146</v>
      </c>
      <c r="I54"/>
    </row>
    <row r="55" spans="1:24">
      <c r="E55" s="49" t="s">
        <v>271</v>
      </c>
      <c r="F55" s="70">
        <f>IF(INDEX(J55:X55,$I$4)="",INDEX(J55:X55,$I$6),INDEX(J55:X55,$I$4))</f>
        <v>30</v>
      </c>
      <c r="G55" s="49" t="s">
        <v>124</v>
      </c>
      <c r="I55" s="72" t="str">
        <f>IF(INDEX(J55:S55,I$5)="",IF(INDEX(J55:S55,I$4)=F55,"vw","tu"),IF(INDEX(J55:S55,I$5)=F55,"vw","tu"))</f>
        <v>vw</v>
      </c>
      <c r="J55"/>
      <c r="K55" s="19">
        <v>30</v>
      </c>
      <c r="L55" s="19">
        <v>30</v>
      </c>
      <c r="M55" s="19">
        <v>30</v>
      </c>
      <c r="N55"/>
      <c r="O55" s="19">
        <v>30</v>
      </c>
      <c r="P55" s="19">
        <v>30</v>
      </c>
      <c r="Q55" s="19">
        <v>30</v>
      </c>
      <c r="R55" s="19">
        <v>30</v>
      </c>
      <c r="S55"/>
      <c r="T55" s="35"/>
      <c r="U55" s="35"/>
      <c r="V55" s="35"/>
      <c r="W55" s="35"/>
      <c r="X55"/>
    </row>
    <row r="56" spans="1:24">
      <c r="E56" s="49" t="s">
        <v>288</v>
      </c>
      <c r="F56" s="70">
        <f>IF(INDEX(J56:X56,$I$4)="",INDEX(J56:X56,$I$6),INDEX(J56:X56,$I$4))</f>
        <v>360</v>
      </c>
      <c r="G56" s="49" t="s">
        <v>124</v>
      </c>
      <c r="I56" s="72" t="str">
        <f>IF(INDEX(J56:S56,I$5)="",IF(INDEX(J56:S56,I$4)=F56,"vw","tu"),IF(INDEX(J56:S56,I$5)=F56,"vw","tu"))</f>
        <v>vw</v>
      </c>
      <c r="J56"/>
      <c r="K56" s="19">
        <v>360</v>
      </c>
      <c r="L56" s="19">
        <v>360</v>
      </c>
      <c r="M56" s="19">
        <v>360</v>
      </c>
      <c r="N56"/>
      <c r="O56" s="19">
        <v>360</v>
      </c>
      <c r="P56" s="19">
        <v>360</v>
      </c>
      <c r="Q56" s="19">
        <v>360</v>
      </c>
      <c r="R56" s="19">
        <v>360</v>
      </c>
      <c r="S56"/>
      <c r="T56" s="35"/>
      <c r="U56" s="35"/>
      <c r="V56" s="35"/>
      <c r="W56" s="35"/>
      <c r="X56"/>
    </row>
    <row r="57" spans="1:24">
      <c r="I57"/>
    </row>
    <row r="58" spans="1:24">
      <c r="B58" s="101" t="s">
        <v>6</v>
      </c>
      <c r="I58"/>
    </row>
    <row r="59" spans="1:24">
      <c r="E59" s="73" t="s">
        <v>253</v>
      </c>
      <c r="F59" s="88">
        <f>SQRInputBindings!I45</f>
        <v>0</v>
      </c>
      <c r="G59" s="73" t="s">
        <v>210</v>
      </c>
      <c r="H59" s="87"/>
      <c r="I59" s="72" t="str">
        <f>IF(INDEX(J59:S59,I$5)="",IF(INDEX(J59:S59,I$4)=F59,"vw","tu"),IF(INDEX(J59:S59,I$5)=F59,"vw","tu"))</f>
        <v>vw</v>
      </c>
      <c r="J59" s="76"/>
      <c r="K59" s="47"/>
      <c r="L59" s="47"/>
      <c r="M59" s="47"/>
      <c r="N59" s="76"/>
      <c r="O59" s="47"/>
      <c r="P59" s="47"/>
      <c r="Q59" s="47"/>
      <c r="R59" s="47"/>
      <c r="S59"/>
      <c r="T59" s="35"/>
      <c r="U59" s="35"/>
      <c r="V59" s="35"/>
      <c r="W59" s="35"/>
      <c r="X59"/>
    </row>
    <row r="60" spans="1:24">
      <c r="E60" s="73" t="s">
        <v>49</v>
      </c>
      <c r="F60" s="88">
        <f>SQRInputBindings!I46</f>
        <v>0</v>
      </c>
      <c r="G60" s="73" t="s">
        <v>210</v>
      </c>
      <c r="H60" s="87"/>
      <c r="I60" s="72" t="str">
        <f>IF(INDEX(J60:S60,I$5)="",IF(INDEX(J60:S60,I$4)=F60,"vw","tu"),IF(INDEX(J60:S60,I$5)=F60,"vw","tu"))</f>
        <v>vw</v>
      </c>
      <c r="J60" s="76"/>
      <c r="K60" s="47"/>
      <c r="L60" s="47"/>
      <c r="M60" s="47"/>
      <c r="N60" s="76"/>
      <c r="O60" s="47"/>
      <c r="P60" s="47"/>
      <c r="Q60" s="47"/>
      <c r="R60" s="47"/>
      <c r="S60"/>
      <c r="T60" s="35"/>
      <c r="U60" s="35"/>
      <c r="V60" s="35"/>
      <c r="W60" s="35"/>
      <c r="X60"/>
    </row>
    <row r="61" spans="1:24">
      <c r="E61" s="61" t="s">
        <v>309</v>
      </c>
      <c r="F61" s="88">
        <f>SQRInputBindings!I47</f>
        <v>0.9</v>
      </c>
      <c r="G61" s="61" t="s">
        <v>205</v>
      </c>
      <c r="H61" s="75"/>
      <c r="I61" s="72" t="str">
        <f>IF(INDEX(J61:S61,I$5)="",IF(INDEX(J61:S61,I$4)=F61,"vw","tu"),IF(INDEX(J61:S61,I$5)=F61,"vw","tu"))</f>
        <v>vw</v>
      </c>
      <c r="J61" s="60"/>
      <c r="K61" s="29">
        <v>0.9</v>
      </c>
      <c r="L61" s="29">
        <v>0.9</v>
      </c>
      <c r="M61" s="29">
        <v>0.9</v>
      </c>
      <c r="N61" s="60"/>
      <c r="O61" s="29">
        <v>0.9</v>
      </c>
      <c r="P61" s="29">
        <v>0.9</v>
      </c>
      <c r="Q61" s="29">
        <v>0.9</v>
      </c>
      <c r="R61" s="29">
        <v>0.9</v>
      </c>
      <c r="S61"/>
      <c r="T61" s="35"/>
      <c r="U61" s="35"/>
      <c r="V61" s="35"/>
      <c r="W61" s="35"/>
      <c r="X61"/>
    </row>
    <row r="62" spans="1:24">
      <c r="E62" s="61" t="s">
        <v>28</v>
      </c>
      <c r="F62" s="88">
        <f>SQRInputBindings!I48</f>
        <v>8.5000000000000006E-2</v>
      </c>
      <c r="G62" s="61" t="s">
        <v>205</v>
      </c>
      <c r="H62" s="75"/>
      <c r="I62" s="72" t="str">
        <f>IF(INDEX(J62:S62,I$5)="",IF(INDEX(J62:S62,I$4)=F62,"vw","tu"),IF(INDEX(J62:S62,I$5)=F62,"vw","tu"))</f>
        <v>tu</v>
      </c>
      <c r="J62" s="60"/>
      <c r="K62" s="29">
        <v>0.1</v>
      </c>
      <c r="L62" s="29">
        <v>0.1</v>
      </c>
      <c r="M62" s="29">
        <v>0.1</v>
      </c>
      <c r="N62" s="60"/>
      <c r="O62" s="29">
        <v>0.1</v>
      </c>
      <c r="P62" s="29">
        <v>0.1</v>
      </c>
      <c r="Q62" s="29">
        <v>0.1</v>
      </c>
      <c r="R62" s="29">
        <v>0.1</v>
      </c>
      <c r="S62"/>
      <c r="T62" s="35"/>
      <c r="U62" s="35"/>
      <c r="V62" s="35"/>
      <c r="W62" s="35"/>
      <c r="X62"/>
    </row>
    <row r="63" spans="1:24">
      <c r="E63" s="49" t="s">
        <v>211</v>
      </c>
      <c r="F63" s="88">
        <f>SQRInputBindings!I49</f>
        <v>0</v>
      </c>
      <c r="G63" s="49" t="s">
        <v>252</v>
      </c>
      <c r="I63" s="72" t="str">
        <f>IF(INDEX(J63:S63,I$5)="",IF(INDEX(J63:S63,I$4)=F63,"vw","tu"),IF(INDEX(J63:S63,I$5)=F63,"vw","tu"))</f>
        <v>vw</v>
      </c>
      <c r="J63"/>
      <c r="K63" s="19"/>
      <c r="L63" s="19"/>
      <c r="M63" s="19"/>
      <c r="N63"/>
      <c r="O63" s="19"/>
      <c r="P63" s="19"/>
      <c r="Q63" s="19"/>
      <c r="R63" s="19"/>
      <c r="S63"/>
      <c r="T63" s="35"/>
      <c r="U63" s="35"/>
      <c r="V63" s="35"/>
      <c r="W63" s="35"/>
      <c r="X63"/>
    </row>
    <row r="64" spans="1:24">
      <c r="I64"/>
    </row>
    <row r="65" spans="1:24">
      <c r="B65" s="101" t="s">
        <v>163</v>
      </c>
      <c r="I65"/>
    </row>
    <row r="66" spans="1:24">
      <c r="E66" s="73" t="s">
        <v>74</v>
      </c>
      <c r="F66" s="88">
        <f>SQRInputBindings!I52</f>
        <v>0</v>
      </c>
      <c r="G66" s="73" t="s">
        <v>210</v>
      </c>
      <c r="H66" s="87"/>
      <c r="I66" s="72" t="str">
        <f>IF(INDEX(J66:S66,I$5)="",IF(INDEX(J66:S66,I$4)=F66,"vw","tu"),IF(INDEX(J66:S66,I$5)=F66,"vw","tu"))</f>
        <v>vw</v>
      </c>
      <c r="J66" s="76"/>
      <c r="K66" s="47"/>
      <c r="L66" s="47"/>
      <c r="M66" s="47"/>
      <c r="N66" s="76"/>
      <c r="O66" s="47"/>
      <c r="P66" s="47"/>
      <c r="Q66" s="47"/>
      <c r="R66" s="47"/>
      <c r="S66"/>
      <c r="T66" s="35"/>
      <c r="U66" s="35"/>
      <c r="V66" s="35"/>
      <c r="W66" s="35"/>
      <c r="X66"/>
    </row>
    <row r="67" spans="1:24">
      <c r="E67" s="73" t="s">
        <v>272</v>
      </c>
      <c r="F67" s="88">
        <f>SQRInputBindings!I53</f>
        <v>0</v>
      </c>
      <c r="G67" s="73" t="s">
        <v>210</v>
      </c>
      <c r="H67" s="87"/>
      <c r="I67" s="72" t="str">
        <f>IF(INDEX(J67:S67,I$5)="",IF(INDEX(J67:S67,I$4)=F67,"vw","tu"),IF(INDEX(J67:S67,I$5)=F67,"vw","tu"))</f>
        <v>vw</v>
      </c>
      <c r="J67" s="76"/>
      <c r="K67" s="47"/>
      <c r="L67" s="47"/>
      <c r="M67" s="47"/>
      <c r="N67" s="76"/>
      <c r="O67" s="47"/>
      <c r="P67" s="47"/>
      <c r="Q67" s="47"/>
      <c r="R67" s="47"/>
      <c r="S67"/>
      <c r="T67" s="35"/>
      <c r="U67" s="35"/>
      <c r="V67" s="35"/>
      <c r="W67" s="35"/>
      <c r="X67"/>
    </row>
    <row r="68" spans="1:24">
      <c r="E68" s="49" t="s">
        <v>125</v>
      </c>
      <c r="F68" s="88">
        <f>SQRInputBindings!I54</f>
        <v>0</v>
      </c>
      <c r="G68" s="49" t="s">
        <v>252</v>
      </c>
      <c r="I68" s="72" t="str">
        <f>IF(INDEX(J68:S68,I$5)="",IF(INDEX(J68:S68,I$4)=F68,"vw","tu"),IF(INDEX(J68:S68,I$5)=F68,"vw","tu"))</f>
        <v>vw</v>
      </c>
      <c r="J68"/>
      <c r="K68" s="19">
        <v>0</v>
      </c>
      <c r="L68" s="19">
        <v>0</v>
      </c>
      <c r="M68" s="19">
        <v>0</v>
      </c>
      <c r="N68"/>
      <c r="O68" s="19">
        <v>0</v>
      </c>
      <c r="P68" s="19">
        <v>0</v>
      </c>
      <c r="Q68" s="19">
        <v>0</v>
      </c>
      <c r="R68" s="19">
        <v>0</v>
      </c>
      <c r="S68"/>
      <c r="T68" s="35"/>
      <c r="U68" s="35"/>
      <c r="V68" s="35"/>
      <c r="W68" s="35"/>
      <c r="X68"/>
    </row>
    <row r="69" spans="1:24">
      <c r="E69" s="61" t="s">
        <v>185</v>
      </c>
      <c r="F69" s="88">
        <f>SQRInputBindings!I55</f>
        <v>0.08</v>
      </c>
      <c r="G69" s="61" t="s">
        <v>205</v>
      </c>
      <c r="H69" s="75"/>
      <c r="I69" s="72" t="str">
        <f>IF(INDEX(J69:S69,I$5)="",IF(INDEX(J69:S69,I$4)=F69,"vw","tu"),IF(INDEX(J69:S69,I$5)=F69,"vw","tu"))</f>
        <v>vw</v>
      </c>
      <c r="J69" s="60"/>
      <c r="K69" s="29">
        <v>0.08</v>
      </c>
      <c r="L69" s="29">
        <v>0.08</v>
      </c>
      <c r="M69" s="29">
        <v>0.08</v>
      </c>
      <c r="N69" s="60"/>
      <c r="O69" s="29">
        <v>0.08</v>
      </c>
      <c r="P69" s="29">
        <v>0.08</v>
      </c>
      <c r="Q69" s="29">
        <v>0.08</v>
      </c>
      <c r="R69" s="29">
        <v>0.08</v>
      </c>
      <c r="S69"/>
      <c r="T69" s="35"/>
      <c r="U69" s="35"/>
      <c r="V69" s="35"/>
      <c r="W69" s="35"/>
      <c r="X69"/>
    </row>
    <row r="70" spans="1:24">
      <c r="E70" s="61" t="s">
        <v>289</v>
      </c>
      <c r="F70" s="88">
        <f>SQRInputBindings!I56</f>
        <v>0.8</v>
      </c>
      <c r="G70" s="61" t="s">
        <v>205</v>
      </c>
      <c r="H70" s="75"/>
      <c r="I70" s="72" t="str">
        <f>IF(INDEX(J70:S70,I$5)="",IF(INDEX(J70:S70,I$4)=F70,"vw","tu"),IF(INDEX(J70:S70,I$5)=F70,"vw","tu"))</f>
        <v>vw</v>
      </c>
      <c r="J70" s="60"/>
      <c r="K70" s="29">
        <v>0.8</v>
      </c>
      <c r="L70" s="29">
        <v>0.8</v>
      </c>
      <c r="M70" s="29">
        <v>0.8</v>
      </c>
      <c r="N70" s="60"/>
      <c r="O70" s="29">
        <v>0.8</v>
      </c>
      <c r="P70" s="29">
        <v>0.8</v>
      </c>
      <c r="Q70" s="29">
        <v>0.8</v>
      </c>
      <c r="R70" s="29">
        <v>0.8</v>
      </c>
      <c r="S70"/>
      <c r="T70" s="35"/>
      <c r="U70" s="35"/>
      <c r="V70" s="35"/>
      <c r="W70" s="35"/>
      <c r="X70"/>
    </row>
    <row r="71" spans="1:24">
      <c r="I71"/>
    </row>
    <row r="72" spans="1:24">
      <c r="B72" s="101" t="s">
        <v>50</v>
      </c>
      <c r="I72"/>
    </row>
    <row r="73" spans="1:24">
      <c r="E73" s="73" t="s">
        <v>290</v>
      </c>
      <c r="F73" s="88">
        <f>SQRInputBindings!I59</f>
        <v>0</v>
      </c>
      <c r="G73" s="73" t="s">
        <v>210</v>
      </c>
      <c r="H73" s="87"/>
      <c r="I73" s="72" t="str">
        <f t="shared" ref="I73:I78" si="3">IF(INDEX(J73:S73,I$5)="",IF(INDEX(J73:S73,I$4)=F73,"vw","tu"),IF(INDEX(J73:S73,I$5)=F73,"vw","tu"))</f>
        <v>tu</v>
      </c>
      <c r="J73" s="76"/>
      <c r="K73" s="47">
        <v>46873</v>
      </c>
      <c r="L73" s="47"/>
      <c r="M73" s="47"/>
      <c r="N73" s="76"/>
      <c r="O73" s="47"/>
      <c r="P73" s="47"/>
      <c r="Q73" s="47"/>
      <c r="R73" s="47"/>
      <c r="S73"/>
      <c r="T73" s="35"/>
      <c r="U73" s="35"/>
      <c r="V73" s="35"/>
      <c r="W73" s="35"/>
      <c r="X73"/>
    </row>
    <row r="74" spans="1:24">
      <c r="E74" s="73" t="s">
        <v>273</v>
      </c>
      <c r="F74" s="88">
        <f>SQRInputBindings!I60</f>
        <v>0</v>
      </c>
      <c r="G74" s="73" t="s">
        <v>210</v>
      </c>
      <c r="H74" s="87"/>
      <c r="I74" s="72" t="str">
        <f t="shared" si="3"/>
        <v>tu</v>
      </c>
      <c r="J74" s="76"/>
      <c r="K74" s="47">
        <v>45047</v>
      </c>
      <c r="L74" s="47"/>
      <c r="M74" s="47"/>
      <c r="N74" s="76"/>
      <c r="O74" s="47"/>
      <c r="P74" s="47"/>
      <c r="Q74" s="47"/>
      <c r="R74" s="47"/>
      <c r="S74"/>
      <c r="T74" s="35"/>
      <c r="U74" s="35"/>
      <c r="V74" s="35"/>
      <c r="W74" s="35"/>
      <c r="X74"/>
    </row>
    <row r="75" spans="1:24">
      <c r="E75" s="61" t="s">
        <v>51</v>
      </c>
      <c r="F75" s="88">
        <f>SQRInputBindings!I61</f>
        <v>0.08</v>
      </c>
      <c r="G75" s="61" t="s">
        <v>205</v>
      </c>
      <c r="H75" s="75"/>
      <c r="I75" s="72" t="str">
        <f t="shared" si="3"/>
        <v>vw</v>
      </c>
      <c r="J75" s="60"/>
      <c r="K75" s="29">
        <v>0.08</v>
      </c>
      <c r="L75" s="29"/>
      <c r="M75" s="29"/>
      <c r="N75" s="60"/>
      <c r="O75" s="29"/>
      <c r="P75" s="29"/>
      <c r="Q75" s="29"/>
      <c r="R75" s="29"/>
      <c r="S75"/>
      <c r="T75" s="35"/>
      <c r="U75" s="35"/>
      <c r="V75" s="35"/>
      <c r="W75" s="35"/>
      <c r="X75"/>
    </row>
    <row r="76" spans="1:24">
      <c r="E76" s="49" t="s">
        <v>100</v>
      </c>
      <c r="F76" s="88">
        <f>SQRInputBindings!I62</f>
        <v>24</v>
      </c>
      <c r="G76" s="49" t="s">
        <v>71</v>
      </c>
      <c r="I76" s="72" t="str">
        <f t="shared" si="3"/>
        <v>vw</v>
      </c>
      <c r="J76"/>
      <c r="K76" s="19">
        <v>24</v>
      </c>
      <c r="L76" s="19"/>
      <c r="M76" s="19"/>
      <c r="N76"/>
      <c r="O76" s="19"/>
      <c r="P76" s="19"/>
      <c r="Q76" s="19"/>
      <c r="R76" s="19"/>
      <c r="S76"/>
      <c r="T76" s="35"/>
      <c r="U76" s="35"/>
      <c r="V76" s="35"/>
      <c r="W76" s="35"/>
      <c r="X76"/>
    </row>
    <row r="77" spans="1:24">
      <c r="E77" s="61" t="s">
        <v>52</v>
      </c>
      <c r="F77" s="88">
        <f>SQRInputBindings!I63</f>
        <v>1</v>
      </c>
      <c r="G77" s="61" t="s">
        <v>205</v>
      </c>
      <c r="H77" s="75"/>
      <c r="I77" s="72" t="str">
        <f t="shared" si="3"/>
        <v>vw</v>
      </c>
      <c r="J77" s="60"/>
      <c r="K77" s="29">
        <v>1</v>
      </c>
      <c r="L77" s="29"/>
      <c r="M77" s="29"/>
      <c r="N77" s="60"/>
      <c r="O77" s="29"/>
      <c r="P77" s="29"/>
      <c r="Q77" s="29"/>
      <c r="R77" s="29"/>
      <c r="S77"/>
      <c r="T77" s="35"/>
      <c r="U77" s="35"/>
      <c r="V77" s="35"/>
      <c r="W77" s="35"/>
      <c r="X77"/>
    </row>
    <row r="78" spans="1:24">
      <c r="E78" s="49" t="s">
        <v>186</v>
      </c>
      <c r="F78" s="88">
        <f>SQRInputBindings!I64</f>
        <v>0</v>
      </c>
      <c r="G78" s="49" t="s">
        <v>252</v>
      </c>
      <c r="I78" s="72" t="str">
        <f t="shared" si="3"/>
        <v>vw</v>
      </c>
      <c r="J78"/>
      <c r="K78" s="19">
        <v>0</v>
      </c>
      <c r="L78" s="19"/>
      <c r="M78" s="19"/>
      <c r="N78"/>
      <c r="O78" s="19"/>
      <c r="P78" s="19"/>
      <c r="Q78" s="19"/>
      <c r="R78" s="19"/>
      <c r="S78"/>
      <c r="T78" s="35"/>
      <c r="U78" s="35"/>
      <c r="V78" s="35"/>
      <c r="W78" s="35"/>
      <c r="X78"/>
    </row>
    <row r="79" spans="1:24">
      <c r="I79"/>
    </row>
    <row r="80" spans="1:24">
      <c r="A80" s="180" t="s">
        <v>187</v>
      </c>
      <c r="I80"/>
    </row>
    <row r="81" spans="1:24">
      <c r="E81" s="49" t="s">
        <v>230</v>
      </c>
      <c r="F81" s="70">
        <f>IF(INDEX(J81:X81,$I$4)="",INDEX(J81:X81,$I$6),INDEX(J81:X81,$I$4))</f>
        <v>3</v>
      </c>
      <c r="G81" s="49" t="s">
        <v>71</v>
      </c>
      <c r="I81" s="72" t="str">
        <f>IF(INDEX(J81:S81,I$5)="",IF(INDEX(J81:S81,I$4)=F81,"vw","tu"),IF(INDEX(J81:S81,I$5)=F81,"vw","tu"))</f>
        <v>vw</v>
      </c>
      <c r="J81"/>
      <c r="K81" s="19">
        <v>3</v>
      </c>
      <c r="L81" s="19">
        <v>3</v>
      </c>
      <c r="M81" s="19">
        <v>3</v>
      </c>
      <c r="N81"/>
      <c r="O81" s="19">
        <v>3</v>
      </c>
      <c r="P81" s="19">
        <v>3</v>
      </c>
      <c r="Q81" s="19">
        <v>3</v>
      </c>
      <c r="R81" s="19">
        <v>3</v>
      </c>
      <c r="S81"/>
      <c r="T81" s="35"/>
      <c r="U81" s="35"/>
      <c r="V81" s="35"/>
      <c r="W81" s="35"/>
      <c r="X81"/>
    </row>
    <row r="82" spans="1:24">
      <c r="E82" s="73" t="s">
        <v>29</v>
      </c>
      <c r="F82" s="88">
        <f>IF(INDEX(J82:X82,$I$4)="",INDEX(J82:X82,$I$6),INDEX(J82:X82,$I$4))</f>
        <v>45078</v>
      </c>
      <c r="G82" s="73" t="s">
        <v>210</v>
      </c>
      <c r="H82" s="87"/>
      <c r="I82" s="72" t="str">
        <f>IF(INDEX(J82:S82,I$5)="",IF(INDEX(J82:S82,I$4)=F82,"vw","tu"),IF(INDEX(J82:S82,I$5)=F82,"vw","tu"))</f>
        <v>vw</v>
      </c>
      <c r="J82" s="76"/>
      <c r="K82" s="47">
        <v>45078</v>
      </c>
      <c r="L82" s="47"/>
      <c r="M82" s="47"/>
      <c r="N82" s="76"/>
      <c r="O82" s="47"/>
      <c r="P82" s="47"/>
      <c r="Q82" s="47"/>
      <c r="R82" s="47"/>
      <c r="S82"/>
      <c r="T82" s="35"/>
      <c r="U82" s="35"/>
      <c r="V82" s="35"/>
      <c r="W82" s="35"/>
      <c r="X82"/>
    </row>
    <row r="83" spans="1:24">
      <c r="E83" s="61" t="s">
        <v>126</v>
      </c>
      <c r="F83" s="74">
        <f>IF(INDEX(J83:X83,$I$4)="",INDEX(J83:X83,$I$6),INDEX(J83:X83,$I$4))</f>
        <v>0.5</v>
      </c>
      <c r="G83" s="61" t="s">
        <v>205</v>
      </c>
      <c r="H83" s="75"/>
      <c r="I83" s="72" t="str">
        <f>IF(INDEX(J83:S83,I$5)="",IF(INDEX(J83:S83,I$4)=F83,"vw","tu"),IF(INDEX(J83:S83,I$5)=F83,"vw","tu"))</f>
        <v>vw</v>
      </c>
      <c r="J83" s="60"/>
      <c r="K83" s="29">
        <v>0.5</v>
      </c>
      <c r="L83" s="29">
        <v>0.5</v>
      </c>
      <c r="M83" s="29">
        <v>0.5</v>
      </c>
      <c r="N83" s="60"/>
      <c r="O83" s="29">
        <v>0.5</v>
      </c>
      <c r="P83" s="29">
        <v>0.5</v>
      </c>
      <c r="Q83" s="29">
        <v>0.5</v>
      </c>
      <c r="R83" s="29">
        <v>0.5</v>
      </c>
      <c r="S83"/>
      <c r="T83" s="35"/>
      <c r="U83" s="35"/>
      <c r="V83" s="35"/>
      <c r="W83" s="35"/>
      <c r="X83"/>
    </row>
    <row r="84" spans="1:24">
      <c r="E84" s="61" t="s">
        <v>75</v>
      </c>
      <c r="F84" s="74">
        <f>IF(INDEX(J84:X84,$I$4)="",INDEX(J84:X84,$I$6),INDEX(J84:X84,$I$4))</f>
        <v>0.2</v>
      </c>
      <c r="G84" s="61" t="s">
        <v>205</v>
      </c>
      <c r="H84" s="75"/>
      <c r="I84" s="72" t="str">
        <f>IF(INDEX(J84:S84,I$5)="",IF(INDEX(J84:S84,I$4)=F84,"vw","tu"),IF(INDEX(J84:S84,I$5)=F84,"vw","tu"))</f>
        <v>vw</v>
      </c>
      <c r="J84" s="60"/>
      <c r="K84" s="29">
        <v>0.2</v>
      </c>
      <c r="L84" s="29">
        <v>0.2</v>
      </c>
      <c r="M84" s="29">
        <v>0.2</v>
      </c>
      <c r="N84" s="60"/>
      <c r="O84" s="29">
        <v>0.2</v>
      </c>
      <c r="P84" s="29">
        <v>0.2</v>
      </c>
      <c r="Q84" s="29">
        <v>0.2</v>
      </c>
      <c r="R84" s="29">
        <v>0.2</v>
      </c>
      <c r="S84"/>
      <c r="T84" s="35"/>
      <c r="U84" s="35"/>
      <c r="V84" s="35"/>
      <c r="W84" s="35"/>
      <c r="X84"/>
    </row>
    <row r="85" spans="1:24">
      <c r="E85" s="49" t="s">
        <v>212</v>
      </c>
      <c r="F85" s="70">
        <f>IF(INDEX(J85:X85,$I$4)="",INDEX(J85:X85,$I$6),INDEX(J85:X85,$I$4))</f>
        <v>1</v>
      </c>
      <c r="G85" s="49" t="s">
        <v>71</v>
      </c>
      <c r="I85" s="72" t="str">
        <f>IF(INDEX(J85:S85,I$5)="",IF(INDEX(J85:S85,I$4)=F85,"vw","tu"),IF(INDEX(J85:S85,I$5)=F85,"vw","tu"))</f>
        <v>vw</v>
      </c>
      <c r="J85"/>
      <c r="K85" s="19">
        <v>1</v>
      </c>
      <c r="L85" s="19">
        <v>1</v>
      </c>
      <c r="M85" s="19">
        <v>1</v>
      </c>
      <c r="N85"/>
      <c r="O85" s="19">
        <v>1</v>
      </c>
      <c r="P85" s="19">
        <v>1</v>
      </c>
      <c r="Q85" s="19">
        <v>1</v>
      </c>
      <c r="R85" s="19">
        <v>1</v>
      </c>
      <c r="S85"/>
      <c r="T85" s="35"/>
      <c r="U85" s="35"/>
      <c r="V85" s="35"/>
      <c r="W85" s="35"/>
      <c r="X85"/>
    </row>
    <row r="86" spans="1:24">
      <c r="I86"/>
    </row>
    <row r="87" spans="1:24">
      <c r="A87" s="180" t="s">
        <v>254</v>
      </c>
      <c r="I87"/>
    </row>
    <row r="88" spans="1:24">
      <c r="E88" s="61" t="s">
        <v>330</v>
      </c>
      <c r="F88" s="74">
        <f>IF(INDEX(J88:X88,$I$4)="",INDEX(J88:X88,$I$6),INDEX(J88:X88,$I$4))</f>
        <v>0.2</v>
      </c>
      <c r="G88" s="61" t="s">
        <v>205</v>
      </c>
      <c r="H88" s="75"/>
      <c r="I88" s="72" t="str">
        <f>IF(INDEX(J88:S88,I$5)="",IF(INDEX(J88:S88,I$4)=F88,"vw","tu"),IF(INDEX(J88:S88,I$5)=F88,"vw","tu"))</f>
        <v>vw</v>
      </c>
      <c r="J88" s="60"/>
      <c r="K88" s="29">
        <v>0.2</v>
      </c>
      <c r="L88" s="29"/>
      <c r="M88" s="29"/>
      <c r="N88" s="60"/>
      <c r="O88" s="29"/>
      <c r="P88" s="29"/>
      <c r="Q88" s="29"/>
      <c r="R88" s="29"/>
      <c r="S88"/>
      <c r="T88" s="35"/>
      <c r="U88" s="35"/>
      <c r="V88" s="35"/>
      <c r="W88" s="35"/>
      <c r="X88"/>
    </row>
    <row r="89" spans="1:24">
      <c r="E89" s="49" t="s">
        <v>231</v>
      </c>
      <c r="F89" s="70">
        <f>IF(INDEX(J89:X89,$I$4)="",INDEX(J89:X89,$I$6),INDEX(J89:X89,$I$4))</f>
        <v>0</v>
      </c>
      <c r="G89" s="49" t="s">
        <v>252</v>
      </c>
      <c r="I89" s="72" t="str">
        <f>IF(INDEX(J89:S89,I$5)="",IF(INDEX(J89:S89,I$4)=F89,"vw","tu"),IF(INDEX(J89:S89,I$5)=F89,"vw","tu"))</f>
        <v>vw</v>
      </c>
      <c r="J89"/>
      <c r="K89" s="19">
        <v>0</v>
      </c>
      <c r="L89" s="19"/>
      <c r="M89" s="19"/>
      <c r="N89"/>
      <c r="O89" s="19"/>
      <c r="P89" s="19"/>
      <c r="Q89" s="19"/>
      <c r="R89" s="19"/>
      <c r="S89"/>
      <c r="T89" s="35"/>
      <c r="U89" s="35"/>
      <c r="V89" s="35"/>
      <c r="W89" s="35"/>
      <c r="X89"/>
    </row>
    <row r="90" spans="1:24">
      <c r="E90" s="49" t="s">
        <v>331</v>
      </c>
      <c r="F90" s="70">
        <f>IF(INDEX(J90:X90,$I$4)="",INDEX(J90:X90,$I$6),INDEX(J90:X90,$I$4))</f>
        <v>8</v>
      </c>
      <c r="G90" s="49"/>
      <c r="I90" s="72" t="str">
        <f>IF(INDEX(J90:S90,I$5)="",IF(INDEX(J90:S90,I$4)=F90,"vw","tu"),IF(INDEX(J90:S90,I$5)=F90,"vw","tu"))</f>
        <v>vw</v>
      </c>
      <c r="J90"/>
      <c r="K90" s="19">
        <v>8</v>
      </c>
      <c r="L90" s="19">
        <v>12</v>
      </c>
      <c r="M90" s="19">
        <v>12</v>
      </c>
      <c r="N90"/>
      <c r="O90" s="19">
        <v>12</v>
      </c>
      <c r="P90" s="19">
        <v>12</v>
      </c>
      <c r="Q90" s="19">
        <v>12</v>
      </c>
      <c r="R90" s="19">
        <v>12</v>
      </c>
      <c r="S90"/>
      <c r="T90" s="35"/>
      <c r="U90" s="35"/>
      <c r="V90" s="35"/>
      <c r="W90" s="35"/>
      <c r="X90"/>
    </row>
    <row r="91" spans="1:24">
      <c r="E91" s="49" t="s">
        <v>274</v>
      </c>
      <c r="F91" s="70">
        <f>IF(INDEX(J91:X91,$I$4)="",INDEX(J91:X91,$I$6),INDEX(J91:X91,$I$4))</f>
        <v>0</v>
      </c>
      <c r="G91" s="49" t="s">
        <v>252</v>
      </c>
      <c r="I91" s="72" t="str">
        <f>IF(INDEX(J91:S91,I$5)="",IF(INDEX(J91:S91,I$4)=F91,"vw","tu"),IF(INDEX(J91:S91,I$5)=F91,"vw","tu"))</f>
        <v>vw</v>
      </c>
      <c r="J91"/>
      <c r="K91" s="19">
        <v>0</v>
      </c>
      <c r="L91" s="19">
        <v>0</v>
      </c>
      <c r="M91" s="19">
        <v>0</v>
      </c>
      <c r="N91"/>
      <c r="O91" s="19">
        <v>0</v>
      </c>
      <c r="P91" s="19">
        <v>0</v>
      </c>
      <c r="Q91" s="19">
        <v>0</v>
      </c>
      <c r="R91" s="19">
        <v>0</v>
      </c>
      <c r="S91"/>
      <c r="T91" s="35"/>
      <c r="U91" s="35"/>
      <c r="V91" s="35"/>
      <c r="W91" s="35"/>
      <c r="X91"/>
    </row>
    <row r="92" spans="1:24">
      <c r="I92"/>
    </row>
    <row r="93" spans="1:24">
      <c r="A93" s="180" t="s">
        <v>332</v>
      </c>
      <c r="I93"/>
    </row>
    <row r="94" spans="1:24">
      <c r="E94" s="73" t="s">
        <v>333</v>
      </c>
      <c r="F94" s="88">
        <f>IF(INDEX(J94:X94,$I$4)="",INDEX(J94:X94,$I$6),INDEX(J94:X94,$I$4))</f>
        <v>0</v>
      </c>
      <c r="G94" s="73" t="s">
        <v>210</v>
      </c>
      <c r="H94" s="87"/>
      <c r="I94" s="72" t="str">
        <f>IF(INDEX(J94:S94,I$5)="",IF(INDEX(J94:S94,I$4)=F94,"vw","tu"),IF(INDEX(J94:S94,I$5)=F94,"vw","tu"))</f>
        <v>vw</v>
      </c>
      <c r="J94" s="76"/>
      <c r="K94" s="47"/>
      <c r="L94" s="47"/>
      <c r="M94" s="47"/>
      <c r="N94" s="76"/>
      <c r="O94" s="47"/>
      <c r="P94" s="47"/>
      <c r="Q94" s="47"/>
      <c r="R94" s="47"/>
      <c r="S94"/>
      <c r="T94" s="35"/>
      <c r="U94" s="35"/>
      <c r="V94" s="35"/>
      <c r="W94" s="35"/>
      <c r="X94"/>
    </row>
    <row r="95" spans="1:24">
      <c r="I95"/>
    </row>
    <row r="96" spans="1:24">
      <c r="A96" s="180" t="s">
        <v>30</v>
      </c>
      <c r="I96"/>
    </row>
    <row r="97" spans="5:9">
      <c r="E97" s="49" t="s">
        <v>76</v>
      </c>
      <c r="F97" s="19">
        <v>12</v>
      </c>
      <c r="G97" s="49"/>
      <c r="I97"/>
    </row>
    <row r="98" spans="5:9">
      <c r="E98" s="49" t="s">
        <v>188</v>
      </c>
      <c r="F98" s="19">
        <v>1</v>
      </c>
      <c r="G98" s="49" t="s">
        <v>71</v>
      </c>
      <c r="I98"/>
    </row>
    <row r="99" spans="5:9">
      <c r="E99" s="49" t="s">
        <v>147</v>
      </c>
      <c r="F99" s="19">
        <v>4</v>
      </c>
      <c r="G99" s="49" t="s">
        <v>71</v>
      </c>
      <c r="I99"/>
    </row>
    <row r="100" spans="5:9">
      <c r="E100" s="73" t="s">
        <v>310</v>
      </c>
      <c r="F100" s="47">
        <v>45047</v>
      </c>
      <c r="G100" s="49" t="s">
        <v>210</v>
      </c>
      <c r="I100"/>
    </row>
    <row r="101" spans="5:9">
      <c r="I101"/>
    </row>
    <row r="102" spans="5:9">
      <c r="I10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Q19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54" customWidth="1"/>
    <col min="5" max="5" width="27.7265625" style="2" customWidth="1"/>
    <col min="6" max="6" width="20.7265625" style="2" customWidth="1"/>
    <col min="7" max="7" width="13.7265625" style="2" customWidth="1"/>
    <col min="8" max="8" width="7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48" width="11.7265625" style="2" customWidth="1"/>
    <col min="49" max="50" width="12.7265625" style="2" customWidth="1"/>
    <col min="51" max="51" width="11.7265625" style="2" customWidth="1"/>
    <col min="52" max="53" width="12.7265625" style="2" customWidth="1"/>
    <col min="54" max="54" width="11.7265625" style="2" customWidth="1"/>
    <col min="55" max="55" width="12.7265625" style="2" customWidth="1"/>
    <col min="56" max="57" width="11.7265625" style="2" customWidth="1"/>
    <col min="58" max="59" width="12.7265625" style="2" customWidth="1"/>
    <col min="60" max="60" width="11.7265625" style="2" customWidth="1"/>
    <col min="61" max="62" width="12.7265625" style="2" customWidth="1"/>
    <col min="63" max="63" width="11.7265625" style="2" customWidth="1"/>
    <col min="64" max="65" width="12.7265625" style="2" customWidth="1"/>
    <col min="66" max="66" width="11.7265625" style="2" customWidth="1"/>
    <col min="67" max="67" width="12.7265625" style="2" customWidth="1"/>
    <col min="68" max="69" width="11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InpS</v>
      </c>
      <c r="B1" s="37"/>
      <c r="C1" s="58"/>
      <c r="D1" s="55"/>
      <c r="E1"/>
      <c r="F1" s="42" t="str">
        <f>HYPERLINK("#Contents!A1","Go to contents")</f>
        <v>Go to contents</v>
      </c>
      <c r="G1"/>
      <c r="H1" s="38"/>
      <c r="J1" s="38"/>
    </row>
    <row r="2" spans="1:69" s="43" customFormat="1">
      <c r="A2" s="39"/>
      <c r="B2" s="39"/>
      <c r="C2" s="56"/>
      <c r="D2" s="57"/>
      <c r="E2" s="8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43" customFormat="1">
      <c r="A3" s="39"/>
      <c r="B3" s="39"/>
      <c r="C3" s="56"/>
      <c r="D3" s="57"/>
      <c r="E3" s="9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43" customFormat="1">
      <c r="A4" s="39"/>
      <c r="B4" s="39"/>
      <c r="C4" s="56"/>
      <c r="D4" s="57"/>
      <c r="E4" s="5" t="s">
        <v>325</v>
      </c>
      <c r="F4" s="2"/>
      <c r="G4" s="2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43" customFormat="1">
      <c r="A5" s="39"/>
      <c r="B5" s="39"/>
      <c r="C5" s="56"/>
      <c r="D5" s="57"/>
      <c r="E5" s="9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8" spans="1:69">
      <c r="A8" s="22" t="s">
        <v>232</v>
      </c>
    </row>
    <row r="10" spans="1:69">
      <c r="A10" s="22" t="s">
        <v>101</v>
      </c>
    </row>
    <row r="11" spans="1:69" ht="14.5">
      <c r="E11" s="2" t="s">
        <v>77</v>
      </c>
      <c r="F11"/>
      <c r="G11" s="2" t="s">
        <v>252</v>
      </c>
      <c r="H11" s="2">
        <f>SUM(J11:BQ11)</f>
        <v>0</v>
      </c>
      <c r="I11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</row>
    <row r="13" spans="1:69">
      <c r="A13" s="22" t="s">
        <v>275</v>
      </c>
    </row>
    <row r="15" spans="1:69">
      <c r="A15" s="22" t="s">
        <v>53</v>
      </c>
    </row>
    <row r="16" spans="1:69" s="175" customFormat="1">
      <c r="A16" s="123"/>
      <c r="B16" s="123"/>
      <c r="C16" s="169"/>
      <c r="D16" s="155"/>
      <c r="E16" s="86" t="s">
        <v>7</v>
      </c>
      <c r="F16" s="86"/>
      <c r="G16" s="86" t="s">
        <v>210</v>
      </c>
      <c r="H16" s="86"/>
      <c r="I16" s="86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</row>
    <row r="19" spans="2:2">
      <c r="B19" s="22" t="s">
        <v>265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5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54" customWidth="1"/>
    <col min="5" max="5" width="71.7265625" style="2" customWidth="1"/>
    <col min="6" max="6" width="16.7265625" style="2" customWidth="1"/>
    <col min="7" max="8" width="15.7265625" style="2" customWidth="1"/>
    <col min="9" max="9" width="3.7265625" style="2" customWidth="1"/>
    <col min="10" max="16" width="15.7265625" style="2" customWidth="1"/>
    <col min="17" max="16384" width="9.1796875" style="2"/>
  </cols>
  <sheetData>
    <row r="1" spans="1:15" s="53" customFormat="1" ht="25">
      <c r="A1" s="37" t="str">
        <f ca="1">RIGHT(CELL("filename",A1),LEN(CELL("filename",A1))-SEARCH("]",CELL("filename",A1)))</f>
        <v>InpT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15" s="43" customFormat="1">
      <c r="A2" s="39"/>
      <c r="B2" s="39"/>
      <c r="C2" s="56"/>
      <c r="D2" s="57"/>
      <c r="E2" s="8" t="s">
        <v>324</v>
      </c>
      <c r="F2" s="41">
        <f ca="1">'Model Checks and Alerts'!F11</f>
        <v>0</v>
      </c>
      <c r="G2" s="44" t="s">
        <v>143</v>
      </c>
      <c r="H2" s="20"/>
      <c r="I2" s="20"/>
      <c r="J2" s="6"/>
      <c r="K2" s="6"/>
      <c r="L2" s="6"/>
      <c r="M2" s="6"/>
      <c r="N2" s="6"/>
      <c r="O2" s="6"/>
    </row>
    <row r="3" spans="1:15" s="43" customFormat="1">
      <c r="A3" s="39"/>
      <c r="B3" s="39"/>
      <c r="C3" s="56"/>
      <c r="D3" s="57"/>
      <c r="E3" s="9" t="s">
        <v>203</v>
      </c>
      <c r="F3" s="41"/>
      <c r="G3" s="44" t="s">
        <v>97</v>
      </c>
      <c r="H3" s="20"/>
      <c r="I3" s="20"/>
      <c r="J3" s="7"/>
      <c r="K3" s="7"/>
      <c r="L3" s="7"/>
      <c r="M3" s="7"/>
      <c r="N3" s="7"/>
      <c r="O3" s="7"/>
    </row>
    <row r="4" spans="1:15" s="43" customFormat="1">
      <c r="A4" s="39"/>
      <c r="B4" s="39"/>
      <c r="C4" s="56"/>
      <c r="D4" s="57"/>
      <c r="E4" s="5" t="s">
        <v>325</v>
      </c>
      <c r="F4" s="2"/>
      <c r="G4" s="2"/>
      <c r="H4" s="20"/>
      <c r="I4" s="20"/>
      <c r="J4" s="5"/>
      <c r="K4" s="5"/>
      <c r="L4" s="5"/>
      <c r="M4" s="5"/>
      <c r="N4" s="5"/>
      <c r="O4" s="5"/>
    </row>
    <row r="5" spans="1:15" s="43" customFormat="1">
      <c r="A5" s="39"/>
      <c r="B5" s="39"/>
      <c r="C5" s="56"/>
      <c r="D5" s="57"/>
      <c r="E5" s="9" t="s">
        <v>305</v>
      </c>
      <c r="F5" s="22"/>
      <c r="G5" s="22" t="s">
        <v>224</v>
      </c>
      <c r="H5" s="22"/>
      <c r="I5" s="20"/>
      <c r="J5" s="9"/>
      <c r="K5" s="9"/>
      <c r="L5" s="9"/>
      <c r="M5" s="9"/>
      <c r="N5" s="9"/>
      <c r="O5" s="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Q355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70.7265625" style="2" customWidth="1"/>
    <col min="6" max="6" width="20.7265625" style="2" customWidth="1"/>
    <col min="7" max="7" width="13.7265625" style="2" customWidth="1"/>
    <col min="8" max="8" width="7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48" width="11.7265625" style="2" customWidth="1"/>
    <col min="49" max="50" width="12.7265625" style="2" customWidth="1"/>
    <col min="51" max="51" width="11.7265625" style="2" customWidth="1"/>
    <col min="52" max="53" width="12.7265625" style="2" customWidth="1"/>
    <col min="54" max="54" width="11.7265625" style="2" customWidth="1"/>
    <col min="55" max="55" width="12.7265625" style="2" customWidth="1"/>
    <col min="56" max="57" width="11.7265625" style="2" customWidth="1"/>
    <col min="58" max="59" width="12.7265625" style="2" customWidth="1"/>
    <col min="60" max="60" width="11.7265625" style="2" customWidth="1"/>
    <col min="61" max="62" width="12.7265625" style="2" customWidth="1"/>
    <col min="63" max="63" width="11.7265625" style="2" customWidth="1"/>
    <col min="64" max="65" width="12.7265625" style="2" customWidth="1"/>
    <col min="66" max="66" width="11.7265625" style="2" customWidth="1"/>
    <col min="67" max="67" width="12.7265625" style="2" customWidth="1"/>
    <col min="68" max="69" width="11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Time</v>
      </c>
      <c r="B1" s="37"/>
      <c r="C1" s="58"/>
      <c r="D1" s="67"/>
      <c r="F1" s="42" t="str">
        <f>HYPERLINK("#Contents!A1","Go to contents")</f>
        <v>Go to contents</v>
      </c>
      <c r="H1" s="38"/>
      <c r="J1" s="38"/>
    </row>
    <row r="2" spans="1:69" s="43" customFormat="1">
      <c r="A2" s="39"/>
      <c r="B2" s="39"/>
      <c r="C2" s="56"/>
      <c r="D2" s="62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 t="shared" ref="J2:AO2" si="0">J$19</f>
        <v>45077</v>
      </c>
      <c r="K2" s="6">
        <f t="shared" si="0"/>
        <v>45107</v>
      </c>
      <c r="L2" s="6">
        <f t="shared" si="0"/>
        <v>45138</v>
      </c>
      <c r="M2" s="6">
        <f t="shared" si="0"/>
        <v>45169</v>
      </c>
      <c r="N2" s="6">
        <f t="shared" si="0"/>
        <v>45199</v>
      </c>
      <c r="O2" s="6">
        <f t="shared" si="0"/>
        <v>45230</v>
      </c>
      <c r="P2" s="6">
        <f t="shared" si="0"/>
        <v>45260</v>
      </c>
      <c r="Q2" s="6">
        <f t="shared" si="0"/>
        <v>45291</v>
      </c>
      <c r="R2" s="6">
        <f t="shared" si="0"/>
        <v>45322</v>
      </c>
      <c r="S2" s="6">
        <f t="shared" si="0"/>
        <v>45351</v>
      </c>
      <c r="T2" s="6">
        <f t="shared" si="0"/>
        <v>45382</v>
      </c>
      <c r="U2" s="6">
        <f t="shared" si="0"/>
        <v>45412</v>
      </c>
      <c r="V2" s="6">
        <f t="shared" si="0"/>
        <v>45443</v>
      </c>
      <c r="W2" s="6">
        <f t="shared" si="0"/>
        <v>45473</v>
      </c>
      <c r="X2" s="6">
        <f t="shared" si="0"/>
        <v>45504</v>
      </c>
      <c r="Y2" s="6">
        <f t="shared" si="0"/>
        <v>45535</v>
      </c>
      <c r="Z2" s="6">
        <f t="shared" si="0"/>
        <v>45565</v>
      </c>
      <c r="AA2" s="6">
        <f t="shared" si="0"/>
        <v>45596</v>
      </c>
      <c r="AB2" s="6">
        <f t="shared" si="0"/>
        <v>45626</v>
      </c>
      <c r="AC2" s="6">
        <f t="shared" si="0"/>
        <v>45657</v>
      </c>
      <c r="AD2" s="6">
        <f t="shared" si="0"/>
        <v>45688</v>
      </c>
      <c r="AE2" s="6">
        <f t="shared" si="0"/>
        <v>45716</v>
      </c>
      <c r="AF2" s="6">
        <f t="shared" si="0"/>
        <v>45747</v>
      </c>
      <c r="AG2" s="6">
        <f t="shared" si="0"/>
        <v>45777</v>
      </c>
      <c r="AH2" s="6">
        <f t="shared" si="0"/>
        <v>45808</v>
      </c>
      <c r="AI2" s="6">
        <f t="shared" si="0"/>
        <v>45838</v>
      </c>
      <c r="AJ2" s="6">
        <f t="shared" si="0"/>
        <v>45869</v>
      </c>
      <c r="AK2" s="6">
        <f t="shared" si="0"/>
        <v>45900</v>
      </c>
      <c r="AL2" s="6">
        <f t="shared" si="0"/>
        <v>45930</v>
      </c>
      <c r="AM2" s="6">
        <f t="shared" si="0"/>
        <v>45961</v>
      </c>
      <c r="AN2" s="6">
        <f t="shared" si="0"/>
        <v>45991</v>
      </c>
      <c r="AO2" s="6">
        <f t="shared" si="0"/>
        <v>46022</v>
      </c>
      <c r="AP2" s="6">
        <f t="shared" ref="AP2:BQ2" si="1">AP$19</f>
        <v>46053</v>
      </c>
      <c r="AQ2" s="6">
        <f t="shared" si="1"/>
        <v>46081</v>
      </c>
      <c r="AR2" s="6">
        <f t="shared" si="1"/>
        <v>46112</v>
      </c>
      <c r="AS2" s="6">
        <f t="shared" si="1"/>
        <v>46142</v>
      </c>
      <c r="AT2" s="6">
        <f t="shared" si="1"/>
        <v>46173</v>
      </c>
      <c r="AU2" s="6">
        <f t="shared" si="1"/>
        <v>46203</v>
      </c>
      <c r="AV2" s="6">
        <f t="shared" si="1"/>
        <v>46234</v>
      </c>
      <c r="AW2" s="6">
        <f t="shared" si="1"/>
        <v>46265</v>
      </c>
      <c r="AX2" s="6">
        <f t="shared" si="1"/>
        <v>46295</v>
      </c>
      <c r="AY2" s="6">
        <f t="shared" si="1"/>
        <v>46326</v>
      </c>
      <c r="AZ2" s="6">
        <f t="shared" si="1"/>
        <v>46356</v>
      </c>
      <c r="BA2" s="6">
        <f t="shared" si="1"/>
        <v>46387</v>
      </c>
      <c r="BB2" s="6">
        <f t="shared" si="1"/>
        <v>46418</v>
      </c>
      <c r="BC2" s="6">
        <f t="shared" si="1"/>
        <v>46446</v>
      </c>
      <c r="BD2" s="6">
        <f t="shared" si="1"/>
        <v>46477</v>
      </c>
      <c r="BE2" s="6">
        <f t="shared" si="1"/>
        <v>46507</v>
      </c>
      <c r="BF2" s="6">
        <f t="shared" si="1"/>
        <v>46538</v>
      </c>
      <c r="BG2" s="6">
        <f t="shared" si="1"/>
        <v>46568</v>
      </c>
      <c r="BH2" s="6">
        <f t="shared" si="1"/>
        <v>46599</v>
      </c>
      <c r="BI2" s="6">
        <f t="shared" si="1"/>
        <v>46630</v>
      </c>
      <c r="BJ2" s="6">
        <f t="shared" si="1"/>
        <v>46660</v>
      </c>
      <c r="BK2" s="6">
        <f t="shared" si="1"/>
        <v>46691</v>
      </c>
      <c r="BL2" s="6">
        <f t="shared" si="1"/>
        <v>46721</v>
      </c>
      <c r="BM2" s="6">
        <f t="shared" si="1"/>
        <v>46752</v>
      </c>
      <c r="BN2" s="6">
        <f t="shared" si="1"/>
        <v>46783</v>
      </c>
      <c r="BO2" s="6">
        <f t="shared" si="1"/>
        <v>46812</v>
      </c>
      <c r="BP2" s="6">
        <f t="shared" si="1"/>
        <v>46843</v>
      </c>
      <c r="BQ2" s="6">
        <f t="shared" si="1"/>
        <v>46873</v>
      </c>
    </row>
    <row r="3" spans="1:69" s="30" customFormat="1">
      <c r="A3" s="39"/>
      <c r="B3" s="39"/>
      <c r="C3" s="56"/>
      <c r="D3" s="62"/>
      <c r="E3" s="2" t="s">
        <v>203</v>
      </c>
      <c r="F3" s="41"/>
      <c r="G3" s="44" t="s">
        <v>97</v>
      </c>
      <c r="H3" s="20"/>
      <c r="I3" s="20"/>
      <c r="J3" s="7" t="str">
        <f t="shared" ref="J3:AO3" si="2">J$24</f>
        <v>Month1</v>
      </c>
      <c r="K3" s="7" t="str">
        <f t="shared" si="2"/>
        <v>Month2</v>
      </c>
      <c r="L3" s="7" t="str">
        <f t="shared" si="2"/>
        <v>Month3</v>
      </c>
      <c r="M3" s="7" t="str">
        <f t="shared" si="2"/>
        <v>Month4</v>
      </c>
      <c r="N3" s="7" t="str">
        <f t="shared" si="2"/>
        <v>Month5</v>
      </c>
      <c r="O3" s="7" t="str">
        <f t="shared" si="2"/>
        <v>Month6</v>
      </c>
      <c r="P3" s="7" t="str">
        <f t="shared" si="2"/>
        <v>Month7</v>
      </c>
      <c r="Q3" s="7" t="str">
        <f t="shared" si="2"/>
        <v>Month8</v>
      </c>
      <c r="R3" s="7" t="str">
        <f t="shared" si="2"/>
        <v>Month9</v>
      </c>
      <c r="S3" s="7" t="str">
        <f t="shared" si="2"/>
        <v>Month10</v>
      </c>
      <c r="T3" s="7" t="str">
        <f t="shared" si="2"/>
        <v>Month11</v>
      </c>
      <c r="U3" s="7" t="str">
        <f t="shared" si="2"/>
        <v>Month12</v>
      </c>
      <c r="V3" s="7" t="str">
        <f t="shared" si="2"/>
        <v>Month13</v>
      </c>
      <c r="W3" s="7" t="str">
        <f t="shared" si="2"/>
        <v>Month14</v>
      </c>
      <c r="X3" s="7" t="str">
        <f t="shared" si="2"/>
        <v>Month15</v>
      </c>
      <c r="Y3" s="7" t="str">
        <f t="shared" si="2"/>
        <v>Month16</v>
      </c>
      <c r="Z3" s="7" t="str">
        <f t="shared" si="2"/>
        <v>Month17</v>
      </c>
      <c r="AA3" s="7" t="str">
        <f t="shared" si="2"/>
        <v>Month18</v>
      </c>
      <c r="AB3" s="7" t="str">
        <f t="shared" si="2"/>
        <v>Month19</v>
      </c>
      <c r="AC3" s="7" t="str">
        <f t="shared" si="2"/>
        <v>Month20</v>
      </c>
      <c r="AD3" s="7" t="str">
        <f t="shared" si="2"/>
        <v>Month21</v>
      </c>
      <c r="AE3" s="7" t="str">
        <f t="shared" si="2"/>
        <v>Month22</v>
      </c>
      <c r="AF3" s="7" t="str">
        <f t="shared" si="2"/>
        <v>Month23</v>
      </c>
      <c r="AG3" s="7" t="str">
        <f t="shared" si="2"/>
        <v>Month24</v>
      </c>
      <c r="AH3" s="7" t="str">
        <f t="shared" si="2"/>
        <v>Month25</v>
      </c>
      <c r="AI3" s="7" t="str">
        <f t="shared" si="2"/>
        <v>Month26</v>
      </c>
      <c r="AJ3" s="7" t="str">
        <f t="shared" si="2"/>
        <v>Month27</v>
      </c>
      <c r="AK3" s="7" t="str">
        <f t="shared" si="2"/>
        <v>Month28</v>
      </c>
      <c r="AL3" s="7" t="str">
        <f t="shared" si="2"/>
        <v>Month29</v>
      </c>
      <c r="AM3" s="7" t="str">
        <f t="shared" si="2"/>
        <v>Month30</v>
      </c>
      <c r="AN3" s="7" t="str">
        <f t="shared" si="2"/>
        <v>Month31</v>
      </c>
      <c r="AO3" s="7" t="str">
        <f t="shared" si="2"/>
        <v>Month32</v>
      </c>
      <c r="AP3" s="7" t="str">
        <f t="shared" ref="AP3:BQ3" si="3">AP$24</f>
        <v>Month33</v>
      </c>
      <c r="AQ3" s="7" t="str">
        <f t="shared" si="3"/>
        <v>Month34</v>
      </c>
      <c r="AR3" s="7" t="str">
        <f t="shared" si="3"/>
        <v>Month35</v>
      </c>
      <c r="AS3" s="7" t="str">
        <f t="shared" si="3"/>
        <v>Month36</v>
      </c>
      <c r="AT3" s="7" t="str">
        <f t="shared" si="3"/>
        <v>Month37</v>
      </c>
      <c r="AU3" s="7" t="str">
        <f t="shared" si="3"/>
        <v>Month38</v>
      </c>
      <c r="AV3" s="7" t="str">
        <f t="shared" si="3"/>
        <v>Month39</v>
      </c>
      <c r="AW3" s="7" t="str">
        <f t="shared" si="3"/>
        <v>Month40</v>
      </c>
      <c r="AX3" s="7" t="str">
        <f t="shared" si="3"/>
        <v>Month41</v>
      </c>
      <c r="AY3" s="7" t="str">
        <f t="shared" si="3"/>
        <v>Month42</v>
      </c>
      <c r="AZ3" s="7" t="str">
        <f t="shared" si="3"/>
        <v>Month43</v>
      </c>
      <c r="BA3" s="7" t="str">
        <f t="shared" si="3"/>
        <v>Month44</v>
      </c>
      <c r="BB3" s="7" t="str">
        <f t="shared" si="3"/>
        <v>Month45</v>
      </c>
      <c r="BC3" s="7" t="str">
        <f t="shared" si="3"/>
        <v>Month46</v>
      </c>
      <c r="BD3" s="7" t="str">
        <f t="shared" si="3"/>
        <v>Month47</v>
      </c>
      <c r="BE3" s="7" t="str">
        <f t="shared" si="3"/>
        <v>Month48</v>
      </c>
      <c r="BF3" s="7" t="str">
        <f t="shared" si="3"/>
        <v>Month49</v>
      </c>
      <c r="BG3" s="7" t="str">
        <f t="shared" si="3"/>
        <v>Month50</v>
      </c>
      <c r="BH3" s="7" t="str">
        <f t="shared" si="3"/>
        <v>Month51</v>
      </c>
      <c r="BI3" s="7" t="str">
        <f t="shared" si="3"/>
        <v>Month52</v>
      </c>
      <c r="BJ3" s="7" t="str">
        <f t="shared" si="3"/>
        <v>Month53</v>
      </c>
      <c r="BK3" s="7" t="str">
        <f t="shared" si="3"/>
        <v>Month54</v>
      </c>
      <c r="BL3" s="7" t="str">
        <f t="shared" si="3"/>
        <v>Month55</v>
      </c>
      <c r="BM3" s="7" t="str">
        <f t="shared" si="3"/>
        <v>Month56</v>
      </c>
      <c r="BN3" s="7" t="str">
        <f t="shared" si="3"/>
        <v>Month57</v>
      </c>
      <c r="BO3" s="7" t="str">
        <f t="shared" si="3"/>
        <v>Month58</v>
      </c>
      <c r="BP3" s="7" t="str">
        <f t="shared" si="3"/>
        <v>Month59</v>
      </c>
      <c r="BQ3" s="7" t="str">
        <f t="shared" si="3"/>
        <v>Month60</v>
      </c>
    </row>
    <row r="4" spans="1:69" s="5" customFormat="1">
      <c r="A4" s="39"/>
      <c r="B4" s="39"/>
      <c r="C4" s="56"/>
      <c r="D4" s="62"/>
      <c r="E4" s="20" t="s">
        <v>325</v>
      </c>
      <c r="F4" s="22"/>
      <c r="G4" s="20"/>
      <c r="H4" s="20"/>
      <c r="I4" s="20"/>
      <c r="J4" s="5">
        <f t="shared" ref="J4:AO4" si="4">J$28</f>
        <v>1</v>
      </c>
      <c r="K4" s="5">
        <f t="shared" si="4"/>
        <v>2</v>
      </c>
      <c r="L4" s="5">
        <f t="shared" si="4"/>
        <v>3</v>
      </c>
      <c r="M4" s="5">
        <f t="shared" si="4"/>
        <v>4</v>
      </c>
      <c r="N4" s="5">
        <f t="shared" si="4"/>
        <v>5</v>
      </c>
      <c r="O4" s="5">
        <f t="shared" si="4"/>
        <v>6</v>
      </c>
      <c r="P4" s="5">
        <f t="shared" si="4"/>
        <v>7</v>
      </c>
      <c r="Q4" s="5">
        <f t="shared" si="4"/>
        <v>8</v>
      </c>
      <c r="R4" s="5">
        <f t="shared" si="4"/>
        <v>9</v>
      </c>
      <c r="S4" s="5">
        <f t="shared" si="4"/>
        <v>10</v>
      </c>
      <c r="T4" s="5">
        <f t="shared" si="4"/>
        <v>11</v>
      </c>
      <c r="U4" s="5">
        <f t="shared" si="4"/>
        <v>12</v>
      </c>
      <c r="V4" s="5">
        <f t="shared" si="4"/>
        <v>13</v>
      </c>
      <c r="W4" s="5">
        <f t="shared" si="4"/>
        <v>14</v>
      </c>
      <c r="X4" s="5">
        <f t="shared" si="4"/>
        <v>15</v>
      </c>
      <c r="Y4" s="5">
        <f t="shared" si="4"/>
        <v>16</v>
      </c>
      <c r="Z4" s="5">
        <f t="shared" si="4"/>
        <v>17</v>
      </c>
      <c r="AA4" s="5">
        <f t="shared" si="4"/>
        <v>18</v>
      </c>
      <c r="AB4" s="5">
        <f t="shared" si="4"/>
        <v>19</v>
      </c>
      <c r="AC4" s="5">
        <f t="shared" si="4"/>
        <v>20</v>
      </c>
      <c r="AD4" s="5">
        <f t="shared" si="4"/>
        <v>21</v>
      </c>
      <c r="AE4" s="5">
        <f t="shared" si="4"/>
        <v>22</v>
      </c>
      <c r="AF4" s="5">
        <f t="shared" si="4"/>
        <v>23</v>
      </c>
      <c r="AG4" s="5">
        <f t="shared" si="4"/>
        <v>24</v>
      </c>
      <c r="AH4" s="5">
        <f t="shared" si="4"/>
        <v>25</v>
      </c>
      <c r="AI4" s="5">
        <f t="shared" si="4"/>
        <v>26</v>
      </c>
      <c r="AJ4" s="5">
        <f t="shared" si="4"/>
        <v>27</v>
      </c>
      <c r="AK4" s="5">
        <f t="shared" si="4"/>
        <v>28</v>
      </c>
      <c r="AL4" s="5">
        <f t="shared" si="4"/>
        <v>29</v>
      </c>
      <c r="AM4" s="5">
        <f t="shared" si="4"/>
        <v>30</v>
      </c>
      <c r="AN4" s="5">
        <f t="shared" si="4"/>
        <v>31</v>
      </c>
      <c r="AO4" s="5">
        <f t="shared" si="4"/>
        <v>32</v>
      </c>
      <c r="AP4" s="5">
        <f t="shared" ref="AP4:BQ4" si="5">AP$28</f>
        <v>33</v>
      </c>
      <c r="AQ4" s="5">
        <f t="shared" si="5"/>
        <v>34</v>
      </c>
      <c r="AR4" s="5">
        <f t="shared" si="5"/>
        <v>35</v>
      </c>
      <c r="AS4" s="5">
        <f t="shared" si="5"/>
        <v>36</v>
      </c>
      <c r="AT4" s="5">
        <f t="shared" si="5"/>
        <v>37</v>
      </c>
      <c r="AU4" s="5">
        <f t="shared" si="5"/>
        <v>38</v>
      </c>
      <c r="AV4" s="5">
        <f t="shared" si="5"/>
        <v>39</v>
      </c>
      <c r="AW4" s="5">
        <f t="shared" si="5"/>
        <v>40</v>
      </c>
      <c r="AX4" s="5">
        <f t="shared" si="5"/>
        <v>41</v>
      </c>
      <c r="AY4" s="5">
        <f t="shared" si="5"/>
        <v>42</v>
      </c>
      <c r="AZ4" s="5">
        <f t="shared" si="5"/>
        <v>43</v>
      </c>
      <c r="BA4" s="5">
        <f t="shared" si="5"/>
        <v>44</v>
      </c>
      <c r="BB4" s="5">
        <f t="shared" si="5"/>
        <v>45</v>
      </c>
      <c r="BC4" s="5">
        <f t="shared" si="5"/>
        <v>46</v>
      </c>
      <c r="BD4" s="5">
        <f t="shared" si="5"/>
        <v>47</v>
      </c>
      <c r="BE4" s="5">
        <f t="shared" si="5"/>
        <v>48</v>
      </c>
      <c r="BF4" s="5">
        <f t="shared" si="5"/>
        <v>49</v>
      </c>
      <c r="BG4" s="5">
        <f t="shared" si="5"/>
        <v>50</v>
      </c>
      <c r="BH4" s="5">
        <f t="shared" si="5"/>
        <v>51</v>
      </c>
      <c r="BI4" s="5">
        <f t="shared" si="5"/>
        <v>52</v>
      </c>
      <c r="BJ4" s="5">
        <f t="shared" si="5"/>
        <v>53</v>
      </c>
      <c r="BK4" s="5">
        <f t="shared" si="5"/>
        <v>54</v>
      </c>
      <c r="BL4" s="5">
        <f t="shared" si="5"/>
        <v>55</v>
      </c>
      <c r="BM4" s="5">
        <f t="shared" si="5"/>
        <v>56</v>
      </c>
      <c r="BN4" s="5">
        <f t="shared" si="5"/>
        <v>57</v>
      </c>
      <c r="BO4" s="5">
        <f t="shared" si="5"/>
        <v>58</v>
      </c>
      <c r="BP4" s="5">
        <f t="shared" si="5"/>
        <v>59</v>
      </c>
      <c r="BQ4" s="5">
        <f t="shared" si="5"/>
        <v>60</v>
      </c>
    </row>
    <row r="5" spans="1:69" s="30" customFormat="1">
      <c r="A5" s="39"/>
      <c r="B5" s="39"/>
      <c r="C5" s="56"/>
      <c r="D5" s="62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6" spans="1:69">
      <c r="F6" s="22"/>
      <c r="G6" s="22"/>
      <c r="H6" s="22"/>
    </row>
    <row r="8" spans="1:69">
      <c r="B8" s="22" t="s">
        <v>31</v>
      </c>
    </row>
    <row r="9" spans="1:69">
      <c r="A9" s="17"/>
      <c r="B9" s="17"/>
      <c r="C9" s="26"/>
      <c r="D9" s="27"/>
      <c r="E9" s="18" t="str">
        <f>InpC!E$100</f>
        <v>Start date</v>
      </c>
      <c r="F9" s="18">
        <f>InpC!F$100</f>
        <v>45047</v>
      </c>
      <c r="G9" s="18" t="str">
        <f>InpC!G$100</f>
        <v>date</v>
      </c>
      <c r="M9" s="8"/>
    </row>
    <row r="10" spans="1:69">
      <c r="A10" s="17"/>
      <c r="B10" s="17"/>
      <c r="C10" s="26"/>
      <c r="D10" s="27"/>
      <c r="E10" s="4" t="str">
        <f>InpC!E$98</f>
        <v>Months per period (Primary)</v>
      </c>
      <c r="F10" s="4">
        <f>InpC!F$98</f>
        <v>1</v>
      </c>
      <c r="G10" s="4" t="str">
        <f>InpC!G$98</f>
        <v>Months</v>
      </c>
    </row>
    <row r="11" spans="1:69">
      <c r="E11" s="5" t="str">
        <f t="shared" ref="E11:AJ11" si="6">E$28</f>
        <v>Period number</v>
      </c>
      <c r="F11" s="5">
        <f t="shared" si="6"/>
        <v>0</v>
      </c>
      <c r="G11" s="5" t="str">
        <f t="shared" si="6"/>
        <v>Counter</v>
      </c>
      <c r="H11" s="5">
        <f t="shared" si="6"/>
        <v>0</v>
      </c>
      <c r="I11" s="5">
        <f t="shared" si="6"/>
        <v>0</v>
      </c>
      <c r="J11" s="5">
        <f t="shared" si="6"/>
        <v>1</v>
      </c>
      <c r="K11" s="5">
        <f t="shared" si="6"/>
        <v>2</v>
      </c>
      <c r="L11" s="5">
        <f t="shared" si="6"/>
        <v>3</v>
      </c>
      <c r="M11" s="5">
        <f t="shared" si="6"/>
        <v>4</v>
      </c>
      <c r="N11" s="5">
        <f t="shared" si="6"/>
        <v>5</v>
      </c>
      <c r="O11" s="5">
        <f t="shared" si="6"/>
        <v>6</v>
      </c>
      <c r="P11" s="5">
        <f t="shared" si="6"/>
        <v>7</v>
      </c>
      <c r="Q11" s="5">
        <f t="shared" si="6"/>
        <v>8</v>
      </c>
      <c r="R11" s="5">
        <f t="shared" si="6"/>
        <v>9</v>
      </c>
      <c r="S11" s="5">
        <f t="shared" si="6"/>
        <v>10</v>
      </c>
      <c r="T11" s="5">
        <f t="shared" si="6"/>
        <v>11</v>
      </c>
      <c r="U11" s="5">
        <f t="shared" si="6"/>
        <v>12</v>
      </c>
      <c r="V11" s="5">
        <f t="shared" si="6"/>
        <v>13</v>
      </c>
      <c r="W11" s="5">
        <f t="shared" si="6"/>
        <v>14</v>
      </c>
      <c r="X11" s="5">
        <f t="shared" si="6"/>
        <v>15</v>
      </c>
      <c r="Y11" s="5">
        <f t="shared" si="6"/>
        <v>16</v>
      </c>
      <c r="Z11" s="5">
        <f t="shared" si="6"/>
        <v>17</v>
      </c>
      <c r="AA11" s="5">
        <f t="shared" si="6"/>
        <v>18</v>
      </c>
      <c r="AB11" s="5">
        <f t="shared" si="6"/>
        <v>19</v>
      </c>
      <c r="AC11" s="5">
        <f t="shared" si="6"/>
        <v>20</v>
      </c>
      <c r="AD11" s="5">
        <f t="shared" si="6"/>
        <v>21</v>
      </c>
      <c r="AE11" s="5">
        <f t="shared" si="6"/>
        <v>22</v>
      </c>
      <c r="AF11" s="5">
        <f t="shared" si="6"/>
        <v>23</v>
      </c>
      <c r="AG11" s="5">
        <f t="shared" si="6"/>
        <v>24</v>
      </c>
      <c r="AH11" s="5">
        <f t="shared" si="6"/>
        <v>25</v>
      </c>
      <c r="AI11" s="5">
        <f t="shared" si="6"/>
        <v>26</v>
      </c>
      <c r="AJ11" s="5">
        <f t="shared" si="6"/>
        <v>27</v>
      </c>
      <c r="AK11" s="5">
        <f t="shared" ref="AK11:BQ11" si="7">AK$28</f>
        <v>28</v>
      </c>
      <c r="AL11" s="5">
        <f t="shared" si="7"/>
        <v>29</v>
      </c>
      <c r="AM11" s="5">
        <f t="shared" si="7"/>
        <v>30</v>
      </c>
      <c r="AN11" s="5">
        <f t="shared" si="7"/>
        <v>31</v>
      </c>
      <c r="AO11" s="5">
        <f t="shared" si="7"/>
        <v>32</v>
      </c>
      <c r="AP11" s="5">
        <f t="shared" si="7"/>
        <v>33</v>
      </c>
      <c r="AQ11" s="5">
        <f t="shared" si="7"/>
        <v>34</v>
      </c>
      <c r="AR11" s="5">
        <f t="shared" si="7"/>
        <v>35</v>
      </c>
      <c r="AS11" s="5">
        <f t="shared" si="7"/>
        <v>36</v>
      </c>
      <c r="AT11" s="5">
        <f t="shared" si="7"/>
        <v>37</v>
      </c>
      <c r="AU11" s="5">
        <f t="shared" si="7"/>
        <v>38</v>
      </c>
      <c r="AV11" s="5">
        <f t="shared" si="7"/>
        <v>39</v>
      </c>
      <c r="AW11" s="5">
        <f t="shared" si="7"/>
        <v>40</v>
      </c>
      <c r="AX11" s="5">
        <f t="shared" si="7"/>
        <v>41</v>
      </c>
      <c r="AY11" s="5">
        <f t="shared" si="7"/>
        <v>42</v>
      </c>
      <c r="AZ11" s="5">
        <f t="shared" si="7"/>
        <v>43</v>
      </c>
      <c r="BA11" s="5">
        <f t="shared" si="7"/>
        <v>44</v>
      </c>
      <c r="BB11" s="5">
        <f t="shared" si="7"/>
        <v>45</v>
      </c>
      <c r="BC11" s="5">
        <f t="shared" si="7"/>
        <v>46</v>
      </c>
      <c r="BD11" s="5">
        <f t="shared" si="7"/>
        <v>47</v>
      </c>
      <c r="BE11" s="5">
        <f t="shared" si="7"/>
        <v>48</v>
      </c>
      <c r="BF11" s="5">
        <f t="shared" si="7"/>
        <v>49</v>
      </c>
      <c r="BG11" s="5">
        <f t="shared" si="7"/>
        <v>50</v>
      </c>
      <c r="BH11" s="5">
        <f t="shared" si="7"/>
        <v>51</v>
      </c>
      <c r="BI11" s="5">
        <f t="shared" si="7"/>
        <v>52</v>
      </c>
      <c r="BJ11" s="5">
        <f t="shared" si="7"/>
        <v>53</v>
      </c>
      <c r="BK11" s="5">
        <f t="shared" si="7"/>
        <v>54</v>
      </c>
      <c r="BL11" s="5">
        <f t="shared" si="7"/>
        <v>55</v>
      </c>
      <c r="BM11" s="5">
        <f t="shared" si="7"/>
        <v>56</v>
      </c>
      <c r="BN11" s="5">
        <f t="shared" si="7"/>
        <v>57</v>
      </c>
      <c r="BO11" s="5">
        <f t="shared" si="7"/>
        <v>58</v>
      </c>
      <c r="BP11" s="5">
        <f t="shared" si="7"/>
        <v>59</v>
      </c>
      <c r="BQ11" s="5">
        <f t="shared" si="7"/>
        <v>60</v>
      </c>
    </row>
    <row r="12" spans="1:69">
      <c r="A12" s="31"/>
      <c r="B12" s="31"/>
      <c r="C12" s="51"/>
      <c r="D12" s="50"/>
      <c r="E12" s="3" t="s">
        <v>31</v>
      </c>
      <c r="F12" s="3"/>
      <c r="G12" s="3" t="s">
        <v>210</v>
      </c>
      <c r="H12" s="3"/>
      <c r="I12" s="3"/>
      <c r="J12" s="13">
        <f t="shared" ref="J12:AO12" si="8">IF(J11=1,$F9,EDATE(I12,$F10))</f>
        <v>45047</v>
      </c>
      <c r="K12" s="13">
        <f t="shared" si="8"/>
        <v>45078</v>
      </c>
      <c r="L12" s="13">
        <f t="shared" si="8"/>
        <v>45108</v>
      </c>
      <c r="M12" s="13">
        <f t="shared" si="8"/>
        <v>45139</v>
      </c>
      <c r="N12" s="13">
        <f t="shared" si="8"/>
        <v>45170</v>
      </c>
      <c r="O12" s="13">
        <f t="shared" si="8"/>
        <v>45200</v>
      </c>
      <c r="P12" s="13">
        <f t="shared" si="8"/>
        <v>45231</v>
      </c>
      <c r="Q12" s="13">
        <f t="shared" si="8"/>
        <v>45261</v>
      </c>
      <c r="R12" s="13">
        <f t="shared" si="8"/>
        <v>45292</v>
      </c>
      <c r="S12" s="13">
        <f t="shared" si="8"/>
        <v>45323</v>
      </c>
      <c r="T12" s="13">
        <f t="shared" si="8"/>
        <v>45352</v>
      </c>
      <c r="U12" s="13">
        <f t="shared" si="8"/>
        <v>45383</v>
      </c>
      <c r="V12" s="13">
        <f t="shared" si="8"/>
        <v>45413</v>
      </c>
      <c r="W12" s="13">
        <f t="shared" si="8"/>
        <v>45444</v>
      </c>
      <c r="X12" s="13">
        <f t="shared" si="8"/>
        <v>45474</v>
      </c>
      <c r="Y12" s="13">
        <f t="shared" si="8"/>
        <v>45505</v>
      </c>
      <c r="Z12" s="13">
        <f t="shared" si="8"/>
        <v>45536</v>
      </c>
      <c r="AA12" s="13">
        <f t="shared" si="8"/>
        <v>45566</v>
      </c>
      <c r="AB12" s="13">
        <f t="shared" si="8"/>
        <v>45597</v>
      </c>
      <c r="AC12" s="13">
        <f t="shared" si="8"/>
        <v>45627</v>
      </c>
      <c r="AD12" s="13">
        <f t="shared" si="8"/>
        <v>45658</v>
      </c>
      <c r="AE12" s="13">
        <f t="shared" si="8"/>
        <v>45689</v>
      </c>
      <c r="AF12" s="13">
        <f t="shared" si="8"/>
        <v>45717</v>
      </c>
      <c r="AG12" s="13">
        <f t="shared" si="8"/>
        <v>45748</v>
      </c>
      <c r="AH12" s="13">
        <f t="shared" si="8"/>
        <v>45778</v>
      </c>
      <c r="AI12" s="13">
        <f t="shared" si="8"/>
        <v>45809</v>
      </c>
      <c r="AJ12" s="13">
        <f t="shared" si="8"/>
        <v>45839</v>
      </c>
      <c r="AK12" s="13">
        <f t="shared" si="8"/>
        <v>45870</v>
      </c>
      <c r="AL12" s="13">
        <f t="shared" si="8"/>
        <v>45901</v>
      </c>
      <c r="AM12" s="13">
        <f t="shared" si="8"/>
        <v>45931</v>
      </c>
      <c r="AN12" s="13">
        <f t="shared" si="8"/>
        <v>45962</v>
      </c>
      <c r="AO12" s="13">
        <f t="shared" si="8"/>
        <v>45992</v>
      </c>
      <c r="AP12" s="13">
        <f t="shared" ref="AP12:BU12" si="9">IF(AP11=1,$F9,EDATE(AO12,$F10))</f>
        <v>46023</v>
      </c>
      <c r="AQ12" s="13">
        <f t="shared" si="9"/>
        <v>46054</v>
      </c>
      <c r="AR12" s="13">
        <f t="shared" si="9"/>
        <v>46082</v>
      </c>
      <c r="AS12" s="13">
        <f t="shared" si="9"/>
        <v>46113</v>
      </c>
      <c r="AT12" s="13">
        <f t="shared" si="9"/>
        <v>46143</v>
      </c>
      <c r="AU12" s="13">
        <f t="shared" si="9"/>
        <v>46174</v>
      </c>
      <c r="AV12" s="13">
        <f t="shared" si="9"/>
        <v>46204</v>
      </c>
      <c r="AW12" s="13">
        <f t="shared" si="9"/>
        <v>46235</v>
      </c>
      <c r="AX12" s="13">
        <f t="shared" si="9"/>
        <v>46266</v>
      </c>
      <c r="AY12" s="13">
        <f t="shared" si="9"/>
        <v>46296</v>
      </c>
      <c r="AZ12" s="13">
        <f t="shared" si="9"/>
        <v>46327</v>
      </c>
      <c r="BA12" s="13">
        <f t="shared" si="9"/>
        <v>46357</v>
      </c>
      <c r="BB12" s="13">
        <f t="shared" si="9"/>
        <v>46388</v>
      </c>
      <c r="BC12" s="13">
        <f t="shared" si="9"/>
        <v>46419</v>
      </c>
      <c r="BD12" s="13">
        <f t="shared" si="9"/>
        <v>46447</v>
      </c>
      <c r="BE12" s="13">
        <f t="shared" si="9"/>
        <v>46478</v>
      </c>
      <c r="BF12" s="13">
        <f t="shared" si="9"/>
        <v>46508</v>
      </c>
      <c r="BG12" s="13">
        <f t="shared" si="9"/>
        <v>46539</v>
      </c>
      <c r="BH12" s="13">
        <f t="shared" si="9"/>
        <v>46569</v>
      </c>
      <c r="BI12" s="13">
        <f t="shared" si="9"/>
        <v>46600</v>
      </c>
      <c r="BJ12" s="13">
        <f t="shared" si="9"/>
        <v>46631</v>
      </c>
      <c r="BK12" s="13">
        <f t="shared" si="9"/>
        <v>46661</v>
      </c>
      <c r="BL12" s="13">
        <f t="shared" si="9"/>
        <v>46692</v>
      </c>
      <c r="BM12" s="13">
        <f t="shared" si="9"/>
        <v>46722</v>
      </c>
      <c r="BN12" s="13">
        <f t="shared" si="9"/>
        <v>46753</v>
      </c>
      <c r="BO12" s="13">
        <f t="shared" si="9"/>
        <v>46784</v>
      </c>
      <c r="BP12" s="13">
        <f t="shared" si="9"/>
        <v>46813</v>
      </c>
      <c r="BQ12" s="13">
        <f t="shared" si="9"/>
        <v>46844</v>
      </c>
    </row>
    <row r="15" spans="1:69">
      <c r="A15" s="22" t="s">
        <v>164</v>
      </c>
    </row>
    <row r="16" spans="1:69" ht="14.5">
      <c r="A16"/>
      <c r="B16" s="22" t="s">
        <v>324</v>
      </c>
    </row>
    <row r="17" spans="1:69">
      <c r="A17" s="17"/>
      <c r="B17" s="17"/>
      <c r="C17" s="26"/>
      <c r="D17" s="27"/>
      <c r="E17" s="4" t="str">
        <f>InpC!E$98</f>
        <v>Months per period (Primary)</v>
      </c>
      <c r="F17" s="4">
        <f>InpC!F$98</f>
        <v>1</v>
      </c>
      <c r="G17" s="4" t="str">
        <f>InpC!G$98</f>
        <v>Months</v>
      </c>
    </row>
    <row r="18" spans="1:69">
      <c r="E18" s="8" t="str">
        <f t="shared" ref="E18:AJ18" si="10">E$12</f>
        <v>Model period start</v>
      </c>
      <c r="F18" s="8">
        <f t="shared" si="10"/>
        <v>0</v>
      </c>
      <c r="G18" s="8" t="str">
        <f t="shared" si="10"/>
        <v>date</v>
      </c>
      <c r="H18" s="8">
        <f t="shared" si="10"/>
        <v>0</v>
      </c>
      <c r="I18" s="8">
        <f t="shared" si="10"/>
        <v>0</v>
      </c>
      <c r="J18" s="8">
        <f t="shared" si="10"/>
        <v>45047</v>
      </c>
      <c r="K18" s="8">
        <f t="shared" si="10"/>
        <v>45078</v>
      </c>
      <c r="L18" s="8">
        <f t="shared" si="10"/>
        <v>45108</v>
      </c>
      <c r="M18" s="8">
        <f t="shared" si="10"/>
        <v>45139</v>
      </c>
      <c r="N18" s="8">
        <f t="shared" si="10"/>
        <v>45170</v>
      </c>
      <c r="O18" s="8">
        <f t="shared" si="10"/>
        <v>45200</v>
      </c>
      <c r="P18" s="8">
        <f t="shared" si="10"/>
        <v>45231</v>
      </c>
      <c r="Q18" s="8">
        <f t="shared" si="10"/>
        <v>45261</v>
      </c>
      <c r="R18" s="8">
        <f t="shared" si="10"/>
        <v>45292</v>
      </c>
      <c r="S18" s="8">
        <f t="shared" si="10"/>
        <v>45323</v>
      </c>
      <c r="T18" s="8">
        <f t="shared" si="10"/>
        <v>45352</v>
      </c>
      <c r="U18" s="8">
        <f t="shared" si="10"/>
        <v>45383</v>
      </c>
      <c r="V18" s="8">
        <f t="shared" si="10"/>
        <v>45413</v>
      </c>
      <c r="W18" s="8">
        <f t="shared" si="10"/>
        <v>45444</v>
      </c>
      <c r="X18" s="8">
        <f t="shared" si="10"/>
        <v>45474</v>
      </c>
      <c r="Y18" s="8">
        <f t="shared" si="10"/>
        <v>45505</v>
      </c>
      <c r="Z18" s="8">
        <f t="shared" si="10"/>
        <v>45536</v>
      </c>
      <c r="AA18" s="8">
        <f t="shared" si="10"/>
        <v>45566</v>
      </c>
      <c r="AB18" s="8">
        <f t="shared" si="10"/>
        <v>45597</v>
      </c>
      <c r="AC18" s="8">
        <f t="shared" si="10"/>
        <v>45627</v>
      </c>
      <c r="AD18" s="8">
        <f t="shared" si="10"/>
        <v>45658</v>
      </c>
      <c r="AE18" s="8">
        <f t="shared" si="10"/>
        <v>45689</v>
      </c>
      <c r="AF18" s="8">
        <f t="shared" si="10"/>
        <v>45717</v>
      </c>
      <c r="AG18" s="8">
        <f t="shared" si="10"/>
        <v>45748</v>
      </c>
      <c r="AH18" s="8">
        <f t="shared" si="10"/>
        <v>45778</v>
      </c>
      <c r="AI18" s="8">
        <f t="shared" si="10"/>
        <v>45809</v>
      </c>
      <c r="AJ18" s="8">
        <f t="shared" si="10"/>
        <v>45839</v>
      </c>
      <c r="AK18" s="8">
        <f t="shared" ref="AK18:BQ18" si="11">AK$12</f>
        <v>45870</v>
      </c>
      <c r="AL18" s="8">
        <f t="shared" si="11"/>
        <v>45901</v>
      </c>
      <c r="AM18" s="8">
        <f t="shared" si="11"/>
        <v>45931</v>
      </c>
      <c r="AN18" s="8">
        <f t="shared" si="11"/>
        <v>45962</v>
      </c>
      <c r="AO18" s="8">
        <f t="shared" si="11"/>
        <v>45992</v>
      </c>
      <c r="AP18" s="8">
        <f t="shared" si="11"/>
        <v>46023</v>
      </c>
      <c r="AQ18" s="8">
        <f t="shared" si="11"/>
        <v>46054</v>
      </c>
      <c r="AR18" s="8">
        <f t="shared" si="11"/>
        <v>46082</v>
      </c>
      <c r="AS18" s="8">
        <f t="shared" si="11"/>
        <v>46113</v>
      </c>
      <c r="AT18" s="8">
        <f t="shared" si="11"/>
        <v>46143</v>
      </c>
      <c r="AU18" s="8">
        <f t="shared" si="11"/>
        <v>46174</v>
      </c>
      <c r="AV18" s="8">
        <f t="shared" si="11"/>
        <v>46204</v>
      </c>
      <c r="AW18" s="8">
        <f t="shared" si="11"/>
        <v>46235</v>
      </c>
      <c r="AX18" s="8">
        <f t="shared" si="11"/>
        <v>46266</v>
      </c>
      <c r="AY18" s="8">
        <f t="shared" si="11"/>
        <v>46296</v>
      </c>
      <c r="AZ18" s="8">
        <f t="shared" si="11"/>
        <v>46327</v>
      </c>
      <c r="BA18" s="8">
        <f t="shared" si="11"/>
        <v>46357</v>
      </c>
      <c r="BB18" s="8">
        <f t="shared" si="11"/>
        <v>46388</v>
      </c>
      <c r="BC18" s="8">
        <f t="shared" si="11"/>
        <v>46419</v>
      </c>
      <c r="BD18" s="8">
        <f t="shared" si="11"/>
        <v>46447</v>
      </c>
      <c r="BE18" s="8">
        <f t="shared" si="11"/>
        <v>46478</v>
      </c>
      <c r="BF18" s="8">
        <f t="shared" si="11"/>
        <v>46508</v>
      </c>
      <c r="BG18" s="8">
        <f t="shared" si="11"/>
        <v>46539</v>
      </c>
      <c r="BH18" s="8">
        <f t="shared" si="11"/>
        <v>46569</v>
      </c>
      <c r="BI18" s="8">
        <f t="shared" si="11"/>
        <v>46600</v>
      </c>
      <c r="BJ18" s="8">
        <f t="shared" si="11"/>
        <v>46631</v>
      </c>
      <c r="BK18" s="8">
        <f t="shared" si="11"/>
        <v>46661</v>
      </c>
      <c r="BL18" s="8">
        <f t="shared" si="11"/>
        <v>46692</v>
      </c>
      <c r="BM18" s="8">
        <f t="shared" si="11"/>
        <v>46722</v>
      </c>
      <c r="BN18" s="8">
        <f t="shared" si="11"/>
        <v>46753</v>
      </c>
      <c r="BO18" s="8">
        <f t="shared" si="11"/>
        <v>46784</v>
      </c>
      <c r="BP18" s="8">
        <f t="shared" si="11"/>
        <v>46813</v>
      </c>
      <c r="BQ18" s="8">
        <f t="shared" si="11"/>
        <v>46844</v>
      </c>
    </row>
    <row r="19" spans="1:69">
      <c r="A19" s="31"/>
      <c r="B19" s="31"/>
      <c r="C19" s="51"/>
      <c r="D19" s="50"/>
      <c r="E19" s="3" t="s">
        <v>324</v>
      </c>
      <c r="F19" s="3"/>
      <c r="G19" s="3" t="s">
        <v>210</v>
      </c>
      <c r="H19" s="3"/>
      <c r="I19" s="3"/>
      <c r="J19" s="13">
        <f t="shared" ref="J19:AO19" si="12">EDATE(J18,$F17)-1</f>
        <v>45077</v>
      </c>
      <c r="K19" s="13">
        <f t="shared" si="12"/>
        <v>45107</v>
      </c>
      <c r="L19" s="13">
        <f t="shared" si="12"/>
        <v>45138</v>
      </c>
      <c r="M19" s="13">
        <f t="shared" si="12"/>
        <v>45169</v>
      </c>
      <c r="N19" s="13">
        <f t="shared" si="12"/>
        <v>45199</v>
      </c>
      <c r="O19" s="13">
        <f t="shared" si="12"/>
        <v>45230</v>
      </c>
      <c r="P19" s="13">
        <f t="shared" si="12"/>
        <v>45260</v>
      </c>
      <c r="Q19" s="13">
        <f t="shared" si="12"/>
        <v>45291</v>
      </c>
      <c r="R19" s="13">
        <f t="shared" si="12"/>
        <v>45322</v>
      </c>
      <c r="S19" s="13">
        <f t="shared" si="12"/>
        <v>45351</v>
      </c>
      <c r="T19" s="13">
        <f t="shared" si="12"/>
        <v>45382</v>
      </c>
      <c r="U19" s="13">
        <f t="shared" si="12"/>
        <v>45412</v>
      </c>
      <c r="V19" s="13">
        <f t="shared" si="12"/>
        <v>45443</v>
      </c>
      <c r="W19" s="13">
        <f t="shared" si="12"/>
        <v>45473</v>
      </c>
      <c r="X19" s="13">
        <f t="shared" si="12"/>
        <v>45504</v>
      </c>
      <c r="Y19" s="13">
        <f t="shared" si="12"/>
        <v>45535</v>
      </c>
      <c r="Z19" s="13">
        <f t="shared" si="12"/>
        <v>45565</v>
      </c>
      <c r="AA19" s="13">
        <f t="shared" si="12"/>
        <v>45596</v>
      </c>
      <c r="AB19" s="13">
        <f t="shared" si="12"/>
        <v>45626</v>
      </c>
      <c r="AC19" s="13">
        <f t="shared" si="12"/>
        <v>45657</v>
      </c>
      <c r="AD19" s="13">
        <f t="shared" si="12"/>
        <v>45688</v>
      </c>
      <c r="AE19" s="13">
        <f t="shared" si="12"/>
        <v>45716</v>
      </c>
      <c r="AF19" s="13">
        <f t="shared" si="12"/>
        <v>45747</v>
      </c>
      <c r="AG19" s="13">
        <f t="shared" si="12"/>
        <v>45777</v>
      </c>
      <c r="AH19" s="13">
        <f t="shared" si="12"/>
        <v>45808</v>
      </c>
      <c r="AI19" s="13">
        <f t="shared" si="12"/>
        <v>45838</v>
      </c>
      <c r="AJ19" s="13">
        <f t="shared" si="12"/>
        <v>45869</v>
      </c>
      <c r="AK19" s="13">
        <f t="shared" si="12"/>
        <v>45900</v>
      </c>
      <c r="AL19" s="13">
        <f t="shared" si="12"/>
        <v>45930</v>
      </c>
      <c r="AM19" s="13">
        <f t="shared" si="12"/>
        <v>45961</v>
      </c>
      <c r="AN19" s="13">
        <f t="shared" si="12"/>
        <v>45991</v>
      </c>
      <c r="AO19" s="13">
        <f t="shared" si="12"/>
        <v>46022</v>
      </c>
      <c r="AP19" s="13">
        <f t="shared" ref="AP19:BU19" si="13">EDATE(AP18,$F17)-1</f>
        <v>46053</v>
      </c>
      <c r="AQ19" s="13">
        <f t="shared" si="13"/>
        <v>46081</v>
      </c>
      <c r="AR19" s="13">
        <f t="shared" si="13"/>
        <v>46112</v>
      </c>
      <c r="AS19" s="13">
        <f t="shared" si="13"/>
        <v>46142</v>
      </c>
      <c r="AT19" s="13">
        <f t="shared" si="13"/>
        <v>46173</v>
      </c>
      <c r="AU19" s="13">
        <f t="shared" si="13"/>
        <v>46203</v>
      </c>
      <c r="AV19" s="13">
        <f t="shared" si="13"/>
        <v>46234</v>
      </c>
      <c r="AW19" s="13">
        <f t="shared" si="13"/>
        <v>46265</v>
      </c>
      <c r="AX19" s="13">
        <f t="shared" si="13"/>
        <v>46295</v>
      </c>
      <c r="AY19" s="13">
        <f t="shared" si="13"/>
        <v>46326</v>
      </c>
      <c r="AZ19" s="13">
        <f t="shared" si="13"/>
        <v>46356</v>
      </c>
      <c r="BA19" s="13">
        <f t="shared" si="13"/>
        <v>46387</v>
      </c>
      <c r="BB19" s="13">
        <f t="shared" si="13"/>
        <v>46418</v>
      </c>
      <c r="BC19" s="13">
        <f t="shared" si="13"/>
        <v>46446</v>
      </c>
      <c r="BD19" s="13">
        <f t="shared" si="13"/>
        <v>46477</v>
      </c>
      <c r="BE19" s="13">
        <f t="shared" si="13"/>
        <v>46507</v>
      </c>
      <c r="BF19" s="13">
        <f t="shared" si="13"/>
        <v>46538</v>
      </c>
      <c r="BG19" s="13">
        <f t="shared" si="13"/>
        <v>46568</v>
      </c>
      <c r="BH19" s="13">
        <f t="shared" si="13"/>
        <v>46599</v>
      </c>
      <c r="BI19" s="13">
        <f t="shared" si="13"/>
        <v>46630</v>
      </c>
      <c r="BJ19" s="13">
        <f t="shared" si="13"/>
        <v>46660</v>
      </c>
      <c r="BK19" s="13">
        <f t="shared" si="13"/>
        <v>46691</v>
      </c>
      <c r="BL19" s="13">
        <f t="shared" si="13"/>
        <v>46721</v>
      </c>
      <c r="BM19" s="13">
        <f t="shared" si="13"/>
        <v>46752</v>
      </c>
      <c r="BN19" s="13">
        <f t="shared" si="13"/>
        <v>46783</v>
      </c>
      <c r="BO19" s="13">
        <f t="shared" si="13"/>
        <v>46812</v>
      </c>
      <c r="BP19" s="13">
        <f t="shared" si="13"/>
        <v>46843</v>
      </c>
      <c r="BQ19" s="13">
        <f t="shared" si="13"/>
        <v>46873</v>
      </c>
    </row>
    <row r="22" spans="1:69">
      <c r="B22" s="22" t="s">
        <v>203</v>
      </c>
    </row>
    <row r="23" spans="1:69">
      <c r="E23" s="5" t="str">
        <f t="shared" ref="E23:AJ23" si="14">E$28</f>
        <v>Period number</v>
      </c>
      <c r="F23" s="5">
        <f t="shared" si="14"/>
        <v>0</v>
      </c>
      <c r="G23" s="5" t="str">
        <f t="shared" si="14"/>
        <v>Counter</v>
      </c>
      <c r="H23" s="5">
        <f t="shared" si="14"/>
        <v>0</v>
      </c>
      <c r="I23" s="5">
        <f t="shared" si="14"/>
        <v>0</v>
      </c>
      <c r="J23" s="5">
        <f t="shared" si="14"/>
        <v>1</v>
      </c>
      <c r="K23" s="5">
        <f t="shared" si="14"/>
        <v>2</v>
      </c>
      <c r="L23" s="5">
        <f t="shared" si="14"/>
        <v>3</v>
      </c>
      <c r="M23" s="5">
        <f t="shared" si="14"/>
        <v>4</v>
      </c>
      <c r="N23" s="5">
        <f t="shared" si="14"/>
        <v>5</v>
      </c>
      <c r="O23" s="5">
        <f t="shared" si="14"/>
        <v>6</v>
      </c>
      <c r="P23" s="5">
        <f t="shared" si="14"/>
        <v>7</v>
      </c>
      <c r="Q23" s="5">
        <f t="shared" si="14"/>
        <v>8</v>
      </c>
      <c r="R23" s="5">
        <f t="shared" si="14"/>
        <v>9</v>
      </c>
      <c r="S23" s="5">
        <f t="shared" si="14"/>
        <v>10</v>
      </c>
      <c r="T23" s="5">
        <f t="shared" si="14"/>
        <v>11</v>
      </c>
      <c r="U23" s="5">
        <f t="shared" si="14"/>
        <v>12</v>
      </c>
      <c r="V23" s="5">
        <f t="shared" si="14"/>
        <v>13</v>
      </c>
      <c r="W23" s="5">
        <f t="shared" si="14"/>
        <v>14</v>
      </c>
      <c r="X23" s="5">
        <f t="shared" si="14"/>
        <v>15</v>
      </c>
      <c r="Y23" s="5">
        <f t="shared" si="14"/>
        <v>16</v>
      </c>
      <c r="Z23" s="5">
        <f t="shared" si="14"/>
        <v>17</v>
      </c>
      <c r="AA23" s="5">
        <f t="shared" si="14"/>
        <v>18</v>
      </c>
      <c r="AB23" s="5">
        <f t="shared" si="14"/>
        <v>19</v>
      </c>
      <c r="AC23" s="5">
        <f t="shared" si="14"/>
        <v>20</v>
      </c>
      <c r="AD23" s="5">
        <f t="shared" si="14"/>
        <v>21</v>
      </c>
      <c r="AE23" s="5">
        <f t="shared" si="14"/>
        <v>22</v>
      </c>
      <c r="AF23" s="5">
        <f t="shared" si="14"/>
        <v>23</v>
      </c>
      <c r="AG23" s="5">
        <f t="shared" si="14"/>
        <v>24</v>
      </c>
      <c r="AH23" s="5">
        <f t="shared" si="14"/>
        <v>25</v>
      </c>
      <c r="AI23" s="5">
        <f t="shared" si="14"/>
        <v>26</v>
      </c>
      <c r="AJ23" s="5">
        <f t="shared" si="14"/>
        <v>27</v>
      </c>
      <c r="AK23" s="5">
        <f t="shared" ref="AK23:BQ23" si="15">AK$28</f>
        <v>28</v>
      </c>
      <c r="AL23" s="5">
        <f t="shared" si="15"/>
        <v>29</v>
      </c>
      <c r="AM23" s="5">
        <f t="shared" si="15"/>
        <v>30</v>
      </c>
      <c r="AN23" s="5">
        <f t="shared" si="15"/>
        <v>31</v>
      </c>
      <c r="AO23" s="5">
        <f t="shared" si="15"/>
        <v>32</v>
      </c>
      <c r="AP23" s="5">
        <f t="shared" si="15"/>
        <v>33</v>
      </c>
      <c r="AQ23" s="5">
        <f t="shared" si="15"/>
        <v>34</v>
      </c>
      <c r="AR23" s="5">
        <f t="shared" si="15"/>
        <v>35</v>
      </c>
      <c r="AS23" s="5">
        <f t="shared" si="15"/>
        <v>36</v>
      </c>
      <c r="AT23" s="5">
        <f t="shared" si="15"/>
        <v>37</v>
      </c>
      <c r="AU23" s="5">
        <f t="shared" si="15"/>
        <v>38</v>
      </c>
      <c r="AV23" s="5">
        <f t="shared" si="15"/>
        <v>39</v>
      </c>
      <c r="AW23" s="5">
        <f t="shared" si="15"/>
        <v>40</v>
      </c>
      <c r="AX23" s="5">
        <f t="shared" si="15"/>
        <v>41</v>
      </c>
      <c r="AY23" s="5">
        <f t="shared" si="15"/>
        <v>42</v>
      </c>
      <c r="AZ23" s="5">
        <f t="shared" si="15"/>
        <v>43</v>
      </c>
      <c r="BA23" s="5">
        <f t="shared" si="15"/>
        <v>44</v>
      </c>
      <c r="BB23" s="5">
        <f t="shared" si="15"/>
        <v>45</v>
      </c>
      <c r="BC23" s="5">
        <f t="shared" si="15"/>
        <v>46</v>
      </c>
      <c r="BD23" s="5">
        <f t="shared" si="15"/>
        <v>47</v>
      </c>
      <c r="BE23" s="5">
        <f t="shared" si="15"/>
        <v>48</v>
      </c>
      <c r="BF23" s="5">
        <f t="shared" si="15"/>
        <v>49</v>
      </c>
      <c r="BG23" s="5">
        <f t="shared" si="15"/>
        <v>50</v>
      </c>
      <c r="BH23" s="5">
        <f t="shared" si="15"/>
        <v>51</v>
      </c>
      <c r="BI23" s="5">
        <f t="shared" si="15"/>
        <v>52</v>
      </c>
      <c r="BJ23" s="5">
        <f t="shared" si="15"/>
        <v>53</v>
      </c>
      <c r="BK23" s="5">
        <f t="shared" si="15"/>
        <v>54</v>
      </c>
      <c r="BL23" s="5">
        <f t="shared" si="15"/>
        <v>55</v>
      </c>
      <c r="BM23" s="5">
        <f t="shared" si="15"/>
        <v>56</v>
      </c>
      <c r="BN23" s="5">
        <f t="shared" si="15"/>
        <v>57</v>
      </c>
      <c r="BO23" s="5">
        <f t="shared" si="15"/>
        <v>58</v>
      </c>
      <c r="BP23" s="5">
        <f t="shared" si="15"/>
        <v>59</v>
      </c>
      <c r="BQ23" s="5">
        <f t="shared" si="15"/>
        <v>60</v>
      </c>
    </row>
    <row r="24" spans="1:69">
      <c r="A24" s="31"/>
      <c r="B24" s="31"/>
      <c r="C24" s="51"/>
      <c r="D24" s="50"/>
      <c r="E24" s="3" t="s">
        <v>203</v>
      </c>
      <c r="F24" s="3"/>
      <c r="G24" s="3" t="s">
        <v>252</v>
      </c>
      <c r="H24" s="3">
        <f>SUM(J24:BQ24)</f>
        <v>0</v>
      </c>
      <c r="I24" s="3"/>
      <c r="J24" s="3" t="str">
        <f t="shared" ref="J24:AO24" si="16">"Month"&amp;J23</f>
        <v>Month1</v>
      </c>
      <c r="K24" s="3" t="str">
        <f t="shared" si="16"/>
        <v>Month2</v>
      </c>
      <c r="L24" s="3" t="str">
        <f t="shared" si="16"/>
        <v>Month3</v>
      </c>
      <c r="M24" s="3" t="str">
        <f t="shared" si="16"/>
        <v>Month4</v>
      </c>
      <c r="N24" s="3" t="str">
        <f t="shared" si="16"/>
        <v>Month5</v>
      </c>
      <c r="O24" s="3" t="str">
        <f t="shared" si="16"/>
        <v>Month6</v>
      </c>
      <c r="P24" s="3" t="str">
        <f t="shared" si="16"/>
        <v>Month7</v>
      </c>
      <c r="Q24" s="3" t="str">
        <f t="shared" si="16"/>
        <v>Month8</v>
      </c>
      <c r="R24" s="3" t="str">
        <f t="shared" si="16"/>
        <v>Month9</v>
      </c>
      <c r="S24" s="3" t="str">
        <f t="shared" si="16"/>
        <v>Month10</v>
      </c>
      <c r="T24" s="3" t="str">
        <f t="shared" si="16"/>
        <v>Month11</v>
      </c>
      <c r="U24" s="3" t="str">
        <f t="shared" si="16"/>
        <v>Month12</v>
      </c>
      <c r="V24" s="3" t="str">
        <f t="shared" si="16"/>
        <v>Month13</v>
      </c>
      <c r="W24" s="3" t="str">
        <f t="shared" si="16"/>
        <v>Month14</v>
      </c>
      <c r="X24" s="3" t="str">
        <f t="shared" si="16"/>
        <v>Month15</v>
      </c>
      <c r="Y24" s="3" t="str">
        <f t="shared" si="16"/>
        <v>Month16</v>
      </c>
      <c r="Z24" s="3" t="str">
        <f t="shared" si="16"/>
        <v>Month17</v>
      </c>
      <c r="AA24" s="3" t="str">
        <f t="shared" si="16"/>
        <v>Month18</v>
      </c>
      <c r="AB24" s="3" t="str">
        <f t="shared" si="16"/>
        <v>Month19</v>
      </c>
      <c r="AC24" s="3" t="str">
        <f t="shared" si="16"/>
        <v>Month20</v>
      </c>
      <c r="AD24" s="3" t="str">
        <f t="shared" si="16"/>
        <v>Month21</v>
      </c>
      <c r="AE24" s="3" t="str">
        <f t="shared" si="16"/>
        <v>Month22</v>
      </c>
      <c r="AF24" s="3" t="str">
        <f t="shared" si="16"/>
        <v>Month23</v>
      </c>
      <c r="AG24" s="3" t="str">
        <f t="shared" si="16"/>
        <v>Month24</v>
      </c>
      <c r="AH24" s="3" t="str">
        <f t="shared" si="16"/>
        <v>Month25</v>
      </c>
      <c r="AI24" s="3" t="str">
        <f t="shared" si="16"/>
        <v>Month26</v>
      </c>
      <c r="AJ24" s="3" t="str">
        <f t="shared" si="16"/>
        <v>Month27</v>
      </c>
      <c r="AK24" s="3" t="str">
        <f t="shared" si="16"/>
        <v>Month28</v>
      </c>
      <c r="AL24" s="3" t="str">
        <f t="shared" si="16"/>
        <v>Month29</v>
      </c>
      <c r="AM24" s="3" t="str">
        <f t="shared" si="16"/>
        <v>Month30</v>
      </c>
      <c r="AN24" s="3" t="str">
        <f t="shared" si="16"/>
        <v>Month31</v>
      </c>
      <c r="AO24" s="3" t="str">
        <f t="shared" si="16"/>
        <v>Month32</v>
      </c>
      <c r="AP24" s="3" t="str">
        <f t="shared" ref="AP24:BU24" si="17">"Month"&amp;AP23</f>
        <v>Month33</v>
      </c>
      <c r="AQ24" s="3" t="str">
        <f t="shared" si="17"/>
        <v>Month34</v>
      </c>
      <c r="AR24" s="3" t="str">
        <f t="shared" si="17"/>
        <v>Month35</v>
      </c>
      <c r="AS24" s="3" t="str">
        <f t="shared" si="17"/>
        <v>Month36</v>
      </c>
      <c r="AT24" s="3" t="str">
        <f t="shared" si="17"/>
        <v>Month37</v>
      </c>
      <c r="AU24" s="3" t="str">
        <f t="shared" si="17"/>
        <v>Month38</v>
      </c>
      <c r="AV24" s="3" t="str">
        <f t="shared" si="17"/>
        <v>Month39</v>
      </c>
      <c r="AW24" s="3" t="str">
        <f t="shared" si="17"/>
        <v>Month40</v>
      </c>
      <c r="AX24" s="3" t="str">
        <f t="shared" si="17"/>
        <v>Month41</v>
      </c>
      <c r="AY24" s="3" t="str">
        <f t="shared" si="17"/>
        <v>Month42</v>
      </c>
      <c r="AZ24" s="3" t="str">
        <f t="shared" si="17"/>
        <v>Month43</v>
      </c>
      <c r="BA24" s="3" t="str">
        <f t="shared" si="17"/>
        <v>Month44</v>
      </c>
      <c r="BB24" s="3" t="str">
        <f t="shared" si="17"/>
        <v>Month45</v>
      </c>
      <c r="BC24" s="3" t="str">
        <f t="shared" si="17"/>
        <v>Month46</v>
      </c>
      <c r="BD24" s="3" t="str">
        <f t="shared" si="17"/>
        <v>Month47</v>
      </c>
      <c r="BE24" s="3" t="str">
        <f t="shared" si="17"/>
        <v>Month48</v>
      </c>
      <c r="BF24" s="3" t="str">
        <f t="shared" si="17"/>
        <v>Month49</v>
      </c>
      <c r="BG24" s="3" t="str">
        <f t="shared" si="17"/>
        <v>Month50</v>
      </c>
      <c r="BH24" s="3" t="str">
        <f t="shared" si="17"/>
        <v>Month51</v>
      </c>
      <c r="BI24" s="3" t="str">
        <f t="shared" si="17"/>
        <v>Month52</v>
      </c>
      <c r="BJ24" s="3" t="str">
        <f t="shared" si="17"/>
        <v>Month53</v>
      </c>
      <c r="BK24" s="3" t="str">
        <f t="shared" si="17"/>
        <v>Month54</v>
      </c>
      <c r="BL24" s="3" t="str">
        <f t="shared" si="17"/>
        <v>Month55</v>
      </c>
      <c r="BM24" s="3" t="str">
        <f t="shared" si="17"/>
        <v>Month56</v>
      </c>
      <c r="BN24" s="3" t="str">
        <f t="shared" si="17"/>
        <v>Month57</v>
      </c>
      <c r="BO24" s="3" t="str">
        <f t="shared" si="17"/>
        <v>Month58</v>
      </c>
      <c r="BP24" s="3" t="str">
        <f t="shared" si="17"/>
        <v>Month59</v>
      </c>
      <c r="BQ24" s="3" t="str">
        <f t="shared" si="17"/>
        <v>Month60</v>
      </c>
    </row>
    <row r="27" spans="1:69">
      <c r="B27" s="22" t="s">
        <v>305</v>
      </c>
    </row>
    <row r="28" spans="1:69">
      <c r="A28" s="31"/>
      <c r="B28" s="31"/>
      <c r="C28" s="51"/>
      <c r="D28" s="50"/>
      <c r="E28" s="3" t="s">
        <v>305</v>
      </c>
      <c r="F28" s="3"/>
      <c r="G28" s="3" t="s">
        <v>279</v>
      </c>
      <c r="H28" s="3"/>
      <c r="I28" s="3"/>
      <c r="J28" s="14">
        <f t="shared" ref="J28:AO28" si="18">I28+1</f>
        <v>1</v>
      </c>
      <c r="K28" s="14">
        <f t="shared" si="18"/>
        <v>2</v>
      </c>
      <c r="L28" s="14">
        <f t="shared" si="18"/>
        <v>3</v>
      </c>
      <c r="M28" s="14">
        <f t="shared" si="18"/>
        <v>4</v>
      </c>
      <c r="N28" s="14">
        <f t="shared" si="18"/>
        <v>5</v>
      </c>
      <c r="O28" s="14">
        <f t="shared" si="18"/>
        <v>6</v>
      </c>
      <c r="P28" s="14">
        <f t="shared" si="18"/>
        <v>7</v>
      </c>
      <c r="Q28" s="14">
        <f t="shared" si="18"/>
        <v>8</v>
      </c>
      <c r="R28" s="14">
        <f t="shared" si="18"/>
        <v>9</v>
      </c>
      <c r="S28" s="14">
        <f t="shared" si="18"/>
        <v>10</v>
      </c>
      <c r="T28" s="14">
        <f t="shared" si="18"/>
        <v>11</v>
      </c>
      <c r="U28" s="14">
        <f t="shared" si="18"/>
        <v>12</v>
      </c>
      <c r="V28" s="14">
        <f t="shared" si="18"/>
        <v>13</v>
      </c>
      <c r="W28" s="14">
        <f t="shared" si="18"/>
        <v>14</v>
      </c>
      <c r="X28" s="14">
        <f t="shared" si="18"/>
        <v>15</v>
      </c>
      <c r="Y28" s="14">
        <f t="shared" si="18"/>
        <v>16</v>
      </c>
      <c r="Z28" s="14">
        <f t="shared" si="18"/>
        <v>17</v>
      </c>
      <c r="AA28" s="14">
        <f t="shared" si="18"/>
        <v>18</v>
      </c>
      <c r="AB28" s="14">
        <f t="shared" si="18"/>
        <v>19</v>
      </c>
      <c r="AC28" s="14">
        <f t="shared" si="18"/>
        <v>20</v>
      </c>
      <c r="AD28" s="14">
        <f t="shared" si="18"/>
        <v>21</v>
      </c>
      <c r="AE28" s="14">
        <f t="shared" si="18"/>
        <v>22</v>
      </c>
      <c r="AF28" s="14">
        <f t="shared" si="18"/>
        <v>23</v>
      </c>
      <c r="AG28" s="14">
        <f t="shared" si="18"/>
        <v>24</v>
      </c>
      <c r="AH28" s="14">
        <f t="shared" si="18"/>
        <v>25</v>
      </c>
      <c r="AI28" s="14">
        <f t="shared" si="18"/>
        <v>26</v>
      </c>
      <c r="AJ28" s="14">
        <f t="shared" si="18"/>
        <v>27</v>
      </c>
      <c r="AK28" s="14">
        <f t="shared" si="18"/>
        <v>28</v>
      </c>
      <c r="AL28" s="14">
        <f t="shared" si="18"/>
        <v>29</v>
      </c>
      <c r="AM28" s="14">
        <f t="shared" si="18"/>
        <v>30</v>
      </c>
      <c r="AN28" s="14">
        <f t="shared" si="18"/>
        <v>31</v>
      </c>
      <c r="AO28" s="14">
        <f t="shared" si="18"/>
        <v>32</v>
      </c>
      <c r="AP28" s="14">
        <f t="shared" ref="AP28:BQ28" si="19">AO28+1</f>
        <v>33</v>
      </c>
      <c r="AQ28" s="14">
        <f t="shared" si="19"/>
        <v>34</v>
      </c>
      <c r="AR28" s="14">
        <f t="shared" si="19"/>
        <v>35</v>
      </c>
      <c r="AS28" s="14">
        <f t="shared" si="19"/>
        <v>36</v>
      </c>
      <c r="AT28" s="14">
        <f t="shared" si="19"/>
        <v>37</v>
      </c>
      <c r="AU28" s="14">
        <f t="shared" si="19"/>
        <v>38</v>
      </c>
      <c r="AV28" s="14">
        <f t="shared" si="19"/>
        <v>39</v>
      </c>
      <c r="AW28" s="14">
        <f t="shared" si="19"/>
        <v>40</v>
      </c>
      <c r="AX28" s="14">
        <f t="shared" si="19"/>
        <v>41</v>
      </c>
      <c r="AY28" s="14">
        <f t="shared" si="19"/>
        <v>42</v>
      </c>
      <c r="AZ28" s="14">
        <f t="shared" si="19"/>
        <v>43</v>
      </c>
      <c r="BA28" s="14">
        <f t="shared" si="19"/>
        <v>44</v>
      </c>
      <c r="BB28" s="14">
        <f t="shared" si="19"/>
        <v>45</v>
      </c>
      <c r="BC28" s="14">
        <f t="shared" si="19"/>
        <v>46</v>
      </c>
      <c r="BD28" s="14">
        <f t="shared" si="19"/>
        <v>47</v>
      </c>
      <c r="BE28" s="14">
        <f t="shared" si="19"/>
        <v>48</v>
      </c>
      <c r="BF28" s="14">
        <f t="shared" si="19"/>
        <v>49</v>
      </c>
      <c r="BG28" s="14">
        <f t="shared" si="19"/>
        <v>50</v>
      </c>
      <c r="BH28" s="14">
        <f t="shared" si="19"/>
        <v>51</v>
      </c>
      <c r="BI28" s="14">
        <f t="shared" si="19"/>
        <v>52</v>
      </c>
      <c r="BJ28" s="14">
        <f t="shared" si="19"/>
        <v>53</v>
      </c>
      <c r="BK28" s="14">
        <f t="shared" si="19"/>
        <v>54</v>
      </c>
      <c r="BL28" s="14">
        <f t="shared" si="19"/>
        <v>55</v>
      </c>
      <c r="BM28" s="14">
        <f t="shared" si="19"/>
        <v>56</v>
      </c>
      <c r="BN28" s="14">
        <f t="shared" si="19"/>
        <v>57</v>
      </c>
      <c r="BO28" s="14">
        <f t="shared" si="19"/>
        <v>58</v>
      </c>
      <c r="BP28" s="14">
        <f t="shared" si="19"/>
        <v>59</v>
      </c>
      <c r="BQ28" s="14">
        <f t="shared" si="19"/>
        <v>60</v>
      </c>
    </row>
    <row r="31" spans="1:69">
      <c r="B31" s="22" t="s">
        <v>32</v>
      </c>
    </row>
    <row r="32" spans="1:69">
      <c r="E32" s="8" t="str">
        <f t="shared" ref="E32:AJ32" si="20">E$19</f>
        <v>Model period end</v>
      </c>
      <c r="F32" s="8">
        <f t="shared" si="20"/>
        <v>0</v>
      </c>
      <c r="G32" s="8" t="str">
        <f t="shared" si="20"/>
        <v>date</v>
      </c>
      <c r="H32" s="8">
        <f t="shared" si="20"/>
        <v>0</v>
      </c>
      <c r="I32" s="8">
        <f t="shared" si="20"/>
        <v>0</v>
      </c>
      <c r="J32" s="8">
        <f t="shared" si="20"/>
        <v>45077</v>
      </c>
      <c r="K32" s="8">
        <f t="shared" si="20"/>
        <v>45107</v>
      </c>
      <c r="L32" s="8">
        <f t="shared" si="20"/>
        <v>45138</v>
      </c>
      <c r="M32" s="8">
        <f t="shared" si="20"/>
        <v>45169</v>
      </c>
      <c r="N32" s="8">
        <f t="shared" si="20"/>
        <v>45199</v>
      </c>
      <c r="O32" s="8">
        <f t="shared" si="20"/>
        <v>45230</v>
      </c>
      <c r="P32" s="8">
        <f t="shared" si="20"/>
        <v>45260</v>
      </c>
      <c r="Q32" s="8">
        <f t="shared" si="20"/>
        <v>45291</v>
      </c>
      <c r="R32" s="8">
        <f t="shared" si="20"/>
        <v>45322</v>
      </c>
      <c r="S32" s="8">
        <f t="shared" si="20"/>
        <v>45351</v>
      </c>
      <c r="T32" s="8">
        <f t="shared" si="20"/>
        <v>45382</v>
      </c>
      <c r="U32" s="8">
        <f t="shared" si="20"/>
        <v>45412</v>
      </c>
      <c r="V32" s="8">
        <f t="shared" si="20"/>
        <v>45443</v>
      </c>
      <c r="W32" s="8">
        <f t="shared" si="20"/>
        <v>45473</v>
      </c>
      <c r="X32" s="8">
        <f t="shared" si="20"/>
        <v>45504</v>
      </c>
      <c r="Y32" s="8">
        <f t="shared" si="20"/>
        <v>45535</v>
      </c>
      <c r="Z32" s="8">
        <f t="shared" si="20"/>
        <v>45565</v>
      </c>
      <c r="AA32" s="8">
        <f t="shared" si="20"/>
        <v>45596</v>
      </c>
      <c r="AB32" s="8">
        <f t="shared" si="20"/>
        <v>45626</v>
      </c>
      <c r="AC32" s="8">
        <f t="shared" si="20"/>
        <v>45657</v>
      </c>
      <c r="AD32" s="8">
        <f t="shared" si="20"/>
        <v>45688</v>
      </c>
      <c r="AE32" s="8">
        <f t="shared" si="20"/>
        <v>45716</v>
      </c>
      <c r="AF32" s="8">
        <f t="shared" si="20"/>
        <v>45747</v>
      </c>
      <c r="AG32" s="8">
        <f t="shared" si="20"/>
        <v>45777</v>
      </c>
      <c r="AH32" s="8">
        <f t="shared" si="20"/>
        <v>45808</v>
      </c>
      <c r="AI32" s="8">
        <f t="shared" si="20"/>
        <v>45838</v>
      </c>
      <c r="AJ32" s="8">
        <f t="shared" si="20"/>
        <v>45869</v>
      </c>
      <c r="AK32" s="8">
        <f t="shared" ref="AK32:BQ32" si="21">AK$19</f>
        <v>45900</v>
      </c>
      <c r="AL32" s="8">
        <f t="shared" si="21"/>
        <v>45930</v>
      </c>
      <c r="AM32" s="8">
        <f t="shared" si="21"/>
        <v>45961</v>
      </c>
      <c r="AN32" s="8">
        <f t="shared" si="21"/>
        <v>45991</v>
      </c>
      <c r="AO32" s="8">
        <f t="shared" si="21"/>
        <v>46022</v>
      </c>
      <c r="AP32" s="8">
        <f t="shared" si="21"/>
        <v>46053</v>
      </c>
      <c r="AQ32" s="8">
        <f t="shared" si="21"/>
        <v>46081</v>
      </c>
      <c r="AR32" s="8">
        <f t="shared" si="21"/>
        <v>46112</v>
      </c>
      <c r="AS32" s="8">
        <f t="shared" si="21"/>
        <v>46142</v>
      </c>
      <c r="AT32" s="8">
        <f t="shared" si="21"/>
        <v>46173</v>
      </c>
      <c r="AU32" s="8">
        <f t="shared" si="21"/>
        <v>46203</v>
      </c>
      <c r="AV32" s="8">
        <f t="shared" si="21"/>
        <v>46234</v>
      </c>
      <c r="AW32" s="8">
        <f t="shared" si="21"/>
        <v>46265</v>
      </c>
      <c r="AX32" s="8">
        <f t="shared" si="21"/>
        <v>46295</v>
      </c>
      <c r="AY32" s="8">
        <f t="shared" si="21"/>
        <v>46326</v>
      </c>
      <c r="AZ32" s="8">
        <f t="shared" si="21"/>
        <v>46356</v>
      </c>
      <c r="BA32" s="8">
        <f t="shared" si="21"/>
        <v>46387</v>
      </c>
      <c r="BB32" s="8">
        <f t="shared" si="21"/>
        <v>46418</v>
      </c>
      <c r="BC32" s="8">
        <f t="shared" si="21"/>
        <v>46446</v>
      </c>
      <c r="BD32" s="8">
        <f t="shared" si="21"/>
        <v>46477</v>
      </c>
      <c r="BE32" s="8">
        <f t="shared" si="21"/>
        <v>46507</v>
      </c>
      <c r="BF32" s="8">
        <f t="shared" si="21"/>
        <v>46538</v>
      </c>
      <c r="BG32" s="8">
        <f t="shared" si="21"/>
        <v>46568</v>
      </c>
      <c r="BH32" s="8">
        <f t="shared" si="21"/>
        <v>46599</v>
      </c>
      <c r="BI32" s="8">
        <f t="shared" si="21"/>
        <v>46630</v>
      </c>
      <c r="BJ32" s="8">
        <f t="shared" si="21"/>
        <v>46660</v>
      </c>
      <c r="BK32" s="8">
        <f t="shared" si="21"/>
        <v>46691</v>
      </c>
      <c r="BL32" s="8">
        <f t="shared" si="21"/>
        <v>46721</v>
      </c>
      <c r="BM32" s="8">
        <f t="shared" si="21"/>
        <v>46752</v>
      </c>
      <c r="BN32" s="8">
        <f t="shared" si="21"/>
        <v>46783</v>
      </c>
      <c r="BO32" s="8">
        <f t="shared" si="21"/>
        <v>46812</v>
      </c>
      <c r="BP32" s="8">
        <f t="shared" si="21"/>
        <v>46843</v>
      </c>
      <c r="BQ32" s="8">
        <f t="shared" si="21"/>
        <v>46873</v>
      </c>
    </row>
    <row r="33" spans="1:69">
      <c r="E33" s="5" t="str">
        <f t="shared" ref="E33:AJ33" si="22">E$28</f>
        <v>Period number</v>
      </c>
      <c r="F33" s="5">
        <f t="shared" si="22"/>
        <v>0</v>
      </c>
      <c r="G33" s="5" t="str">
        <f t="shared" si="22"/>
        <v>Counter</v>
      </c>
      <c r="H33" s="5">
        <f t="shared" si="22"/>
        <v>0</v>
      </c>
      <c r="I33" s="5">
        <f t="shared" si="22"/>
        <v>0</v>
      </c>
      <c r="J33" s="5">
        <f t="shared" si="22"/>
        <v>1</v>
      </c>
      <c r="K33" s="5">
        <f t="shared" si="22"/>
        <v>2</v>
      </c>
      <c r="L33" s="5">
        <f t="shared" si="22"/>
        <v>3</v>
      </c>
      <c r="M33" s="5">
        <f t="shared" si="22"/>
        <v>4</v>
      </c>
      <c r="N33" s="5">
        <f t="shared" si="22"/>
        <v>5</v>
      </c>
      <c r="O33" s="5">
        <f t="shared" si="22"/>
        <v>6</v>
      </c>
      <c r="P33" s="5">
        <f t="shared" si="22"/>
        <v>7</v>
      </c>
      <c r="Q33" s="5">
        <f t="shared" si="22"/>
        <v>8</v>
      </c>
      <c r="R33" s="5">
        <f t="shared" si="22"/>
        <v>9</v>
      </c>
      <c r="S33" s="5">
        <f t="shared" si="22"/>
        <v>10</v>
      </c>
      <c r="T33" s="5">
        <f t="shared" si="22"/>
        <v>11</v>
      </c>
      <c r="U33" s="5">
        <f t="shared" si="22"/>
        <v>12</v>
      </c>
      <c r="V33" s="5">
        <f t="shared" si="22"/>
        <v>13</v>
      </c>
      <c r="W33" s="5">
        <f t="shared" si="22"/>
        <v>14</v>
      </c>
      <c r="X33" s="5">
        <f t="shared" si="22"/>
        <v>15</v>
      </c>
      <c r="Y33" s="5">
        <f t="shared" si="22"/>
        <v>16</v>
      </c>
      <c r="Z33" s="5">
        <f t="shared" si="22"/>
        <v>17</v>
      </c>
      <c r="AA33" s="5">
        <f t="shared" si="22"/>
        <v>18</v>
      </c>
      <c r="AB33" s="5">
        <f t="shared" si="22"/>
        <v>19</v>
      </c>
      <c r="AC33" s="5">
        <f t="shared" si="22"/>
        <v>20</v>
      </c>
      <c r="AD33" s="5">
        <f t="shared" si="22"/>
        <v>21</v>
      </c>
      <c r="AE33" s="5">
        <f t="shared" si="22"/>
        <v>22</v>
      </c>
      <c r="AF33" s="5">
        <f t="shared" si="22"/>
        <v>23</v>
      </c>
      <c r="AG33" s="5">
        <f t="shared" si="22"/>
        <v>24</v>
      </c>
      <c r="AH33" s="5">
        <f t="shared" si="22"/>
        <v>25</v>
      </c>
      <c r="AI33" s="5">
        <f t="shared" si="22"/>
        <v>26</v>
      </c>
      <c r="AJ33" s="5">
        <f t="shared" si="22"/>
        <v>27</v>
      </c>
      <c r="AK33" s="5">
        <f t="shared" ref="AK33:BQ33" si="23">AK$28</f>
        <v>28</v>
      </c>
      <c r="AL33" s="5">
        <f t="shared" si="23"/>
        <v>29</v>
      </c>
      <c r="AM33" s="5">
        <f t="shared" si="23"/>
        <v>30</v>
      </c>
      <c r="AN33" s="5">
        <f t="shared" si="23"/>
        <v>31</v>
      </c>
      <c r="AO33" s="5">
        <f t="shared" si="23"/>
        <v>32</v>
      </c>
      <c r="AP33" s="5">
        <f t="shared" si="23"/>
        <v>33</v>
      </c>
      <c r="AQ33" s="5">
        <f t="shared" si="23"/>
        <v>34</v>
      </c>
      <c r="AR33" s="5">
        <f t="shared" si="23"/>
        <v>35</v>
      </c>
      <c r="AS33" s="5">
        <f t="shared" si="23"/>
        <v>36</v>
      </c>
      <c r="AT33" s="5">
        <f t="shared" si="23"/>
        <v>37</v>
      </c>
      <c r="AU33" s="5">
        <f t="shared" si="23"/>
        <v>38</v>
      </c>
      <c r="AV33" s="5">
        <f t="shared" si="23"/>
        <v>39</v>
      </c>
      <c r="AW33" s="5">
        <f t="shared" si="23"/>
        <v>40</v>
      </c>
      <c r="AX33" s="5">
        <f t="shared" si="23"/>
        <v>41</v>
      </c>
      <c r="AY33" s="5">
        <f t="shared" si="23"/>
        <v>42</v>
      </c>
      <c r="AZ33" s="5">
        <f t="shared" si="23"/>
        <v>43</v>
      </c>
      <c r="BA33" s="5">
        <f t="shared" si="23"/>
        <v>44</v>
      </c>
      <c r="BB33" s="5">
        <f t="shared" si="23"/>
        <v>45</v>
      </c>
      <c r="BC33" s="5">
        <f t="shared" si="23"/>
        <v>46</v>
      </c>
      <c r="BD33" s="5">
        <f t="shared" si="23"/>
        <v>47</v>
      </c>
      <c r="BE33" s="5">
        <f t="shared" si="23"/>
        <v>48</v>
      </c>
      <c r="BF33" s="5">
        <f t="shared" si="23"/>
        <v>49</v>
      </c>
      <c r="BG33" s="5">
        <f t="shared" si="23"/>
        <v>50</v>
      </c>
      <c r="BH33" s="5">
        <f t="shared" si="23"/>
        <v>51</v>
      </c>
      <c r="BI33" s="5">
        <f t="shared" si="23"/>
        <v>52</v>
      </c>
      <c r="BJ33" s="5">
        <f t="shared" si="23"/>
        <v>53</v>
      </c>
      <c r="BK33" s="5">
        <f t="shared" si="23"/>
        <v>54</v>
      </c>
      <c r="BL33" s="5">
        <f t="shared" si="23"/>
        <v>55</v>
      </c>
      <c r="BM33" s="5">
        <f t="shared" si="23"/>
        <v>56</v>
      </c>
      <c r="BN33" s="5">
        <f t="shared" si="23"/>
        <v>57</v>
      </c>
      <c r="BO33" s="5">
        <f t="shared" si="23"/>
        <v>58</v>
      </c>
      <c r="BP33" s="5">
        <f t="shared" si="23"/>
        <v>59</v>
      </c>
      <c r="BQ33" s="5">
        <f t="shared" si="23"/>
        <v>60</v>
      </c>
    </row>
    <row r="34" spans="1:69">
      <c r="E34" s="5" t="str">
        <f t="shared" ref="E34:AJ34" si="24">E$296</f>
        <v>Month to Year : period end flag</v>
      </c>
      <c r="F34" s="5">
        <f t="shared" si="24"/>
        <v>0</v>
      </c>
      <c r="G34" s="5" t="str">
        <f t="shared" si="24"/>
        <v>counter</v>
      </c>
      <c r="H34" s="5">
        <f t="shared" si="24"/>
        <v>0</v>
      </c>
      <c r="I34" s="5">
        <f t="shared" si="24"/>
        <v>0</v>
      </c>
      <c r="J34" s="5">
        <f t="shared" si="24"/>
        <v>0</v>
      </c>
      <c r="K34" s="5">
        <f t="shared" si="24"/>
        <v>0</v>
      </c>
      <c r="L34" s="5">
        <f t="shared" si="24"/>
        <v>0</v>
      </c>
      <c r="M34" s="5">
        <f t="shared" si="24"/>
        <v>0</v>
      </c>
      <c r="N34" s="5">
        <f t="shared" si="24"/>
        <v>0</v>
      </c>
      <c r="O34" s="5">
        <f t="shared" si="24"/>
        <v>0</v>
      </c>
      <c r="P34" s="5">
        <f t="shared" si="24"/>
        <v>0</v>
      </c>
      <c r="Q34" s="5">
        <f t="shared" si="24"/>
        <v>0</v>
      </c>
      <c r="R34" s="5">
        <f t="shared" si="24"/>
        <v>0</v>
      </c>
      <c r="S34" s="5">
        <f t="shared" si="24"/>
        <v>0</v>
      </c>
      <c r="T34" s="5">
        <f t="shared" si="24"/>
        <v>0</v>
      </c>
      <c r="U34" s="5">
        <f t="shared" si="24"/>
        <v>1</v>
      </c>
      <c r="V34" s="5">
        <f t="shared" si="24"/>
        <v>0</v>
      </c>
      <c r="W34" s="5">
        <f t="shared" si="24"/>
        <v>0</v>
      </c>
      <c r="X34" s="5">
        <f t="shared" si="24"/>
        <v>0</v>
      </c>
      <c r="Y34" s="5">
        <f t="shared" si="24"/>
        <v>0</v>
      </c>
      <c r="Z34" s="5">
        <f t="shared" si="24"/>
        <v>0</v>
      </c>
      <c r="AA34" s="5">
        <f t="shared" si="24"/>
        <v>0</v>
      </c>
      <c r="AB34" s="5">
        <f t="shared" si="24"/>
        <v>0</v>
      </c>
      <c r="AC34" s="5">
        <f t="shared" si="24"/>
        <v>0</v>
      </c>
      <c r="AD34" s="5">
        <f t="shared" si="24"/>
        <v>0</v>
      </c>
      <c r="AE34" s="5">
        <f t="shared" si="24"/>
        <v>0</v>
      </c>
      <c r="AF34" s="5">
        <f t="shared" si="24"/>
        <v>0</v>
      </c>
      <c r="AG34" s="5">
        <f t="shared" si="24"/>
        <v>2</v>
      </c>
      <c r="AH34" s="5">
        <f t="shared" si="24"/>
        <v>0</v>
      </c>
      <c r="AI34" s="5">
        <f t="shared" si="24"/>
        <v>0</v>
      </c>
      <c r="AJ34" s="5">
        <f t="shared" si="24"/>
        <v>0</v>
      </c>
      <c r="AK34" s="5">
        <f t="shared" ref="AK34:BQ34" si="25">AK$296</f>
        <v>0</v>
      </c>
      <c r="AL34" s="5">
        <f t="shared" si="25"/>
        <v>0</v>
      </c>
      <c r="AM34" s="5">
        <f t="shared" si="25"/>
        <v>0</v>
      </c>
      <c r="AN34" s="5">
        <f t="shared" si="25"/>
        <v>0</v>
      </c>
      <c r="AO34" s="5">
        <f t="shared" si="25"/>
        <v>0</v>
      </c>
      <c r="AP34" s="5">
        <f t="shared" si="25"/>
        <v>0</v>
      </c>
      <c r="AQ34" s="5">
        <f t="shared" si="25"/>
        <v>0</v>
      </c>
      <c r="AR34" s="5">
        <f t="shared" si="25"/>
        <v>0</v>
      </c>
      <c r="AS34" s="5">
        <f t="shared" si="25"/>
        <v>3</v>
      </c>
      <c r="AT34" s="5">
        <f t="shared" si="25"/>
        <v>0</v>
      </c>
      <c r="AU34" s="5">
        <f t="shared" si="25"/>
        <v>0</v>
      </c>
      <c r="AV34" s="5">
        <f t="shared" si="25"/>
        <v>0</v>
      </c>
      <c r="AW34" s="5">
        <f t="shared" si="25"/>
        <v>0</v>
      </c>
      <c r="AX34" s="5">
        <f t="shared" si="25"/>
        <v>0</v>
      </c>
      <c r="AY34" s="5">
        <f t="shared" si="25"/>
        <v>0</v>
      </c>
      <c r="AZ34" s="5">
        <f t="shared" si="25"/>
        <v>0</v>
      </c>
      <c r="BA34" s="5">
        <f t="shared" si="25"/>
        <v>0</v>
      </c>
      <c r="BB34" s="5">
        <f t="shared" si="25"/>
        <v>0</v>
      </c>
      <c r="BC34" s="5">
        <f t="shared" si="25"/>
        <v>0</v>
      </c>
      <c r="BD34" s="5">
        <f t="shared" si="25"/>
        <v>0</v>
      </c>
      <c r="BE34" s="5">
        <f t="shared" si="25"/>
        <v>4</v>
      </c>
      <c r="BF34" s="5">
        <f t="shared" si="25"/>
        <v>0</v>
      </c>
      <c r="BG34" s="5">
        <f t="shared" si="25"/>
        <v>0</v>
      </c>
      <c r="BH34" s="5">
        <f t="shared" si="25"/>
        <v>0</v>
      </c>
      <c r="BI34" s="5">
        <f t="shared" si="25"/>
        <v>0</v>
      </c>
      <c r="BJ34" s="5">
        <f t="shared" si="25"/>
        <v>0</v>
      </c>
      <c r="BK34" s="5">
        <f t="shared" si="25"/>
        <v>0</v>
      </c>
      <c r="BL34" s="5">
        <f t="shared" si="25"/>
        <v>0</v>
      </c>
      <c r="BM34" s="5">
        <f t="shared" si="25"/>
        <v>0</v>
      </c>
      <c r="BN34" s="5">
        <f t="shared" si="25"/>
        <v>0</v>
      </c>
      <c r="BO34" s="5">
        <f t="shared" si="25"/>
        <v>0</v>
      </c>
      <c r="BP34" s="5">
        <f t="shared" si="25"/>
        <v>0</v>
      </c>
      <c r="BQ34" s="5">
        <f t="shared" si="25"/>
        <v>5</v>
      </c>
    </row>
    <row r="35" spans="1:69">
      <c r="A35" s="31"/>
      <c r="B35" s="31"/>
      <c r="C35" s="51"/>
      <c r="D35" s="50"/>
      <c r="E35" s="3" t="s">
        <v>32</v>
      </c>
      <c r="F35" s="3"/>
      <c r="G35" s="3" t="s">
        <v>210</v>
      </c>
      <c r="H35" s="3"/>
      <c r="I35" s="3"/>
      <c r="J35" s="13">
        <f t="shared" ref="J35:AO35" si="26">INDEX($J32:$BQ32,MATCH(J33,$J34:$BQ34,0))</f>
        <v>45412</v>
      </c>
      <c r="K35" s="13">
        <f t="shared" si="26"/>
        <v>45777</v>
      </c>
      <c r="L35" s="13">
        <f t="shared" si="26"/>
        <v>46142</v>
      </c>
      <c r="M35" s="13">
        <f t="shared" si="26"/>
        <v>46507</v>
      </c>
      <c r="N35" s="13">
        <f t="shared" si="26"/>
        <v>46873</v>
      </c>
      <c r="O35" s="13" t="e">
        <f t="shared" si="26"/>
        <v>#N/A</v>
      </c>
      <c r="P35" s="13" t="e">
        <f t="shared" si="26"/>
        <v>#N/A</v>
      </c>
      <c r="Q35" s="13" t="e">
        <f t="shared" si="26"/>
        <v>#N/A</v>
      </c>
      <c r="R35" s="13" t="e">
        <f t="shared" si="26"/>
        <v>#N/A</v>
      </c>
      <c r="S35" s="13" t="e">
        <f t="shared" si="26"/>
        <v>#N/A</v>
      </c>
      <c r="T35" s="13" t="e">
        <f t="shared" si="26"/>
        <v>#N/A</v>
      </c>
      <c r="U35" s="13" t="e">
        <f t="shared" si="26"/>
        <v>#N/A</v>
      </c>
      <c r="V35" s="13" t="e">
        <f t="shared" si="26"/>
        <v>#N/A</v>
      </c>
      <c r="W35" s="13" t="e">
        <f t="shared" si="26"/>
        <v>#N/A</v>
      </c>
      <c r="X35" s="13" t="e">
        <f t="shared" si="26"/>
        <v>#N/A</v>
      </c>
      <c r="Y35" s="13" t="e">
        <f t="shared" si="26"/>
        <v>#N/A</v>
      </c>
      <c r="Z35" s="13" t="e">
        <f t="shared" si="26"/>
        <v>#N/A</v>
      </c>
      <c r="AA35" s="13" t="e">
        <f t="shared" si="26"/>
        <v>#N/A</v>
      </c>
      <c r="AB35" s="13" t="e">
        <f t="shared" si="26"/>
        <v>#N/A</v>
      </c>
      <c r="AC35" s="13" t="e">
        <f t="shared" si="26"/>
        <v>#N/A</v>
      </c>
      <c r="AD35" s="13" t="e">
        <f t="shared" si="26"/>
        <v>#N/A</v>
      </c>
      <c r="AE35" s="13" t="e">
        <f t="shared" si="26"/>
        <v>#N/A</v>
      </c>
      <c r="AF35" s="13" t="e">
        <f t="shared" si="26"/>
        <v>#N/A</v>
      </c>
      <c r="AG35" s="13" t="e">
        <f t="shared" si="26"/>
        <v>#N/A</v>
      </c>
      <c r="AH35" s="13" t="e">
        <f t="shared" si="26"/>
        <v>#N/A</v>
      </c>
      <c r="AI35" s="13" t="e">
        <f t="shared" si="26"/>
        <v>#N/A</v>
      </c>
      <c r="AJ35" s="13" t="e">
        <f t="shared" si="26"/>
        <v>#N/A</v>
      </c>
      <c r="AK35" s="13" t="e">
        <f t="shared" si="26"/>
        <v>#N/A</v>
      </c>
      <c r="AL35" s="13" t="e">
        <f t="shared" si="26"/>
        <v>#N/A</v>
      </c>
      <c r="AM35" s="13" t="e">
        <f t="shared" si="26"/>
        <v>#N/A</v>
      </c>
      <c r="AN35" s="13" t="e">
        <f t="shared" si="26"/>
        <v>#N/A</v>
      </c>
      <c r="AO35" s="13" t="e">
        <f t="shared" si="26"/>
        <v>#N/A</v>
      </c>
      <c r="AP35" s="13" t="e">
        <f t="shared" ref="AP35:BU35" si="27">INDEX($J32:$BQ32,MATCH(AP33,$J34:$BQ34,0))</f>
        <v>#N/A</v>
      </c>
      <c r="AQ35" s="13" t="e">
        <f t="shared" si="27"/>
        <v>#N/A</v>
      </c>
      <c r="AR35" s="13" t="e">
        <f t="shared" si="27"/>
        <v>#N/A</v>
      </c>
      <c r="AS35" s="13" t="e">
        <f t="shared" si="27"/>
        <v>#N/A</v>
      </c>
      <c r="AT35" s="13" t="e">
        <f t="shared" si="27"/>
        <v>#N/A</v>
      </c>
      <c r="AU35" s="13" t="e">
        <f t="shared" si="27"/>
        <v>#N/A</v>
      </c>
      <c r="AV35" s="13" t="e">
        <f t="shared" si="27"/>
        <v>#N/A</v>
      </c>
      <c r="AW35" s="13" t="e">
        <f t="shared" si="27"/>
        <v>#N/A</v>
      </c>
      <c r="AX35" s="13" t="e">
        <f t="shared" si="27"/>
        <v>#N/A</v>
      </c>
      <c r="AY35" s="13" t="e">
        <f t="shared" si="27"/>
        <v>#N/A</v>
      </c>
      <c r="AZ35" s="13" t="e">
        <f t="shared" si="27"/>
        <v>#N/A</v>
      </c>
      <c r="BA35" s="13" t="e">
        <f t="shared" si="27"/>
        <v>#N/A</v>
      </c>
      <c r="BB35" s="13" t="e">
        <f t="shared" si="27"/>
        <v>#N/A</v>
      </c>
      <c r="BC35" s="13" t="e">
        <f t="shared" si="27"/>
        <v>#N/A</v>
      </c>
      <c r="BD35" s="13" t="e">
        <f t="shared" si="27"/>
        <v>#N/A</v>
      </c>
      <c r="BE35" s="13" t="e">
        <f t="shared" si="27"/>
        <v>#N/A</v>
      </c>
      <c r="BF35" s="13" t="e">
        <f t="shared" si="27"/>
        <v>#N/A</v>
      </c>
      <c r="BG35" s="13" t="e">
        <f t="shared" si="27"/>
        <v>#N/A</v>
      </c>
      <c r="BH35" s="13" t="e">
        <f t="shared" si="27"/>
        <v>#N/A</v>
      </c>
      <c r="BI35" s="13" t="e">
        <f t="shared" si="27"/>
        <v>#N/A</v>
      </c>
      <c r="BJ35" s="13" t="e">
        <f t="shared" si="27"/>
        <v>#N/A</v>
      </c>
      <c r="BK35" s="13" t="e">
        <f t="shared" si="27"/>
        <v>#N/A</v>
      </c>
      <c r="BL35" s="13" t="e">
        <f t="shared" si="27"/>
        <v>#N/A</v>
      </c>
      <c r="BM35" s="13" t="e">
        <f t="shared" si="27"/>
        <v>#N/A</v>
      </c>
      <c r="BN35" s="13" t="e">
        <f t="shared" si="27"/>
        <v>#N/A</v>
      </c>
      <c r="BO35" s="13" t="e">
        <f t="shared" si="27"/>
        <v>#N/A</v>
      </c>
      <c r="BP35" s="13" t="e">
        <f t="shared" si="27"/>
        <v>#N/A</v>
      </c>
      <c r="BQ35" s="13" t="e">
        <f t="shared" si="27"/>
        <v>#N/A</v>
      </c>
    </row>
    <row r="38" spans="1:69">
      <c r="B38" s="22" t="s">
        <v>8</v>
      </c>
    </row>
    <row r="39" spans="1:69">
      <c r="E39" s="2" t="str">
        <f t="shared" ref="E39:AJ39" si="28">E$24</f>
        <v>Timeline label</v>
      </c>
      <c r="F39" s="2">
        <f t="shared" si="28"/>
        <v>0</v>
      </c>
      <c r="G39" s="2" t="str">
        <f t="shared" si="28"/>
        <v>GBP</v>
      </c>
      <c r="H39" s="2">
        <f t="shared" si="28"/>
        <v>0</v>
      </c>
      <c r="I39" s="2">
        <f t="shared" si="28"/>
        <v>0</v>
      </c>
      <c r="J39" s="2" t="str">
        <f t="shared" si="28"/>
        <v>Month1</v>
      </c>
      <c r="K39" s="2" t="str">
        <f t="shared" si="28"/>
        <v>Month2</v>
      </c>
      <c r="L39" s="2" t="str">
        <f t="shared" si="28"/>
        <v>Month3</v>
      </c>
      <c r="M39" s="2" t="str">
        <f t="shared" si="28"/>
        <v>Month4</v>
      </c>
      <c r="N39" s="2" t="str">
        <f t="shared" si="28"/>
        <v>Month5</v>
      </c>
      <c r="O39" s="2" t="str">
        <f t="shared" si="28"/>
        <v>Month6</v>
      </c>
      <c r="P39" s="2" t="str">
        <f t="shared" si="28"/>
        <v>Month7</v>
      </c>
      <c r="Q39" s="2" t="str">
        <f t="shared" si="28"/>
        <v>Month8</v>
      </c>
      <c r="R39" s="2" t="str">
        <f t="shared" si="28"/>
        <v>Month9</v>
      </c>
      <c r="S39" s="2" t="str">
        <f t="shared" si="28"/>
        <v>Month10</v>
      </c>
      <c r="T39" s="2" t="str">
        <f t="shared" si="28"/>
        <v>Month11</v>
      </c>
      <c r="U39" s="2" t="str">
        <f t="shared" si="28"/>
        <v>Month12</v>
      </c>
      <c r="V39" s="2" t="str">
        <f t="shared" si="28"/>
        <v>Month13</v>
      </c>
      <c r="W39" s="2" t="str">
        <f t="shared" si="28"/>
        <v>Month14</v>
      </c>
      <c r="X39" s="2" t="str">
        <f t="shared" si="28"/>
        <v>Month15</v>
      </c>
      <c r="Y39" s="2" t="str">
        <f t="shared" si="28"/>
        <v>Month16</v>
      </c>
      <c r="Z39" s="2" t="str">
        <f t="shared" si="28"/>
        <v>Month17</v>
      </c>
      <c r="AA39" s="2" t="str">
        <f t="shared" si="28"/>
        <v>Month18</v>
      </c>
      <c r="AB39" s="2" t="str">
        <f t="shared" si="28"/>
        <v>Month19</v>
      </c>
      <c r="AC39" s="2" t="str">
        <f t="shared" si="28"/>
        <v>Month20</v>
      </c>
      <c r="AD39" s="2" t="str">
        <f t="shared" si="28"/>
        <v>Month21</v>
      </c>
      <c r="AE39" s="2" t="str">
        <f t="shared" si="28"/>
        <v>Month22</v>
      </c>
      <c r="AF39" s="2" t="str">
        <f t="shared" si="28"/>
        <v>Month23</v>
      </c>
      <c r="AG39" s="2" t="str">
        <f t="shared" si="28"/>
        <v>Month24</v>
      </c>
      <c r="AH39" s="2" t="str">
        <f t="shared" si="28"/>
        <v>Month25</v>
      </c>
      <c r="AI39" s="2" t="str">
        <f t="shared" si="28"/>
        <v>Month26</v>
      </c>
      <c r="AJ39" s="2" t="str">
        <f t="shared" si="28"/>
        <v>Month27</v>
      </c>
      <c r="AK39" s="2" t="str">
        <f t="shared" ref="AK39:BQ39" si="29">AK$24</f>
        <v>Month28</v>
      </c>
      <c r="AL39" s="2" t="str">
        <f t="shared" si="29"/>
        <v>Month29</v>
      </c>
      <c r="AM39" s="2" t="str">
        <f t="shared" si="29"/>
        <v>Month30</v>
      </c>
      <c r="AN39" s="2" t="str">
        <f t="shared" si="29"/>
        <v>Month31</v>
      </c>
      <c r="AO39" s="2" t="str">
        <f t="shared" si="29"/>
        <v>Month32</v>
      </c>
      <c r="AP39" s="2" t="str">
        <f t="shared" si="29"/>
        <v>Month33</v>
      </c>
      <c r="AQ39" s="2" t="str">
        <f t="shared" si="29"/>
        <v>Month34</v>
      </c>
      <c r="AR39" s="2" t="str">
        <f t="shared" si="29"/>
        <v>Month35</v>
      </c>
      <c r="AS39" s="2" t="str">
        <f t="shared" si="29"/>
        <v>Month36</v>
      </c>
      <c r="AT39" s="2" t="str">
        <f t="shared" si="29"/>
        <v>Month37</v>
      </c>
      <c r="AU39" s="2" t="str">
        <f t="shared" si="29"/>
        <v>Month38</v>
      </c>
      <c r="AV39" s="2" t="str">
        <f t="shared" si="29"/>
        <v>Month39</v>
      </c>
      <c r="AW39" s="2" t="str">
        <f t="shared" si="29"/>
        <v>Month40</v>
      </c>
      <c r="AX39" s="2" t="str">
        <f t="shared" si="29"/>
        <v>Month41</v>
      </c>
      <c r="AY39" s="2" t="str">
        <f t="shared" si="29"/>
        <v>Month42</v>
      </c>
      <c r="AZ39" s="2" t="str">
        <f t="shared" si="29"/>
        <v>Month43</v>
      </c>
      <c r="BA39" s="2" t="str">
        <f t="shared" si="29"/>
        <v>Month44</v>
      </c>
      <c r="BB39" s="2" t="str">
        <f t="shared" si="29"/>
        <v>Month45</v>
      </c>
      <c r="BC39" s="2" t="str">
        <f t="shared" si="29"/>
        <v>Month46</v>
      </c>
      <c r="BD39" s="2" t="str">
        <f t="shared" si="29"/>
        <v>Month47</v>
      </c>
      <c r="BE39" s="2" t="str">
        <f t="shared" si="29"/>
        <v>Month48</v>
      </c>
      <c r="BF39" s="2" t="str">
        <f t="shared" si="29"/>
        <v>Month49</v>
      </c>
      <c r="BG39" s="2" t="str">
        <f t="shared" si="29"/>
        <v>Month50</v>
      </c>
      <c r="BH39" s="2" t="str">
        <f t="shared" si="29"/>
        <v>Month51</v>
      </c>
      <c r="BI39" s="2" t="str">
        <f t="shared" si="29"/>
        <v>Month52</v>
      </c>
      <c r="BJ39" s="2" t="str">
        <f t="shared" si="29"/>
        <v>Month53</v>
      </c>
      <c r="BK39" s="2" t="str">
        <f t="shared" si="29"/>
        <v>Month54</v>
      </c>
      <c r="BL39" s="2" t="str">
        <f t="shared" si="29"/>
        <v>Month55</v>
      </c>
      <c r="BM39" s="2" t="str">
        <f t="shared" si="29"/>
        <v>Month56</v>
      </c>
      <c r="BN39" s="2" t="str">
        <f t="shared" si="29"/>
        <v>Month57</v>
      </c>
      <c r="BO39" s="2" t="str">
        <f t="shared" si="29"/>
        <v>Month58</v>
      </c>
      <c r="BP39" s="2" t="str">
        <f t="shared" si="29"/>
        <v>Month59</v>
      </c>
      <c r="BQ39" s="2" t="str">
        <f t="shared" si="29"/>
        <v>Month60</v>
      </c>
    </row>
    <row r="40" spans="1:69">
      <c r="E40" s="5" t="str">
        <f t="shared" ref="E40:AJ40" si="30">E$28</f>
        <v>Period number</v>
      </c>
      <c r="F40" s="5">
        <f t="shared" si="30"/>
        <v>0</v>
      </c>
      <c r="G40" s="5" t="str">
        <f t="shared" si="30"/>
        <v>Counter</v>
      </c>
      <c r="H40" s="5">
        <f t="shared" si="30"/>
        <v>0</v>
      </c>
      <c r="I40" s="5">
        <f t="shared" si="30"/>
        <v>0</v>
      </c>
      <c r="J40" s="5">
        <f t="shared" si="30"/>
        <v>1</v>
      </c>
      <c r="K40" s="5">
        <f t="shared" si="30"/>
        <v>2</v>
      </c>
      <c r="L40" s="5">
        <f t="shared" si="30"/>
        <v>3</v>
      </c>
      <c r="M40" s="5">
        <f t="shared" si="30"/>
        <v>4</v>
      </c>
      <c r="N40" s="5">
        <f t="shared" si="30"/>
        <v>5</v>
      </c>
      <c r="O40" s="5">
        <f t="shared" si="30"/>
        <v>6</v>
      </c>
      <c r="P40" s="5">
        <f t="shared" si="30"/>
        <v>7</v>
      </c>
      <c r="Q40" s="5">
        <f t="shared" si="30"/>
        <v>8</v>
      </c>
      <c r="R40" s="5">
        <f t="shared" si="30"/>
        <v>9</v>
      </c>
      <c r="S40" s="5">
        <f t="shared" si="30"/>
        <v>10</v>
      </c>
      <c r="T40" s="5">
        <f t="shared" si="30"/>
        <v>11</v>
      </c>
      <c r="U40" s="5">
        <f t="shared" si="30"/>
        <v>12</v>
      </c>
      <c r="V40" s="5">
        <f t="shared" si="30"/>
        <v>13</v>
      </c>
      <c r="W40" s="5">
        <f t="shared" si="30"/>
        <v>14</v>
      </c>
      <c r="X40" s="5">
        <f t="shared" si="30"/>
        <v>15</v>
      </c>
      <c r="Y40" s="5">
        <f t="shared" si="30"/>
        <v>16</v>
      </c>
      <c r="Z40" s="5">
        <f t="shared" si="30"/>
        <v>17</v>
      </c>
      <c r="AA40" s="5">
        <f t="shared" si="30"/>
        <v>18</v>
      </c>
      <c r="AB40" s="5">
        <f t="shared" si="30"/>
        <v>19</v>
      </c>
      <c r="AC40" s="5">
        <f t="shared" si="30"/>
        <v>20</v>
      </c>
      <c r="AD40" s="5">
        <f t="shared" si="30"/>
        <v>21</v>
      </c>
      <c r="AE40" s="5">
        <f t="shared" si="30"/>
        <v>22</v>
      </c>
      <c r="AF40" s="5">
        <f t="shared" si="30"/>
        <v>23</v>
      </c>
      <c r="AG40" s="5">
        <f t="shared" si="30"/>
        <v>24</v>
      </c>
      <c r="AH40" s="5">
        <f t="shared" si="30"/>
        <v>25</v>
      </c>
      <c r="AI40" s="5">
        <f t="shared" si="30"/>
        <v>26</v>
      </c>
      <c r="AJ40" s="5">
        <f t="shared" si="30"/>
        <v>27</v>
      </c>
      <c r="AK40" s="5">
        <f t="shared" ref="AK40:BQ40" si="31">AK$28</f>
        <v>28</v>
      </c>
      <c r="AL40" s="5">
        <f t="shared" si="31"/>
        <v>29</v>
      </c>
      <c r="AM40" s="5">
        <f t="shared" si="31"/>
        <v>30</v>
      </c>
      <c r="AN40" s="5">
        <f t="shared" si="31"/>
        <v>31</v>
      </c>
      <c r="AO40" s="5">
        <f t="shared" si="31"/>
        <v>32</v>
      </c>
      <c r="AP40" s="5">
        <f t="shared" si="31"/>
        <v>33</v>
      </c>
      <c r="AQ40" s="5">
        <f t="shared" si="31"/>
        <v>34</v>
      </c>
      <c r="AR40" s="5">
        <f t="shared" si="31"/>
        <v>35</v>
      </c>
      <c r="AS40" s="5">
        <f t="shared" si="31"/>
        <v>36</v>
      </c>
      <c r="AT40" s="5">
        <f t="shared" si="31"/>
        <v>37</v>
      </c>
      <c r="AU40" s="5">
        <f t="shared" si="31"/>
        <v>38</v>
      </c>
      <c r="AV40" s="5">
        <f t="shared" si="31"/>
        <v>39</v>
      </c>
      <c r="AW40" s="5">
        <f t="shared" si="31"/>
        <v>40</v>
      </c>
      <c r="AX40" s="5">
        <f t="shared" si="31"/>
        <v>41</v>
      </c>
      <c r="AY40" s="5">
        <f t="shared" si="31"/>
        <v>42</v>
      </c>
      <c r="AZ40" s="5">
        <f t="shared" si="31"/>
        <v>43</v>
      </c>
      <c r="BA40" s="5">
        <f t="shared" si="31"/>
        <v>44</v>
      </c>
      <c r="BB40" s="5">
        <f t="shared" si="31"/>
        <v>45</v>
      </c>
      <c r="BC40" s="5">
        <f t="shared" si="31"/>
        <v>46</v>
      </c>
      <c r="BD40" s="5">
        <f t="shared" si="31"/>
        <v>47</v>
      </c>
      <c r="BE40" s="5">
        <f t="shared" si="31"/>
        <v>48</v>
      </c>
      <c r="BF40" s="5">
        <f t="shared" si="31"/>
        <v>49</v>
      </c>
      <c r="BG40" s="5">
        <f t="shared" si="31"/>
        <v>50</v>
      </c>
      <c r="BH40" s="5">
        <f t="shared" si="31"/>
        <v>51</v>
      </c>
      <c r="BI40" s="5">
        <f t="shared" si="31"/>
        <v>52</v>
      </c>
      <c r="BJ40" s="5">
        <f t="shared" si="31"/>
        <v>53</v>
      </c>
      <c r="BK40" s="5">
        <f t="shared" si="31"/>
        <v>54</v>
      </c>
      <c r="BL40" s="5">
        <f t="shared" si="31"/>
        <v>55</v>
      </c>
      <c r="BM40" s="5">
        <f t="shared" si="31"/>
        <v>56</v>
      </c>
      <c r="BN40" s="5">
        <f t="shared" si="31"/>
        <v>57</v>
      </c>
      <c r="BO40" s="5">
        <f t="shared" si="31"/>
        <v>58</v>
      </c>
      <c r="BP40" s="5">
        <f t="shared" si="31"/>
        <v>59</v>
      </c>
      <c r="BQ40" s="5">
        <f t="shared" si="31"/>
        <v>60</v>
      </c>
    </row>
    <row r="41" spans="1:69">
      <c r="E41" s="5" t="str">
        <f t="shared" ref="E41:AJ41" si="32">E$296</f>
        <v>Month to Year : period end flag</v>
      </c>
      <c r="F41" s="5">
        <f t="shared" si="32"/>
        <v>0</v>
      </c>
      <c r="G41" s="5" t="str">
        <f t="shared" si="32"/>
        <v>counter</v>
      </c>
      <c r="H41" s="5">
        <f t="shared" si="32"/>
        <v>0</v>
      </c>
      <c r="I41" s="5">
        <f t="shared" si="32"/>
        <v>0</v>
      </c>
      <c r="J41" s="5">
        <f t="shared" si="32"/>
        <v>0</v>
      </c>
      <c r="K41" s="5">
        <f t="shared" si="32"/>
        <v>0</v>
      </c>
      <c r="L41" s="5">
        <f t="shared" si="32"/>
        <v>0</v>
      </c>
      <c r="M41" s="5">
        <f t="shared" si="32"/>
        <v>0</v>
      </c>
      <c r="N41" s="5">
        <f t="shared" si="32"/>
        <v>0</v>
      </c>
      <c r="O41" s="5">
        <f t="shared" si="32"/>
        <v>0</v>
      </c>
      <c r="P41" s="5">
        <f t="shared" si="32"/>
        <v>0</v>
      </c>
      <c r="Q41" s="5">
        <f t="shared" si="32"/>
        <v>0</v>
      </c>
      <c r="R41" s="5">
        <f t="shared" si="32"/>
        <v>0</v>
      </c>
      <c r="S41" s="5">
        <f t="shared" si="32"/>
        <v>0</v>
      </c>
      <c r="T41" s="5">
        <f t="shared" si="32"/>
        <v>0</v>
      </c>
      <c r="U41" s="5">
        <f t="shared" si="32"/>
        <v>1</v>
      </c>
      <c r="V41" s="5">
        <f t="shared" si="32"/>
        <v>0</v>
      </c>
      <c r="W41" s="5">
        <f t="shared" si="32"/>
        <v>0</v>
      </c>
      <c r="X41" s="5">
        <f t="shared" si="32"/>
        <v>0</v>
      </c>
      <c r="Y41" s="5">
        <f t="shared" si="32"/>
        <v>0</v>
      </c>
      <c r="Z41" s="5">
        <f t="shared" si="32"/>
        <v>0</v>
      </c>
      <c r="AA41" s="5">
        <f t="shared" si="32"/>
        <v>0</v>
      </c>
      <c r="AB41" s="5">
        <f t="shared" si="32"/>
        <v>0</v>
      </c>
      <c r="AC41" s="5">
        <f t="shared" si="32"/>
        <v>0</v>
      </c>
      <c r="AD41" s="5">
        <f t="shared" si="32"/>
        <v>0</v>
      </c>
      <c r="AE41" s="5">
        <f t="shared" si="32"/>
        <v>0</v>
      </c>
      <c r="AF41" s="5">
        <f t="shared" si="32"/>
        <v>0</v>
      </c>
      <c r="AG41" s="5">
        <f t="shared" si="32"/>
        <v>2</v>
      </c>
      <c r="AH41" s="5">
        <f t="shared" si="32"/>
        <v>0</v>
      </c>
      <c r="AI41" s="5">
        <f t="shared" si="32"/>
        <v>0</v>
      </c>
      <c r="AJ41" s="5">
        <f t="shared" si="32"/>
        <v>0</v>
      </c>
      <c r="AK41" s="5">
        <f t="shared" ref="AK41:BQ41" si="33">AK$296</f>
        <v>0</v>
      </c>
      <c r="AL41" s="5">
        <f t="shared" si="33"/>
        <v>0</v>
      </c>
      <c r="AM41" s="5">
        <f t="shared" si="33"/>
        <v>0</v>
      </c>
      <c r="AN41" s="5">
        <f t="shared" si="33"/>
        <v>0</v>
      </c>
      <c r="AO41" s="5">
        <f t="shared" si="33"/>
        <v>0</v>
      </c>
      <c r="AP41" s="5">
        <f t="shared" si="33"/>
        <v>0</v>
      </c>
      <c r="AQ41" s="5">
        <f t="shared" si="33"/>
        <v>0</v>
      </c>
      <c r="AR41" s="5">
        <f t="shared" si="33"/>
        <v>0</v>
      </c>
      <c r="AS41" s="5">
        <f t="shared" si="33"/>
        <v>3</v>
      </c>
      <c r="AT41" s="5">
        <f t="shared" si="33"/>
        <v>0</v>
      </c>
      <c r="AU41" s="5">
        <f t="shared" si="33"/>
        <v>0</v>
      </c>
      <c r="AV41" s="5">
        <f t="shared" si="33"/>
        <v>0</v>
      </c>
      <c r="AW41" s="5">
        <f t="shared" si="33"/>
        <v>0</v>
      </c>
      <c r="AX41" s="5">
        <f t="shared" si="33"/>
        <v>0</v>
      </c>
      <c r="AY41" s="5">
        <f t="shared" si="33"/>
        <v>0</v>
      </c>
      <c r="AZ41" s="5">
        <f t="shared" si="33"/>
        <v>0</v>
      </c>
      <c r="BA41" s="5">
        <f t="shared" si="33"/>
        <v>0</v>
      </c>
      <c r="BB41" s="5">
        <f t="shared" si="33"/>
        <v>0</v>
      </c>
      <c r="BC41" s="5">
        <f t="shared" si="33"/>
        <v>0</v>
      </c>
      <c r="BD41" s="5">
        <f t="shared" si="33"/>
        <v>0</v>
      </c>
      <c r="BE41" s="5">
        <f t="shared" si="33"/>
        <v>4</v>
      </c>
      <c r="BF41" s="5">
        <f t="shared" si="33"/>
        <v>0</v>
      </c>
      <c r="BG41" s="5">
        <f t="shared" si="33"/>
        <v>0</v>
      </c>
      <c r="BH41" s="5">
        <f t="shared" si="33"/>
        <v>0</v>
      </c>
      <c r="BI41" s="5">
        <f t="shared" si="33"/>
        <v>0</v>
      </c>
      <c r="BJ41" s="5">
        <f t="shared" si="33"/>
        <v>0</v>
      </c>
      <c r="BK41" s="5">
        <f t="shared" si="33"/>
        <v>0</v>
      </c>
      <c r="BL41" s="5">
        <f t="shared" si="33"/>
        <v>0</v>
      </c>
      <c r="BM41" s="5">
        <f t="shared" si="33"/>
        <v>0</v>
      </c>
      <c r="BN41" s="5">
        <f t="shared" si="33"/>
        <v>0</v>
      </c>
      <c r="BO41" s="5">
        <f t="shared" si="33"/>
        <v>0</v>
      </c>
      <c r="BP41" s="5">
        <f t="shared" si="33"/>
        <v>0</v>
      </c>
      <c r="BQ41" s="5">
        <f t="shared" si="33"/>
        <v>5</v>
      </c>
    </row>
    <row r="42" spans="1:69">
      <c r="A42" s="31"/>
      <c r="B42" s="31"/>
      <c r="C42" s="51"/>
      <c r="D42" s="50"/>
      <c r="E42" s="3" t="s">
        <v>8</v>
      </c>
      <c r="F42" s="3"/>
      <c r="G42" s="3" t="s">
        <v>252</v>
      </c>
      <c r="H42" s="3" t="e">
        <f>SUM(J42:BQ42)</f>
        <v>#N/A</v>
      </c>
      <c r="I42" s="3"/>
      <c r="J42" s="3" t="str">
        <f t="shared" ref="J42:AO42" si="34">INDEX($J39:$BQ39,MATCH(J40,$J41:$BQ41,0))</f>
        <v>Month12</v>
      </c>
      <c r="K42" s="3" t="str">
        <f t="shared" si="34"/>
        <v>Month24</v>
      </c>
      <c r="L42" s="3" t="str">
        <f t="shared" si="34"/>
        <v>Month36</v>
      </c>
      <c r="M42" s="3" t="str">
        <f t="shared" si="34"/>
        <v>Month48</v>
      </c>
      <c r="N42" s="3" t="str">
        <f t="shared" si="34"/>
        <v>Month60</v>
      </c>
      <c r="O42" s="3" t="e">
        <f t="shared" si="34"/>
        <v>#N/A</v>
      </c>
      <c r="P42" s="3" t="e">
        <f t="shared" si="34"/>
        <v>#N/A</v>
      </c>
      <c r="Q42" s="3" t="e">
        <f t="shared" si="34"/>
        <v>#N/A</v>
      </c>
      <c r="R42" s="3" t="e">
        <f t="shared" si="34"/>
        <v>#N/A</v>
      </c>
      <c r="S42" s="3" t="e">
        <f t="shared" si="34"/>
        <v>#N/A</v>
      </c>
      <c r="T42" s="3" t="e">
        <f t="shared" si="34"/>
        <v>#N/A</v>
      </c>
      <c r="U42" s="3" t="e">
        <f t="shared" si="34"/>
        <v>#N/A</v>
      </c>
      <c r="V42" s="3" t="e">
        <f t="shared" si="34"/>
        <v>#N/A</v>
      </c>
      <c r="W42" s="3" t="e">
        <f t="shared" si="34"/>
        <v>#N/A</v>
      </c>
      <c r="X42" s="3" t="e">
        <f t="shared" si="34"/>
        <v>#N/A</v>
      </c>
      <c r="Y42" s="3" t="e">
        <f t="shared" si="34"/>
        <v>#N/A</v>
      </c>
      <c r="Z42" s="3" t="e">
        <f t="shared" si="34"/>
        <v>#N/A</v>
      </c>
      <c r="AA42" s="3" t="e">
        <f t="shared" si="34"/>
        <v>#N/A</v>
      </c>
      <c r="AB42" s="3" t="e">
        <f t="shared" si="34"/>
        <v>#N/A</v>
      </c>
      <c r="AC42" s="3" t="e">
        <f t="shared" si="34"/>
        <v>#N/A</v>
      </c>
      <c r="AD42" s="3" t="e">
        <f t="shared" si="34"/>
        <v>#N/A</v>
      </c>
      <c r="AE42" s="3" t="e">
        <f t="shared" si="34"/>
        <v>#N/A</v>
      </c>
      <c r="AF42" s="3" t="e">
        <f t="shared" si="34"/>
        <v>#N/A</v>
      </c>
      <c r="AG42" s="3" t="e">
        <f t="shared" si="34"/>
        <v>#N/A</v>
      </c>
      <c r="AH42" s="3" t="e">
        <f t="shared" si="34"/>
        <v>#N/A</v>
      </c>
      <c r="AI42" s="3" t="e">
        <f t="shared" si="34"/>
        <v>#N/A</v>
      </c>
      <c r="AJ42" s="3" t="e">
        <f t="shared" si="34"/>
        <v>#N/A</v>
      </c>
      <c r="AK42" s="3" t="e">
        <f t="shared" si="34"/>
        <v>#N/A</v>
      </c>
      <c r="AL42" s="3" t="e">
        <f t="shared" si="34"/>
        <v>#N/A</v>
      </c>
      <c r="AM42" s="3" t="e">
        <f t="shared" si="34"/>
        <v>#N/A</v>
      </c>
      <c r="AN42" s="3" t="e">
        <f t="shared" si="34"/>
        <v>#N/A</v>
      </c>
      <c r="AO42" s="3" t="e">
        <f t="shared" si="34"/>
        <v>#N/A</v>
      </c>
      <c r="AP42" s="3" t="e">
        <f t="shared" ref="AP42:BU42" si="35">INDEX($J39:$BQ39,MATCH(AP40,$J41:$BQ41,0))</f>
        <v>#N/A</v>
      </c>
      <c r="AQ42" s="3" t="e">
        <f t="shared" si="35"/>
        <v>#N/A</v>
      </c>
      <c r="AR42" s="3" t="e">
        <f t="shared" si="35"/>
        <v>#N/A</v>
      </c>
      <c r="AS42" s="3" t="e">
        <f t="shared" si="35"/>
        <v>#N/A</v>
      </c>
      <c r="AT42" s="3" t="e">
        <f t="shared" si="35"/>
        <v>#N/A</v>
      </c>
      <c r="AU42" s="3" t="e">
        <f t="shared" si="35"/>
        <v>#N/A</v>
      </c>
      <c r="AV42" s="3" t="e">
        <f t="shared" si="35"/>
        <v>#N/A</v>
      </c>
      <c r="AW42" s="3" t="e">
        <f t="shared" si="35"/>
        <v>#N/A</v>
      </c>
      <c r="AX42" s="3" t="e">
        <f t="shared" si="35"/>
        <v>#N/A</v>
      </c>
      <c r="AY42" s="3" t="e">
        <f t="shared" si="35"/>
        <v>#N/A</v>
      </c>
      <c r="AZ42" s="3" t="e">
        <f t="shared" si="35"/>
        <v>#N/A</v>
      </c>
      <c r="BA42" s="3" t="e">
        <f t="shared" si="35"/>
        <v>#N/A</v>
      </c>
      <c r="BB42" s="3" t="e">
        <f t="shared" si="35"/>
        <v>#N/A</v>
      </c>
      <c r="BC42" s="3" t="e">
        <f t="shared" si="35"/>
        <v>#N/A</v>
      </c>
      <c r="BD42" s="3" t="e">
        <f t="shared" si="35"/>
        <v>#N/A</v>
      </c>
      <c r="BE42" s="3" t="e">
        <f t="shared" si="35"/>
        <v>#N/A</v>
      </c>
      <c r="BF42" s="3" t="e">
        <f t="shared" si="35"/>
        <v>#N/A</v>
      </c>
      <c r="BG42" s="3" t="e">
        <f t="shared" si="35"/>
        <v>#N/A</v>
      </c>
      <c r="BH42" s="3" t="e">
        <f t="shared" si="35"/>
        <v>#N/A</v>
      </c>
      <c r="BI42" s="3" t="e">
        <f t="shared" si="35"/>
        <v>#N/A</v>
      </c>
      <c r="BJ42" s="3" t="e">
        <f t="shared" si="35"/>
        <v>#N/A</v>
      </c>
      <c r="BK42" s="3" t="e">
        <f t="shared" si="35"/>
        <v>#N/A</v>
      </c>
      <c r="BL42" s="3" t="e">
        <f t="shared" si="35"/>
        <v>#N/A</v>
      </c>
      <c r="BM42" s="3" t="e">
        <f t="shared" si="35"/>
        <v>#N/A</v>
      </c>
      <c r="BN42" s="3" t="e">
        <f t="shared" si="35"/>
        <v>#N/A</v>
      </c>
      <c r="BO42" s="3" t="e">
        <f t="shared" si="35"/>
        <v>#N/A</v>
      </c>
      <c r="BP42" s="3" t="e">
        <f t="shared" si="35"/>
        <v>#N/A</v>
      </c>
      <c r="BQ42" s="3" t="e">
        <f t="shared" si="35"/>
        <v>#N/A</v>
      </c>
    </row>
    <row r="45" spans="1:69">
      <c r="B45" s="22" t="s">
        <v>233</v>
      </c>
    </row>
    <row r="46" spans="1:69">
      <c r="E46" s="5" t="str">
        <f t="shared" ref="E46:AJ46" si="36">E$28</f>
        <v>Period number</v>
      </c>
      <c r="F46" s="5">
        <f t="shared" si="36"/>
        <v>0</v>
      </c>
      <c r="G46" s="5" t="str">
        <f t="shared" si="36"/>
        <v>Counter</v>
      </c>
      <c r="H46" s="5">
        <f t="shared" si="36"/>
        <v>0</v>
      </c>
      <c r="I46" s="5">
        <f t="shared" si="36"/>
        <v>0</v>
      </c>
      <c r="J46" s="5">
        <f t="shared" si="36"/>
        <v>1</v>
      </c>
      <c r="K46" s="5">
        <f t="shared" si="36"/>
        <v>2</v>
      </c>
      <c r="L46" s="5">
        <f t="shared" si="36"/>
        <v>3</v>
      </c>
      <c r="M46" s="5">
        <f t="shared" si="36"/>
        <v>4</v>
      </c>
      <c r="N46" s="5">
        <f t="shared" si="36"/>
        <v>5</v>
      </c>
      <c r="O46" s="5">
        <f t="shared" si="36"/>
        <v>6</v>
      </c>
      <c r="P46" s="5">
        <f t="shared" si="36"/>
        <v>7</v>
      </c>
      <c r="Q46" s="5">
        <f t="shared" si="36"/>
        <v>8</v>
      </c>
      <c r="R46" s="5">
        <f t="shared" si="36"/>
        <v>9</v>
      </c>
      <c r="S46" s="5">
        <f t="shared" si="36"/>
        <v>10</v>
      </c>
      <c r="T46" s="5">
        <f t="shared" si="36"/>
        <v>11</v>
      </c>
      <c r="U46" s="5">
        <f t="shared" si="36"/>
        <v>12</v>
      </c>
      <c r="V46" s="5">
        <f t="shared" si="36"/>
        <v>13</v>
      </c>
      <c r="W46" s="5">
        <f t="shared" si="36"/>
        <v>14</v>
      </c>
      <c r="X46" s="5">
        <f t="shared" si="36"/>
        <v>15</v>
      </c>
      <c r="Y46" s="5">
        <f t="shared" si="36"/>
        <v>16</v>
      </c>
      <c r="Z46" s="5">
        <f t="shared" si="36"/>
        <v>17</v>
      </c>
      <c r="AA46" s="5">
        <f t="shared" si="36"/>
        <v>18</v>
      </c>
      <c r="AB46" s="5">
        <f t="shared" si="36"/>
        <v>19</v>
      </c>
      <c r="AC46" s="5">
        <f t="shared" si="36"/>
        <v>20</v>
      </c>
      <c r="AD46" s="5">
        <f t="shared" si="36"/>
        <v>21</v>
      </c>
      <c r="AE46" s="5">
        <f t="shared" si="36"/>
        <v>22</v>
      </c>
      <c r="AF46" s="5">
        <f t="shared" si="36"/>
        <v>23</v>
      </c>
      <c r="AG46" s="5">
        <f t="shared" si="36"/>
        <v>24</v>
      </c>
      <c r="AH46" s="5">
        <f t="shared" si="36"/>
        <v>25</v>
      </c>
      <c r="AI46" s="5">
        <f t="shared" si="36"/>
        <v>26</v>
      </c>
      <c r="AJ46" s="5">
        <f t="shared" si="36"/>
        <v>27</v>
      </c>
      <c r="AK46" s="5">
        <f t="shared" ref="AK46:BQ46" si="37">AK$28</f>
        <v>28</v>
      </c>
      <c r="AL46" s="5">
        <f t="shared" si="37"/>
        <v>29</v>
      </c>
      <c r="AM46" s="5">
        <f t="shared" si="37"/>
        <v>30</v>
      </c>
      <c r="AN46" s="5">
        <f t="shared" si="37"/>
        <v>31</v>
      </c>
      <c r="AO46" s="5">
        <f t="shared" si="37"/>
        <v>32</v>
      </c>
      <c r="AP46" s="5">
        <f t="shared" si="37"/>
        <v>33</v>
      </c>
      <c r="AQ46" s="5">
        <f t="shared" si="37"/>
        <v>34</v>
      </c>
      <c r="AR46" s="5">
        <f t="shared" si="37"/>
        <v>35</v>
      </c>
      <c r="AS46" s="5">
        <f t="shared" si="37"/>
        <v>36</v>
      </c>
      <c r="AT46" s="5">
        <f t="shared" si="37"/>
        <v>37</v>
      </c>
      <c r="AU46" s="5">
        <f t="shared" si="37"/>
        <v>38</v>
      </c>
      <c r="AV46" s="5">
        <f t="shared" si="37"/>
        <v>39</v>
      </c>
      <c r="AW46" s="5">
        <f t="shared" si="37"/>
        <v>40</v>
      </c>
      <c r="AX46" s="5">
        <f t="shared" si="37"/>
        <v>41</v>
      </c>
      <c r="AY46" s="5">
        <f t="shared" si="37"/>
        <v>42</v>
      </c>
      <c r="AZ46" s="5">
        <f t="shared" si="37"/>
        <v>43</v>
      </c>
      <c r="BA46" s="5">
        <f t="shared" si="37"/>
        <v>44</v>
      </c>
      <c r="BB46" s="5">
        <f t="shared" si="37"/>
        <v>45</v>
      </c>
      <c r="BC46" s="5">
        <f t="shared" si="37"/>
        <v>46</v>
      </c>
      <c r="BD46" s="5">
        <f t="shared" si="37"/>
        <v>47</v>
      </c>
      <c r="BE46" s="5">
        <f t="shared" si="37"/>
        <v>48</v>
      </c>
      <c r="BF46" s="5">
        <f t="shared" si="37"/>
        <v>49</v>
      </c>
      <c r="BG46" s="5">
        <f t="shared" si="37"/>
        <v>50</v>
      </c>
      <c r="BH46" s="5">
        <f t="shared" si="37"/>
        <v>51</v>
      </c>
      <c r="BI46" s="5">
        <f t="shared" si="37"/>
        <v>52</v>
      </c>
      <c r="BJ46" s="5">
        <f t="shared" si="37"/>
        <v>53</v>
      </c>
      <c r="BK46" s="5">
        <f t="shared" si="37"/>
        <v>54</v>
      </c>
      <c r="BL46" s="5">
        <f t="shared" si="37"/>
        <v>55</v>
      </c>
      <c r="BM46" s="5">
        <f t="shared" si="37"/>
        <v>56</v>
      </c>
      <c r="BN46" s="5">
        <f t="shared" si="37"/>
        <v>57</v>
      </c>
      <c r="BO46" s="5">
        <f t="shared" si="37"/>
        <v>58</v>
      </c>
      <c r="BP46" s="5">
        <f t="shared" si="37"/>
        <v>59</v>
      </c>
      <c r="BQ46" s="5">
        <f t="shared" si="37"/>
        <v>60</v>
      </c>
    </row>
    <row r="47" spans="1:69">
      <c r="E47" s="5" t="str">
        <f t="shared" ref="E47:AJ47" si="38">E$296</f>
        <v>Month to Year : period end flag</v>
      </c>
      <c r="F47" s="5">
        <f t="shared" si="38"/>
        <v>0</v>
      </c>
      <c r="G47" s="5" t="str">
        <f t="shared" si="38"/>
        <v>counter</v>
      </c>
      <c r="H47" s="5">
        <f t="shared" si="38"/>
        <v>0</v>
      </c>
      <c r="I47" s="5">
        <f t="shared" si="38"/>
        <v>0</v>
      </c>
      <c r="J47" s="5">
        <f t="shared" si="38"/>
        <v>0</v>
      </c>
      <c r="K47" s="5">
        <f t="shared" si="38"/>
        <v>0</v>
      </c>
      <c r="L47" s="5">
        <f t="shared" si="38"/>
        <v>0</v>
      </c>
      <c r="M47" s="5">
        <f t="shared" si="38"/>
        <v>0</v>
      </c>
      <c r="N47" s="5">
        <f t="shared" si="38"/>
        <v>0</v>
      </c>
      <c r="O47" s="5">
        <f t="shared" si="38"/>
        <v>0</v>
      </c>
      <c r="P47" s="5">
        <f t="shared" si="38"/>
        <v>0</v>
      </c>
      <c r="Q47" s="5">
        <f t="shared" si="38"/>
        <v>0</v>
      </c>
      <c r="R47" s="5">
        <f t="shared" si="38"/>
        <v>0</v>
      </c>
      <c r="S47" s="5">
        <f t="shared" si="38"/>
        <v>0</v>
      </c>
      <c r="T47" s="5">
        <f t="shared" si="38"/>
        <v>0</v>
      </c>
      <c r="U47" s="5">
        <f t="shared" si="38"/>
        <v>1</v>
      </c>
      <c r="V47" s="5">
        <f t="shared" si="38"/>
        <v>0</v>
      </c>
      <c r="W47" s="5">
        <f t="shared" si="38"/>
        <v>0</v>
      </c>
      <c r="X47" s="5">
        <f t="shared" si="38"/>
        <v>0</v>
      </c>
      <c r="Y47" s="5">
        <f t="shared" si="38"/>
        <v>0</v>
      </c>
      <c r="Z47" s="5">
        <f t="shared" si="38"/>
        <v>0</v>
      </c>
      <c r="AA47" s="5">
        <f t="shared" si="38"/>
        <v>0</v>
      </c>
      <c r="AB47" s="5">
        <f t="shared" si="38"/>
        <v>0</v>
      </c>
      <c r="AC47" s="5">
        <f t="shared" si="38"/>
        <v>0</v>
      </c>
      <c r="AD47" s="5">
        <f t="shared" si="38"/>
        <v>0</v>
      </c>
      <c r="AE47" s="5">
        <f t="shared" si="38"/>
        <v>0</v>
      </c>
      <c r="AF47" s="5">
        <f t="shared" si="38"/>
        <v>0</v>
      </c>
      <c r="AG47" s="5">
        <f t="shared" si="38"/>
        <v>2</v>
      </c>
      <c r="AH47" s="5">
        <f t="shared" si="38"/>
        <v>0</v>
      </c>
      <c r="AI47" s="5">
        <f t="shared" si="38"/>
        <v>0</v>
      </c>
      <c r="AJ47" s="5">
        <f t="shared" si="38"/>
        <v>0</v>
      </c>
      <c r="AK47" s="5">
        <f t="shared" ref="AK47:BQ47" si="39">AK$296</f>
        <v>0</v>
      </c>
      <c r="AL47" s="5">
        <f t="shared" si="39"/>
        <v>0</v>
      </c>
      <c r="AM47" s="5">
        <f t="shared" si="39"/>
        <v>0</v>
      </c>
      <c r="AN47" s="5">
        <f t="shared" si="39"/>
        <v>0</v>
      </c>
      <c r="AO47" s="5">
        <f t="shared" si="39"/>
        <v>0</v>
      </c>
      <c r="AP47" s="5">
        <f t="shared" si="39"/>
        <v>0</v>
      </c>
      <c r="AQ47" s="5">
        <f t="shared" si="39"/>
        <v>0</v>
      </c>
      <c r="AR47" s="5">
        <f t="shared" si="39"/>
        <v>0</v>
      </c>
      <c r="AS47" s="5">
        <f t="shared" si="39"/>
        <v>3</v>
      </c>
      <c r="AT47" s="5">
        <f t="shared" si="39"/>
        <v>0</v>
      </c>
      <c r="AU47" s="5">
        <f t="shared" si="39"/>
        <v>0</v>
      </c>
      <c r="AV47" s="5">
        <f t="shared" si="39"/>
        <v>0</v>
      </c>
      <c r="AW47" s="5">
        <f t="shared" si="39"/>
        <v>0</v>
      </c>
      <c r="AX47" s="5">
        <f t="shared" si="39"/>
        <v>0</v>
      </c>
      <c r="AY47" s="5">
        <f t="shared" si="39"/>
        <v>0</v>
      </c>
      <c r="AZ47" s="5">
        <f t="shared" si="39"/>
        <v>0</v>
      </c>
      <c r="BA47" s="5">
        <f t="shared" si="39"/>
        <v>0</v>
      </c>
      <c r="BB47" s="5">
        <f t="shared" si="39"/>
        <v>0</v>
      </c>
      <c r="BC47" s="5">
        <f t="shared" si="39"/>
        <v>0</v>
      </c>
      <c r="BD47" s="5">
        <f t="shared" si="39"/>
        <v>0</v>
      </c>
      <c r="BE47" s="5">
        <f t="shared" si="39"/>
        <v>4</v>
      </c>
      <c r="BF47" s="5">
        <f t="shared" si="39"/>
        <v>0</v>
      </c>
      <c r="BG47" s="5">
        <f t="shared" si="39"/>
        <v>0</v>
      </c>
      <c r="BH47" s="5">
        <f t="shared" si="39"/>
        <v>0</v>
      </c>
      <c r="BI47" s="5">
        <f t="shared" si="39"/>
        <v>0</v>
      </c>
      <c r="BJ47" s="5">
        <f t="shared" si="39"/>
        <v>0</v>
      </c>
      <c r="BK47" s="5">
        <f t="shared" si="39"/>
        <v>0</v>
      </c>
      <c r="BL47" s="5">
        <f t="shared" si="39"/>
        <v>0</v>
      </c>
      <c r="BM47" s="5">
        <f t="shared" si="39"/>
        <v>0</v>
      </c>
      <c r="BN47" s="5">
        <f t="shared" si="39"/>
        <v>0</v>
      </c>
      <c r="BO47" s="5">
        <f t="shared" si="39"/>
        <v>0</v>
      </c>
      <c r="BP47" s="5">
        <f t="shared" si="39"/>
        <v>0</v>
      </c>
      <c r="BQ47" s="5">
        <f t="shared" si="39"/>
        <v>5</v>
      </c>
    </row>
    <row r="48" spans="1:69">
      <c r="A48" s="31"/>
      <c r="B48" s="31"/>
      <c r="C48" s="51"/>
      <c r="D48" s="50"/>
      <c r="E48" s="3" t="s">
        <v>233</v>
      </c>
      <c r="F48" s="3"/>
      <c r="G48" s="3" t="s">
        <v>279</v>
      </c>
      <c r="H48" s="3"/>
      <c r="I48" s="3"/>
      <c r="J48" s="14">
        <f t="shared" ref="J48:AO48" si="40">INDEX($J46:$BQ46,MATCH(J46,$J47:$BQ47,0))</f>
        <v>12</v>
      </c>
      <c r="K48" s="14">
        <f t="shared" si="40"/>
        <v>24</v>
      </c>
      <c r="L48" s="14">
        <f t="shared" si="40"/>
        <v>36</v>
      </c>
      <c r="M48" s="14">
        <f t="shared" si="40"/>
        <v>48</v>
      </c>
      <c r="N48" s="14">
        <f t="shared" si="40"/>
        <v>60</v>
      </c>
      <c r="O48" s="14" t="e">
        <f t="shared" si="40"/>
        <v>#N/A</v>
      </c>
      <c r="P48" s="14" t="e">
        <f t="shared" si="40"/>
        <v>#N/A</v>
      </c>
      <c r="Q48" s="14" t="e">
        <f t="shared" si="40"/>
        <v>#N/A</v>
      </c>
      <c r="R48" s="14" t="e">
        <f t="shared" si="40"/>
        <v>#N/A</v>
      </c>
      <c r="S48" s="14" t="e">
        <f t="shared" si="40"/>
        <v>#N/A</v>
      </c>
      <c r="T48" s="14" t="e">
        <f t="shared" si="40"/>
        <v>#N/A</v>
      </c>
      <c r="U48" s="14" t="e">
        <f t="shared" si="40"/>
        <v>#N/A</v>
      </c>
      <c r="V48" s="14" t="e">
        <f t="shared" si="40"/>
        <v>#N/A</v>
      </c>
      <c r="W48" s="14" t="e">
        <f t="shared" si="40"/>
        <v>#N/A</v>
      </c>
      <c r="X48" s="14" t="e">
        <f t="shared" si="40"/>
        <v>#N/A</v>
      </c>
      <c r="Y48" s="14" t="e">
        <f t="shared" si="40"/>
        <v>#N/A</v>
      </c>
      <c r="Z48" s="14" t="e">
        <f t="shared" si="40"/>
        <v>#N/A</v>
      </c>
      <c r="AA48" s="14" t="e">
        <f t="shared" si="40"/>
        <v>#N/A</v>
      </c>
      <c r="AB48" s="14" t="e">
        <f t="shared" si="40"/>
        <v>#N/A</v>
      </c>
      <c r="AC48" s="14" t="e">
        <f t="shared" si="40"/>
        <v>#N/A</v>
      </c>
      <c r="AD48" s="14" t="e">
        <f t="shared" si="40"/>
        <v>#N/A</v>
      </c>
      <c r="AE48" s="14" t="e">
        <f t="shared" si="40"/>
        <v>#N/A</v>
      </c>
      <c r="AF48" s="14" t="e">
        <f t="shared" si="40"/>
        <v>#N/A</v>
      </c>
      <c r="AG48" s="14" t="e">
        <f t="shared" si="40"/>
        <v>#N/A</v>
      </c>
      <c r="AH48" s="14" t="e">
        <f t="shared" si="40"/>
        <v>#N/A</v>
      </c>
      <c r="AI48" s="14" t="e">
        <f t="shared" si="40"/>
        <v>#N/A</v>
      </c>
      <c r="AJ48" s="14" t="e">
        <f t="shared" si="40"/>
        <v>#N/A</v>
      </c>
      <c r="AK48" s="14" t="e">
        <f t="shared" si="40"/>
        <v>#N/A</v>
      </c>
      <c r="AL48" s="14" t="e">
        <f t="shared" si="40"/>
        <v>#N/A</v>
      </c>
      <c r="AM48" s="14" t="e">
        <f t="shared" si="40"/>
        <v>#N/A</v>
      </c>
      <c r="AN48" s="14" t="e">
        <f t="shared" si="40"/>
        <v>#N/A</v>
      </c>
      <c r="AO48" s="14" t="e">
        <f t="shared" si="40"/>
        <v>#N/A</v>
      </c>
      <c r="AP48" s="14" t="e">
        <f t="shared" ref="AP48:BU48" si="41">INDEX($J46:$BQ46,MATCH(AP46,$J47:$BQ47,0))</f>
        <v>#N/A</v>
      </c>
      <c r="AQ48" s="14" t="e">
        <f t="shared" si="41"/>
        <v>#N/A</v>
      </c>
      <c r="AR48" s="14" t="e">
        <f t="shared" si="41"/>
        <v>#N/A</v>
      </c>
      <c r="AS48" s="14" t="e">
        <f t="shared" si="41"/>
        <v>#N/A</v>
      </c>
      <c r="AT48" s="14" t="e">
        <f t="shared" si="41"/>
        <v>#N/A</v>
      </c>
      <c r="AU48" s="14" t="e">
        <f t="shared" si="41"/>
        <v>#N/A</v>
      </c>
      <c r="AV48" s="14" t="e">
        <f t="shared" si="41"/>
        <v>#N/A</v>
      </c>
      <c r="AW48" s="14" t="e">
        <f t="shared" si="41"/>
        <v>#N/A</v>
      </c>
      <c r="AX48" s="14" t="e">
        <f t="shared" si="41"/>
        <v>#N/A</v>
      </c>
      <c r="AY48" s="14" t="e">
        <f t="shared" si="41"/>
        <v>#N/A</v>
      </c>
      <c r="AZ48" s="14" t="e">
        <f t="shared" si="41"/>
        <v>#N/A</v>
      </c>
      <c r="BA48" s="14" t="e">
        <f t="shared" si="41"/>
        <v>#N/A</v>
      </c>
      <c r="BB48" s="14" t="e">
        <f t="shared" si="41"/>
        <v>#N/A</v>
      </c>
      <c r="BC48" s="14" t="e">
        <f t="shared" si="41"/>
        <v>#N/A</v>
      </c>
      <c r="BD48" s="14" t="e">
        <f t="shared" si="41"/>
        <v>#N/A</v>
      </c>
      <c r="BE48" s="14" t="e">
        <f t="shared" si="41"/>
        <v>#N/A</v>
      </c>
      <c r="BF48" s="14" t="e">
        <f t="shared" si="41"/>
        <v>#N/A</v>
      </c>
      <c r="BG48" s="14" t="e">
        <f t="shared" si="41"/>
        <v>#N/A</v>
      </c>
      <c r="BH48" s="14" t="e">
        <f t="shared" si="41"/>
        <v>#N/A</v>
      </c>
      <c r="BI48" s="14" t="e">
        <f t="shared" si="41"/>
        <v>#N/A</v>
      </c>
      <c r="BJ48" s="14" t="e">
        <f t="shared" si="41"/>
        <v>#N/A</v>
      </c>
      <c r="BK48" s="14" t="e">
        <f t="shared" si="41"/>
        <v>#N/A</v>
      </c>
      <c r="BL48" s="14" t="e">
        <f t="shared" si="41"/>
        <v>#N/A</v>
      </c>
      <c r="BM48" s="14" t="e">
        <f t="shared" si="41"/>
        <v>#N/A</v>
      </c>
      <c r="BN48" s="14" t="e">
        <f t="shared" si="41"/>
        <v>#N/A</v>
      </c>
      <c r="BO48" s="14" t="e">
        <f t="shared" si="41"/>
        <v>#N/A</v>
      </c>
      <c r="BP48" s="14" t="e">
        <f t="shared" si="41"/>
        <v>#N/A</v>
      </c>
      <c r="BQ48" s="14" t="e">
        <f t="shared" si="41"/>
        <v>#N/A</v>
      </c>
    </row>
    <row r="51" spans="1:69">
      <c r="B51" s="22" t="s">
        <v>127</v>
      </c>
    </row>
    <row r="52" spans="1:69">
      <c r="E52" s="8" t="str">
        <f t="shared" ref="E52:AJ52" si="42">E$19</f>
        <v>Model period end</v>
      </c>
      <c r="F52" s="8">
        <f t="shared" si="42"/>
        <v>0</v>
      </c>
      <c r="G52" s="8" t="str">
        <f t="shared" si="42"/>
        <v>date</v>
      </c>
      <c r="H52" s="8">
        <f t="shared" si="42"/>
        <v>0</v>
      </c>
      <c r="I52" s="8">
        <f t="shared" si="42"/>
        <v>0</v>
      </c>
      <c r="J52" s="8">
        <f t="shared" si="42"/>
        <v>45077</v>
      </c>
      <c r="K52" s="8">
        <f t="shared" si="42"/>
        <v>45107</v>
      </c>
      <c r="L52" s="8">
        <f t="shared" si="42"/>
        <v>45138</v>
      </c>
      <c r="M52" s="8">
        <f t="shared" si="42"/>
        <v>45169</v>
      </c>
      <c r="N52" s="8">
        <f t="shared" si="42"/>
        <v>45199</v>
      </c>
      <c r="O52" s="8">
        <f t="shared" si="42"/>
        <v>45230</v>
      </c>
      <c r="P52" s="8">
        <f t="shared" si="42"/>
        <v>45260</v>
      </c>
      <c r="Q52" s="8">
        <f t="shared" si="42"/>
        <v>45291</v>
      </c>
      <c r="R52" s="8">
        <f t="shared" si="42"/>
        <v>45322</v>
      </c>
      <c r="S52" s="8">
        <f t="shared" si="42"/>
        <v>45351</v>
      </c>
      <c r="T52" s="8">
        <f t="shared" si="42"/>
        <v>45382</v>
      </c>
      <c r="U52" s="8">
        <f t="shared" si="42"/>
        <v>45412</v>
      </c>
      <c r="V52" s="8">
        <f t="shared" si="42"/>
        <v>45443</v>
      </c>
      <c r="W52" s="8">
        <f t="shared" si="42"/>
        <v>45473</v>
      </c>
      <c r="X52" s="8">
        <f t="shared" si="42"/>
        <v>45504</v>
      </c>
      <c r="Y52" s="8">
        <f t="shared" si="42"/>
        <v>45535</v>
      </c>
      <c r="Z52" s="8">
        <f t="shared" si="42"/>
        <v>45565</v>
      </c>
      <c r="AA52" s="8">
        <f t="shared" si="42"/>
        <v>45596</v>
      </c>
      <c r="AB52" s="8">
        <f t="shared" si="42"/>
        <v>45626</v>
      </c>
      <c r="AC52" s="8">
        <f t="shared" si="42"/>
        <v>45657</v>
      </c>
      <c r="AD52" s="8">
        <f t="shared" si="42"/>
        <v>45688</v>
      </c>
      <c r="AE52" s="8">
        <f t="shared" si="42"/>
        <v>45716</v>
      </c>
      <c r="AF52" s="8">
        <f t="shared" si="42"/>
        <v>45747</v>
      </c>
      <c r="AG52" s="8">
        <f t="shared" si="42"/>
        <v>45777</v>
      </c>
      <c r="AH52" s="8">
        <f t="shared" si="42"/>
        <v>45808</v>
      </c>
      <c r="AI52" s="8">
        <f t="shared" si="42"/>
        <v>45838</v>
      </c>
      <c r="AJ52" s="8">
        <f t="shared" si="42"/>
        <v>45869</v>
      </c>
      <c r="AK52" s="8">
        <f t="shared" ref="AK52:BQ52" si="43">AK$19</f>
        <v>45900</v>
      </c>
      <c r="AL52" s="8">
        <f t="shared" si="43"/>
        <v>45930</v>
      </c>
      <c r="AM52" s="8">
        <f t="shared" si="43"/>
        <v>45961</v>
      </c>
      <c r="AN52" s="8">
        <f t="shared" si="43"/>
        <v>45991</v>
      </c>
      <c r="AO52" s="8">
        <f t="shared" si="43"/>
        <v>46022</v>
      </c>
      <c r="AP52" s="8">
        <f t="shared" si="43"/>
        <v>46053</v>
      </c>
      <c r="AQ52" s="8">
        <f t="shared" si="43"/>
        <v>46081</v>
      </c>
      <c r="AR52" s="8">
        <f t="shared" si="43"/>
        <v>46112</v>
      </c>
      <c r="AS52" s="8">
        <f t="shared" si="43"/>
        <v>46142</v>
      </c>
      <c r="AT52" s="8">
        <f t="shared" si="43"/>
        <v>46173</v>
      </c>
      <c r="AU52" s="8">
        <f t="shared" si="43"/>
        <v>46203</v>
      </c>
      <c r="AV52" s="8">
        <f t="shared" si="43"/>
        <v>46234</v>
      </c>
      <c r="AW52" s="8">
        <f t="shared" si="43"/>
        <v>46265</v>
      </c>
      <c r="AX52" s="8">
        <f t="shared" si="43"/>
        <v>46295</v>
      </c>
      <c r="AY52" s="8">
        <f t="shared" si="43"/>
        <v>46326</v>
      </c>
      <c r="AZ52" s="8">
        <f t="shared" si="43"/>
        <v>46356</v>
      </c>
      <c r="BA52" s="8">
        <f t="shared" si="43"/>
        <v>46387</v>
      </c>
      <c r="BB52" s="8">
        <f t="shared" si="43"/>
        <v>46418</v>
      </c>
      <c r="BC52" s="8">
        <f t="shared" si="43"/>
        <v>46446</v>
      </c>
      <c r="BD52" s="8">
        <f t="shared" si="43"/>
        <v>46477</v>
      </c>
      <c r="BE52" s="8">
        <f t="shared" si="43"/>
        <v>46507</v>
      </c>
      <c r="BF52" s="8">
        <f t="shared" si="43"/>
        <v>46538</v>
      </c>
      <c r="BG52" s="8">
        <f t="shared" si="43"/>
        <v>46568</v>
      </c>
      <c r="BH52" s="8">
        <f t="shared" si="43"/>
        <v>46599</v>
      </c>
      <c r="BI52" s="8">
        <f t="shared" si="43"/>
        <v>46630</v>
      </c>
      <c r="BJ52" s="8">
        <f t="shared" si="43"/>
        <v>46660</v>
      </c>
      <c r="BK52" s="8">
        <f t="shared" si="43"/>
        <v>46691</v>
      </c>
      <c r="BL52" s="8">
        <f t="shared" si="43"/>
        <v>46721</v>
      </c>
      <c r="BM52" s="8">
        <f t="shared" si="43"/>
        <v>46752</v>
      </c>
      <c r="BN52" s="8">
        <f t="shared" si="43"/>
        <v>46783</v>
      </c>
      <c r="BO52" s="8">
        <f t="shared" si="43"/>
        <v>46812</v>
      </c>
      <c r="BP52" s="8">
        <f t="shared" si="43"/>
        <v>46843</v>
      </c>
      <c r="BQ52" s="8">
        <f t="shared" si="43"/>
        <v>46873</v>
      </c>
    </row>
    <row r="53" spans="1:69">
      <c r="E53" s="5" t="str">
        <f t="shared" ref="E53:AJ53" si="44">E$28</f>
        <v>Period number</v>
      </c>
      <c r="F53" s="5">
        <f t="shared" si="44"/>
        <v>0</v>
      </c>
      <c r="G53" s="5" t="str">
        <f t="shared" si="44"/>
        <v>Counter</v>
      </c>
      <c r="H53" s="5">
        <f t="shared" si="44"/>
        <v>0</v>
      </c>
      <c r="I53" s="5">
        <f t="shared" si="44"/>
        <v>0</v>
      </c>
      <c r="J53" s="5">
        <f t="shared" si="44"/>
        <v>1</v>
      </c>
      <c r="K53" s="5">
        <f t="shared" si="44"/>
        <v>2</v>
      </c>
      <c r="L53" s="5">
        <f t="shared" si="44"/>
        <v>3</v>
      </c>
      <c r="M53" s="5">
        <f t="shared" si="44"/>
        <v>4</v>
      </c>
      <c r="N53" s="5">
        <f t="shared" si="44"/>
        <v>5</v>
      </c>
      <c r="O53" s="5">
        <f t="shared" si="44"/>
        <v>6</v>
      </c>
      <c r="P53" s="5">
        <f t="shared" si="44"/>
        <v>7</v>
      </c>
      <c r="Q53" s="5">
        <f t="shared" si="44"/>
        <v>8</v>
      </c>
      <c r="R53" s="5">
        <f t="shared" si="44"/>
        <v>9</v>
      </c>
      <c r="S53" s="5">
        <f t="shared" si="44"/>
        <v>10</v>
      </c>
      <c r="T53" s="5">
        <f t="shared" si="44"/>
        <v>11</v>
      </c>
      <c r="U53" s="5">
        <f t="shared" si="44"/>
        <v>12</v>
      </c>
      <c r="V53" s="5">
        <f t="shared" si="44"/>
        <v>13</v>
      </c>
      <c r="W53" s="5">
        <f t="shared" si="44"/>
        <v>14</v>
      </c>
      <c r="X53" s="5">
        <f t="shared" si="44"/>
        <v>15</v>
      </c>
      <c r="Y53" s="5">
        <f t="shared" si="44"/>
        <v>16</v>
      </c>
      <c r="Z53" s="5">
        <f t="shared" si="44"/>
        <v>17</v>
      </c>
      <c r="AA53" s="5">
        <f t="shared" si="44"/>
        <v>18</v>
      </c>
      <c r="AB53" s="5">
        <f t="shared" si="44"/>
        <v>19</v>
      </c>
      <c r="AC53" s="5">
        <f t="shared" si="44"/>
        <v>20</v>
      </c>
      <c r="AD53" s="5">
        <f t="shared" si="44"/>
        <v>21</v>
      </c>
      <c r="AE53" s="5">
        <f t="shared" si="44"/>
        <v>22</v>
      </c>
      <c r="AF53" s="5">
        <f t="shared" si="44"/>
        <v>23</v>
      </c>
      <c r="AG53" s="5">
        <f t="shared" si="44"/>
        <v>24</v>
      </c>
      <c r="AH53" s="5">
        <f t="shared" si="44"/>
        <v>25</v>
      </c>
      <c r="AI53" s="5">
        <f t="shared" si="44"/>
        <v>26</v>
      </c>
      <c r="AJ53" s="5">
        <f t="shared" si="44"/>
        <v>27</v>
      </c>
      <c r="AK53" s="5">
        <f t="shared" ref="AK53:BQ53" si="45">AK$28</f>
        <v>28</v>
      </c>
      <c r="AL53" s="5">
        <f t="shared" si="45"/>
        <v>29</v>
      </c>
      <c r="AM53" s="5">
        <f t="shared" si="45"/>
        <v>30</v>
      </c>
      <c r="AN53" s="5">
        <f t="shared" si="45"/>
        <v>31</v>
      </c>
      <c r="AO53" s="5">
        <f t="shared" si="45"/>
        <v>32</v>
      </c>
      <c r="AP53" s="5">
        <f t="shared" si="45"/>
        <v>33</v>
      </c>
      <c r="AQ53" s="5">
        <f t="shared" si="45"/>
        <v>34</v>
      </c>
      <c r="AR53" s="5">
        <f t="shared" si="45"/>
        <v>35</v>
      </c>
      <c r="AS53" s="5">
        <f t="shared" si="45"/>
        <v>36</v>
      </c>
      <c r="AT53" s="5">
        <f t="shared" si="45"/>
        <v>37</v>
      </c>
      <c r="AU53" s="5">
        <f t="shared" si="45"/>
        <v>38</v>
      </c>
      <c r="AV53" s="5">
        <f t="shared" si="45"/>
        <v>39</v>
      </c>
      <c r="AW53" s="5">
        <f t="shared" si="45"/>
        <v>40</v>
      </c>
      <c r="AX53" s="5">
        <f t="shared" si="45"/>
        <v>41</v>
      </c>
      <c r="AY53" s="5">
        <f t="shared" si="45"/>
        <v>42</v>
      </c>
      <c r="AZ53" s="5">
        <f t="shared" si="45"/>
        <v>43</v>
      </c>
      <c r="BA53" s="5">
        <f t="shared" si="45"/>
        <v>44</v>
      </c>
      <c r="BB53" s="5">
        <f t="shared" si="45"/>
        <v>45</v>
      </c>
      <c r="BC53" s="5">
        <f t="shared" si="45"/>
        <v>46</v>
      </c>
      <c r="BD53" s="5">
        <f t="shared" si="45"/>
        <v>47</v>
      </c>
      <c r="BE53" s="5">
        <f t="shared" si="45"/>
        <v>48</v>
      </c>
      <c r="BF53" s="5">
        <f t="shared" si="45"/>
        <v>49</v>
      </c>
      <c r="BG53" s="5">
        <f t="shared" si="45"/>
        <v>50</v>
      </c>
      <c r="BH53" s="5">
        <f t="shared" si="45"/>
        <v>51</v>
      </c>
      <c r="BI53" s="5">
        <f t="shared" si="45"/>
        <v>52</v>
      </c>
      <c r="BJ53" s="5">
        <f t="shared" si="45"/>
        <v>53</v>
      </c>
      <c r="BK53" s="5">
        <f t="shared" si="45"/>
        <v>54</v>
      </c>
      <c r="BL53" s="5">
        <f t="shared" si="45"/>
        <v>55</v>
      </c>
      <c r="BM53" s="5">
        <f t="shared" si="45"/>
        <v>56</v>
      </c>
      <c r="BN53" s="5">
        <f t="shared" si="45"/>
        <v>57</v>
      </c>
      <c r="BO53" s="5">
        <f t="shared" si="45"/>
        <v>58</v>
      </c>
      <c r="BP53" s="5">
        <f t="shared" si="45"/>
        <v>59</v>
      </c>
      <c r="BQ53" s="5">
        <f t="shared" si="45"/>
        <v>60</v>
      </c>
    </row>
    <row r="54" spans="1:69">
      <c r="E54" s="5" t="str">
        <f t="shared" ref="E54:AJ54" si="46">E$315</f>
        <v>Month to Year (financial year) : period end flag</v>
      </c>
      <c r="F54" s="5">
        <f t="shared" si="46"/>
        <v>0</v>
      </c>
      <c r="G54" s="5" t="str">
        <f t="shared" si="46"/>
        <v>counter</v>
      </c>
      <c r="H54" s="5">
        <f t="shared" si="46"/>
        <v>0</v>
      </c>
      <c r="I54" s="5">
        <f t="shared" si="46"/>
        <v>0</v>
      </c>
      <c r="J54" s="5">
        <f t="shared" si="46"/>
        <v>0</v>
      </c>
      <c r="K54" s="5">
        <f t="shared" si="46"/>
        <v>0</v>
      </c>
      <c r="L54" s="5">
        <f t="shared" si="46"/>
        <v>0</v>
      </c>
      <c r="M54" s="5">
        <f t="shared" si="46"/>
        <v>0</v>
      </c>
      <c r="N54" s="5">
        <f t="shared" si="46"/>
        <v>0</v>
      </c>
      <c r="O54" s="5">
        <f t="shared" si="46"/>
        <v>0</v>
      </c>
      <c r="P54" s="5">
        <f t="shared" si="46"/>
        <v>0</v>
      </c>
      <c r="Q54" s="5">
        <f t="shared" si="46"/>
        <v>0</v>
      </c>
      <c r="R54" s="5">
        <f t="shared" si="46"/>
        <v>0</v>
      </c>
      <c r="S54" s="5">
        <f t="shared" si="46"/>
        <v>0</v>
      </c>
      <c r="T54" s="5">
        <f t="shared" si="46"/>
        <v>0</v>
      </c>
      <c r="U54" s="5">
        <f t="shared" si="46"/>
        <v>1</v>
      </c>
      <c r="V54" s="5">
        <f t="shared" si="46"/>
        <v>0</v>
      </c>
      <c r="W54" s="5">
        <f t="shared" si="46"/>
        <v>0</v>
      </c>
      <c r="X54" s="5">
        <f t="shared" si="46"/>
        <v>0</v>
      </c>
      <c r="Y54" s="5">
        <f t="shared" si="46"/>
        <v>0</v>
      </c>
      <c r="Z54" s="5">
        <f t="shared" si="46"/>
        <v>0</v>
      </c>
      <c r="AA54" s="5">
        <f t="shared" si="46"/>
        <v>0</v>
      </c>
      <c r="AB54" s="5">
        <f t="shared" si="46"/>
        <v>0</v>
      </c>
      <c r="AC54" s="5">
        <f t="shared" si="46"/>
        <v>0</v>
      </c>
      <c r="AD54" s="5">
        <f t="shared" si="46"/>
        <v>0</v>
      </c>
      <c r="AE54" s="5">
        <f t="shared" si="46"/>
        <v>0</v>
      </c>
      <c r="AF54" s="5">
        <f t="shared" si="46"/>
        <v>0</v>
      </c>
      <c r="AG54" s="5">
        <f t="shared" si="46"/>
        <v>2</v>
      </c>
      <c r="AH54" s="5">
        <f t="shared" si="46"/>
        <v>0</v>
      </c>
      <c r="AI54" s="5">
        <f t="shared" si="46"/>
        <v>0</v>
      </c>
      <c r="AJ54" s="5">
        <f t="shared" si="46"/>
        <v>0</v>
      </c>
      <c r="AK54" s="5">
        <f t="shared" ref="AK54:BQ54" si="47">AK$315</f>
        <v>0</v>
      </c>
      <c r="AL54" s="5">
        <f t="shared" si="47"/>
        <v>0</v>
      </c>
      <c r="AM54" s="5">
        <f t="shared" si="47"/>
        <v>0</v>
      </c>
      <c r="AN54" s="5">
        <f t="shared" si="47"/>
        <v>0</v>
      </c>
      <c r="AO54" s="5">
        <f t="shared" si="47"/>
        <v>0</v>
      </c>
      <c r="AP54" s="5">
        <f t="shared" si="47"/>
        <v>0</v>
      </c>
      <c r="AQ54" s="5">
        <f t="shared" si="47"/>
        <v>0</v>
      </c>
      <c r="AR54" s="5">
        <f t="shared" si="47"/>
        <v>0</v>
      </c>
      <c r="AS54" s="5">
        <f t="shared" si="47"/>
        <v>3</v>
      </c>
      <c r="AT54" s="5">
        <f t="shared" si="47"/>
        <v>0</v>
      </c>
      <c r="AU54" s="5">
        <f t="shared" si="47"/>
        <v>0</v>
      </c>
      <c r="AV54" s="5">
        <f t="shared" si="47"/>
        <v>0</v>
      </c>
      <c r="AW54" s="5">
        <f t="shared" si="47"/>
        <v>0</v>
      </c>
      <c r="AX54" s="5">
        <f t="shared" si="47"/>
        <v>0</v>
      </c>
      <c r="AY54" s="5">
        <f t="shared" si="47"/>
        <v>0</v>
      </c>
      <c r="AZ54" s="5">
        <f t="shared" si="47"/>
        <v>0</v>
      </c>
      <c r="BA54" s="5">
        <f t="shared" si="47"/>
        <v>0</v>
      </c>
      <c r="BB54" s="5">
        <f t="shared" si="47"/>
        <v>0</v>
      </c>
      <c r="BC54" s="5">
        <f t="shared" si="47"/>
        <v>0</v>
      </c>
      <c r="BD54" s="5">
        <f t="shared" si="47"/>
        <v>0</v>
      </c>
      <c r="BE54" s="5">
        <f t="shared" si="47"/>
        <v>4</v>
      </c>
      <c r="BF54" s="5">
        <f t="shared" si="47"/>
        <v>0</v>
      </c>
      <c r="BG54" s="5">
        <f t="shared" si="47"/>
        <v>0</v>
      </c>
      <c r="BH54" s="5">
        <f t="shared" si="47"/>
        <v>0</v>
      </c>
      <c r="BI54" s="5">
        <f t="shared" si="47"/>
        <v>0</v>
      </c>
      <c r="BJ54" s="5">
        <f t="shared" si="47"/>
        <v>0</v>
      </c>
      <c r="BK54" s="5">
        <f t="shared" si="47"/>
        <v>0</v>
      </c>
      <c r="BL54" s="5">
        <f t="shared" si="47"/>
        <v>0</v>
      </c>
      <c r="BM54" s="5">
        <f t="shared" si="47"/>
        <v>0</v>
      </c>
      <c r="BN54" s="5">
        <f t="shared" si="47"/>
        <v>0</v>
      </c>
      <c r="BO54" s="5">
        <f t="shared" si="47"/>
        <v>0</v>
      </c>
      <c r="BP54" s="5">
        <f t="shared" si="47"/>
        <v>0</v>
      </c>
      <c r="BQ54" s="5">
        <f t="shared" si="47"/>
        <v>5</v>
      </c>
    </row>
    <row r="55" spans="1:69">
      <c r="A55" s="31"/>
      <c r="B55" s="31"/>
      <c r="C55" s="51"/>
      <c r="D55" s="50"/>
      <c r="E55" s="3" t="s">
        <v>127</v>
      </c>
      <c r="F55" s="3"/>
      <c r="G55" s="3" t="s">
        <v>210</v>
      </c>
      <c r="H55" s="3"/>
      <c r="I55" s="3"/>
      <c r="J55" s="13">
        <f t="shared" ref="J55:AO55" si="48">INDEX($J52:$BQ52,MATCH(J53,$J54:$BQ54,0))</f>
        <v>45412</v>
      </c>
      <c r="K55" s="13">
        <f t="shared" si="48"/>
        <v>45777</v>
      </c>
      <c r="L55" s="13">
        <f t="shared" si="48"/>
        <v>46142</v>
      </c>
      <c r="M55" s="13">
        <f t="shared" si="48"/>
        <v>46507</v>
      </c>
      <c r="N55" s="13">
        <f t="shared" si="48"/>
        <v>46873</v>
      </c>
      <c r="O55" s="13" t="e">
        <f t="shared" si="48"/>
        <v>#N/A</v>
      </c>
      <c r="P55" s="13" t="e">
        <f t="shared" si="48"/>
        <v>#N/A</v>
      </c>
      <c r="Q55" s="13" t="e">
        <f t="shared" si="48"/>
        <v>#N/A</v>
      </c>
      <c r="R55" s="13" t="e">
        <f t="shared" si="48"/>
        <v>#N/A</v>
      </c>
      <c r="S55" s="13" t="e">
        <f t="shared" si="48"/>
        <v>#N/A</v>
      </c>
      <c r="T55" s="13" t="e">
        <f t="shared" si="48"/>
        <v>#N/A</v>
      </c>
      <c r="U55" s="13" t="e">
        <f t="shared" si="48"/>
        <v>#N/A</v>
      </c>
      <c r="V55" s="13" t="e">
        <f t="shared" si="48"/>
        <v>#N/A</v>
      </c>
      <c r="W55" s="13" t="e">
        <f t="shared" si="48"/>
        <v>#N/A</v>
      </c>
      <c r="X55" s="13" t="e">
        <f t="shared" si="48"/>
        <v>#N/A</v>
      </c>
      <c r="Y55" s="13" t="e">
        <f t="shared" si="48"/>
        <v>#N/A</v>
      </c>
      <c r="Z55" s="13" t="e">
        <f t="shared" si="48"/>
        <v>#N/A</v>
      </c>
      <c r="AA55" s="13" t="e">
        <f t="shared" si="48"/>
        <v>#N/A</v>
      </c>
      <c r="AB55" s="13" t="e">
        <f t="shared" si="48"/>
        <v>#N/A</v>
      </c>
      <c r="AC55" s="13" t="e">
        <f t="shared" si="48"/>
        <v>#N/A</v>
      </c>
      <c r="AD55" s="13" t="e">
        <f t="shared" si="48"/>
        <v>#N/A</v>
      </c>
      <c r="AE55" s="13" t="e">
        <f t="shared" si="48"/>
        <v>#N/A</v>
      </c>
      <c r="AF55" s="13" t="e">
        <f t="shared" si="48"/>
        <v>#N/A</v>
      </c>
      <c r="AG55" s="13" t="e">
        <f t="shared" si="48"/>
        <v>#N/A</v>
      </c>
      <c r="AH55" s="13" t="e">
        <f t="shared" si="48"/>
        <v>#N/A</v>
      </c>
      <c r="AI55" s="13" t="e">
        <f t="shared" si="48"/>
        <v>#N/A</v>
      </c>
      <c r="AJ55" s="13" t="e">
        <f t="shared" si="48"/>
        <v>#N/A</v>
      </c>
      <c r="AK55" s="13" t="e">
        <f t="shared" si="48"/>
        <v>#N/A</v>
      </c>
      <c r="AL55" s="13" t="e">
        <f t="shared" si="48"/>
        <v>#N/A</v>
      </c>
      <c r="AM55" s="13" t="e">
        <f t="shared" si="48"/>
        <v>#N/A</v>
      </c>
      <c r="AN55" s="13" t="e">
        <f t="shared" si="48"/>
        <v>#N/A</v>
      </c>
      <c r="AO55" s="13" t="e">
        <f t="shared" si="48"/>
        <v>#N/A</v>
      </c>
      <c r="AP55" s="13" t="e">
        <f t="shared" ref="AP55:BU55" si="49">INDEX($J52:$BQ52,MATCH(AP53,$J54:$BQ54,0))</f>
        <v>#N/A</v>
      </c>
      <c r="AQ55" s="13" t="e">
        <f t="shared" si="49"/>
        <v>#N/A</v>
      </c>
      <c r="AR55" s="13" t="e">
        <f t="shared" si="49"/>
        <v>#N/A</v>
      </c>
      <c r="AS55" s="13" t="e">
        <f t="shared" si="49"/>
        <v>#N/A</v>
      </c>
      <c r="AT55" s="13" t="e">
        <f t="shared" si="49"/>
        <v>#N/A</v>
      </c>
      <c r="AU55" s="13" t="e">
        <f t="shared" si="49"/>
        <v>#N/A</v>
      </c>
      <c r="AV55" s="13" t="e">
        <f t="shared" si="49"/>
        <v>#N/A</v>
      </c>
      <c r="AW55" s="13" t="e">
        <f t="shared" si="49"/>
        <v>#N/A</v>
      </c>
      <c r="AX55" s="13" t="e">
        <f t="shared" si="49"/>
        <v>#N/A</v>
      </c>
      <c r="AY55" s="13" t="e">
        <f t="shared" si="49"/>
        <v>#N/A</v>
      </c>
      <c r="AZ55" s="13" t="e">
        <f t="shared" si="49"/>
        <v>#N/A</v>
      </c>
      <c r="BA55" s="13" t="e">
        <f t="shared" si="49"/>
        <v>#N/A</v>
      </c>
      <c r="BB55" s="13" t="e">
        <f t="shared" si="49"/>
        <v>#N/A</v>
      </c>
      <c r="BC55" s="13" t="e">
        <f t="shared" si="49"/>
        <v>#N/A</v>
      </c>
      <c r="BD55" s="13" t="e">
        <f t="shared" si="49"/>
        <v>#N/A</v>
      </c>
      <c r="BE55" s="13" t="e">
        <f t="shared" si="49"/>
        <v>#N/A</v>
      </c>
      <c r="BF55" s="13" t="e">
        <f t="shared" si="49"/>
        <v>#N/A</v>
      </c>
      <c r="BG55" s="13" t="e">
        <f t="shared" si="49"/>
        <v>#N/A</v>
      </c>
      <c r="BH55" s="13" t="e">
        <f t="shared" si="49"/>
        <v>#N/A</v>
      </c>
      <c r="BI55" s="13" t="e">
        <f t="shared" si="49"/>
        <v>#N/A</v>
      </c>
      <c r="BJ55" s="13" t="e">
        <f t="shared" si="49"/>
        <v>#N/A</v>
      </c>
      <c r="BK55" s="13" t="e">
        <f t="shared" si="49"/>
        <v>#N/A</v>
      </c>
      <c r="BL55" s="13" t="e">
        <f t="shared" si="49"/>
        <v>#N/A</v>
      </c>
      <c r="BM55" s="13" t="e">
        <f t="shared" si="49"/>
        <v>#N/A</v>
      </c>
      <c r="BN55" s="13" t="e">
        <f t="shared" si="49"/>
        <v>#N/A</v>
      </c>
      <c r="BO55" s="13" t="e">
        <f t="shared" si="49"/>
        <v>#N/A</v>
      </c>
      <c r="BP55" s="13" t="e">
        <f t="shared" si="49"/>
        <v>#N/A</v>
      </c>
      <c r="BQ55" s="13" t="e">
        <f t="shared" si="49"/>
        <v>#N/A</v>
      </c>
    </row>
    <row r="58" spans="1:69">
      <c r="B58" s="22" t="s">
        <v>189</v>
      </c>
    </row>
    <row r="59" spans="1:69">
      <c r="E59" s="2" t="str">
        <f t="shared" ref="E59:AJ59" si="50">E$24</f>
        <v>Timeline label</v>
      </c>
      <c r="F59" s="2">
        <f t="shared" si="50"/>
        <v>0</v>
      </c>
      <c r="G59" s="2" t="str">
        <f t="shared" si="50"/>
        <v>GBP</v>
      </c>
      <c r="H59" s="2">
        <f t="shared" si="50"/>
        <v>0</v>
      </c>
      <c r="I59" s="2">
        <f t="shared" si="50"/>
        <v>0</v>
      </c>
      <c r="J59" s="2" t="str">
        <f t="shared" si="50"/>
        <v>Month1</v>
      </c>
      <c r="K59" s="2" t="str">
        <f t="shared" si="50"/>
        <v>Month2</v>
      </c>
      <c r="L59" s="2" t="str">
        <f t="shared" si="50"/>
        <v>Month3</v>
      </c>
      <c r="M59" s="2" t="str">
        <f t="shared" si="50"/>
        <v>Month4</v>
      </c>
      <c r="N59" s="2" t="str">
        <f t="shared" si="50"/>
        <v>Month5</v>
      </c>
      <c r="O59" s="2" t="str">
        <f t="shared" si="50"/>
        <v>Month6</v>
      </c>
      <c r="P59" s="2" t="str">
        <f t="shared" si="50"/>
        <v>Month7</v>
      </c>
      <c r="Q59" s="2" t="str">
        <f t="shared" si="50"/>
        <v>Month8</v>
      </c>
      <c r="R59" s="2" t="str">
        <f t="shared" si="50"/>
        <v>Month9</v>
      </c>
      <c r="S59" s="2" t="str">
        <f t="shared" si="50"/>
        <v>Month10</v>
      </c>
      <c r="T59" s="2" t="str">
        <f t="shared" si="50"/>
        <v>Month11</v>
      </c>
      <c r="U59" s="2" t="str">
        <f t="shared" si="50"/>
        <v>Month12</v>
      </c>
      <c r="V59" s="2" t="str">
        <f t="shared" si="50"/>
        <v>Month13</v>
      </c>
      <c r="W59" s="2" t="str">
        <f t="shared" si="50"/>
        <v>Month14</v>
      </c>
      <c r="X59" s="2" t="str">
        <f t="shared" si="50"/>
        <v>Month15</v>
      </c>
      <c r="Y59" s="2" t="str">
        <f t="shared" si="50"/>
        <v>Month16</v>
      </c>
      <c r="Z59" s="2" t="str">
        <f t="shared" si="50"/>
        <v>Month17</v>
      </c>
      <c r="AA59" s="2" t="str">
        <f t="shared" si="50"/>
        <v>Month18</v>
      </c>
      <c r="AB59" s="2" t="str">
        <f t="shared" si="50"/>
        <v>Month19</v>
      </c>
      <c r="AC59" s="2" t="str">
        <f t="shared" si="50"/>
        <v>Month20</v>
      </c>
      <c r="AD59" s="2" t="str">
        <f t="shared" si="50"/>
        <v>Month21</v>
      </c>
      <c r="AE59" s="2" t="str">
        <f t="shared" si="50"/>
        <v>Month22</v>
      </c>
      <c r="AF59" s="2" t="str">
        <f t="shared" si="50"/>
        <v>Month23</v>
      </c>
      <c r="AG59" s="2" t="str">
        <f t="shared" si="50"/>
        <v>Month24</v>
      </c>
      <c r="AH59" s="2" t="str">
        <f t="shared" si="50"/>
        <v>Month25</v>
      </c>
      <c r="AI59" s="2" t="str">
        <f t="shared" si="50"/>
        <v>Month26</v>
      </c>
      <c r="AJ59" s="2" t="str">
        <f t="shared" si="50"/>
        <v>Month27</v>
      </c>
      <c r="AK59" s="2" t="str">
        <f t="shared" ref="AK59:BQ59" si="51">AK$24</f>
        <v>Month28</v>
      </c>
      <c r="AL59" s="2" t="str">
        <f t="shared" si="51"/>
        <v>Month29</v>
      </c>
      <c r="AM59" s="2" t="str">
        <f t="shared" si="51"/>
        <v>Month30</v>
      </c>
      <c r="AN59" s="2" t="str">
        <f t="shared" si="51"/>
        <v>Month31</v>
      </c>
      <c r="AO59" s="2" t="str">
        <f t="shared" si="51"/>
        <v>Month32</v>
      </c>
      <c r="AP59" s="2" t="str">
        <f t="shared" si="51"/>
        <v>Month33</v>
      </c>
      <c r="AQ59" s="2" t="str">
        <f t="shared" si="51"/>
        <v>Month34</v>
      </c>
      <c r="AR59" s="2" t="str">
        <f t="shared" si="51"/>
        <v>Month35</v>
      </c>
      <c r="AS59" s="2" t="str">
        <f t="shared" si="51"/>
        <v>Month36</v>
      </c>
      <c r="AT59" s="2" t="str">
        <f t="shared" si="51"/>
        <v>Month37</v>
      </c>
      <c r="AU59" s="2" t="str">
        <f t="shared" si="51"/>
        <v>Month38</v>
      </c>
      <c r="AV59" s="2" t="str">
        <f t="shared" si="51"/>
        <v>Month39</v>
      </c>
      <c r="AW59" s="2" t="str">
        <f t="shared" si="51"/>
        <v>Month40</v>
      </c>
      <c r="AX59" s="2" t="str">
        <f t="shared" si="51"/>
        <v>Month41</v>
      </c>
      <c r="AY59" s="2" t="str">
        <f t="shared" si="51"/>
        <v>Month42</v>
      </c>
      <c r="AZ59" s="2" t="str">
        <f t="shared" si="51"/>
        <v>Month43</v>
      </c>
      <c r="BA59" s="2" t="str">
        <f t="shared" si="51"/>
        <v>Month44</v>
      </c>
      <c r="BB59" s="2" t="str">
        <f t="shared" si="51"/>
        <v>Month45</v>
      </c>
      <c r="BC59" s="2" t="str">
        <f t="shared" si="51"/>
        <v>Month46</v>
      </c>
      <c r="BD59" s="2" t="str">
        <f t="shared" si="51"/>
        <v>Month47</v>
      </c>
      <c r="BE59" s="2" t="str">
        <f t="shared" si="51"/>
        <v>Month48</v>
      </c>
      <c r="BF59" s="2" t="str">
        <f t="shared" si="51"/>
        <v>Month49</v>
      </c>
      <c r="BG59" s="2" t="str">
        <f t="shared" si="51"/>
        <v>Month50</v>
      </c>
      <c r="BH59" s="2" t="str">
        <f t="shared" si="51"/>
        <v>Month51</v>
      </c>
      <c r="BI59" s="2" t="str">
        <f t="shared" si="51"/>
        <v>Month52</v>
      </c>
      <c r="BJ59" s="2" t="str">
        <f t="shared" si="51"/>
        <v>Month53</v>
      </c>
      <c r="BK59" s="2" t="str">
        <f t="shared" si="51"/>
        <v>Month54</v>
      </c>
      <c r="BL59" s="2" t="str">
        <f t="shared" si="51"/>
        <v>Month55</v>
      </c>
      <c r="BM59" s="2" t="str">
        <f t="shared" si="51"/>
        <v>Month56</v>
      </c>
      <c r="BN59" s="2" t="str">
        <f t="shared" si="51"/>
        <v>Month57</v>
      </c>
      <c r="BO59" s="2" t="str">
        <f t="shared" si="51"/>
        <v>Month58</v>
      </c>
      <c r="BP59" s="2" t="str">
        <f t="shared" si="51"/>
        <v>Month59</v>
      </c>
      <c r="BQ59" s="2" t="str">
        <f t="shared" si="51"/>
        <v>Month60</v>
      </c>
    </row>
    <row r="60" spans="1:69">
      <c r="E60" s="5" t="str">
        <f t="shared" ref="E60:AJ60" si="52">E$28</f>
        <v>Period number</v>
      </c>
      <c r="F60" s="5">
        <f t="shared" si="52"/>
        <v>0</v>
      </c>
      <c r="G60" s="5" t="str">
        <f t="shared" si="52"/>
        <v>Counter</v>
      </c>
      <c r="H60" s="5">
        <f t="shared" si="52"/>
        <v>0</v>
      </c>
      <c r="I60" s="5">
        <f t="shared" si="52"/>
        <v>0</v>
      </c>
      <c r="J60" s="5">
        <f t="shared" si="52"/>
        <v>1</v>
      </c>
      <c r="K60" s="5">
        <f t="shared" si="52"/>
        <v>2</v>
      </c>
      <c r="L60" s="5">
        <f t="shared" si="52"/>
        <v>3</v>
      </c>
      <c r="M60" s="5">
        <f t="shared" si="52"/>
        <v>4</v>
      </c>
      <c r="N60" s="5">
        <f t="shared" si="52"/>
        <v>5</v>
      </c>
      <c r="O60" s="5">
        <f t="shared" si="52"/>
        <v>6</v>
      </c>
      <c r="P60" s="5">
        <f t="shared" si="52"/>
        <v>7</v>
      </c>
      <c r="Q60" s="5">
        <f t="shared" si="52"/>
        <v>8</v>
      </c>
      <c r="R60" s="5">
        <f t="shared" si="52"/>
        <v>9</v>
      </c>
      <c r="S60" s="5">
        <f t="shared" si="52"/>
        <v>10</v>
      </c>
      <c r="T60" s="5">
        <f t="shared" si="52"/>
        <v>11</v>
      </c>
      <c r="U60" s="5">
        <f t="shared" si="52"/>
        <v>12</v>
      </c>
      <c r="V60" s="5">
        <f t="shared" si="52"/>
        <v>13</v>
      </c>
      <c r="W60" s="5">
        <f t="shared" si="52"/>
        <v>14</v>
      </c>
      <c r="X60" s="5">
        <f t="shared" si="52"/>
        <v>15</v>
      </c>
      <c r="Y60" s="5">
        <f t="shared" si="52"/>
        <v>16</v>
      </c>
      <c r="Z60" s="5">
        <f t="shared" si="52"/>
        <v>17</v>
      </c>
      <c r="AA60" s="5">
        <f t="shared" si="52"/>
        <v>18</v>
      </c>
      <c r="AB60" s="5">
        <f t="shared" si="52"/>
        <v>19</v>
      </c>
      <c r="AC60" s="5">
        <f t="shared" si="52"/>
        <v>20</v>
      </c>
      <c r="AD60" s="5">
        <f t="shared" si="52"/>
        <v>21</v>
      </c>
      <c r="AE60" s="5">
        <f t="shared" si="52"/>
        <v>22</v>
      </c>
      <c r="AF60" s="5">
        <f t="shared" si="52"/>
        <v>23</v>
      </c>
      <c r="AG60" s="5">
        <f t="shared" si="52"/>
        <v>24</v>
      </c>
      <c r="AH60" s="5">
        <f t="shared" si="52"/>
        <v>25</v>
      </c>
      <c r="AI60" s="5">
        <f t="shared" si="52"/>
        <v>26</v>
      </c>
      <c r="AJ60" s="5">
        <f t="shared" si="52"/>
        <v>27</v>
      </c>
      <c r="AK60" s="5">
        <f t="shared" ref="AK60:BQ60" si="53">AK$28</f>
        <v>28</v>
      </c>
      <c r="AL60" s="5">
        <f t="shared" si="53"/>
        <v>29</v>
      </c>
      <c r="AM60" s="5">
        <f t="shared" si="53"/>
        <v>30</v>
      </c>
      <c r="AN60" s="5">
        <f t="shared" si="53"/>
        <v>31</v>
      </c>
      <c r="AO60" s="5">
        <f t="shared" si="53"/>
        <v>32</v>
      </c>
      <c r="AP60" s="5">
        <f t="shared" si="53"/>
        <v>33</v>
      </c>
      <c r="AQ60" s="5">
        <f t="shared" si="53"/>
        <v>34</v>
      </c>
      <c r="AR60" s="5">
        <f t="shared" si="53"/>
        <v>35</v>
      </c>
      <c r="AS60" s="5">
        <f t="shared" si="53"/>
        <v>36</v>
      </c>
      <c r="AT60" s="5">
        <f t="shared" si="53"/>
        <v>37</v>
      </c>
      <c r="AU60" s="5">
        <f t="shared" si="53"/>
        <v>38</v>
      </c>
      <c r="AV60" s="5">
        <f t="shared" si="53"/>
        <v>39</v>
      </c>
      <c r="AW60" s="5">
        <f t="shared" si="53"/>
        <v>40</v>
      </c>
      <c r="AX60" s="5">
        <f t="shared" si="53"/>
        <v>41</v>
      </c>
      <c r="AY60" s="5">
        <f t="shared" si="53"/>
        <v>42</v>
      </c>
      <c r="AZ60" s="5">
        <f t="shared" si="53"/>
        <v>43</v>
      </c>
      <c r="BA60" s="5">
        <f t="shared" si="53"/>
        <v>44</v>
      </c>
      <c r="BB60" s="5">
        <f t="shared" si="53"/>
        <v>45</v>
      </c>
      <c r="BC60" s="5">
        <f t="shared" si="53"/>
        <v>46</v>
      </c>
      <c r="BD60" s="5">
        <f t="shared" si="53"/>
        <v>47</v>
      </c>
      <c r="BE60" s="5">
        <f t="shared" si="53"/>
        <v>48</v>
      </c>
      <c r="BF60" s="5">
        <f t="shared" si="53"/>
        <v>49</v>
      </c>
      <c r="BG60" s="5">
        <f t="shared" si="53"/>
        <v>50</v>
      </c>
      <c r="BH60" s="5">
        <f t="shared" si="53"/>
        <v>51</v>
      </c>
      <c r="BI60" s="5">
        <f t="shared" si="53"/>
        <v>52</v>
      </c>
      <c r="BJ60" s="5">
        <f t="shared" si="53"/>
        <v>53</v>
      </c>
      <c r="BK60" s="5">
        <f t="shared" si="53"/>
        <v>54</v>
      </c>
      <c r="BL60" s="5">
        <f t="shared" si="53"/>
        <v>55</v>
      </c>
      <c r="BM60" s="5">
        <f t="shared" si="53"/>
        <v>56</v>
      </c>
      <c r="BN60" s="5">
        <f t="shared" si="53"/>
        <v>57</v>
      </c>
      <c r="BO60" s="5">
        <f t="shared" si="53"/>
        <v>58</v>
      </c>
      <c r="BP60" s="5">
        <f t="shared" si="53"/>
        <v>59</v>
      </c>
      <c r="BQ60" s="5">
        <f t="shared" si="53"/>
        <v>60</v>
      </c>
    </row>
    <row r="61" spans="1:69">
      <c r="E61" s="5" t="str">
        <f t="shared" ref="E61:AJ61" si="54">E$315</f>
        <v>Month to Year (financial year) : period end flag</v>
      </c>
      <c r="F61" s="5">
        <f t="shared" si="54"/>
        <v>0</v>
      </c>
      <c r="G61" s="5" t="str">
        <f t="shared" si="54"/>
        <v>counter</v>
      </c>
      <c r="H61" s="5">
        <f t="shared" si="54"/>
        <v>0</v>
      </c>
      <c r="I61" s="5">
        <f t="shared" si="54"/>
        <v>0</v>
      </c>
      <c r="J61" s="5">
        <f t="shared" si="54"/>
        <v>0</v>
      </c>
      <c r="K61" s="5">
        <f t="shared" si="54"/>
        <v>0</v>
      </c>
      <c r="L61" s="5">
        <f t="shared" si="54"/>
        <v>0</v>
      </c>
      <c r="M61" s="5">
        <f t="shared" si="54"/>
        <v>0</v>
      </c>
      <c r="N61" s="5">
        <f t="shared" si="54"/>
        <v>0</v>
      </c>
      <c r="O61" s="5">
        <f t="shared" si="54"/>
        <v>0</v>
      </c>
      <c r="P61" s="5">
        <f t="shared" si="54"/>
        <v>0</v>
      </c>
      <c r="Q61" s="5">
        <f t="shared" si="54"/>
        <v>0</v>
      </c>
      <c r="R61" s="5">
        <f t="shared" si="54"/>
        <v>0</v>
      </c>
      <c r="S61" s="5">
        <f t="shared" si="54"/>
        <v>0</v>
      </c>
      <c r="T61" s="5">
        <f t="shared" si="54"/>
        <v>0</v>
      </c>
      <c r="U61" s="5">
        <f t="shared" si="54"/>
        <v>1</v>
      </c>
      <c r="V61" s="5">
        <f t="shared" si="54"/>
        <v>0</v>
      </c>
      <c r="W61" s="5">
        <f t="shared" si="54"/>
        <v>0</v>
      </c>
      <c r="X61" s="5">
        <f t="shared" si="54"/>
        <v>0</v>
      </c>
      <c r="Y61" s="5">
        <f t="shared" si="54"/>
        <v>0</v>
      </c>
      <c r="Z61" s="5">
        <f t="shared" si="54"/>
        <v>0</v>
      </c>
      <c r="AA61" s="5">
        <f t="shared" si="54"/>
        <v>0</v>
      </c>
      <c r="AB61" s="5">
        <f t="shared" si="54"/>
        <v>0</v>
      </c>
      <c r="AC61" s="5">
        <f t="shared" si="54"/>
        <v>0</v>
      </c>
      <c r="AD61" s="5">
        <f t="shared" si="54"/>
        <v>0</v>
      </c>
      <c r="AE61" s="5">
        <f t="shared" si="54"/>
        <v>0</v>
      </c>
      <c r="AF61" s="5">
        <f t="shared" si="54"/>
        <v>0</v>
      </c>
      <c r="AG61" s="5">
        <f t="shared" si="54"/>
        <v>2</v>
      </c>
      <c r="AH61" s="5">
        <f t="shared" si="54"/>
        <v>0</v>
      </c>
      <c r="AI61" s="5">
        <f t="shared" si="54"/>
        <v>0</v>
      </c>
      <c r="AJ61" s="5">
        <f t="shared" si="54"/>
        <v>0</v>
      </c>
      <c r="AK61" s="5">
        <f t="shared" ref="AK61:BQ61" si="55">AK$315</f>
        <v>0</v>
      </c>
      <c r="AL61" s="5">
        <f t="shared" si="55"/>
        <v>0</v>
      </c>
      <c r="AM61" s="5">
        <f t="shared" si="55"/>
        <v>0</v>
      </c>
      <c r="AN61" s="5">
        <f t="shared" si="55"/>
        <v>0</v>
      </c>
      <c r="AO61" s="5">
        <f t="shared" si="55"/>
        <v>0</v>
      </c>
      <c r="AP61" s="5">
        <f t="shared" si="55"/>
        <v>0</v>
      </c>
      <c r="AQ61" s="5">
        <f t="shared" si="55"/>
        <v>0</v>
      </c>
      <c r="AR61" s="5">
        <f t="shared" si="55"/>
        <v>0</v>
      </c>
      <c r="AS61" s="5">
        <f t="shared" si="55"/>
        <v>3</v>
      </c>
      <c r="AT61" s="5">
        <f t="shared" si="55"/>
        <v>0</v>
      </c>
      <c r="AU61" s="5">
        <f t="shared" si="55"/>
        <v>0</v>
      </c>
      <c r="AV61" s="5">
        <f t="shared" si="55"/>
        <v>0</v>
      </c>
      <c r="AW61" s="5">
        <f t="shared" si="55"/>
        <v>0</v>
      </c>
      <c r="AX61" s="5">
        <f t="shared" si="55"/>
        <v>0</v>
      </c>
      <c r="AY61" s="5">
        <f t="shared" si="55"/>
        <v>0</v>
      </c>
      <c r="AZ61" s="5">
        <f t="shared" si="55"/>
        <v>0</v>
      </c>
      <c r="BA61" s="5">
        <f t="shared" si="55"/>
        <v>0</v>
      </c>
      <c r="BB61" s="5">
        <f t="shared" si="55"/>
        <v>0</v>
      </c>
      <c r="BC61" s="5">
        <f t="shared" si="55"/>
        <v>0</v>
      </c>
      <c r="BD61" s="5">
        <f t="shared" si="55"/>
        <v>0</v>
      </c>
      <c r="BE61" s="5">
        <f t="shared" si="55"/>
        <v>4</v>
      </c>
      <c r="BF61" s="5">
        <f t="shared" si="55"/>
        <v>0</v>
      </c>
      <c r="BG61" s="5">
        <f t="shared" si="55"/>
        <v>0</v>
      </c>
      <c r="BH61" s="5">
        <f t="shared" si="55"/>
        <v>0</v>
      </c>
      <c r="BI61" s="5">
        <f t="shared" si="55"/>
        <v>0</v>
      </c>
      <c r="BJ61" s="5">
        <f t="shared" si="55"/>
        <v>0</v>
      </c>
      <c r="BK61" s="5">
        <f t="shared" si="55"/>
        <v>0</v>
      </c>
      <c r="BL61" s="5">
        <f t="shared" si="55"/>
        <v>0</v>
      </c>
      <c r="BM61" s="5">
        <f t="shared" si="55"/>
        <v>0</v>
      </c>
      <c r="BN61" s="5">
        <f t="shared" si="55"/>
        <v>0</v>
      </c>
      <c r="BO61" s="5">
        <f t="shared" si="55"/>
        <v>0</v>
      </c>
      <c r="BP61" s="5">
        <f t="shared" si="55"/>
        <v>0</v>
      </c>
      <c r="BQ61" s="5">
        <f t="shared" si="55"/>
        <v>5</v>
      </c>
    </row>
    <row r="62" spans="1:69">
      <c r="A62" s="31"/>
      <c r="B62" s="31"/>
      <c r="C62" s="51"/>
      <c r="D62" s="50"/>
      <c r="E62" s="3" t="s">
        <v>189</v>
      </c>
      <c r="F62" s="3"/>
      <c r="G62" s="3" t="s">
        <v>252</v>
      </c>
      <c r="H62" s="3" t="e">
        <f>SUM(J62:BQ62)</f>
        <v>#N/A</v>
      </c>
      <c r="I62" s="3"/>
      <c r="J62" s="3" t="str">
        <f t="shared" ref="J62:AO62" si="56">INDEX($J59:$BQ59,MATCH(J60,$J61:$BQ61,0))</f>
        <v>Month12</v>
      </c>
      <c r="K62" s="3" t="str">
        <f t="shared" si="56"/>
        <v>Month24</v>
      </c>
      <c r="L62" s="3" t="str">
        <f t="shared" si="56"/>
        <v>Month36</v>
      </c>
      <c r="M62" s="3" t="str">
        <f t="shared" si="56"/>
        <v>Month48</v>
      </c>
      <c r="N62" s="3" t="str">
        <f t="shared" si="56"/>
        <v>Month60</v>
      </c>
      <c r="O62" s="3" t="e">
        <f t="shared" si="56"/>
        <v>#N/A</v>
      </c>
      <c r="P62" s="3" t="e">
        <f t="shared" si="56"/>
        <v>#N/A</v>
      </c>
      <c r="Q62" s="3" t="e">
        <f t="shared" si="56"/>
        <v>#N/A</v>
      </c>
      <c r="R62" s="3" t="e">
        <f t="shared" si="56"/>
        <v>#N/A</v>
      </c>
      <c r="S62" s="3" t="e">
        <f t="shared" si="56"/>
        <v>#N/A</v>
      </c>
      <c r="T62" s="3" t="e">
        <f t="shared" si="56"/>
        <v>#N/A</v>
      </c>
      <c r="U62" s="3" t="e">
        <f t="shared" si="56"/>
        <v>#N/A</v>
      </c>
      <c r="V62" s="3" t="e">
        <f t="shared" si="56"/>
        <v>#N/A</v>
      </c>
      <c r="W62" s="3" t="e">
        <f t="shared" si="56"/>
        <v>#N/A</v>
      </c>
      <c r="X62" s="3" t="e">
        <f t="shared" si="56"/>
        <v>#N/A</v>
      </c>
      <c r="Y62" s="3" t="e">
        <f t="shared" si="56"/>
        <v>#N/A</v>
      </c>
      <c r="Z62" s="3" t="e">
        <f t="shared" si="56"/>
        <v>#N/A</v>
      </c>
      <c r="AA62" s="3" t="e">
        <f t="shared" si="56"/>
        <v>#N/A</v>
      </c>
      <c r="AB62" s="3" t="e">
        <f t="shared" si="56"/>
        <v>#N/A</v>
      </c>
      <c r="AC62" s="3" t="e">
        <f t="shared" si="56"/>
        <v>#N/A</v>
      </c>
      <c r="AD62" s="3" t="e">
        <f t="shared" si="56"/>
        <v>#N/A</v>
      </c>
      <c r="AE62" s="3" t="e">
        <f t="shared" si="56"/>
        <v>#N/A</v>
      </c>
      <c r="AF62" s="3" t="e">
        <f t="shared" si="56"/>
        <v>#N/A</v>
      </c>
      <c r="AG62" s="3" t="e">
        <f t="shared" si="56"/>
        <v>#N/A</v>
      </c>
      <c r="AH62" s="3" t="e">
        <f t="shared" si="56"/>
        <v>#N/A</v>
      </c>
      <c r="AI62" s="3" t="e">
        <f t="shared" si="56"/>
        <v>#N/A</v>
      </c>
      <c r="AJ62" s="3" t="e">
        <f t="shared" si="56"/>
        <v>#N/A</v>
      </c>
      <c r="AK62" s="3" t="e">
        <f t="shared" si="56"/>
        <v>#N/A</v>
      </c>
      <c r="AL62" s="3" t="e">
        <f t="shared" si="56"/>
        <v>#N/A</v>
      </c>
      <c r="AM62" s="3" t="e">
        <f t="shared" si="56"/>
        <v>#N/A</v>
      </c>
      <c r="AN62" s="3" t="e">
        <f t="shared" si="56"/>
        <v>#N/A</v>
      </c>
      <c r="AO62" s="3" t="e">
        <f t="shared" si="56"/>
        <v>#N/A</v>
      </c>
      <c r="AP62" s="3" t="e">
        <f t="shared" ref="AP62:BU62" si="57">INDEX($J59:$BQ59,MATCH(AP60,$J61:$BQ61,0))</f>
        <v>#N/A</v>
      </c>
      <c r="AQ62" s="3" t="e">
        <f t="shared" si="57"/>
        <v>#N/A</v>
      </c>
      <c r="AR62" s="3" t="e">
        <f t="shared" si="57"/>
        <v>#N/A</v>
      </c>
      <c r="AS62" s="3" t="e">
        <f t="shared" si="57"/>
        <v>#N/A</v>
      </c>
      <c r="AT62" s="3" t="e">
        <f t="shared" si="57"/>
        <v>#N/A</v>
      </c>
      <c r="AU62" s="3" t="e">
        <f t="shared" si="57"/>
        <v>#N/A</v>
      </c>
      <c r="AV62" s="3" t="e">
        <f t="shared" si="57"/>
        <v>#N/A</v>
      </c>
      <c r="AW62" s="3" t="e">
        <f t="shared" si="57"/>
        <v>#N/A</v>
      </c>
      <c r="AX62" s="3" t="e">
        <f t="shared" si="57"/>
        <v>#N/A</v>
      </c>
      <c r="AY62" s="3" t="e">
        <f t="shared" si="57"/>
        <v>#N/A</v>
      </c>
      <c r="AZ62" s="3" t="e">
        <f t="shared" si="57"/>
        <v>#N/A</v>
      </c>
      <c r="BA62" s="3" t="e">
        <f t="shared" si="57"/>
        <v>#N/A</v>
      </c>
      <c r="BB62" s="3" t="e">
        <f t="shared" si="57"/>
        <v>#N/A</v>
      </c>
      <c r="BC62" s="3" t="e">
        <f t="shared" si="57"/>
        <v>#N/A</v>
      </c>
      <c r="BD62" s="3" t="e">
        <f t="shared" si="57"/>
        <v>#N/A</v>
      </c>
      <c r="BE62" s="3" t="e">
        <f t="shared" si="57"/>
        <v>#N/A</v>
      </c>
      <c r="BF62" s="3" t="e">
        <f t="shared" si="57"/>
        <v>#N/A</v>
      </c>
      <c r="BG62" s="3" t="e">
        <f t="shared" si="57"/>
        <v>#N/A</v>
      </c>
      <c r="BH62" s="3" t="e">
        <f t="shared" si="57"/>
        <v>#N/A</v>
      </c>
      <c r="BI62" s="3" t="e">
        <f t="shared" si="57"/>
        <v>#N/A</v>
      </c>
      <c r="BJ62" s="3" t="e">
        <f t="shared" si="57"/>
        <v>#N/A</v>
      </c>
      <c r="BK62" s="3" t="e">
        <f t="shared" si="57"/>
        <v>#N/A</v>
      </c>
      <c r="BL62" s="3" t="e">
        <f t="shared" si="57"/>
        <v>#N/A</v>
      </c>
      <c r="BM62" s="3" t="e">
        <f t="shared" si="57"/>
        <v>#N/A</v>
      </c>
      <c r="BN62" s="3" t="e">
        <f t="shared" si="57"/>
        <v>#N/A</v>
      </c>
      <c r="BO62" s="3" t="e">
        <f t="shared" si="57"/>
        <v>#N/A</v>
      </c>
      <c r="BP62" s="3" t="e">
        <f t="shared" si="57"/>
        <v>#N/A</v>
      </c>
      <c r="BQ62" s="3" t="e">
        <f t="shared" si="57"/>
        <v>#N/A</v>
      </c>
    </row>
    <row r="65" spans="1:69">
      <c r="B65" s="22" t="s">
        <v>54</v>
      </c>
    </row>
    <row r="66" spans="1:69">
      <c r="E66" s="5" t="str">
        <f t="shared" ref="E66:AJ66" si="58">E$28</f>
        <v>Period number</v>
      </c>
      <c r="F66" s="5">
        <f t="shared" si="58"/>
        <v>0</v>
      </c>
      <c r="G66" s="5" t="str">
        <f t="shared" si="58"/>
        <v>Counter</v>
      </c>
      <c r="H66" s="5">
        <f t="shared" si="58"/>
        <v>0</v>
      </c>
      <c r="I66" s="5">
        <f t="shared" si="58"/>
        <v>0</v>
      </c>
      <c r="J66" s="5">
        <f t="shared" si="58"/>
        <v>1</v>
      </c>
      <c r="K66" s="5">
        <f t="shared" si="58"/>
        <v>2</v>
      </c>
      <c r="L66" s="5">
        <f t="shared" si="58"/>
        <v>3</v>
      </c>
      <c r="M66" s="5">
        <f t="shared" si="58"/>
        <v>4</v>
      </c>
      <c r="N66" s="5">
        <f t="shared" si="58"/>
        <v>5</v>
      </c>
      <c r="O66" s="5">
        <f t="shared" si="58"/>
        <v>6</v>
      </c>
      <c r="P66" s="5">
        <f t="shared" si="58"/>
        <v>7</v>
      </c>
      <c r="Q66" s="5">
        <f t="shared" si="58"/>
        <v>8</v>
      </c>
      <c r="R66" s="5">
        <f t="shared" si="58"/>
        <v>9</v>
      </c>
      <c r="S66" s="5">
        <f t="shared" si="58"/>
        <v>10</v>
      </c>
      <c r="T66" s="5">
        <f t="shared" si="58"/>
        <v>11</v>
      </c>
      <c r="U66" s="5">
        <f t="shared" si="58"/>
        <v>12</v>
      </c>
      <c r="V66" s="5">
        <f t="shared" si="58"/>
        <v>13</v>
      </c>
      <c r="W66" s="5">
        <f t="shared" si="58"/>
        <v>14</v>
      </c>
      <c r="X66" s="5">
        <f t="shared" si="58"/>
        <v>15</v>
      </c>
      <c r="Y66" s="5">
        <f t="shared" si="58"/>
        <v>16</v>
      </c>
      <c r="Z66" s="5">
        <f t="shared" si="58"/>
        <v>17</v>
      </c>
      <c r="AA66" s="5">
        <f t="shared" si="58"/>
        <v>18</v>
      </c>
      <c r="AB66" s="5">
        <f t="shared" si="58"/>
        <v>19</v>
      </c>
      <c r="AC66" s="5">
        <f t="shared" si="58"/>
        <v>20</v>
      </c>
      <c r="AD66" s="5">
        <f t="shared" si="58"/>
        <v>21</v>
      </c>
      <c r="AE66" s="5">
        <f t="shared" si="58"/>
        <v>22</v>
      </c>
      <c r="AF66" s="5">
        <f t="shared" si="58"/>
        <v>23</v>
      </c>
      <c r="AG66" s="5">
        <f t="shared" si="58"/>
        <v>24</v>
      </c>
      <c r="AH66" s="5">
        <f t="shared" si="58"/>
        <v>25</v>
      </c>
      <c r="AI66" s="5">
        <f t="shared" si="58"/>
        <v>26</v>
      </c>
      <c r="AJ66" s="5">
        <f t="shared" si="58"/>
        <v>27</v>
      </c>
      <c r="AK66" s="5">
        <f t="shared" ref="AK66:BQ66" si="59">AK$28</f>
        <v>28</v>
      </c>
      <c r="AL66" s="5">
        <f t="shared" si="59"/>
        <v>29</v>
      </c>
      <c r="AM66" s="5">
        <f t="shared" si="59"/>
        <v>30</v>
      </c>
      <c r="AN66" s="5">
        <f t="shared" si="59"/>
        <v>31</v>
      </c>
      <c r="AO66" s="5">
        <f t="shared" si="59"/>
        <v>32</v>
      </c>
      <c r="AP66" s="5">
        <f t="shared" si="59"/>
        <v>33</v>
      </c>
      <c r="AQ66" s="5">
        <f t="shared" si="59"/>
        <v>34</v>
      </c>
      <c r="AR66" s="5">
        <f t="shared" si="59"/>
        <v>35</v>
      </c>
      <c r="AS66" s="5">
        <f t="shared" si="59"/>
        <v>36</v>
      </c>
      <c r="AT66" s="5">
        <f t="shared" si="59"/>
        <v>37</v>
      </c>
      <c r="AU66" s="5">
        <f t="shared" si="59"/>
        <v>38</v>
      </c>
      <c r="AV66" s="5">
        <f t="shared" si="59"/>
        <v>39</v>
      </c>
      <c r="AW66" s="5">
        <f t="shared" si="59"/>
        <v>40</v>
      </c>
      <c r="AX66" s="5">
        <f t="shared" si="59"/>
        <v>41</v>
      </c>
      <c r="AY66" s="5">
        <f t="shared" si="59"/>
        <v>42</v>
      </c>
      <c r="AZ66" s="5">
        <f t="shared" si="59"/>
        <v>43</v>
      </c>
      <c r="BA66" s="5">
        <f t="shared" si="59"/>
        <v>44</v>
      </c>
      <c r="BB66" s="5">
        <f t="shared" si="59"/>
        <v>45</v>
      </c>
      <c r="BC66" s="5">
        <f t="shared" si="59"/>
        <v>46</v>
      </c>
      <c r="BD66" s="5">
        <f t="shared" si="59"/>
        <v>47</v>
      </c>
      <c r="BE66" s="5">
        <f t="shared" si="59"/>
        <v>48</v>
      </c>
      <c r="BF66" s="5">
        <f t="shared" si="59"/>
        <v>49</v>
      </c>
      <c r="BG66" s="5">
        <f t="shared" si="59"/>
        <v>50</v>
      </c>
      <c r="BH66" s="5">
        <f t="shared" si="59"/>
        <v>51</v>
      </c>
      <c r="BI66" s="5">
        <f t="shared" si="59"/>
        <v>52</v>
      </c>
      <c r="BJ66" s="5">
        <f t="shared" si="59"/>
        <v>53</v>
      </c>
      <c r="BK66" s="5">
        <f t="shared" si="59"/>
        <v>54</v>
      </c>
      <c r="BL66" s="5">
        <f t="shared" si="59"/>
        <v>55</v>
      </c>
      <c r="BM66" s="5">
        <f t="shared" si="59"/>
        <v>56</v>
      </c>
      <c r="BN66" s="5">
        <f t="shared" si="59"/>
        <v>57</v>
      </c>
      <c r="BO66" s="5">
        <f t="shared" si="59"/>
        <v>58</v>
      </c>
      <c r="BP66" s="5">
        <f t="shared" si="59"/>
        <v>59</v>
      </c>
      <c r="BQ66" s="5">
        <f t="shared" si="59"/>
        <v>60</v>
      </c>
    </row>
    <row r="67" spans="1:69">
      <c r="E67" s="5" t="str">
        <f t="shared" ref="E67:AJ67" si="60">E$315</f>
        <v>Month to Year (financial year) : period end flag</v>
      </c>
      <c r="F67" s="5">
        <f t="shared" si="60"/>
        <v>0</v>
      </c>
      <c r="G67" s="5" t="str">
        <f t="shared" si="60"/>
        <v>counter</v>
      </c>
      <c r="H67" s="5">
        <f t="shared" si="60"/>
        <v>0</v>
      </c>
      <c r="I67" s="5">
        <f t="shared" si="60"/>
        <v>0</v>
      </c>
      <c r="J67" s="5">
        <f t="shared" si="60"/>
        <v>0</v>
      </c>
      <c r="K67" s="5">
        <f t="shared" si="60"/>
        <v>0</v>
      </c>
      <c r="L67" s="5">
        <f t="shared" si="60"/>
        <v>0</v>
      </c>
      <c r="M67" s="5">
        <f t="shared" si="60"/>
        <v>0</v>
      </c>
      <c r="N67" s="5">
        <f t="shared" si="60"/>
        <v>0</v>
      </c>
      <c r="O67" s="5">
        <f t="shared" si="60"/>
        <v>0</v>
      </c>
      <c r="P67" s="5">
        <f t="shared" si="60"/>
        <v>0</v>
      </c>
      <c r="Q67" s="5">
        <f t="shared" si="60"/>
        <v>0</v>
      </c>
      <c r="R67" s="5">
        <f t="shared" si="60"/>
        <v>0</v>
      </c>
      <c r="S67" s="5">
        <f t="shared" si="60"/>
        <v>0</v>
      </c>
      <c r="T67" s="5">
        <f t="shared" si="60"/>
        <v>0</v>
      </c>
      <c r="U67" s="5">
        <f t="shared" si="60"/>
        <v>1</v>
      </c>
      <c r="V67" s="5">
        <f t="shared" si="60"/>
        <v>0</v>
      </c>
      <c r="W67" s="5">
        <f t="shared" si="60"/>
        <v>0</v>
      </c>
      <c r="X67" s="5">
        <f t="shared" si="60"/>
        <v>0</v>
      </c>
      <c r="Y67" s="5">
        <f t="shared" si="60"/>
        <v>0</v>
      </c>
      <c r="Z67" s="5">
        <f t="shared" si="60"/>
        <v>0</v>
      </c>
      <c r="AA67" s="5">
        <f t="shared" si="60"/>
        <v>0</v>
      </c>
      <c r="AB67" s="5">
        <f t="shared" si="60"/>
        <v>0</v>
      </c>
      <c r="AC67" s="5">
        <f t="shared" si="60"/>
        <v>0</v>
      </c>
      <c r="AD67" s="5">
        <f t="shared" si="60"/>
        <v>0</v>
      </c>
      <c r="AE67" s="5">
        <f t="shared" si="60"/>
        <v>0</v>
      </c>
      <c r="AF67" s="5">
        <f t="shared" si="60"/>
        <v>0</v>
      </c>
      <c r="AG67" s="5">
        <f t="shared" si="60"/>
        <v>2</v>
      </c>
      <c r="AH67" s="5">
        <f t="shared" si="60"/>
        <v>0</v>
      </c>
      <c r="AI67" s="5">
        <f t="shared" si="60"/>
        <v>0</v>
      </c>
      <c r="AJ67" s="5">
        <f t="shared" si="60"/>
        <v>0</v>
      </c>
      <c r="AK67" s="5">
        <f t="shared" ref="AK67:BQ67" si="61">AK$315</f>
        <v>0</v>
      </c>
      <c r="AL67" s="5">
        <f t="shared" si="61"/>
        <v>0</v>
      </c>
      <c r="AM67" s="5">
        <f t="shared" si="61"/>
        <v>0</v>
      </c>
      <c r="AN67" s="5">
        <f t="shared" si="61"/>
        <v>0</v>
      </c>
      <c r="AO67" s="5">
        <f t="shared" si="61"/>
        <v>0</v>
      </c>
      <c r="AP67" s="5">
        <f t="shared" si="61"/>
        <v>0</v>
      </c>
      <c r="AQ67" s="5">
        <f t="shared" si="61"/>
        <v>0</v>
      </c>
      <c r="AR67" s="5">
        <f t="shared" si="61"/>
        <v>0</v>
      </c>
      <c r="AS67" s="5">
        <f t="shared" si="61"/>
        <v>3</v>
      </c>
      <c r="AT67" s="5">
        <f t="shared" si="61"/>
        <v>0</v>
      </c>
      <c r="AU67" s="5">
        <f t="shared" si="61"/>
        <v>0</v>
      </c>
      <c r="AV67" s="5">
        <f t="shared" si="61"/>
        <v>0</v>
      </c>
      <c r="AW67" s="5">
        <f t="shared" si="61"/>
        <v>0</v>
      </c>
      <c r="AX67" s="5">
        <f t="shared" si="61"/>
        <v>0</v>
      </c>
      <c r="AY67" s="5">
        <f t="shared" si="61"/>
        <v>0</v>
      </c>
      <c r="AZ67" s="5">
        <f t="shared" si="61"/>
        <v>0</v>
      </c>
      <c r="BA67" s="5">
        <f t="shared" si="61"/>
        <v>0</v>
      </c>
      <c r="BB67" s="5">
        <f t="shared" si="61"/>
        <v>0</v>
      </c>
      <c r="BC67" s="5">
        <f t="shared" si="61"/>
        <v>0</v>
      </c>
      <c r="BD67" s="5">
        <f t="shared" si="61"/>
        <v>0</v>
      </c>
      <c r="BE67" s="5">
        <f t="shared" si="61"/>
        <v>4</v>
      </c>
      <c r="BF67" s="5">
        <f t="shared" si="61"/>
        <v>0</v>
      </c>
      <c r="BG67" s="5">
        <f t="shared" si="61"/>
        <v>0</v>
      </c>
      <c r="BH67" s="5">
        <f t="shared" si="61"/>
        <v>0</v>
      </c>
      <c r="BI67" s="5">
        <f t="shared" si="61"/>
        <v>0</v>
      </c>
      <c r="BJ67" s="5">
        <f t="shared" si="61"/>
        <v>0</v>
      </c>
      <c r="BK67" s="5">
        <f t="shared" si="61"/>
        <v>0</v>
      </c>
      <c r="BL67" s="5">
        <f t="shared" si="61"/>
        <v>0</v>
      </c>
      <c r="BM67" s="5">
        <f t="shared" si="61"/>
        <v>0</v>
      </c>
      <c r="BN67" s="5">
        <f t="shared" si="61"/>
        <v>0</v>
      </c>
      <c r="BO67" s="5">
        <f t="shared" si="61"/>
        <v>0</v>
      </c>
      <c r="BP67" s="5">
        <f t="shared" si="61"/>
        <v>0</v>
      </c>
      <c r="BQ67" s="5">
        <f t="shared" si="61"/>
        <v>5</v>
      </c>
    </row>
    <row r="68" spans="1:69">
      <c r="A68" s="31"/>
      <c r="B68" s="31"/>
      <c r="C68" s="51"/>
      <c r="D68" s="50"/>
      <c r="E68" s="3" t="s">
        <v>54</v>
      </c>
      <c r="F68" s="3"/>
      <c r="G68" s="3" t="s">
        <v>279</v>
      </c>
      <c r="H68" s="3"/>
      <c r="I68" s="3"/>
      <c r="J68" s="14">
        <f t="shared" ref="J68:AO68" si="62">INDEX($J66:$BQ66,MATCH(J66,$J67:$BQ67,0))</f>
        <v>12</v>
      </c>
      <c r="K68" s="14">
        <f t="shared" si="62"/>
        <v>24</v>
      </c>
      <c r="L68" s="14">
        <f t="shared" si="62"/>
        <v>36</v>
      </c>
      <c r="M68" s="14">
        <f t="shared" si="62"/>
        <v>48</v>
      </c>
      <c r="N68" s="14">
        <f t="shared" si="62"/>
        <v>60</v>
      </c>
      <c r="O68" s="14" t="e">
        <f t="shared" si="62"/>
        <v>#N/A</v>
      </c>
      <c r="P68" s="14" t="e">
        <f t="shared" si="62"/>
        <v>#N/A</v>
      </c>
      <c r="Q68" s="14" t="e">
        <f t="shared" si="62"/>
        <v>#N/A</v>
      </c>
      <c r="R68" s="14" t="e">
        <f t="shared" si="62"/>
        <v>#N/A</v>
      </c>
      <c r="S68" s="14" t="e">
        <f t="shared" si="62"/>
        <v>#N/A</v>
      </c>
      <c r="T68" s="14" t="e">
        <f t="shared" si="62"/>
        <v>#N/A</v>
      </c>
      <c r="U68" s="14" t="e">
        <f t="shared" si="62"/>
        <v>#N/A</v>
      </c>
      <c r="V68" s="14" t="e">
        <f t="shared" si="62"/>
        <v>#N/A</v>
      </c>
      <c r="W68" s="14" t="e">
        <f t="shared" si="62"/>
        <v>#N/A</v>
      </c>
      <c r="X68" s="14" t="e">
        <f t="shared" si="62"/>
        <v>#N/A</v>
      </c>
      <c r="Y68" s="14" t="e">
        <f t="shared" si="62"/>
        <v>#N/A</v>
      </c>
      <c r="Z68" s="14" t="e">
        <f t="shared" si="62"/>
        <v>#N/A</v>
      </c>
      <c r="AA68" s="14" t="e">
        <f t="shared" si="62"/>
        <v>#N/A</v>
      </c>
      <c r="AB68" s="14" t="e">
        <f t="shared" si="62"/>
        <v>#N/A</v>
      </c>
      <c r="AC68" s="14" t="e">
        <f t="shared" si="62"/>
        <v>#N/A</v>
      </c>
      <c r="AD68" s="14" t="e">
        <f t="shared" si="62"/>
        <v>#N/A</v>
      </c>
      <c r="AE68" s="14" t="e">
        <f t="shared" si="62"/>
        <v>#N/A</v>
      </c>
      <c r="AF68" s="14" t="e">
        <f t="shared" si="62"/>
        <v>#N/A</v>
      </c>
      <c r="AG68" s="14" t="e">
        <f t="shared" si="62"/>
        <v>#N/A</v>
      </c>
      <c r="AH68" s="14" t="e">
        <f t="shared" si="62"/>
        <v>#N/A</v>
      </c>
      <c r="AI68" s="14" t="e">
        <f t="shared" si="62"/>
        <v>#N/A</v>
      </c>
      <c r="AJ68" s="14" t="e">
        <f t="shared" si="62"/>
        <v>#N/A</v>
      </c>
      <c r="AK68" s="14" t="e">
        <f t="shared" si="62"/>
        <v>#N/A</v>
      </c>
      <c r="AL68" s="14" t="e">
        <f t="shared" si="62"/>
        <v>#N/A</v>
      </c>
      <c r="AM68" s="14" t="e">
        <f t="shared" si="62"/>
        <v>#N/A</v>
      </c>
      <c r="AN68" s="14" t="e">
        <f t="shared" si="62"/>
        <v>#N/A</v>
      </c>
      <c r="AO68" s="14" t="e">
        <f t="shared" si="62"/>
        <v>#N/A</v>
      </c>
      <c r="AP68" s="14" t="e">
        <f t="shared" ref="AP68:BU68" si="63">INDEX($J66:$BQ66,MATCH(AP66,$J67:$BQ67,0))</f>
        <v>#N/A</v>
      </c>
      <c r="AQ68" s="14" t="e">
        <f t="shared" si="63"/>
        <v>#N/A</v>
      </c>
      <c r="AR68" s="14" t="e">
        <f t="shared" si="63"/>
        <v>#N/A</v>
      </c>
      <c r="AS68" s="14" t="e">
        <f t="shared" si="63"/>
        <v>#N/A</v>
      </c>
      <c r="AT68" s="14" t="e">
        <f t="shared" si="63"/>
        <v>#N/A</v>
      </c>
      <c r="AU68" s="14" t="e">
        <f t="shared" si="63"/>
        <v>#N/A</v>
      </c>
      <c r="AV68" s="14" t="e">
        <f t="shared" si="63"/>
        <v>#N/A</v>
      </c>
      <c r="AW68" s="14" t="e">
        <f t="shared" si="63"/>
        <v>#N/A</v>
      </c>
      <c r="AX68" s="14" t="e">
        <f t="shared" si="63"/>
        <v>#N/A</v>
      </c>
      <c r="AY68" s="14" t="e">
        <f t="shared" si="63"/>
        <v>#N/A</v>
      </c>
      <c r="AZ68" s="14" t="e">
        <f t="shared" si="63"/>
        <v>#N/A</v>
      </c>
      <c r="BA68" s="14" t="e">
        <f t="shared" si="63"/>
        <v>#N/A</v>
      </c>
      <c r="BB68" s="14" t="e">
        <f t="shared" si="63"/>
        <v>#N/A</v>
      </c>
      <c r="BC68" s="14" t="e">
        <f t="shared" si="63"/>
        <v>#N/A</v>
      </c>
      <c r="BD68" s="14" t="e">
        <f t="shared" si="63"/>
        <v>#N/A</v>
      </c>
      <c r="BE68" s="14" t="e">
        <f t="shared" si="63"/>
        <v>#N/A</v>
      </c>
      <c r="BF68" s="14" t="e">
        <f t="shared" si="63"/>
        <v>#N/A</v>
      </c>
      <c r="BG68" s="14" t="e">
        <f t="shared" si="63"/>
        <v>#N/A</v>
      </c>
      <c r="BH68" s="14" t="e">
        <f t="shared" si="63"/>
        <v>#N/A</v>
      </c>
      <c r="BI68" s="14" t="e">
        <f t="shared" si="63"/>
        <v>#N/A</v>
      </c>
      <c r="BJ68" s="14" t="e">
        <f t="shared" si="63"/>
        <v>#N/A</v>
      </c>
      <c r="BK68" s="14" t="e">
        <f t="shared" si="63"/>
        <v>#N/A</v>
      </c>
      <c r="BL68" s="14" t="e">
        <f t="shared" si="63"/>
        <v>#N/A</v>
      </c>
      <c r="BM68" s="14" t="e">
        <f t="shared" si="63"/>
        <v>#N/A</v>
      </c>
      <c r="BN68" s="14" t="e">
        <f t="shared" si="63"/>
        <v>#N/A</v>
      </c>
      <c r="BO68" s="14" t="e">
        <f t="shared" si="63"/>
        <v>#N/A</v>
      </c>
      <c r="BP68" s="14" t="e">
        <f t="shared" si="63"/>
        <v>#N/A</v>
      </c>
      <c r="BQ68" s="14" t="e">
        <f t="shared" si="63"/>
        <v>#N/A</v>
      </c>
    </row>
    <row r="71" spans="1:69">
      <c r="B71" s="22" t="s">
        <v>190</v>
      </c>
    </row>
    <row r="72" spans="1:69">
      <c r="E72" s="8" t="str">
        <f t="shared" ref="E72:AJ72" si="64">E$19</f>
        <v>Model period end</v>
      </c>
      <c r="F72" s="8">
        <f t="shared" si="64"/>
        <v>0</v>
      </c>
      <c r="G72" s="8" t="str">
        <f t="shared" si="64"/>
        <v>date</v>
      </c>
      <c r="H72" s="8">
        <f t="shared" si="64"/>
        <v>0</v>
      </c>
      <c r="I72" s="8">
        <f t="shared" si="64"/>
        <v>0</v>
      </c>
      <c r="J72" s="8">
        <f t="shared" si="64"/>
        <v>45077</v>
      </c>
      <c r="K72" s="8">
        <f t="shared" si="64"/>
        <v>45107</v>
      </c>
      <c r="L72" s="8">
        <f t="shared" si="64"/>
        <v>45138</v>
      </c>
      <c r="M72" s="8">
        <f t="shared" si="64"/>
        <v>45169</v>
      </c>
      <c r="N72" s="8">
        <f t="shared" si="64"/>
        <v>45199</v>
      </c>
      <c r="O72" s="8">
        <f t="shared" si="64"/>
        <v>45230</v>
      </c>
      <c r="P72" s="8">
        <f t="shared" si="64"/>
        <v>45260</v>
      </c>
      <c r="Q72" s="8">
        <f t="shared" si="64"/>
        <v>45291</v>
      </c>
      <c r="R72" s="8">
        <f t="shared" si="64"/>
        <v>45322</v>
      </c>
      <c r="S72" s="8">
        <f t="shared" si="64"/>
        <v>45351</v>
      </c>
      <c r="T72" s="8">
        <f t="shared" si="64"/>
        <v>45382</v>
      </c>
      <c r="U72" s="8">
        <f t="shared" si="64"/>
        <v>45412</v>
      </c>
      <c r="V72" s="8">
        <f t="shared" si="64"/>
        <v>45443</v>
      </c>
      <c r="W72" s="8">
        <f t="shared" si="64"/>
        <v>45473</v>
      </c>
      <c r="X72" s="8">
        <f t="shared" si="64"/>
        <v>45504</v>
      </c>
      <c r="Y72" s="8">
        <f t="shared" si="64"/>
        <v>45535</v>
      </c>
      <c r="Z72" s="8">
        <f t="shared" si="64"/>
        <v>45565</v>
      </c>
      <c r="AA72" s="8">
        <f t="shared" si="64"/>
        <v>45596</v>
      </c>
      <c r="AB72" s="8">
        <f t="shared" si="64"/>
        <v>45626</v>
      </c>
      <c r="AC72" s="8">
        <f t="shared" si="64"/>
        <v>45657</v>
      </c>
      <c r="AD72" s="8">
        <f t="shared" si="64"/>
        <v>45688</v>
      </c>
      <c r="AE72" s="8">
        <f t="shared" si="64"/>
        <v>45716</v>
      </c>
      <c r="AF72" s="8">
        <f t="shared" si="64"/>
        <v>45747</v>
      </c>
      <c r="AG72" s="8">
        <f t="shared" si="64"/>
        <v>45777</v>
      </c>
      <c r="AH72" s="8">
        <f t="shared" si="64"/>
        <v>45808</v>
      </c>
      <c r="AI72" s="8">
        <f t="shared" si="64"/>
        <v>45838</v>
      </c>
      <c r="AJ72" s="8">
        <f t="shared" si="64"/>
        <v>45869</v>
      </c>
      <c r="AK72" s="8">
        <f t="shared" ref="AK72:BQ72" si="65">AK$19</f>
        <v>45900</v>
      </c>
      <c r="AL72" s="8">
        <f t="shared" si="65"/>
        <v>45930</v>
      </c>
      <c r="AM72" s="8">
        <f t="shared" si="65"/>
        <v>45961</v>
      </c>
      <c r="AN72" s="8">
        <f t="shared" si="65"/>
        <v>45991</v>
      </c>
      <c r="AO72" s="8">
        <f t="shared" si="65"/>
        <v>46022</v>
      </c>
      <c r="AP72" s="8">
        <f t="shared" si="65"/>
        <v>46053</v>
      </c>
      <c r="AQ72" s="8">
        <f t="shared" si="65"/>
        <v>46081</v>
      </c>
      <c r="AR72" s="8">
        <f t="shared" si="65"/>
        <v>46112</v>
      </c>
      <c r="AS72" s="8">
        <f t="shared" si="65"/>
        <v>46142</v>
      </c>
      <c r="AT72" s="8">
        <f t="shared" si="65"/>
        <v>46173</v>
      </c>
      <c r="AU72" s="8">
        <f t="shared" si="65"/>
        <v>46203</v>
      </c>
      <c r="AV72" s="8">
        <f t="shared" si="65"/>
        <v>46234</v>
      </c>
      <c r="AW72" s="8">
        <f t="shared" si="65"/>
        <v>46265</v>
      </c>
      <c r="AX72" s="8">
        <f t="shared" si="65"/>
        <v>46295</v>
      </c>
      <c r="AY72" s="8">
        <f t="shared" si="65"/>
        <v>46326</v>
      </c>
      <c r="AZ72" s="8">
        <f t="shared" si="65"/>
        <v>46356</v>
      </c>
      <c r="BA72" s="8">
        <f t="shared" si="65"/>
        <v>46387</v>
      </c>
      <c r="BB72" s="8">
        <f t="shared" si="65"/>
        <v>46418</v>
      </c>
      <c r="BC72" s="8">
        <f t="shared" si="65"/>
        <v>46446</v>
      </c>
      <c r="BD72" s="8">
        <f t="shared" si="65"/>
        <v>46477</v>
      </c>
      <c r="BE72" s="8">
        <f t="shared" si="65"/>
        <v>46507</v>
      </c>
      <c r="BF72" s="8">
        <f t="shared" si="65"/>
        <v>46538</v>
      </c>
      <c r="BG72" s="8">
        <f t="shared" si="65"/>
        <v>46568</v>
      </c>
      <c r="BH72" s="8">
        <f t="shared" si="65"/>
        <v>46599</v>
      </c>
      <c r="BI72" s="8">
        <f t="shared" si="65"/>
        <v>46630</v>
      </c>
      <c r="BJ72" s="8">
        <f t="shared" si="65"/>
        <v>46660</v>
      </c>
      <c r="BK72" s="8">
        <f t="shared" si="65"/>
        <v>46691</v>
      </c>
      <c r="BL72" s="8">
        <f t="shared" si="65"/>
        <v>46721</v>
      </c>
      <c r="BM72" s="8">
        <f t="shared" si="65"/>
        <v>46752</v>
      </c>
      <c r="BN72" s="8">
        <f t="shared" si="65"/>
        <v>46783</v>
      </c>
      <c r="BO72" s="8">
        <f t="shared" si="65"/>
        <v>46812</v>
      </c>
      <c r="BP72" s="8">
        <f t="shared" si="65"/>
        <v>46843</v>
      </c>
      <c r="BQ72" s="8">
        <f t="shared" si="65"/>
        <v>46873</v>
      </c>
    </row>
    <row r="73" spans="1:69">
      <c r="E73" s="5" t="str">
        <f t="shared" ref="E73:AJ73" si="66">E$28</f>
        <v>Period number</v>
      </c>
      <c r="F73" s="5">
        <f t="shared" si="66"/>
        <v>0</v>
      </c>
      <c r="G73" s="5" t="str">
        <f t="shared" si="66"/>
        <v>Counter</v>
      </c>
      <c r="H73" s="5">
        <f t="shared" si="66"/>
        <v>0</v>
      </c>
      <c r="I73" s="5">
        <f t="shared" si="66"/>
        <v>0</v>
      </c>
      <c r="J73" s="5">
        <f t="shared" si="66"/>
        <v>1</v>
      </c>
      <c r="K73" s="5">
        <f t="shared" si="66"/>
        <v>2</v>
      </c>
      <c r="L73" s="5">
        <f t="shared" si="66"/>
        <v>3</v>
      </c>
      <c r="M73" s="5">
        <f t="shared" si="66"/>
        <v>4</v>
      </c>
      <c r="N73" s="5">
        <f t="shared" si="66"/>
        <v>5</v>
      </c>
      <c r="O73" s="5">
        <f t="shared" si="66"/>
        <v>6</v>
      </c>
      <c r="P73" s="5">
        <f t="shared" si="66"/>
        <v>7</v>
      </c>
      <c r="Q73" s="5">
        <f t="shared" si="66"/>
        <v>8</v>
      </c>
      <c r="R73" s="5">
        <f t="shared" si="66"/>
        <v>9</v>
      </c>
      <c r="S73" s="5">
        <f t="shared" si="66"/>
        <v>10</v>
      </c>
      <c r="T73" s="5">
        <f t="shared" si="66"/>
        <v>11</v>
      </c>
      <c r="U73" s="5">
        <f t="shared" si="66"/>
        <v>12</v>
      </c>
      <c r="V73" s="5">
        <f t="shared" si="66"/>
        <v>13</v>
      </c>
      <c r="W73" s="5">
        <f t="shared" si="66"/>
        <v>14</v>
      </c>
      <c r="X73" s="5">
        <f t="shared" si="66"/>
        <v>15</v>
      </c>
      <c r="Y73" s="5">
        <f t="shared" si="66"/>
        <v>16</v>
      </c>
      <c r="Z73" s="5">
        <f t="shared" si="66"/>
        <v>17</v>
      </c>
      <c r="AA73" s="5">
        <f t="shared" si="66"/>
        <v>18</v>
      </c>
      <c r="AB73" s="5">
        <f t="shared" si="66"/>
        <v>19</v>
      </c>
      <c r="AC73" s="5">
        <f t="shared" si="66"/>
        <v>20</v>
      </c>
      <c r="AD73" s="5">
        <f t="shared" si="66"/>
        <v>21</v>
      </c>
      <c r="AE73" s="5">
        <f t="shared" si="66"/>
        <v>22</v>
      </c>
      <c r="AF73" s="5">
        <f t="shared" si="66"/>
        <v>23</v>
      </c>
      <c r="AG73" s="5">
        <f t="shared" si="66"/>
        <v>24</v>
      </c>
      <c r="AH73" s="5">
        <f t="shared" si="66"/>
        <v>25</v>
      </c>
      <c r="AI73" s="5">
        <f t="shared" si="66"/>
        <v>26</v>
      </c>
      <c r="AJ73" s="5">
        <f t="shared" si="66"/>
        <v>27</v>
      </c>
      <c r="AK73" s="5">
        <f t="shared" ref="AK73:BQ73" si="67">AK$28</f>
        <v>28</v>
      </c>
      <c r="AL73" s="5">
        <f t="shared" si="67"/>
        <v>29</v>
      </c>
      <c r="AM73" s="5">
        <f t="shared" si="67"/>
        <v>30</v>
      </c>
      <c r="AN73" s="5">
        <f t="shared" si="67"/>
        <v>31</v>
      </c>
      <c r="AO73" s="5">
        <f t="shared" si="67"/>
        <v>32</v>
      </c>
      <c r="AP73" s="5">
        <f t="shared" si="67"/>
        <v>33</v>
      </c>
      <c r="AQ73" s="5">
        <f t="shared" si="67"/>
        <v>34</v>
      </c>
      <c r="AR73" s="5">
        <f t="shared" si="67"/>
        <v>35</v>
      </c>
      <c r="AS73" s="5">
        <f t="shared" si="67"/>
        <v>36</v>
      </c>
      <c r="AT73" s="5">
        <f t="shared" si="67"/>
        <v>37</v>
      </c>
      <c r="AU73" s="5">
        <f t="shared" si="67"/>
        <v>38</v>
      </c>
      <c r="AV73" s="5">
        <f t="shared" si="67"/>
        <v>39</v>
      </c>
      <c r="AW73" s="5">
        <f t="shared" si="67"/>
        <v>40</v>
      </c>
      <c r="AX73" s="5">
        <f t="shared" si="67"/>
        <v>41</v>
      </c>
      <c r="AY73" s="5">
        <f t="shared" si="67"/>
        <v>42</v>
      </c>
      <c r="AZ73" s="5">
        <f t="shared" si="67"/>
        <v>43</v>
      </c>
      <c r="BA73" s="5">
        <f t="shared" si="67"/>
        <v>44</v>
      </c>
      <c r="BB73" s="5">
        <f t="shared" si="67"/>
        <v>45</v>
      </c>
      <c r="BC73" s="5">
        <f t="shared" si="67"/>
        <v>46</v>
      </c>
      <c r="BD73" s="5">
        <f t="shared" si="67"/>
        <v>47</v>
      </c>
      <c r="BE73" s="5">
        <f t="shared" si="67"/>
        <v>48</v>
      </c>
      <c r="BF73" s="5">
        <f t="shared" si="67"/>
        <v>49</v>
      </c>
      <c r="BG73" s="5">
        <f t="shared" si="67"/>
        <v>50</v>
      </c>
      <c r="BH73" s="5">
        <f t="shared" si="67"/>
        <v>51</v>
      </c>
      <c r="BI73" s="5">
        <f t="shared" si="67"/>
        <v>52</v>
      </c>
      <c r="BJ73" s="5">
        <f t="shared" si="67"/>
        <v>53</v>
      </c>
      <c r="BK73" s="5">
        <f t="shared" si="67"/>
        <v>54</v>
      </c>
      <c r="BL73" s="5">
        <f t="shared" si="67"/>
        <v>55</v>
      </c>
      <c r="BM73" s="5">
        <f t="shared" si="67"/>
        <v>56</v>
      </c>
      <c r="BN73" s="5">
        <f t="shared" si="67"/>
        <v>57</v>
      </c>
      <c r="BO73" s="5">
        <f t="shared" si="67"/>
        <v>58</v>
      </c>
      <c r="BP73" s="5">
        <f t="shared" si="67"/>
        <v>59</v>
      </c>
      <c r="BQ73" s="5">
        <f t="shared" si="67"/>
        <v>60</v>
      </c>
    </row>
    <row r="74" spans="1:69">
      <c r="E74" s="5" t="str">
        <f t="shared" ref="E74:AJ74" si="68">E$331</f>
        <v>Month to Quarter : period end flag</v>
      </c>
      <c r="F74" s="5">
        <f t="shared" si="68"/>
        <v>0</v>
      </c>
      <c r="G74" s="5" t="str">
        <f t="shared" si="68"/>
        <v>counter</v>
      </c>
      <c r="H74" s="5">
        <f t="shared" si="68"/>
        <v>0</v>
      </c>
      <c r="I74" s="5">
        <f t="shared" si="68"/>
        <v>0</v>
      </c>
      <c r="J74" s="5">
        <f t="shared" si="68"/>
        <v>0</v>
      </c>
      <c r="K74" s="5">
        <f t="shared" si="68"/>
        <v>0</v>
      </c>
      <c r="L74" s="5">
        <f t="shared" si="68"/>
        <v>1</v>
      </c>
      <c r="M74" s="5">
        <f t="shared" si="68"/>
        <v>0</v>
      </c>
      <c r="N74" s="5">
        <f t="shared" si="68"/>
        <v>0</v>
      </c>
      <c r="O74" s="5">
        <f t="shared" si="68"/>
        <v>2</v>
      </c>
      <c r="P74" s="5">
        <f t="shared" si="68"/>
        <v>0</v>
      </c>
      <c r="Q74" s="5">
        <f t="shared" si="68"/>
        <v>0</v>
      </c>
      <c r="R74" s="5">
        <f t="shared" si="68"/>
        <v>3</v>
      </c>
      <c r="S74" s="5">
        <f t="shared" si="68"/>
        <v>0</v>
      </c>
      <c r="T74" s="5">
        <f t="shared" si="68"/>
        <v>0</v>
      </c>
      <c r="U74" s="5">
        <f t="shared" si="68"/>
        <v>4</v>
      </c>
      <c r="V74" s="5">
        <f t="shared" si="68"/>
        <v>0</v>
      </c>
      <c r="W74" s="5">
        <f t="shared" si="68"/>
        <v>0</v>
      </c>
      <c r="X74" s="5">
        <f t="shared" si="68"/>
        <v>5</v>
      </c>
      <c r="Y74" s="5">
        <f t="shared" si="68"/>
        <v>0</v>
      </c>
      <c r="Z74" s="5">
        <f t="shared" si="68"/>
        <v>0</v>
      </c>
      <c r="AA74" s="5">
        <f t="shared" si="68"/>
        <v>6</v>
      </c>
      <c r="AB74" s="5">
        <f t="shared" si="68"/>
        <v>0</v>
      </c>
      <c r="AC74" s="5">
        <f t="shared" si="68"/>
        <v>0</v>
      </c>
      <c r="AD74" s="5">
        <f t="shared" si="68"/>
        <v>7</v>
      </c>
      <c r="AE74" s="5">
        <f t="shared" si="68"/>
        <v>0</v>
      </c>
      <c r="AF74" s="5">
        <f t="shared" si="68"/>
        <v>0</v>
      </c>
      <c r="AG74" s="5">
        <f t="shared" si="68"/>
        <v>8</v>
      </c>
      <c r="AH74" s="5">
        <f t="shared" si="68"/>
        <v>0</v>
      </c>
      <c r="AI74" s="5">
        <f t="shared" si="68"/>
        <v>0</v>
      </c>
      <c r="AJ74" s="5">
        <f t="shared" si="68"/>
        <v>9</v>
      </c>
      <c r="AK74" s="5">
        <f t="shared" ref="AK74:BQ74" si="69">AK$331</f>
        <v>0</v>
      </c>
      <c r="AL74" s="5">
        <f t="shared" si="69"/>
        <v>0</v>
      </c>
      <c r="AM74" s="5">
        <f t="shared" si="69"/>
        <v>10</v>
      </c>
      <c r="AN74" s="5">
        <f t="shared" si="69"/>
        <v>0</v>
      </c>
      <c r="AO74" s="5">
        <f t="shared" si="69"/>
        <v>0</v>
      </c>
      <c r="AP74" s="5">
        <f t="shared" si="69"/>
        <v>11</v>
      </c>
      <c r="AQ74" s="5">
        <f t="shared" si="69"/>
        <v>0</v>
      </c>
      <c r="AR74" s="5">
        <f t="shared" si="69"/>
        <v>0</v>
      </c>
      <c r="AS74" s="5">
        <f t="shared" si="69"/>
        <v>12</v>
      </c>
      <c r="AT74" s="5">
        <f t="shared" si="69"/>
        <v>0</v>
      </c>
      <c r="AU74" s="5">
        <f t="shared" si="69"/>
        <v>0</v>
      </c>
      <c r="AV74" s="5">
        <f t="shared" si="69"/>
        <v>13</v>
      </c>
      <c r="AW74" s="5">
        <f t="shared" si="69"/>
        <v>0</v>
      </c>
      <c r="AX74" s="5">
        <f t="shared" si="69"/>
        <v>0</v>
      </c>
      <c r="AY74" s="5">
        <f t="shared" si="69"/>
        <v>14</v>
      </c>
      <c r="AZ74" s="5">
        <f t="shared" si="69"/>
        <v>0</v>
      </c>
      <c r="BA74" s="5">
        <f t="shared" si="69"/>
        <v>0</v>
      </c>
      <c r="BB74" s="5">
        <f t="shared" si="69"/>
        <v>15</v>
      </c>
      <c r="BC74" s="5">
        <f t="shared" si="69"/>
        <v>0</v>
      </c>
      <c r="BD74" s="5">
        <f t="shared" si="69"/>
        <v>0</v>
      </c>
      <c r="BE74" s="5">
        <f t="shared" si="69"/>
        <v>16</v>
      </c>
      <c r="BF74" s="5">
        <f t="shared" si="69"/>
        <v>0</v>
      </c>
      <c r="BG74" s="5">
        <f t="shared" si="69"/>
        <v>0</v>
      </c>
      <c r="BH74" s="5">
        <f t="shared" si="69"/>
        <v>17</v>
      </c>
      <c r="BI74" s="5">
        <f t="shared" si="69"/>
        <v>0</v>
      </c>
      <c r="BJ74" s="5">
        <f t="shared" si="69"/>
        <v>0</v>
      </c>
      <c r="BK74" s="5">
        <f t="shared" si="69"/>
        <v>18</v>
      </c>
      <c r="BL74" s="5">
        <f t="shared" si="69"/>
        <v>0</v>
      </c>
      <c r="BM74" s="5">
        <f t="shared" si="69"/>
        <v>0</v>
      </c>
      <c r="BN74" s="5">
        <f t="shared" si="69"/>
        <v>19</v>
      </c>
      <c r="BO74" s="5">
        <f t="shared" si="69"/>
        <v>0</v>
      </c>
      <c r="BP74" s="5">
        <f t="shared" si="69"/>
        <v>0</v>
      </c>
      <c r="BQ74" s="5">
        <f t="shared" si="69"/>
        <v>20</v>
      </c>
    </row>
    <row r="75" spans="1:69">
      <c r="A75" s="31"/>
      <c r="B75" s="31"/>
      <c r="C75" s="51"/>
      <c r="D75" s="50"/>
      <c r="E75" s="3" t="s">
        <v>190</v>
      </c>
      <c r="F75" s="3"/>
      <c r="G75" s="3" t="s">
        <v>210</v>
      </c>
      <c r="H75" s="3"/>
      <c r="I75" s="3"/>
      <c r="J75" s="13">
        <f t="shared" ref="J75:AO75" si="70">INDEX($J72:$BQ72,MATCH(J73,$J74:$BQ74,0))</f>
        <v>45138</v>
      </c>
      <c r="K75" s="13">
        <f t="shared" si="70"/>
        <v>45230</v>
      </c>
      <c r="L75" s="13">
        <f t="shared" si="70"/>
        <v>45322</v>
      </c>
      <c r="M75" s="13">
        <f t="shared" si="70"/>
        <v>45412</v>
      </c>
      <c r="N75" s="13">
        <f t="shared" si="70"/>
        <v>45504</v>
      </c>
      <c r="O75" s="13">
        <f t="shared" si="70"/>
        <v>45596</v>
      </c>
      <c r="P75" s="13">
        <f t="shared" si="70"/>
        <v>45688</v>
      </c>
      <c r="Q75" s="13">
        <f t="shared" si="70"/>
        <v>45777</v>
      </c>
      <c r="R75" s="13">
        <f t="shared" si="70"/>
        <v>45869</v>
      </c>
      <c r="S75" s="13">
        <f t="shared" si="70"/>
        <v>45961</v>
      </c>
      <c r="T75" s="13">
        <f t="shared" si="70"/>
        <v>46053</v>
      </c>
      <c r="U75" s="13">
        <f t="shared" si="70"/>
        <v>46142</v>
      </c>
      <c r="V75" s="13">
        <f t="shared" si="70"/>
        <v>46234</v>
      </c>
      <c r="W75" s="13">
        <f t="shared" si="70"/>
        <v>46326</v>
      </c>
      <c r="X75" s="13">
        <f t="shared" si="70"/>
        <v>46418</v>
      </c>
      <c r="Y75" s="13">
        <f t="shared" si="70"/>
        <v>46507</v>
      </c>
      <c r="Z75" s="13">
        <f t="shared" si="70"/>
        <v>46599</v>
      </c>
      <c r="AA75" s="13">
        <f t="shared" si="70"/>
        <v>46691</v>
      </c>
      <c r="AB75" s="13">
        <f t="shared" si="70"/>
        <v>46783</v>
      </c>
      <c r="AC75" s="13">
        <f t="shared" si="70"/>
        <v>46873</v>
      </c>
      <c r="AD75" s="13" t="e">
        <f t="shared" si="70"/>
        <v>#N/A</v>
      </c>
      <c r="AE75" s="13" t="e">
        <f t="shared" si="70"/>
        <v>#N/A</v>
      </c>
      <c r="AF75" s="13" t="e">
        <f t="shared" si="70"/>
        <v>#N/A</v>
      </c>
      <c r="AG75" s="13" t="e">
        <f t="shared" si="70"/>
        <v>#N/A</v>
      </c>
      <c r="AH75" s="13" t="e">
        <f t="shared" si="70"/>
        <v>#N/A</v>
      </c>
      <c r="AI75" s="13" t="e">
        <f t="shared" si="70"/>
        <v>#N/A</v>
      </c>
      <c r="AJ75" s="13" t="e">
        <f t="shared" si="70"/>
        <v>#N/A</v>
      </c>
      <c r="AK75" s="13" t="e">
        <f t="shared" si="70"/>
        <v>#N/A</v>
      </c>
      <c r="AL75" s="13" t="e">
        <f t="shared" si="70"/>
        <v>#N/A</v>
      </c>
      <c r="AM75" s="13" t="e">
        <f t="shared" si="70"/>
        <v>#N/A</v>
      </c>
      <c r="AN75" s="13" t="e">
        <f t="shared" si="70"/>
        <v>#N/A</v>
      </c>
      <c r="AO75" s="13" t="e">
        <f t="shared" si="70"/>
        <v>#N/A</v>
      </c>
      <c r="AP75" s="13" t="e">
        <f t="shared" ref="AP75:BU75" si="71">INDEX($J72:$BQ72,MATCH(AP73,$J74:$BQ74,0))</f>
        <v>#N/A</v>
      </c>
      <c r="AQ75" s="13" t="e">
        <f t="shared" si="71"/>
        <v>#N/A</v>
      </c>
      <c r="AR75" s="13" t="e">
        <f t="shared" si="71"/>
        <v>#N/A</v>
      </c>
      <c r="AS75" s="13" t="e">
        <f t="shared" si="71"/>
        <v>#N/A</v>
      </c>
      <c r="AT75" s="13" t="e">
        <f t="shared" si="71"/>
        <v>#N/A</v>
      </c>
      <c r="AU75" s="13" t="e">
        <f t="shared" si="71"/>
        <v>#N/A</v>
      </c>
      <c r="AV75" s="13" t="e">
        <f t="shared" si="71"/>
        <v>#N/A</v>
      </c>
      <c r="AW75" s="13" t="e">
        <f t="shared" si="71"/>
        <v>#N/A</v>
      </c>
      <c r="AX75" s="13" t="e">
        <f t="shared" si="71"/>
        <v>#N/A</v>
      </c>
      <c r="AY75" s="13" t="e">
        <f t="shared" si="71"/>
        <v>#N/A</v>
      </c>
      <c r="AZ75" s="13" t="e">
        <f t="shared" si="71"/>
        <v>#N/A</v>
      </c>
      <c r="BA75" s="13" t="e">
        <f t="shared" si="71"/>
        <v>#N/A</v>
      </c>
      <c r="BB75" s="13" t="e">
        <f t="shared" si="71"/>
        <v>#N/A</v>
      </c>
      <c r="BC75" s="13" t="e">
        <f t="shared" si="71"/>
        <v>#N/A</v>
      </c>
      <c r="BD75" s="13" t="e">
        <f t="shared" si="71"/>
        <v>#N/A</v>
      </c>
      <c r="BE75" s="13" t="e">
        <f t="shared" si="71"/>
        <v>#N/A</v>
      </c>
      <c r="BF75" s="13" t="e">
        <f t="shared" si="71"/>
        <v>#N/A</v>
      </c>
      <c r="BG75" s="13" t="e">
        <f t="shared" si="71"/>
        <v>#N/A</v>
      </c>
      <c r="BH75" s="13" t="e">
        <f t="shared" si="71"/>
        <v>#N/A</v>
      </c>
      <c r="BI75" s="13" t="e">
        <f t="shared" si="71"/>
        <v>#N/A</v>
      </c>
      <c r="BJ75" s="13" t="e">
        <f t="shared" si="71"/>
        <v>#N/A</v>
      </c>
      <c r="BK75" s="13" t="e">
        <f t="shared" si="71"/>
        <v>#N/A</v>
      </c>
      <c r="BL75" s="13" t="e">
        <f t="shared" si="71"/>
        <v>#N/A</v>
      </c>
      <c r="BM75" s="13" t="e">
        <f t="shared" si="71"/>
        <v>#N/A</v>
      </c>
      <c r="BN75" s="13" t="e">
        <f t="shared" si="71"/>
        <v>#N/A</v>
      </c>
      <c r="BO75" s="13" t="e">
        <f t="shared" si="71"/>
        <v>#N/A</v>
      </c>
      <c r="BP75" s="13" t="e">
        <f t="shared" si="71"/>
        <v>#N/A</v>
      </c>
      <c r="BQ75" s="13" t="e">
        <f t="shared" si="71"/>
        <v>#N/A</v>
      </c>
    </row>
    <row r="78" spans="1:69">
      <c r="B78" s="22" t="s">
        <v>165</v>
      </c>
    </row>
    <row r="79" spans="1:69">
      <c r="E79" s="2" t="str">
        <f t="shared" ref="E79:AJ79" si="72">E$24</f>
        <v>Timeline label</v>
      </c>
      <c r="F79" s="2">
        <f t="shared" si="72"/>
        <v>0</v>
      </c>
      <c r="G79" s="2" t="str">
        <f t="shared" si="72"/>
        <v>GBP</v>
      </c>
      <c r="H79" s="2">
        <f t="shared" si="72"/>
        <v>0</v>
      </c>
      <c r="I79" s="2">
        <f t="shared" si="72"/>
        <v>0</v>
      </c>
      <c r="J79" s="2" t="str">
        <f t="shared" si="72"/>
        <v>Month1</v>
      </c>
      <c r="K79" s="2" t="str">
        <f t="shared" si="72"/>
        <v>Month2</v>
      </c>
      <c r="L79" s="2" t="str">
        <f t="shared" si="72"/>
        <v>Month3</v>
      </c>
      <c r="M79" s="2" t="str">
        <f t="shared" si="72"/>
        <v>Month4</v>
      </c>
      <c r="N79" s="2" t="str">
        <f t="shared" si="72"/>
        <v>Month5</v>
      </c>
      <c r="O79" s="2" t="str">
        <f t="shared" si="72"/>
        <v>Month6</v>
      </c>
      <c r="P79" s="2" t="str">
        <f t="shared" si="72"/>
        <v>Month7</v>
      </c>
      <c r="Q79" s="2" t="str">
        <f t="shared" si="72"/>
        <v>Month8</v>
      </c>
      <c r="R79" s="2" t="str">
        <f t="shared" si="72"/>
        <v>Month9</v>
      </c>
      <c r="S79" s="2" t="str">
        <f t="shared" si="72"/>
        <v>Month10</v>
      </c>
      <c r="T79" s="2" t="str">
        <f t="shared" si="72"/>
        <v>Month11</v>
      </c>
      <c r="U79" s="2" t="str">
        <f t="shared" si="72"/>
        <v>Month12</v>
      </c>
      <c r="V79" s="2" t="str">
        <f t="shared" si="72"/>
        <v>Month13</v>
      </c>
      <c r="W79" s="2" t="str">
        <f t="shared" si="72"/>
        <v>Month14</v>
      </c>
      <c r="X79" s="2" t="str">
        <f t="shared" si="72"/>
        <v>Month15</v>
      </c>
      <c r="Y79" s="2" t="str">
        <f t="shared" si="72"/>
        <v>Month16</v>
      </c>
      <c r="Z79" s="2" t="str">
        <f t="shared" si="72"/>
        <v>Month17</v>
      </c>
      <c r="AA79" s="2" t="str">
        <f t="shared" si="72"/>
        <v>Month18</v>
      </c>
      <c r="AB79" s="2" t="str">
        <f t="shared" si="72"/>
        <v>Month19</v>
      </c>
      <c r="AC79" s="2" t="str">
        <f t="shared" si="72"/>
        <v>Month20</v>
      </c>
      <c r="AD79" s="2" t="str">
        <f t="shared" si="72"/>
        <v>Month21</v>
      </c>
      <c r="AE79" s="2" t="str">
        <f t="shared" si="72"/>
        <v>Month22</v>
      </c>
      <c r="AF79" s="2" t="str">
        <f t="shared" si="72"/>
        <v>Month23</v>
      </c>
      <c r="AG79" s="2" t="str">
        <f t="shared" si="72"/>
        <v>Month24</v>
      </c>
      <c r="AH79" s="2" t="str">
        <f t="shared" si="72"/>
        <v>Month25</v>
      </c>
      <c r="AI79" s="2" t="str">
        <f t="shared" si="72"/>
        <v>Month26</v>
      </c>
      <c r="AJ79" s="2" t="str">
        <f t="shared" si="72"/>
        <v>Month27</v>
      </c>
      <c r="AK79" s="2" t="str">
        <f t="shared" ref="AK79:BQ79" si="73">AK$24</f>
        <v>Month28</v>
      </c>
      <c r="AL79" s="2" t="str">
        <f t="shared" si="73"/>
        <v>Month29</v>
      </c>
      <c r="AM79" s="2" t="str">
        <f t="shared" si="73"/>
        <v>Month30</v>
      </c>
      <c r="AN79" s="2" t="str">
        <f t="shared" si="73"/>
        <v>Month31</v>
      </c>
      <c r="AO79" s="2" t="str">
        <f t="shared" si="73"/>
        <v>Month32</v>
      </c>
      <c r="AP79" s="2" t="str">
        <f t="shared" si="73"/>
        <v>Month33</v>
      </c>
      <c r="AQ79" s="2" t="str">
        <f t="shared" si="73"/>
        <v>Month34</v>
      </c>
      <c r="AR79" s="2" t="str">
        <f t="shared" si="73"/>
        <v>Month35</v>
      </c>
      <c r="AS79" s="2" t="str">
        <f t="shared" si="73"/>
        <v>Month36</v>
      </c>
      <c r="AT79" s="2" t="str">
        <f t="shared" si="73"/>
        <v>Month37</v>
      </c>
      <c r="AU79" s="2" t="str">
        <f t="shared" si="73"/>
        <v>Month38</v>
      </c>
      <c r="AV79" s="2" t="str">
        <f t="shared" si="73"/>
        <v>Month39</v>
      </c>
      <c r="AW79" s="2" t="str">
        <f t="shared" si="73"/>
        <v>Month40</v>
      </c>
      <c r="AX79" s="2" t="str">
        <f t="shared" si="73"/>
        <v>Month41</v>
      </c>
      <c r="AY79" s="2" t="str">
        <f t="shared" si="73"/>
        <v>Month42</v>
      </c>
      <c r="AZ79" s="2" t="str">
        <f t="shared" si="73"/>
        <v>Month43</v>
      </c>
      <c r="BA79" s="2" t="str">
        <f t="shared" si="73"/>
        <v>Month44</v>
      </c>
      <c r="BB79" s="2" t="str">
        <f t="shared" si="73"/>
        <v>Month45</v>
      </c>
      <c r="BC79" s="2" t="str">
        <f t="shared" si="73"/>
        <v>Month46</v>
      </c>
      <c r="BD79" s="2" t="str">
        <f t="shared" si="73"/>
        <v>Month47</v>
      </c>
      <c r="BE79" s="2" t="str">
        <f t="shared" si="73"/>
        <v>Month48</v>
      </c>
      <c r="BF79" s="2" t="str">
        <f t="shared" si="73"/>
        <v>Month49</v>
      </c>
      <c r="BG79" s="2" t="str">
        <f t="shared" si="73"/>
        <v>Month50</v>
      </c>
      <c r="BH79" s="2" t="str">
        <f t="shared" si="73"/>
        <v>Month51</v>
      </c>
      <c r="BI79" s="2" t="str">
        <f t="shared" si="73"/>
        <v>Month52</v>
      </c>
      <c r="BJ79" s="2" t="str">
        <f t="shared" si="73"/>
        <v>Month53</v>
      </c>
      <c r="BK79" s="2" t="str">
        <f t="shared" si="73"/>
        <v>Month54</v>
      </c>
      <c r="BL79" s="2" t="str">
        <f t="shared" si="73"/>
        <v>Month55</v>
      </c>
      <c r="BM79" s="2" t="str">
        <f t="shared" si="73"/>
        <v>Month56</v>
      </c>
      <c r="BN79" s="2" t="str">
        <f t="shared" si="73"/>
        <v>Month57</v>
      </c>
      <c r="BO79" s="2" t="str">
        <f t="shared" si="73"/>
        <v>Month58</v>
      </c>
      <c r="BP79" s="2" t="str">
        <f t="shared" si="73"/>
        <v>Month59</v>
      </c>
      <c r="BQ79" s="2" t="str">
        <f t="shared" si="73"/>
        <v>Month60</v>
      </c>
    </row>
    <row r="80" spans="1:69">
      <c r="E80" s="5" t="str">
        <f t="shared" ref="E80:AJ80" si="74">E$28</f>
        <v>Period number</v>
      </c>
      <c r="F80" s="5">
        <f t="shared" si="74"/>
        <v>0</v>
      </c>
      <c r="G80" s="5" t="str">
        <f t="shared" si="74"/>
        <v>Counter</v>
      </c>
      <c r="H80" s="5">
        <f t="shared" si="74"/>
        <v>0</v>
      </c>
      <c r="I80" s="5">
        <f t="shared" si="74"/>
        <v>0</v>
      </c>
      <c r="J80" s="5">
        <f t="shared" si="74"/>
        <v>1</v>
      </c>
      <c r="K80" s="5">
        <f t="shared" si="74"/>
        <v>2</v>
      </c>
      <c r="L80" s="5">
        <f t="shared" si="74"/>
        <v>3</v>
      </c>
      <c r="M80" s="5">
        <f t="shared" si="74"/>
        <v>4</v>
      </c>
      <c r="N80" s="5">
        <f t="shared" si="74"/>
        <v>5</v>
      </c>
      <c r="O80" s="5">
        <f t="shared" si="74"/>
        <v>6</v>
      </c>
      <c r="P80" s="5">
        <f t="shared" si="74"/>
        <v>7</v>
      </c>
      <c r="Q80" s="5">
        <f t="shared" si="74"/>
        <v>8</v>
      </c>
      <c r="R80" s="5">
        <f t="shared" si="74"/>
        <v>9</v>
      </c>
      <c r="S80" s="5">
        <f t="shared" si="74"/>
        <v>10</v>
      </c>
      <c r="T80" s="5">
        <f t="shared" si="74"/>
        <v>11</v>
      </c>
      <c r="U80" s="5">
        <f t="shared" si="74"/>
        <v>12</v>
      </c>
      <c r="V80" s="5">
        <f t="shared" si="74"/>
        <v>13</v>
      </c>
      <c r="W80" s="5">
        <f t="shared" si="74"/>
        <v>14</v>
      </c>
      <c r="X80" s="5">
        <f t="shared" si="74"/>
        <v>15</v>
      </c>
      <c r="Y80" s="5">
        <f t="shared" si="74"/>
        <v>16</v>
      </c>
      <c r="Z80" s="5">
        <f t="shared" si="74"/>
        <v>17</v>
      </c>
      <c r="AA80" s="5">
        <f t="shared" si="74"/>
        <v>18</v>
      </c>
      <c r="AB80" s="5">
        <f t="shared" si="74"/>
        <v>19</v>
      </c>
      <c r="AC80" s="5">
        <f t="shared" si="74"/>
        <v>20</v>
      </c>
      <c r="AD80" s="5">
        <f t="shared" si="74"/>
        <v>21</v>
      </c>
      <c r="AE80" s="5">
        <f t="shared" si="74"/>
        <v>22</v>
      </c>
      <c r="AF80" s="5">
        <f t="shared" si="74"/>
        <v>23</v>
      </c>
      <c r="AG80" s="5">
        <f t="shared" si="74"/>
        <v>24</v>
      </c>
      <c r="AH80" s="5">
        <f t="shared" si="74"/>
        <v>25</v>
      </c>
      <c r="AI80" s="5">
        <f t="shared" si="74"/>
        <v>26</v>
      </c>
      <c r="AJ80" s="5">
        <f t="shared" si="74"/>
        <v>27</v>
      </c>
      <c r="AK80" s="5">
        <f t="shared" ref="AK80:BQ80" si="75">AK$28</f>
        <v>28</v>
      </c>
      <c r="AL80" s="5">
        <f t="shared" si="75"/>
        <v>29</v>
      </c>
      <c r="AM80" s="5">
        <f t="shared" si="75"/>
        <v>30</v>
      </c>
      <c r="AN80" s="5">
        <f t="shared" si="75"/>
        <v>31</v>
      </c>
      <c r="AO80" s="5">
        <f t="shared" si="75"/>
        <v>32</v>
      </c>
      <c r="AP80" s="5">
        <f t="shared" si="75"/>
        <v>33</v>
      </c>
      <c r="AQ80" s="5">
        <f t="shared" si="75"/>
        <v>34</v>
      </c>
      <c r="AR80" s="5">
        <f t="shared" si="75"/>
        <v>35</v>
      </c>
      <c r="AS80" s="5">
        <f t="shared" si="75"/>
        <v>36</v>
      </c>
      <c r="AT80" s="5">
        <f t="shared" si="75"/>
        <v>37</v>
      </c>
      <c r="AU80" s="5">
        <f t="shared" si="75"/>
        <v>38</v>
      </c>
      <c r="AV80" s="5">
        <f t="shared" si="75"/>
        <v>39</v>
      </c>
      <c r="AW80" s="5">
        <f t="shared" si="75"/>
        <v>40</v>
      </c>
      <c r="AX80" s="5">
        <f t="shared" si="75"/>
        <v>41</v>
      </c>
      <c r="AY80" s="5">
        <f t="shared" si="75"/>
        <v>42</v>
      </c>
      <c r="AZ80" s="5">
        <f t="shared" si="75"/>
        <v>43</v>
      </c>
      <c r="BA80" s="5">
        <f t="shared" si="75"/>
        <v>44</v>
      </c>
      <c r="BB80" s="5">
        <f t="shared" si="75"/>
        <v>45</v>
      </c>
      <c r="BC80" s="5">
        <f t="shared" si="75"/>
        <v>46</v>
      </c>
      <c r="BD80" s="5">
        <f t="shared" si="75"/>
        <v>47</v>
      </c>
      <c r="BE80" s="5">
        <f t="shared" si="75"/>
        <v>48</v>
      </c>
      <c r="BF80" s="5">
        <f t="shared" si="75"/>
        <v>49</v>
      </c>
      <c r="BG80" s="5">
        <f t="shared" si="75"/>
        <v>50</v>
      </c>
      <c r="BH80" s="5">
        <f t="shared" si="75"/>
        <v>51</v>
      </c>
      <c r="BI80" s="5">
        <f t="shared" si="75"/>
        <v>52</v>
      </c>
      <c r="BJ80" s="5">
        <f t="shared" si="75"/>
        <v>53</v>
      </c>
      <c r="BK80" s="5">
        <f t="shared" si="75"/>
        <v>54</v>
      </c>
      <c r="BL80" s="5">
        <f t="shared" si="75"/>
        <v>55</v>
      </c>
      <c r="BM80" s="5">
        <f t="shared" si="75"/>
        <v>56</v>
      </c>
      <c r="BN80" s="5">
        <f t="shared" si="75"/>
        <v>57</v>
      </c>
      <c r="BO80" s="5">
        <f t="shared" si="75"/>
        <v>58</v>
      </c>
      <c r="BP80" s="5">
        <f t="shared" si="75"/>
        <v>59</v>
      </c>
      <c r="BQ80" s="5">
        <f t="shared" si="75"/>
        <v>60</v>
      </c>
    </row>
    <row r="81" spans="1:69">
      <c r="E81" s="5" t="str">
        <f t="shared" ref="E81:AJ81" si="76">E$331</f>
        <v>Month to Quarter : period end flag</v>
      </c>
      <c r="F81" s="5">
        <f t="shared" si="76"/>
        <v>0</v>
      </c>
      <c r="G81" s="5" t="str">
        <f t="shared" si="76"/>
        <v>counter</v>
      </c>
      <c r="H81" s="5">
        <f t="shared" si="76"/>
        <v>0</v>
      </c>
      <c r="I81" s="5">
        <f t="shared" si="76"/>
        <v>0</v>
      </c>
      <c r="J81" s="5">
        <f t="shared" si="76"/>
        <v>0</v>
      </c>
      <c r="K81" s="5">
        <f t="shared" si="76"/>
        <v>0</v>
      </c>
      <c r="L81" s="5">
        <f t="shared" si="76"/>
        <v>1</v>
      </c>
      <c r="M81" s="5">
        <f t="shared" si="76"/>
        <v>0</v>
      </c>
      <c r="N81" s="5">
        <f t="shared" si="76"/>
        <v>0</v>
      </c>
      <c r="O81" s="5">
        <f t="shared" si="76"/>
        <v>2</v>
      </c>
      <c r="P81" s="5">
        <f t="shared" si="76"/>
        <v>0</v>
      </c>
      <c r="Q81" s="5">
        <f t="shared" si="76"/>
        <v>0</v>
      </c>
      <c r="R81" s="5">
        <f t="shared" si="76"/>
        <v>3</v>
      </c>
      <c r="S81" s="5">
        <f t="shared" si="76"/>
        <v>0</v>
      </c>
      <c r="T81" s="5">
        <f t="shared" si="76"/>
        <v>0</v>
      </c>
      <c r="U81" s="5">
        <f t="shared" si="76"/>
        <v>4</v>
      </c>
      <c r="V81" s="5">
        <f t="shared" si="76"/>
        <v>0</v>
      </c>
      <c r="W81" s="5">
        <f t="shared" si="76"/>
        <v>0</v>
      </c>
      <c r="X81" s="5">
        <f t="shared" si="76"/>
        <v>5</v>
      </c>
      <c r="Y81" s="5">
        <f t="shared" si="76"/>
        <v>0</v>
      </c>
      <c r="Z81" s="5">
        <f t="shared" si="76"/>
        <v>0</v>
      </c>
      <c r="AA81" s="5">
        <f t="shared" si="76"/>
        <v>6</v>
      </c>
      <c r="AB81" s="5">
        <f t="shared" si="76"/>
        <v>0</v>
      </c>
      <c r="AC81" s="5">
        <f t="shared" si="76"/>
        <v>0</v>
      </c>
      <c r="AD81" s="5">
        <f t="shared" si="76"/>
        <v>7</v>
      </c>
      <c r="AE81" s="5">
        <f t="shared" si="76"/>
        <v>0</v>
      </c>
      <c r="AF81" s="5">
        <f t="shared" si="76"/>
        <v>0</v>
      </c>
      <c r="AG81" s="5">
        <f t="shared" si="76"/>
        <v>8</v>
      </c>
      <c r="AH81" s="5">
        <f t="shared" si="76"/>
        <v>0</v>
      </c>
      <c r="AI81" s="5">
        <f t="shared" si="76"/>
        <v>0</v>
      </c>
      <c r="AJ81" s="5">
        <f t="shared" si="76"/>
        <v>9</v>
      </c>
      <c r="AK81" s="5">
        <f t="shared" ref="AK81:BQ81" si="77">AK$331</f>
        <v>0</v>
      </c>
      <c r="AL81" s="5">
        <f t="shared" si="77"/>
        <v>0</v>
      </c>
      <c r="AM81" s="5">
        <f t="shared" si="77"/>
        <v>10</v>
      </c>
      <c r="AN81" s="5">
        <f t="shared" si="77"/>
        <v>0</v>
      </c>
      <c r="AO81" s="5">
        <f t="shared" si="77"/>
        <v>0</v>
      </c>
      <c r="AP81" s="5">
        <f t="shared" si="77"/>
        <v>11</v>
      </c>
      <c r="AQ81" s="5">
        <f t="shared" si="77"/>
        <v>0</v>
      </c>
      <c r="AR81" s="5">
        <f t="shared" si="77"/>
        <v>0</v>
      </c>
      <c r="AS81" s="5">
        <f t="shared" si="77"/>
        <v>12</v>
      </c>
      <c r="AT81" s="5">
        <f t="shared" si="77"/>
        <v>0</v>
      </c>
      <c r="AU81" s="5">
        <f t="shared" si="77"/>
        <v>0</v>
      </c>
      <c r="AV81" s="5">
        <f t="shared" si="77"/>
        <v>13</v>
      </c>
      <c r="AW81" s="5">
        <f t="shared" si="77"/>
        <v>0</v>
      </c>
      <c r="AX81" s="5">
        <f t="shared" si="77"/>
        <v>0</v>
      </c>
      <c r="AY81" s="5">
        <f t="shared" si="77"/>
        <v>14</v>
      </c>
      <c r="AZ81" s="5">
        <f t="shared" si="77"/>
        <v>0</v>
      </c>
      <c r="BA81" s="5">
        <f t="shared" si="77"/>
        <v>0</v>
      </c>
      <c r="BB81" s="5">
        <f t="shared" si="77"/>
        <v>15</v>
      </c>
      <c r="BC81" s="5">
        <f t="shared" si="77"/>
        <v>0</v>
      </c>
      <c r="BD81" s="5">
        <f t="shared" si="77"/>
        <v>0</v>
      </c>
      <c r="BE81" s="5">
        <f t="shared" si="77"/>
        <v>16</v>
      </c>
      <c r="BF81" s="5">
        <f t="shared" si="77"/>
        <v>0</v>
      </c>
      <c r="BG81" s="5">
        <f t="shared" si="77"/>
        <v>0</v>
      </c>
      <c r="BH81" s="5">
        <f t="shared" si="77"/>
        <v>17</v>
      </c>
      <c r="BI81" s="5">
        <f t="shared" si="77"/>
        <v>0</v>
      </c>
      <c r="BJ81" s="5">
        <f t="shared" si="77"/>
        <v>0</v>
      </c>
      <c r="BK81" s="5">
        <f t="shared" si="77"/>
        <v>18</v>
      </c>
      <c r="BL81" s="5">
        <f t="shared" si="77"/>
        <v>0</v>
      </c>
      <c r="BM81" s="5">
        <f t="shared" si="77"/>
        <v>0</v>
      </c>
      <c r="BN81" s="5">
        <f t="shared" si="77"/>
        <v>19</v>
      </c>
      <c r="BO81" s="5">
        <f t="shared" si="77"/>
        <v>0</v>
      </c>
      <c r="BP81" s="5">
        <f t="shared" si="77"/>
        <v>0</v>
      </c>
      <c r="BQ81" s="5">
        <f t="shared" si="77"/>
        <v>20</v>
      </c>
    </row>
    <row r="82" spans="1:69">
      <c r="A82" s="31"/>
      <c r="B82" s="31"/>
      <c r="C82" s="51"/>
      <c r="D82" s="50"/>
      <c r="E82" s="3" t="s">
        <v>165</v>
      </c>
      <c r="F82" s="3"/>
      <c r="G82" s="3" t="s">
        <v>252</v>
      </c>
      <c r="H82" s="3" t="e">
        <f>SUM(J82:BQ82)</f>
        <v>#N/A</v>
      </c>
      <c r="I82" s="3"/>
      <c r="J82" s="3" t="str">
        <f t="shared" ref="J82:AO82" si="78">INDEX($J79:$BQ79,MATCH(J80,$J81:$BQ81,0))</f>
        <v>Month3</v>
      </c>
      <c r="K82" s="3" t="str">
        <f t="shared" si="78"/>
        <v>Month6</v>
      </c>
      <c r="L82" s="3" t="str">
        <f t="shared" si="78"/>
        <v>Month9</v>
      </c>
      <c r="M82" s="3" t="str">
        <f t="shared" si="78"/>
        <v>Month12</v>
      </c>
      <c r="N82" s="3" t="str">
        <f t="shared" si="78"/>
        <v>Month15</v>
      </c>
      <c r="O82" s="3" t="str">
        <f t="shared" si="78"/>
        <v>Month18</v>
      </c>
      <c r="P82" s="3" t="str">
        <f t="shared" si="78"/>
        <v>Month21</v>
      </c>
      <c r="Q82" s="3" t="str">
        <f t="shared" si="78"/>
        <v>Month24</v>
      </c>
      <c r="R82" s="3" t="str">
        <f t="shared" si="78"/>
        <v>Month27</v>
      </c>
      <c r="S82" s="3" t="str">
        <f t="shared" si="78"/>
        <v>Month30</v>
      </c>
      <c r="T82" s="3" t="str">
        <f t="shared" si="78"/>
        <v>Month33</v>
      </c>
      <c r="U82" s="3" t="str">
        <f t="shared" si="78"/>
        <v>Month36</v>
      </c>
      <c r="V82" s="3" t="str">
        <f t="shared" si="78"/>
        <v>Month39</v>
      </c>
      <c r="W82" s="3" t="str">
        <f t="shared" si="78"/>
        <v>Month42</v>
      </c>
      <c r="X82" s="3" t="str">
        <f t="shared" si="78"/>
        <v>Month45</v>
      </c>
      <c r="Y82" s="3" t="str">
        <f t="shared" si="78"/>
        <v>Month48</v>
      </c>
      <c r="Z82" s="3" t="str">
        <f t="shared" si="78"/>
        <v>Month51</v>
      </c>
      <c r="AA82" s="3" t="str">
        <f t="shared" si="78"/>
        <v>Month54</v>
      </c>
      <c r="AB82" s="3" t="str">
        <f t="shared" si="78"/>
        <v>Month57</v>
      </c>
      <c r="AC82" s="3" t="str">
        <f t="shared" si="78"/>
        <v>Month60</v>
      </c>
      <c r="AD82" s="3" t="e">
        <f t="shared" si="78"/>
        <v>#N/A</v>
      </c>
      <c r="AE82" s="3" t="e">
        <f t="shared" si="78"/>
        <v>#N/A</v>
      </c>
      <c r="AF82" s="3" t="e">
        <f t="shared" si="78"/>
        <v>#N/A</v>
      </c>
      <c r="AG82" s="3" t="e">
        <f t="shared" si="78"/>
        <v>#N/A</v>
      </c>
      <c r="AH82" s="3" t="e">
        <f t="shared" si="78"/>
        <v>#N/A</v>
      </c>
      <c r="AI82" s="3" t="e">
        <f t="shared" si="78"/>
        <v>#N/A</v>
      </c>
      <c r="AJ82" s="3" t="e">
        <f t="shared" si="78"/>
        <v>#N/A</v>
      </c>
      <c r="AK82" s="3" t="e">
        <f t="shared" si="78"/>
        <v>#N/A</v>
      </c>
      <c r="AL82" s="3" t="e">
        <f t="shared" si="78"/>
        <v>#N/A</v>
      </c>
      <c r="AM82" s="3" t="e">
        <f t="shared" si="78"/>
        <v>#N/A</v>
      </c>
      <c r="AN82" s="3" t="e">
        <f t="shared" si="78"/>
        <v>#N/A</v>
      </c>
      <c r="AO82" s="3" t="e">
        <f t="shared" si="78"/>
        <v>#N/A</v>
      </c>
      <c r="AP82" s="3" t="e">
        <f t="shared" ref="AP82:BU82" si="79">INDEX($J79:$BQ79,MATCH(AP80,$J81:$BQ81,0))</f>
        <v>#N/A</v>
      </c>
      <c r="AQ82" s="3" t="e">
        <f t="shared" si="79"/>
        <v>#N/A</v>
      </c>
      <c r="AR82" s="3" t="e">
        <f t="shared" si="79"/>
        <v>#N/A</v>
      </c>
      <c r="AS82" s="3" t="e">
        <f t="shared" si="79"/>
        <v>#N/A</v>
      </c>
      <c r="AT82" s="3" t="e">
        <f t="shared" si="79"/>
        <v>#N/A</v>
      </c>
      <c r="AU82" s="3" t="e">
        <f t="shared" si="79"/>
        <v>#N/A</v>
      </c>
      <c r="AV82" s="3" t="e">
        <f t="shared" si="79"/>
        <v>#N/A</v>
      </c>
      <c r="AW82" s="3" t="e">
        <f t="shared" si="79"/>
        <v>#N/A</v>
      </c>
      <c r="AX82" s="3" t="e">
        <f t="shared" si="79"/>
        <v>#N/A</v>
      </c>
      <c r="AY82" s="3" t="e">
        <f t="shared" si="79"/>
        <v>#N/A</v>
      </c>
      <c r="AZ82" s="3" t="e">
        <f t="shared" si="79"/>
        <v>#N/A</v>
      </c>
      <c r="BA82" s="3" t="e">
        <f t="shared" si="79"/>
        <v>#N/A</v>
      </c>
      <c r="BB82" s="3" t="e">
        <f t="shared" si="79"/>
        <v>#N/A</v>
      </c>
      <c r="BC82" s="3" t="e">
        <f t="shared" si="79"/>
        <v>#N/A</v>
      </c>
      <c r="BD82" s="3" t="e">
        <f t="shared" si="79"/>
        <v>#N/A</v>
      </c>
      <c r="BE82" s="3" t="e">
        <f t="shared" si="79"/>
        <v>#N/A</v>
      </c>
      <c r="BF82" s="3" t="e">
        <f t="shared" si="79"/>
        <v>#N/A</v>
      </c>
      <c r="BG82" s="3" t="e">
        <f t="shared" si="79"/>
        <v>#N/A</v>
      </c>
      <c r="BH82" s="3" t="e">
        <f t="shared" si="79"/>
        <v>#N/A</v>
      </c>
      <c r="BI82" s="3" t="e">
        <f t="shared" si="79"/>
        <v>#N/A</v>
      </c>
      <c r="BJ82" s="3" t="e">
        <f t="shared" si="79"/>
        <v>#N/A</v>
      </c>
      <c r="BK82" s="3" t="e">
        <f t="shared" si="79"/>
        <v>#N/A</v>
      </c>
      <c r="BL82" s="3" t="e">
        <f t="shared" si="79"/>
        <v>#N/A</v>
      </c>
      <c r="BM82" s="3" t="e">
        <f t="shared" si="79"/>
        <v>#N/A</v>
      </c>
      <c r="BN82" s="3" t="e">
        <f t="shared" si="79"/>
        <v>#N/A</v>
      </c>
      <c r="BO82" s="3" t="e">
        <f t="shared" si="79"/>
        <v>#N/A</v>
      </c>
      <c r="BP82" s="3" t="e">
        <f t="shared" si="79"/>
        <v>#N/A</v>
      </c>
      <c r="BQ82" s="3" t="e">
        <f t="shared" si="79"/>
        <v>#N/A</v>
      </c>
    </row>
    <row r="85" spans="1:69">
      <c r="B85" s="22" t="s">
        <v>334</v>
      </c>
    </row>
    <row r="86" spans="1:69">
      <c r="E86" s="5" t="str">
        <f t="shared" ref="E86:AJ86" si="80">E$28</f>
        <v>Period number</v>
      </c>
      <c r="F86" s="5">
        <f t="shared" si="80"/>
        <v>0</v>
      </c>
      <c r="G86" s="5" t="str">
        <f t="shared" si="80"/>
        <v>Counter</v>
      </c>
      <c r="H86" s="5">
        <f t="shared" si="80"/>
        <v>0</v>
      </c>
      <c r="I86" s="5">
        <f t="shared" si="80"/>
        <v>0</v>
      </c>
      <c r="J86" s="5">
        <f t="shared" si="80"/>
        <v>1</v>
      </c>
      <c r="K86" s="5">
        <f t="shared" si="80"/>
        <v>2</v>
      </c>
      <c r="L86" s="5">
        <f t="shared" si="80"/>
        <v>3</v>
      </c>
      <c r="M86" s="5">
        <f t="shared" si="80"/>
        <v>4</v>
      </c>
      <c r="N86" s="5">
        <f t="shared" si="80"/>
        <v>5</v>
      </c>
      <c r="O86" s="5">
        <f t="shared" si="80"/>
        <v>6</v>
      </c>
      <c r="P86" s="5">
        <f t="shared" si="80"/>
        <v>7</v>
      </c>
      <c r="Q86" s="5">
        <f t="shared" si="80"/>
        <v>8</v>
      </c>
      <c r="R86" s="5">
        <f t="shared" si="80"/>
        <v>9</v>
      </c>
      <c r="S86" s="5">
        <f t="shared" si="80"/>
        <v>10</v>
      </c>
      <c r="T86" s="5">
        <f t="shared" si="80"/>
        <v>11</v>
      </c>
      <c r="U86" s="5">
        <f t="shared" si="80"/>
        <v>12</v>
      </c>
      <c r="V86" s="5">
        <f t="shared" si="80"/>
        <v>13</v>
      </c>
      <c r="W86" s="5">
        <f t="shared" si="80"/>
        <v>14</v>
      </c>
      <c r="X86" s="5">
        <f t="shared" si="80"/>
        <v>15</v>
      </c>
      <c r="Y86" s="5">
        <f t="shared" si="80"/>
        <v>16</v>
      </c>
      <c r="Z86" s="5">
        <f t="shared" si="80"/>
        <v>17</v>
      </c>
      <c r="AA86" s="5">
        <f t="shared" si="80"/>
        <v>18</v>
      </c>
      <c r="AB86" s="5">
        <f t="shared" si="80"/>
        <v>19</v>
      </c>
      <c r="AC86" s="5">
        <f t="shared" si="80"/>
        <v>20</v>
      </c>
      <c r="AD86" s="5">
        <f t="shared" si="80"/>
        <v>21</v>
      </c>
      <c r="AE86" s="5">
        <f t="shared" si="80"/>
        <v>22</v>
      </c>
      <c r="AF86" s="5">
        <f t="shared" si="80"/>
        <v>23</v>
      </c>
      <c r="AG86" s="5">
        <f t="shared" si="80"/>
        <v>24</v>
      </c>
      <c r="AH86" s="5">
        <f t="shared" si="80"/>
        <v>25</v>
      </c>
      <c r="AI86" s="5">
        <f t="shared" si="80"/>
        <v>26</v>
      </c>
      <c r="AJ86" s="5">
        <f t="shared" si="80"/>
        <v>27</v>
      </c>
      <c r="AK86" s="5">
        <f t="shared" ref="AK86:BQ86" si="81">AK$28</f>
        <v>28</v>
      </c>
      <c r="AL86" s="5">
        <f t="shared" si="81"/>
        <v>29</v>
      </c>
      <c r="AM86" s="5">
        <f t="shared" si="81"/>
        <v>30</v>
      </c>
      <c r="AN86" s="5">
        <f t="shared" si="81"/>
        <v>31</v>
      </c>
      <c r="AO86" s="5">
        <f t="shared" si="81"/>
        <v>32</v>
      </c>
      <c r="AP86" s="5">
        <f t="shared" si="81"/>
        <v>33</v>
      </c>
      <c r="AQ86" s="5">
        <f t="shared" si="81"/>
        <v>34</v>
      </c>
      <c r="AR86" s="5">
        <f t="shared" si="81"/>
        <v>35</v>
      </c>
      <c r="AS86" s="5">
        <f t="shared" si="81"/>
        <v>36</v>
      </c>
      <c r="AT86" s="5">
        <f t="shared" si="81"/>
        <v>37</v>
      </c>
      <c r="AU86" s="5">
        <f t="shared" si="81"/>
        <v>38</v>
      </c>
      <c r="AV86" s="5">
        <f t="shared" si="81"/>
        <v>39</v>
      </c>
      <c r="AW86" s="5">
        <f t="shared" si="81"/>
        <v>40</v>
      </c>
      <c r="AX86" s="5">
        <f t="shared" si="81"/>
        <v>41</v>
      </c>
      <c r="AY86" s="5">
        <f t="shared" si="81"/>
        <v>42</v>
      </c>
      <c r="AZ86" s="5">
        <f t="shared" si="81"/>
        <v>43</v>
      </c>
      <c r="BA86" s="5">
        <f t="shared" si="81"/>
        <v>44</v>
      </c>
      <c r="BB86" s="5">
        <f t="shared" si="81"/>
        <v>45</v>
      </c>
      <c r="BC86" s="5">
        <f t="shared" si="81"/>
        <v>46</v>
      </c>
      <c r="BD86" s="5">
        <f t="shared" si="81"/>
        <v>47</v>
      </c>
      <c r="BE86" s="5">
        <f t="shared" si="81"/>
        <v>48</v>
      </c>
      <c r="BF86" s="5">
        <f t="shared" si="81"/>
        <v>49</v>
      </c>
      <c r="BG86" s="5">
        <f t="shared" si="81"/>
        <v>50</v>
      </c>
      <c r="BH86" s="5">
        <f t="shared" si="81"/>
        <v>51</v>
      </c>
      <c r="BI86" s="5">
        <f t="shared" si="81"/>
        <v>52</v>
      </c>
      <c r="BJ86" s="5">
        <f t="shared" si="81"/>
        <v>53</v>
      </c>
      <c r="BK86" s="5">
        <f t="shared" si="81"/>
        <v>54</v>
      </c>
      <c r="BL86" s="5">
        <f t="shared" si="81"/>
        <v>55</v>
      </c>
      <c r="BM86" s="5">
        <f t="shared" si="81"/>
        <v>56</v>
      </c>
      <c r="BN86" s="5">
        <f t="shared" si="81"/>
        <v>57</v>
      </c>
      <c r="BO86" s="5">
        <f t="shared" si="81"/>
        <v>58</v>
      </c>
      <c r="BP86" s="5">
        <f t="shared" si="81"/>
        <v>59</v>
      </c>
      <c r="BQ86" s="5">
        <f t="shared" si="81"/>
        <v>60</v>
      </c>
    </row>
    <row r="87" spans="1:69">
      <c r="E87" s="5" t="str">
        <f t="shared" ref="E87:AJ87" si="82">E$331</f>
        <v>Month to Quarter : period end flag</v>
      </c>
      <c r="F87" s="5">
        <f t="shared" si="82"/>
        <v>0</v>
      </c>
      <c r="G87" s="5" t="str">
        <f t="shared" si="82"/>
        <v>counter</v>
      </c>
      <c r="H87" s="5">
        <f t="shared" si="82"/>
        <v>0</v>
      </c>
      <c r="I87" s="5">
        <f t="shared" si="82"/>
        <v>0</v>
      </c>
      <c r="J87" s="5">
        <f t="shared" si="82"/>
        <v>0</v>
      </c>
      <c r="K87" s="5">
        <f t="shared" si="82"/>
        <v>0</v>
      </c>
      <c r="L87" s="5">
        <f t="shared" si="82"/>
        <v>1</v>
      </c>
      <c r="M87" s="5">
        <f t="shared" si="82"/>
        <v>0</v>
      </c>
      <c r="N87" s="5">
        <f t="shared" si="82"/>
        <v>0</v>
      </c>
      <c r="O87" s="5">
        <f t="shared" si="82"/>
        <v>2</v>
      </c>
      <c r="P87" s="5">
        <f t="shared" si="82"/>
        <v>0</v>
      </c>
      <c r="Q87" s="5">
        <f t="shared" si="82"/>
        <v>0</v>
      </c>
      <c r="R87" s="5">
        <f t="shared" si="82"/>
        <v>3</v>
      </c>
      <c r="S87" s="5">
        <f t="shared" si="82"/>
        <v>0</v>
      </c>
      <c r="T87" s="5">
        <f t="shared" si="82"/>
        <v>0</v>
      </c>
      <c r="U87" s="5">
        <f t="shared" si="82"/>
        <v>4</v>
      </c>
      <c r="V87" s="5">
        <f t="shared" si="82"/>
        <v>0</v>
      </c>
      <c r="W87" s="5">
        <f t="shared" si="82"/>
        <v>0</v>
      </c>
      <c r="X87" s="5">
        <f t="shared" si="82"/>
        <v>5</v>
      </c>
      <c r="Y87" s="5">
        <f t="shared" si="82"/>
        <v>0</v>
      </c>
      <c r="Z87" s="5">
        <f t="shared" si="82"/>
        <v>0</v>
      </c>
      <c r="AA87" s="5">
        <f t="shared" si="82"/>
        <v>6</v>
      </c>
      <c r="AB87" s="5">
        <f t="shared" si="82"/>
        <v>0</v>
      </c>
      <c r="AC87" s="5">
        <f t="shared" si="82"/>
        <v>0</v>
      </c>
      <c r="AD87" s="5">
        <f t="shared" si="82"/>
        <v>7</v>
      </c>
      <c r="AE87" s="5">
        <f t="shared" si="82"/>
        <v>0</v>
      </c>
      <c r="AF87" s="5">
        <f t="shared" si="82"/>
        <v>0</v>
      </c>
      <c r="AG87" s="5">
        <f t="shared" si="82"/>
        <v>8</v>
      </c>
      <c r="AH87" s="5">
        <f t="shared" si="82"/>
        <v>0</v>
      </c>
      <c r="AI87" s="5">
        <f t="shared" si="82"/>
        <v>0</v>
      </c>
      <c r="AJ87" s="5">
        <f t="shared" si="82"/>
        <v>9</v>
      </c>
      <c r="AK87" s="5">
        <f t="shared" ref="AK87:BQ87" si="83">AK$331</f>
        <v>0</v>
      </c>
      <c r="AL87" s="5">
        <f t="shared" si="83"/>
        <v>0</v>
      </c>
      <c r="AM87" s="5">
        <f t="shared" si="83"/>
        <v>10</v>
      </c>
      <c r="AN87" s="5">
        <f t="shared" si="83"/>
        <v>0</v>
      </c>
      <c r="AO87" s="5">
        <f t="shared" si="83"/>
        <v>0</v>
      </c>
      <c r="AP87" s="5">
        <f t="shared" si="83"/>
        <v>11</v>
      </c>
      <c r="AQ87" s="5">
        <f t="shared" si="83"/>
        <v>0</v>
      </c>
      <c r="AR87" s="5">
        <f t="shared" si="83"/>
        <v>0</v>
      </c>
      <c r="AS87" s="5">
        <f t="shared" si="83"/>
        <v>12</v>
      </c>
      <c r="AT87" s="5">
        <f t="shared" si="83"/>
        <v>0</v>
      </c>
      <c r="AU87" s="5">
        <f t="shared" si="83"/>
        <v>0</v>
      </c>
      <c r="AV87" s="5">
        <f t="shared" si="83"/>
        <v>13</v>
      </c>
      <c r="AW87" s="5">
        <f t="shared" si="83"/>
        <v>0</v>
      </c>
      <c r="AX87" s="5">
        <f t="shared" si="83"/>
        <v>0</v>
      </c>
      <c r="AY87" s="5">
        <f t="shared" si="83"/>
        <v>14</v>
      </c>
      <c r="AZ87" s="5">
        <f t="shared" si="83"/>
        <v>0</v>
      </c>
      <c r="BA87" s="5">
        <f t="shared" si="83"/>
        <v>0</v>
      </c>
      <c r="BB87" s="5">
        <f t="shared" si="83"/>
        <v>15</v>
      </c>
      <c r="BC87" s="5">
        <f t="shared" si="83"/>
        <v>0</v>
      </c>
      <c r="BD87" s="5">
        <f t="shared" si="83"/>
        <v>0</v>
      </c>
      <c r="BE87" s="5">
        <f t="shared" si="83"/>
        <v>16</v>
      </c>
      <c r="BF87" s="5">
        <f t="shared" si="83"/>
        <v>0</v>
      </c>
      <c r="BG87" s="5">
        <f t="shared" si="83"/>
        <v>0</v>
      </c>
      <c r="BH87" s="5">
        <f t="shared" si="83"/>
        <v>17</v>
      </c>
      <c r="BI87" s="5">
        <f t="shared" si="83"/>
        <v>0</v>
      </c>
      <c r="BJ87" s="5">
        <f t="shared" si="83"/>
        <v>0</v>
      </c>
      <c r="BK87" s="5">
        <f t="shared" si="83"/>
        <v>18</v>
      </c>
      <c r="BL87" s="5">
        <f t="shared" si="83"/>
        <v>0</v>
      </c>
      <c r="BM87" s="5">
        <f t="shared" si="83"/>
        <v>0</v>
      </c>
      <c r="BN87" s="5">
        <f t="shared" si="83"/>
        <v>19</v>
      </c>
      <c r="BO87" s="5">
        <f t="shared" si="83"/>
        <v>0</v>
      </c>
      <c r="BP87" s="5">
        <f t="shared" si="83"/>
        <v>0</v>
      </c>
      <c r="BQ87" s="5">
        <f t="shared" si="83"/>
        <v>20</v>
      </c>
    </row>
    <row r="88" spans="1:69">
      <c r="A88" s="31"/>
      <c r="B88" s="31"/>
      <c r="C88" s="51"/>
      <c r="D88" s="50"/>
      <c r="E88" s="3" t="s">
        <v>334</v>
      </c>
      <c r="F88" s="3"/>
      <c r="G88" s="3" t="s">
        <v>279</v>
      </c>
      <c r="H88" s="3"/>
      <c r="I88" s="3"/>
      <c r="J88" s="14">
        <f t="shared" ref="J88:AO88" si="84">INDEX($J86:$BQ86,MATCH(J86,$J87:$BQ87,0))</f>
        <v>3</v>
      </c>
      <c r="K88" s="14">
        <f t="shared" si="84"/>
        <v>6</v>
      </c>
      <c r="L88" s="14">
        <f t="shared" si="84"/>
        <v>9</v>
      </c>
      <c r="M88" s="14">
        <f t="shared" si="84"/>
        <v>12</v>
      </c>
      <c r="N88" s="14">
        <f t="shared" si="84"/>
        <v>15</v>
      </c>
      <c r="O88" s="14">
        <f t="shared" si="84"/>
        <v>18</v>
      </c>
      <c r="P88" s="14">
        <f t="shared" si="84"/>
        <v>21</v>
      </c>
      <c r="Q88" s="14">
        <f t="shared" si="84"/>
        <v>24</v>
      </c>
      <c r="R88" s="14">
        <f t="shared" si="84"/>
        <v>27</v>
      </c>
      <c r="S88" s="14">
        <f t="shared" si="84"/>
        <v>30</v>
      </c>
      <c r="T88" s="14">
        <f t="shared" si="84"/>
        <v>33</v>
      </c>
      <c r="U88" s="14">
        <f t="shared" si="84"/>
        <v>36</v>
      </c>
      <c r="V88" s="14">
        <f t="shared" si="84"/>
        <v>39</v>
      </c>
      <c r="W88" s="14">
        <f t="shared" si="84"/>
        <v>42</v>
      </c>
      <c r="X88" s="14">
        <f t="shared" si="84"/>
        <v>45</v>
      </c>
      <c r="Y88" s="14">
        <f t="shared" si="84"/>
        <v>48</v>
      </c>
      <c r="Z88" s="14">
        <f t="shared" si="84"/>
        <v>51</v>
      </c>
      <c r="AA88" s="14">
        <f t="shared" si="84"/>
        <v>54</v>
      </c>
      <c r="AB88" s="14">
        <f t="shared" si="84"/>
        <v>57</v>
      </c>
      <c r="AC88" s="14">
        <f t="shared" si="84"/>
        <v>60</v>
      </c>
      <c r="AD88" s="14" t="e">
        <f t="shared" si="84"/>
        <v>#N/A</v>
      </c>
      <c r="AE88" s="14" t="e">
        <f t="shared" si="84"/>
        <v>#N/A</v>
      </c>
      <c r="AF88" s="14" t="e">
        <f t="shared" si="84"/>
        <v>#N/A</v>
      </c>
      <c r="AG88" s="14" t="e">
        <f t="shared" si="84"/>
        <v>#N/A</v>
      </c>
      <c r="AH88" s="14" t="e">
        <f t="shared" si="84"/>
        <v>#N/A</v>
      </c>
      <c r="AI88" s="14" t="e">
        <f t="shared" si="84"/>
        <v>#N/A</v>
      </c>
      <c r="AJ88" s="14" t="e">
        <f t="shared" si="84"/>
        <v>#N/A</v>
      </c>
      <c r="AK88" s="14" t="e">
        <f t="shared" si="84"/>
        <v>#N/A</v>
      </c>
      <c r="AL88" s="14" t="e">
        <f t="shared" si="84"/>
        <v>#N/A</v>
      </c>
      <c r="AM88" s="14" t="e">
        <f t="shared" si="84"/>
        <v>#N/A</v>
      </c>
      <c r="AN88" s="14" t="e">
        <f t="shared" si="84"/>
        <v>#N/A</v>
      </c>
      <c r="AO88" s="14" t="e">
        <f t="shared" si="84"/>
        <v>#N/A</v>
      </c>
      <c r="AP88" s="14" t="e">
        <f t="shared" ref="AP88:BU88" si="85">INDEX($J86:$BQ86,MATCH(AP86,$J87:$BQ87,0))</f>
        <v>#N/A</v>
      </c>
      <c r="AQ88" s="14" t="e">
        <f t="shared" si="85"/>
        <v>#N/A</v>
      </c>
      <c r="AR88" s="14" t="e">
        <f t="shared" si="85"/>
        <v>#N/A</v>
      </c>
      <c r="AS88" s="14" t="e">
        <f t="shared" si="85"/>
        <v>#N/A</v>
      </c>
      <c r="AT88" s="14" t="e">
        <f t="shared" si="85"/>
        <v>#N/A</v>
      </c>
      <c r="AU88" s="14" t="e">
        <f t="shared" si="85"/>
        <v>#N/A</v>
      </c>
      <c r="AV88" s="14" t="e">
        <f t="shared" si="85"/>
        <v>#N/A</v>
      </c>
      <c r="AW88" s="14" t="e">
        <f t="shared" si="85"/>
        <v>#N/A</v>
      </c>
      <c r="AX88" s="14" t="e">
        <f t="shared" si="85"/>
        <v>#N/A</v>
      </c>
      <c r="AY88" s="14" t="e">
        <f t="shared" si="85"/>
        <v>#N/A</v>
      </c>
      <c r="AZ88" s="14" t="e">
        <f t="shared" si="85"/>
        <v>#N/A</v>
      </c>
      <c r="BA88" s="14" t="e">
        <f t="shared" si="85"/>
        <v>#N/A</v>
      </c>
      <c r="BB88" s="14" t="e">
        <f t="shared" si="85"/>
        <v>#N/A</v>
      </c>
      <c r="BC88" s="14" t="e">
        <f t="shared" si="85"/>
        <v>#N/A</v>
      </c>
      <c r="BD88" s="14" t="e">
        <f t="shared" si="85"/>
        <v>#N/A</v>
      </c>
      <c r="BE88" s="14" t="e">
        <f t="shared" si="85"/>
        <v>#N/A</v>
      </c>
      <c r="BF88" s="14" t="e">
        <f t="shared" si="85"/>
        <v>#N/A</v>
      </c>
      <c r="BG88" s="14" t="e">
        <f t="shared" si="85"/>
        <v>#N/A</v>
      </c>
      <c r="BH88" s="14" t="e">
        <f t="shared" si="85"/>
        <v>#N/A</v>
      </c>
      <c r="BI88" s="14" t="e">
        <f t="shared" si="85"/>
        <v>#N/A</v>
      </c>
      <c r="BJ88" s="14" t="e">
        <f t="shared" si="85"/>
        <v>#N/A</v>
      </c>
      <c r="BK88" s="14" t="e">
        <f t="shared" si="85"/>
        <v>#N/A</v>
      </c>
      <c r="BL88" s="14" t="e">
        <f t="shared" si="85"/>
        <v>#N/A</v>
      </c>
      <c r="BM88" s="14" t="e">
        <f t="shared" si="85"/>
        <v>#N/A</v>
      </c>
      <c r="BN88" s="14" t="e">
        <f t="shared" si="85"/>
        <v>#N/A</v>
      </c>
      <c r="BO88" s="14" t="e">
        <f t="shared" si="85"/>
        <v>#N/A</v>
      </c>
      <c r="BP88" s="14" t="e">
        <f t="shared" si="85"/>
        <v>#N/A</v>
      </c>
      <c r="BQ88" s="14" t="e">
        <f t="shared" si="85"/>
        <v>#N/A</v>
      </c>
    </row>
    <row r="91" spans="1:69">
      <c r="B91" s="22" t="s">
        <v>191</v>
      </c>
    </row>
    <row r="92" spans="1:69">
      <c r="E92" s="8" t="str">
        <f t="shared" ref="E92:AJ92" si="86">E$19</f>
        <v>Model period end</v>
      </c>
      <c r="F92" s="8">
        <f t="shared" si="86"/>
        <v>0</v>
      </c>
      <c r="G92" s="8" t="str">
        <f t="shared" si="86"/>
        <v>date</v>
      </c>
      <c r="H92" s="8">
        <f t="shared" si="86"/>
        <v>0</v>
      </c>
      <c r="I92" s="8">
        <f t="shared" si="86"/>
        <v>0</v>
      </c>
      <c r="J92" s="8">
        <f t="shared" si="86"/>
        <v>45077</v>
      </c>
      <c r="K92" s="8">
        <f t="shared" si="86"/>
        <v>45107</v>
      </c>
      <c r="L92" s="8">
        <f t="shared" si="86"/>
        <v>45138</v>
      </c>
      <c r="M92" s="8">
        <f t="shared" si="86"/>
        <v>45169</v>
      </c>
      <c r="N92" s="8">
        <f t="shared" si="86"/>
        <v>45199</v>
      </c>
      <c r="O92" s="8">
        <f t="shared" si="86"/>
        <v>45230</v>
      </c>
      <c r="P92" s="8">
        <f t="shared" si="86"/>
        <v>45260</v>
      </c>
      <c r="Q92" s="8">
        <f t="shared" si="86"/>
        <v>45291</v>
      </c>
      <c r="R92" s="8">
        <f t="shared" si="86"/>
        <v>45322</v>
      </c>
      <c r="S92" s="8">
        <f t="shared" si="86"/>
        <v>45351</v>
      </c>
      <c r="T92" s="8">
        <f t="shared" si="86"/>
        <v>45382</v>
      </c>
      <c r="U92" s="8">
        <f t="shared" si="86"/>
        <v>45412</v>
      </c>
      <c r="V92" s="8">
        <f t="shared" si="86"/>
        <v>45443</v>
      </c>
      <c r="W92" s="8">
        <f t="shared" si="86"/>
        <v>45473</v>
      </c>
      <c r="X92" s="8">
        <f t="shared" si="86"/>
        <v>45504</v>
      </c>
      <c r="Y92" s="8">
        <f t="shared" si="86"/>
        <v>45535</v>
      </c>
      <c r="Z92" s="8">
        <f t="shared" si="86"/>
        <v>45565</v>
      </c>
      <c r="AA92" s="8">
        <f t="shared" si="86"/>
        <v>45596</v>
      </c>
      <c r="AB92" s="8">
        <f t="shared" si="86"/>
        <v>45626</v>
      </c>
      <c r="AC92" s="8">
        <f t="shared" si="86"/>
        <v>45657</v>
      </c>
      <c r="AD92" s="8">
        <f t="shared" si="86"/>
        <v>45688</v>
      </c>
      <c r="AE92" s="8">
        <f t="shared" si="86"/>
        <v>45716</v>
      </c>
      <c r="AF92" s="8">
        <f t="shared" si="86"/>
        <v>45747</v>
      </c>
      <c r="AG92" s="8">
        <f t="shared" si="86"/>
        <v>45777</v>
      </c>
      <c r="AH92" s="8">
        <f t="shared" si="86"/>
        <v>45808</v>
      </c>
      <c r="AI92" s="8">
        <f t="shared" si="86"/>
        <v>45838</v>
      </c>
      <c r="AJ92" s="8">
        <f t="shared" si="86"/>
        <v>45869</v>
      </c>
      <c r="AK92" s="8">
        <f t="shared" ref="AK92:BQ92" si="87">AK$19</f>
        <v>45900</v>
      </c>
      <c r="AL92" s="8">
        <f t="shared" si="87"/>
        <v>45930</v>
      </c>
      <c r="AM92" s="8">
        <f t="shared" si="87"/>
        <v>45961</v>
      </c>
      <c r="AN92" s="8">
        <f t="shared" si="87"/>
        <v>45991</v>
      </c>
      <c r="AO92" s="8">
        <f t="shared" si="87"/>
        <v>46022</v>
      </c>
      <c r="AP92" s="8">
        <f t="shared" si="87"/>
        <v>46053</v>
      </c>
      <c r="AQ92" s="8">
        <f t="shared" si="87"/>
        <v>46081</v>
      </c>
      <c r="AR92" s="8">
        <f t="shared" si="87"/>
        <v>46112</v>
      </c>
      <c r="AS92" s="8">
        <f t="shared" si="87"/>
        <v>46142</v>
      </c>
      <c r="AT92" s="8">
        <f t="shared" si="87"/>
        <v>46173</v>
      </c>
      <c r="AU92" s="8">
        <f t="shared" si="87"/>
        <v>46203</v>
      </c>
      <c r="AV92" s="8">
        <f t="shared" si="87"/>
        <v>46234</v>
      </c>
      <c r="AW92" s="8">
        <f t="shared" si="87"/>
        <v>46265</v>
      </c>
      <c r="AX92" s="8">
        <f t="shared" si="87"/>
        <v>46295</v>
      </c>
      <c r="AY92" s="8">
        <f t="shared" si="87"/>
        <v>46326</v>
      </c>
      <c r="AZ92" s="8">
        <f t="shared" si="87"/>
        <v>46356</v>
      </c>
      <c r="BA92" s="8">
        <f t="shared" si="87"/>
        <v>46387</v>
      </c>
      <c r="BB92" s="8">
        <f t="shared" si="87"/>
        <v>46418</v>
      </c>
      <c r="BC92" s="8">
        <f t="shared" si="87"/>
        <v>46446</v>
      </c>
      <c r="BD92" s="8">
        <f t="shared" si="87"/>
        <v>46477</v>
      </c>
      <c r="BE92" s="8">
        <f t="shared" si="87"/>
        <v>46507</v>
      </c>
      <c r="BF92" s="8">
        <f t="shared" si="87"/>
        <v>46538</v>
      </c>
      <c r="BG92" s="8">
        <f t="shared" si="87"/>
        <v>46568</v>
      </c>
      <c r="BH92" s="8">
        <f t="shared" si="87"/>
        <v>46599</v>
      </c>
      <c r="BI92" s="8">
        <f t="shared" si="87"/>
        <v>46630</v>
      </c>
      <c r="BJ92" s="8">
        <f t="shared" si="87"/>
        <v>46660</v>
      </c>
      <c r="BK92" s="8">
        <f t="shared" si="87"/>
        <v>46691</v>
      </c>
      <c r="BL92" s="8">
        <f t="shared" si="87"/>
        <v>46721</v>
      </c>
      <c r="BM92" s="8">
        <f t="shared" si="87"/>
        <v>46752</v>
      </c>
      <c r="BN92" s="8">
        <f t="shared" si="87"/>
        <v>46783</v>
      </c>
      <c r="BO92" s="8">
        <f t="shared" si="87"/>
        <v>46812</v>
      </c>
      <c r="BP92" s="8">
        <f t="shared" si="87"/>
        <v>46843</v>
      </c>
      <c r="BQ92" s="8">
        <f t="shared" si="87"/>
        <v>46873</v>
      </c>
    </row>
    <row r="93" spans="1:69">
      <c r="E93" s="5" t="str">
        <f t="shared" ref="E93:AJ93" si="88">E$28</f>
        <v>Period number</v>
      </c>
      <c r="F93" s="5">
        <f t="shared" si="88"/>
        <v>0</v>
      </c>
      <c r="G93" s="5" t="str">
        <f t="shared" si="88"/>
        <v>Counter</v>
      </c>
      <c r="H93" s="5">
        <f t="shared" si="88"/>
        <v>0</v>
      </c>
      <c r="I93" s="5">
        <f t="shared" si="88"/>
        <v>0</v>
      </c>
      <c r="J93" s="5">
        <f t="shared" si="88"/>
        <v>1</v>
      </c>
      <c r="K93" s="5">
        <f t="shared" si="88"/>
        <v>2</v>
      </c>
      <c r="L93" s="5">
        <f t="shared" si="88"/>
        <v>3</v>
      </c>
      <c r="M93" s="5">
        <f t="shared" si="88"/>
        <v>4</v>
      </c>
      <c r="N93" s="5">
        <f t="shared" si="88"/>
        <v>5</v>
      </c>
      <c r="O93" s="5">
        <f t="shared" si="88"/>
        <v>6</v>
      </c>
      <c r="P93" s="5">
        <f t="shared" si="88"/>
        <v>7</v>
      </c>
      <c r="Q93" s="5">
        <f t="shared" si="88"/>
        <v>8</v>
      </c>
      <c r="R93" s="5">
        <f t="shared" si="88"/>
        <v>9</v>
      </c>
      <c r="S93" s="5">
        <f t="shared" si="88"/>
        <v>10</v>
      </c>
      <c r="T93" s="5">
        <f t="shared" si="88"/>
        <v>11</v>
      </c>
      <c r="U93" s="5">
        <f t="shared" si="88"/>
        <v>12</v>
      </c>
      <c r="V93" s="5">
        <f t="shared" si="88"/>
        <v>13</v>
      </c>
      <c r="W93" s="5">
        <f t="shared" si="88"/>
        <v>14</v>
      </c>
      <c r="X93" s="5">
        <f t="shared" si="88"/>
        <v>15</v>
      </c>
      <c r="Y93" s="5">
        <f t="shared" si="88"/>
        <v>16</v>
      </c>
      <c r="Z93" s="5">
        <f t="shared" si="88"/>
        <v>17</v>
      </c>
      <c r="AA93" s="5">
        <f t="shared" si="88"/>
        <v>18</v>
      </c>
      <c r="AB93" s="5">
        <f t="shared" si="88"/>
        <v>19</v>
      </c>
      <c r="AC93" s="5">
        <f t="shared" si="88"/>
        <v>20</v>
      </c>
      <c r="AD93" s="5">
        <f t="shared" si="88"/>
        <v>21</v>
      </c>
      <c r="AE93" s="5">
        <f t="shared" si="88"/>
        <v>22</v>
      </c>
      <c r="AF93" s="5">
        <f t="shared" si="88"/>
        <v>23</v>
      </c>
      <c r="AG93" s="5">
        <f t="shared" si="88"/>
        <v>24</v>
      </c>
      <c r="AH93" s="5">
        <f t="shared" si="88"/>
        <v>25</v>
      </c>
      <c r="AI93" s="5">
        <f t="shared" si="88"/>
        <v>26</v>
      </c>
      <c r="AJ93" s="5">
        <f t="shared" si="88"/>
        <v>27</v>
      </c>
      <c r="AK93" s="5">
        <f t="shared" ref="AK93:BQ93" si="89">AK$28</f>
        <v>28</v>
      </c>
      <c r="AL93" s="5">
        <f t="shared" si="89"/>
        <v>29</v>
      </c>
      <c r="AM93" s="5">
        <f t="shared" si="89"/>
        <v>30</v>
      </c>
      <c r="AN93" s="5">
        <f t="shared" si="89"/>
        <v>31</v>
      </c>
      <c r="AO93" s="5">
        <f t="shared" si="89"/>
        <v>32</v>
      </c>
      <c r="AP93" s="5">
        <f t="shared" si="89"/>
        <v>33</v>
      </c>
      <c r="AQ93" s="5">
        <f t="shared" si="89"/>
        <v>34</v>
      </c>
      <c r="AR93" s="5">
        <f t="shared" si="89"/>
        <v>35</v>
      </c>
      <c r="AS93" s="5">
        <f t="shared" si="89"/>
        <v>36</v>
      </c>
      <c r="AT93" s="5">
        <f t="shared" si="89"/>
        <v>37</v>
      </c>
      <c r="AU93" s="5">
        <f t="shared" si="89"/>
        <v>38</v>
      </c>
      <c r="AV93" s="5">
        <f t="shared" si="89"/>
        <v>39</v>
      </c>
      <c r="AW93" s="5">
        <f t="shared" si="89"/>
        <v>40</v>
      </c>
      <c r="AX93" s="5">
        <f t="shared" si="89"/>
        <v>41</v>
      </c>
      <c r="AY93" s="5">
        <f t="shared" si="89"/>
        <v>42</v>
      </c>
      <c r="AZ93" s="5">
        <f t="shared" si="89"/>
        <v>43</v>
      </c>
      <c r="BA93" s="5">
        <f t="shared" si="89"/>
        <v>44</v>
      </c>
      <c r="BB93" s="5">
        <f t="shared" si="89"/>
        <v>45</v>
      </c>
      <c r="BC93" s="5">
        <f t="shared" si="89"/>
        <v>46</v>
      </c>
      <c r="BD93" s="5">
        <f t="shared" si="89"/>
        <v>47</v>
      </c>
      <c r="BE93" s="5">
        <f t="shared" si="89"/>
        <v>48</v>
      </c>
      <c r="BF93" s="5">
        <f t="shared" si="89"/>
        <v>49</v>
      </c>
      <c r="BG93" s="5">
        <f t="shared" si="89"/>
        <v>50</v>
      </c>
      <c r="BH93" s="5">
        <f t="shared" si="89"/>
        <v>51</v>
      </c>
      <c r="BI93" s="5">
        <f t="shared" si="89"/>
        <v>52</v>
      </c>
      <c r="BJ93" s="5">
        <f t="shared" si="89"/>
        <v>53</v>
      </c>
      <c r="BK93" s="5">
        <f t="shared" si="89"/>
        <v>54</v>
      </c>
      <c r="BL93" s="5">
        <f t="shared" si="89"/>
        <v>55</v>
      </c>
      <c r="BM93" s="5">
        <f t="shared" si="89"/>
        <v>56</v>
      </c>
      <c r="BN93" s="5">
        <f t="shared" si="89"/>
        <v>57</v>
      </c>
      <c r="BO93" s="5">
        <f t="shared" si="89"/>
        <v>58</v>
      </c>
      <c r="BP93" s="5">
        <f t="shared" si="89"/>
        <v>59</v>
      </c>
      <c r="BQ93" s="5">
        <f t="shared" si="89"/>
        <v>60</v>
      </c>
    </row>
    <row r="94" spans="1:69">
      <c r="E94" s="5" t="str">
        <f t="shared" ref="E94:AJ94" si="90">E$346</f>
        <v>Month to SemiAnnual : period end flag</v>
      </c>
      <c r="F94" s="5">
        <f t="shared" si="90"/>
        <v>0</v>
      </c>
      <c r="G94" s="5" t="str">
        <f t="shared" si="90"/>
        <v>counter</v>
      </c>
      <c r="H94" s="5">
        <f t="shared" si="90"/>
        <v>0</v>
      </c>
      <c r="I94" s="5">
        <f t="shared" si="90"/>
        <v>0</v>
      </c>
      <c r="J94" s="5">
        <f t="shared" si="90"/>
        <v>0</v>
      </c>
      <c r="K94" s="5">
        <f t="shared" si="90"/>
        <v>0</v>
      </c>
      <c r="L94" s="5">
        <f t="shared" si="90"/>
        <v>0</v>
      </c>
      <c r="M94" s="5">
        <f t="shared" si="90"/>
        <v>0</v>
      </c>
      <c r="N94" s="5">
        <f t="shared" si="90"/>
        <v>0</v>
      </c>
      <c r="O94" s="5">
        <f t="shared" si="90"/>
        <v>1</v>
      </c>
      <c r="P94" s="5">
        <f t="shared" si="90"/>
        <v>0</v>
      </c>
      <c r="Q94" s="5">
        <f t="shared" si="90"/>
        <v>0</v>
      </c>
      <c r="R94" s="5">
        <f t="shared" si="90"/>
        <v>0</v>
      </c>
      <c r="S94" s="5">
        <f t="shared" si="90"/>
        <v>0</v>
      </c>
      <c r="T94" s="5">
        <f t="shared" si="90"/>
        <v>0</v>
      </c>
      <c r="U94" s="5">
        <f t="shared" si="90"/>
        <v>2</v>
      </c>
      <c r="V94" s="5">
        <f t="shared" si="90"/>
        <v>0</v>
      </c>
      <c r="W94" s="5">
        <f t="shared" si="90"/>
        <v>0</v>
      </c>
      <c r="X94" s="5">
        <f t="shared" si="90"/>
        <v>0</v>
      </c>
      <c r="Y94" s="5">
        <f t="shared" si="90"/>
        <v>0</v>
      </c>
      <c r="Z94" s="5">
        <f t="shared" si="90"/>
        <v>0</v>
      </c>
      <c r="AA94" s="5">
        <f t="shared" si="90"/>
        <v>3</v>
      </c>
      <c r="AB94" s="5">
        <f t="shared" si="90"/>
        <v>0</v>
      </c>
      <c r="AC94" s="5">
        <f t="shared" si="90"/>
        <v>0</v>
      </c>
      <c r="AD94" s="5">
        <f t="shared" si="90"/>
        <v>0</v>
      </c>
      <c r="AE94" s="5">
        <f t="shared" si="90"/>
        <v>0</v>
      </c>
      <c r="AF94" s="5">
        <f t="shared" si="90"/>
        <v>0</v>
      </c>
      <c r="AG94" s="5">
        <f t="shared" si="90"/>
        <v>4</v>
      </c>
      <c r="AH94" s="5">
        <f t="shared" si="90"/>
        <v>0</v>
      </c>
      <c r="AI94" s="5">
        <f t="shared" si="90"/>
        <v>0</v>
      </c>
      <c r="AJ94" s="5">
        <f t="shared" si="90"/>
        <v>0</v>
      </c>
      <c r="AK94" s="5">
        <f t="shared" ref="AK94:BQ94" si="91">AK$346</f>
        <v>0</v>
      </c>
      <c r="AL94" s="5">
        <f t="shared" si="91"/>
        <v>0</v>
      </c>
      <c r="AM94" s="5">
        <f t="shared" si="91"/>
        <v>5</v>
      </c>
      <c r="AN94" s="5">
        <f t="shared" si="91"/>
        <v>0</v>
      </c>
      <c r="AO94" s="5">
        <f t="shared" si="91"/>
        <v>0</v>
      </c>
      <c r="AP94" s="5">
        <f t="shared" si="91"/>
        <v>0</v>
      </c>
      <c r="AQ94" s="5">
        <f t="shared" si="91"/>
        <v>0</v>
      </c>
      <c r="AR94" s="5">
        <f t="shared" si="91"/>
        <v>0</v>
      </c>
      <c r="AS94" s="5">
        <f t="shared" si="91"/>
        <v>6</v>
      </c>
      <c r="AT94" s="5">
        <f t="shared" si="91"/>
        <v>0</v>
      </c>
      <c r="AU94" s="5">
        <f t="shared" si="91"/>
        <v>0</v>
      </c>
      <c r="AV94" s="5">
        <f t="shared" si="91"/>
        <v>0</v>
      </c>
      <c r="AW94" s="5">
        <f t="shared" si="91"/>
        <v>0</v>
      </c>
      <c r="AX94" s="5">
        <f t="shared" si="91"/>
        <v>0</v>
      </c>
      <c r="AY94" s="5">
        <f t="shared" si="91"/>
        <v>7</v>
      </c>
      <c r="AZ94" s="5">
        <f t="shared" si="91"/>
        <v>0</v>
      </c>
      <c r="BA94" s="5">
        <f t="shared" si="91"/>
        <v>0</v>
      </c>
      <c r="BB94" s="5">
        <f t="shared" si="91"/>
        <v>0</v>
      </c>
      <c r="BC94" s="5">
        <f t="shared" si="91"/>
        <v>0</v>
      </c>
      <c r="BD94" s="5">
        <f t="shared" si="91"/>
        <v>0</v>
      </c>
      <c r="BE94" s="5">
        <f t="shared" si="91"/>
        <v>8</v>
      </c>
      <c r="BF94" s="5">
        <f t="shared" si="91"/>
        <v>0</v>
      </c>
      <c r="BG94" s="5">
        <f t="shared" si="91"/>
        <v>0</v>
      </c>
      <c r="BH94" s="5">
        <f t="shared" si="91"/>
        <v>0</v>
      </c>
      <c r="BI94" s="5">
        <f t="shared" si="91"/>
        <v>0</v>
      </c>
      <c r="BJ94" s="5">
        <f t="shared" si="91"/>
        <v>0</v>
      </c>
      <c r="BK94" s="5">
        <f t="shared" si="91"/>
        <v>9</v>
      </c>
      <c r="BL94" s="5">
        <f t="shared" si="91"/>
        <v>0</v>
      </c>
      <c r="BM94" s="5">
        <f t="shared" si="91"/>
        <v>0</v>
      </c>
      <c r="BN94" s="5">
        <f t="shared" si="91"/>
        <v>0</v>
      </c>
      <c r="BO94" s="5">
        <f t="shared" si="91"/>
        <v>0</v>
      </c>
      <c r="BP94" s="5">
        <f t="shared" si="91"/>
        <v>0</v>
      </c>
      <c r="BQ94" s="5">
        <f t="shared" si="91"/>
        <v>10</v>
      </c>
    </row>
    <row r="95" spans="1:69">
      <c r="A95" s="31"/>
      <c r="B95" s="31"/>
      <c r="C95" s="51"/>
      <c r="D95" s="50"/>
      <c r="E95" s="3" t="s">
        <v>191</v>
      </c>
      <c r="F95" s="3"/>
      <c r="G95" s="3" t="s">
        <v>210</v>
      </c>
      <c r="H95" s="3"/>
      <c r="I95" s="3"/>
      <c r="J95" s="13">
        <f t="shared" ref="J95:AO95" si="92">INDEX($J92:$BQ92,MATCH(J93,$J94:$BQ94,0))</f>
        <v>45230</v>
      </c>
      <c r="K95" s="13">
        <f t="shared" si="92"/>
        <v>45412</v>
      </c>
      <c r="L95" s="13">
        <f t="shared" si="92"/>
        <v>45596</v>
      </c>
      <c r="M95" s="13">
        <f t="shared" si="92"/>
        <v>45777</v>
      </c>
      <c r="N95" s="13">
        <f t="shared" si="92"/>
        <v>45961</v>
      </c>
      <c r="O95" s="13">
        <f t="shared" si="92"/>
        <v>46142</v>
      </c>
      <c r="P95" s="13">
        <f t="shared" si="92"/>
        <v>46326</v>
      </c>
      <c r="Q95" s="13">
        <f t="shared" si="92"/>
        <v>46507</v>
      </c>
      <c r="R95" s="13">
        <f t="shared" si="92"/>
        <v>46691</v>
      </c>
      <c r="S95" s="13">
        <f t="shared" si="92"/>
        <v>46873</v>
      </c>
      <c r="T95" s="13" t="e">
        <f t="shared" si="92"/>
        <v>#N/A</v>
      </c>
      <c r="U95" s="13" t="e">
        <f t="shared" si="92"/>
        <v>#N/A</v>
      </c>
      <c r="V95" s="13" t="e">
        <f t="shared" si="92"/>
        <v>#N/A</v>
      </c>
      <c r="W95" s="13" t="e">
        <f t="shared" si="92"/>
        <v>#N/A</v>
      </c>
      <c r="X95" s="13" t="e">
        <f t="shared" si="92"/>
        <v>#N/A</v>
      </c>
      <c r="Y95" s="13" t="e">
        <f t="shared" si="92"/>
        <v>#N/A</v>
      </c>
      <c r="Z95" s="13" t="e">
        <f t="shared" si="92"/>
        <v>#N/A</v>
      </c>
      <c r="AA95" s="13" t="e">
        <f t="shared" si="92"/>
        <v>#N/A</v>
      </c>
      <c r="AB95" s="13" t="e">
        <f t="shared" si="92"/>
        <v>#N/A</v>
      </c>
      <c r="AC95" s="13" t="e">
        <f t="shared" si="92"/>
        <v>#N/A</v>
      </c>
      <c r="AD95" s="13" t="e">
        <f t="shared" si="92"/>
        <v>#N/A</v>
      </c>
      <c r="AE95" s="13" t="e">
        <f t="shared" si="92"/>
        <v>#N/A</v>
      </c>
      <c r="AF95" s="13" t="e">
        <f t="shared" si="92"/>
        <v>#N/A</v>
      </c>
      <c r="AG95" s="13" t="e">
        <f t="shared" si="92"/>
        <v>#N/A</v>
      </c>
      <c r="AH95" s="13" t="e">
        <f t="shared" si="92"/>
        <v>#N/A</v>
      </c>
      <c r="AI95" s="13" t="e">
        <f t="shared" si="92"/>
        <v>#N/A</v>
      </c>
      <c r="AJ95" s="13" t="e">
        <f t="shared" si="92"/>
        <v>#N/A</v>
      </c>
      <c r="AK95" s="13" t="e">
        <f t="shared" si="92"/>
        <v>#N/A</v>
      </c>
      <c r="AL95" s="13" t="e">
        <f t="shared" si="92"/>
        <v>#N/A</v>
      </c>
      <c r="AM95" s="13" t="e">
        <f t="shared" si="92"/>
        <v>#N/A</v>
      </c>
      <c r="AN95" s="13" t="e">
        <f t="shared" si="92"/>
        <v>#N/A</v>
      </c>
      <c r="AO95" s="13" t="e">
        <f t="shared" si="92"/>
        <v>#N/A</v>
      </c>
      <c r="AP95" s="13" t="e">
        <f t="shared" ref="AP95:BU95" si="93">INDEX($J92:$BQ92,MATCH(AP93,$J94:$BQ94,0))</f>
        <v>#N/A</v>
      </c>
      <c r="AQ95" s="13" t="e">
        <f t="shared" si="93"/>
        <v>#N/A</v>
      </c>
      <c r="AR95" s="13" t="e">
        <f t="shared" si="93"/>
        <v>#N/A</v>
      </c>
      <c r="AS95" s="13" t="e">
        <f t="shared" si="93"/>
        <v>#N/A</v>
      </c>
      <c r="AT95" s="13" t="e">
        <f t="shared" si="93"/>
        <v>#N/A</v>
      </c>
      <c r="AU95" s="13" t="e">
        <f t="shared" si="93"/>
        <v>#N/A</v>
      </c>
      <c r="AV95" s="13" t="e">
        <f t="shared" si="93"/>
        <v>#N/A</v>
      </c>
      <c r="AW95" s="13" t="e">
        <f t="shared" si="93"/>
        <v>#N/A</v>
      </c>
      <c r="AX95" s="13" t="e">
        <f t="shared" si="93"/>
        <v>#N/A</v>
      </c>
      <c r="AY95" s="13" t="e">
        <f t="shared" si="93"/>
        <v>#N/A</v>
      </c>
      <c r="AZ95" s="13" t="e">
        <f t="shared" si="93"/>
        <v>#N/A</v>
      </c>
      <c r="BA95" s="13" t="e">
        <f t="shared" si="93"/>
        <v>#N/A</v>
      </c>
      <c r="BB95" s="13" t="e">
        <f t="shared" si="93"/>
        <v>#N/A</v>
      </c>
      <c r="BC95" s="13" t="e">
        <f t="shared" si="93"/>
        <v>#N/A</v>
      </c>
      <c r="BD95" s="13" t="e">
        <f t="shared" si="93"/>
        <v>#N/A</v>
      </c>
      <c r="BE95" s="13" t="e">
        <f t="shared" si="93"/>
        <v>#N/A</v>
      </c>
      <c r="BF95" s="13" t="e">
        <f t="shared" si="93"/>
        <v>#N/A</v>
      </c>
      <c r="BG95" s="13" t="e">
        <f t="shared" si="93"/>
        <v>#N/A</v>
      </c>
      <c r="BH95" s="13" t="e">
        <f t="shared" si="93"/>
        <v>#N/A</v>
      </c>
      <c r="BI95" s="13" t="e">
        <f t="shared" si="93"/>
        <v>#N/A</v>
      </c>
      <c r="BJ95" s="13" t="e">
        <f t="shared" si="93"/>
        <v>#N/A</v>
      </c>
      <c r="BK95" s="13" t="e">
        <f t="shared" si="93"/>
        <v>#N/A</v>
      </c>
      <c r="BL95" s="13" t="e">
        <f t="shared" si="93"/>
        <v>#N/A</v>
      </c>
      <c r="BM95" s="13" t="e">
        <f t="shared" si="93"/>
        <v>#N/A</v>
      </c>
      <c r="BN95" s="13" t="e">
        <f t="shared" si="93"/>
        <v>#N/A</v>
      </c>
      <c r="BO95" s="13" t="e">
        <f t="shared" si="93"/>
        <v>#N/A</v>
      </c>
      <c r="BP95" s="13" t="e">
        <f t="shared" si="93"/>
        <v>#N/A</v>
      </c>
      <c r="BQ95" s="13" t="e">
        <f t="shared" si="93"/>
        <v>#N/A</v>
      </c>
    </row>
    <row r="98" spans="1:69">
      <c r="B98" s="22" t="s">
        <v>166</v>
      </c>
    </row>
    <row r="99" spans="1:69">
      <c r="E99" s="2" t="str">
        <f t="shared" ref="E99:AJ99" si="94">E$24</f>
        <v>Timeline label</v>
      </c>
      <c r="F99" s="2">
        <f t="shared" si="94"/>
        <v>0</v>
      </c>
      <c r="G99" s="2" t="str">
        <f t="shared" si="94"/>
        <v>GBP</v>
      </c>
      <c r="H99" s="2">
        <f t="shared" si="94"/>
        <v>0</v>
      </c>
      <c r="I99" s="2">
        <f t="shared" si="94"/>
        <v>0</v>
      </c>
      <c r="J99" s="2" t="str">
        <f t="shared" si="94"/>
        <v>Month1</v>
      </c>
      <c r="K99" s="2" t="str">
        <f t="shared" si="94"/>
        <v>Month2</v>
      </c>
      <c r="L99" s="2" t="str">
        <f t="shared" si="94"/>
        <v>Month3</v>
      </c>
      <c r="M99" s="2" t="str">
        <f t="shared" si="94"/>
        <v>Month4</v>
      </c>
      <c r="N99" s="2" t="str">
        <f t="shared" si="94"/>
        <v>Month5</v>
      </c>
      <c r="O99" s="2" t="str">
        <f t="shared" si="94"/>
        <v>Month6</v>
      </c>
      <c r="P99" s="2" t="str">
        <f t="shared" si="94"/>
        <v>Month7</v>
      </c>
      <c r="Q99" s="2" t="str">
        <f t="shared" si="94"/>
        <v>Month8</v>
      </c>
      <c r="R99" s="2" t="str">
        <f t="shared" si="94"/>
        <v>Month9</v>
      </c>
      <c r="S99" s="2" t="str">
        <f t="shared" si="94"/>
        <v>Month10</v>
      </c>
      <c r="T99" s="2" t="str">
        <f t="shared" si="94"/>
        <v>Month11</v>
      </c>
      <c r="U99" s="2" t="str">
        <f t="shared" si="94"/>
        <v>Month12</v>
      </c>
      <c r="V99" s="2" t="str">
        <f t="shared" si="94"/>
        <v>Month13</v>
      </c>
      <c r="W99" s="2" t="str">
        <f t="shared" si="94"/>
        <v>Month14</v>
      </c>
      <c r="X99" s="2" t="str">
        <f t="shared" si="94"/>
        <v>Month15</v>
      </c>
      <c r="Y99" s="2" t="str">
        <f t="shared" si="94"/>
        <v>Month16</v>
      </c>
      <c r="Z99" s="2" t="str">
        <f t="shared" si="94"/>
        <v>Month17</v>
      </c>
      <c r="AA99" s="2" t="str">
        <f t="shared" si="94"/>
        <v>Month18</v>
      </c>
      <c r="AB99" s="2" t="str">
        <f t="shared" si="94"/>
        <v>Month19</v>
      </c>
      <c r="AC99" s="2" t="str">
        <f t="shared" si="94"/>
        <v>Month20</v>
      </c>
      <c r="AD99" s="2" t="str">
        <f t="shared" si="94"/>
        <v>Month21</v>
      </c>
      <c r="AE99" s="2" t="str">
        <f t="shared" si="94"/>
        <v>Month22</v>
      </c>
      <c r="AF99" s="2" t="str">
        <f t="shared" si="94"/>
        <v>Month23</v>
      </c>
      <c r="AG99" s="2" t="str">
        <f t="shared" si="94"/>
        <v>Month24</v>
      </c>
      <c r="AH99" s="2" t="str">
        <f t="shared" si="94"/>
        <v>Month25</v>
      </c>
      <c r="AI99" s="2" t="str">
        <f t="shared" si="94"/>
        <v>Month26</v>
      </c>
      <c r="AJ99" s="2" t="str">
        <f t="shared" si="94"/>
        <v>Month27</v>
      </c>
      <c r="AK99" s="2" t="str">
        <f t="shared" ref="AK99:BQ99" si="95">AK$24</f>
        <v>Month28</v>
      </c>
      <c r="AL99" s="2" t="str">
        <f t="shared" si="95"/>
        <v>Month29</v>
      </c>
      <c r="AM99" s="2" t="str">
        <f t="shared" si="95"/>
        <v>Month30</v>
      </c>
      <c r="AN99" s="2" t="str">
        <f t="shared" si="95"/>
        <v>Month31</v>
      </c>
      <c r="AO99" s="2" t="str">
        <f t="shared" si="95"/>
        <v>Month32</v>
      </c>
      <c r="AP99" s="2" t="str">
        <f t="shared" si="95"/>
        <v>Month33</v>
      </c>
      <c r="AQ99" s="2" t="str">
        <f t="shared" si="95"/>
        <v>Month34</v>
      </c>
      <c r="AR99" s="2" t="str">
        <f t="shared" si="95"/>
        <v>Month35</v>
      </c>
      <c r="AS99" s="2" t="str">
        <f t="shared" si="95"/>
        <v>Month36</v>
      </c>
      <c r="AT99" s="2" t="str">
        <f t="shared" si="95"/>
        <v>Month37</v>
      </c>
      <c r="AU99" s="2" t="str">
        <f t="shared" si="95"/>
        <v>Month38</v>
      </c>
      <c r="AV99" s="2" t="str">
        <f t="shared" si="95"/>
        <v>Month39</v>
      </c>
      <c r="AW99" s="2" t="str">
        <f t="shared" si="95"/>
        <v>Month40</v>
      </c>
      <c r="AX99" s="2" t="str">
        <f t="shared" si="95"/>
        <v>Month41</v>
      </c>
      <c r="AY99" s="2" t="str">
        <f t="shared" si="95"/>
        <v>Month42</v>
      </c>
      <c r="AZ99" s="2" t="str">
        <f t="shared" si="95"/>
        <v>Month43</v>
      </c>
      <c r="BA99" s="2" t="str">
        <f t="shared" si="95"/>
        <v>Month44</v>
      </c>
      <c r="BB99" s="2" t="str">
        <f t="shared" si="95"/>
        <v>Month45</v>
      </c>
      <c r="BC99" s="2" t="str">
        <f t="shared" si="95"/>
        <v>Month46</v>
      </c>
      <c r="BD99" s="2" t="str">
        <f t="shared" si="95"/>
        <v>Month47</v>
      </c>
      <c r="BE99" s="2" t="str">
        <f t="shared" si="95"/>
        <v>Month48</v>
      </c>
      <c r="BF99" s="2" t="str">
        <f t="shared" si="95"/>
        <v>Month49</v>
      </c>
      <c r="BG99" s="2" t="str">
        <f t="shared" si="95"/>
        <v>Month50</v>
      </c>
      <c r="BH99" s="2" t="str">
        <f t="shared" si="95"/>
        <v>Month51</v>
      </c>
      <c r="BI99" s="2" t="str">
        <f t="shared" si="95"/>
        <v>Month52</v>
      </c>
      <c r="BJ99" s="2" t="str">
        <f t="shared" si="95"/>
        <v>Month53</v>
      </c>
      <c r="BK99" s="2" t="str">
        <f t="shared" si="95"/>
        <v>Month54</v>
      </c>
      <c r="BL99" s="2" t="str">
        <f t="shared" si="95"/>
        <v>Month55</v>
      </c>
      <c r="BM99" s="2" t="str">
        <f t="shared" si="95"/>
        <v>Month56</v>
      </c>
      <c r="BN99" s="2" t="str">
        <f t="shared" si="95"/>
        <v>Month57</v>
      </c>
      <c r="BO99" s="2" t="str">
        <f t="shared" si="95"/>
        <v>Month58</v>
      </c>
      <c r="BP99" s="2" t="str">
        <f t="shared" si="95"/>
        <v>Month59</v>
      </c>
      <c r="BQ99" s="2" t="str">
        <f t="shared" si="95"/>
        <v>Month60</v>
      </c>
    </row>
    <row r="100" spans="1:69">
      <c r="E100" s="5" t="str">
        <f t="shared" ref="E100:AJ100" si="96">E$28</f>
        <v>Period number</v>
      </c>
      <c r="F100" s="5">
        <f t="shared" si="96"/>
        <v>0</v>
      </c>
      <c r="G100" s="5" t="str">
        <f t="shared" si="96"/>
        <v>Counter</v>
      </c>
      <c r="H100" s="5">
        <f t="shared" si="96"/>
        <v>0</v>
      </c>
      <c r="I100" s="5">
        <f t="shared" si="96"/>
        <v>0</v>
      </c>
      <c r="J100" s="5">
        <f t="shared" si="96"/>
        <v>1</v>
      </c>
      <c r="K100" s="5">
        <f t="shared" si="96"/>
        <v>2</v>
      </c>
      <c r="L100" s="5">
        <f t="shared" si="96"/>
        <v>3</v>
      </c>
      <c r="M100" s="5">
        <f t="shared" si="96"/>
        <v>4</v>
      </c>
      <c r="N100" s="5">
        <f t="shared" si="96"/>
        <v>5</v>
      </c>
      <c r="O100" s="5">
        <f t="shared" si="96"/>
        <v>6</v>
      </c>
      <c r="P100" s="5">
        <f t="shared" si="96"/>
        <v>7</v>
      </c>
      <c r="Q100" s="5">
        <f t="shared" si="96"/>
        <v>8</v>
      </c>
      <c r="R100" s="5">
        <f t="shared" si="96"/>
        <v>9</v>
      </c>
      <c r="S100" s="5">
        <f t="shared" si="96"/>
        <v>10</v>
      </c>
      <c r="T100" s="5">
        <f t="shared" si="96"/>
        <v>11</v>
      </c>
      <c r="U100" s="5">
        <f t="shared" si="96"/>
        <v>12</v>
      </c>
      <c r="V100" s="5">
        <f t="shared" si="96"/>
        <v>13</v>
      </c>
      <c r="W100" s="5">
        <f t="shared" si="96"/>
        <v>14</v>
      </c>
      <c r="X100" s="5">
        <f t="shared" si="96"/>
        <v>15</v>
      </c>
      <c r="Y100" s="5">
        <f t="shared" si="96"/>
        <v>16</v>
      </c>
      <c r="Z100" s="5">
        <f t="shared" si="96"/>
        <v>17</v>
      </c>
      <c r="AA100" s="5">
        <f t="shared" si="96"/>
        <v>18</v>
      </c>
      <c r="AB100" s="5">
        <f t="shared" si="96"/>
        <v>19</v>
      </c>
      <c r="AC100" s="5">
        <f t="shared" si="96"/>
        <v>20</v>
      </c>
      <c r="AD100" s="5">
        <f t="shared" si="96"/>
        <v>21</v>
      </c>
      <c r="AE100" s="5">
        <f t="shared" si="96"/>
        <v>22</v>
      </c>
      <c r="AF100" s="5">
        <f t="shared" si="96"/>
        <v>23</v>
      </c>
      <c r="AG100" s="5">
        <f t="shared" si="96"/>
        <v>24</v>
      </c>
      <c r="AH100" s="5">
        <f t="shared" si="96"/>
        <v>25</v>
      </c>
      <c r="AI100" s="5">
        <f t="shared" si="96"/>
        <v>26</v>
      </c>
      <c r="AJ100" s="5">
        <f t="shared" si="96"/>
        <v>27</v>
      </c>
      <c r="AK100" s="5">
        <f t="shared" ref="AK100:BQ100" si="97">AK$28</f>
        <v>28</v>
      </c>
      <c r="AL100" s="5">
        <f t="shared" si="97"/>
        <v>29</v>
      </c>
      <c r="AM100" s="5">
        <f t="shared" si="97"/>
        <v>30</v>
      </c>
      <c r="AN100" s="5">
        <f t="shared" si="97"/>
        <v>31</v>
      </c>
      <c r="AO100" s="5">
        <f t="shared" si="97"/>
        <v>32</v>
      </c>
      <c r="AP100" s="5">
        <f t="shared" si="97"/>
        <v>33</v>
      </c>
      <c r="AQ100" s="5">
        <f t="shared" si="97"/>
        <v>34</v>
      </c>
      <c r="AR100" s="5">
        <f t="shared" si="97"/>
        <v>35</v>
      </c>
      <c r="AS100" s="5">
        <f t="shared" si="97"/>
        <v>36</v>
      </c>
      <c r="AT100" s="5">
        <f t="shared" si="97"/>
        <v>37</v>
      </c>
      <c r="AU100" s="5">
        <f t="shared" si="97"/>
        <v>38</v>
      </c>
      <c r="AV100" s="5">
        <f t="shared" si="97"/>
        <v>39</v>
      </c>
      <c r="AW100" s="5">
        <f t="shared" si="97"/>
        <v>40</v>
      </c>
      <c r="AX100" s="5">
        <f t="shared" si="97"/>
        <v>41</v>
      </c>
      <c r="AY100" s="5">
        <f t="shared" si="97"/>
        <v>42</v>
      </c>
      <c r="AZ100" s="5">
        <f t="shared" si="97"/>
        <v>43</v>
      </c>
      <c r="BA100" s="5">
        <f t="shared" si="97"/>
        <v>44</v>
      </c>
      <c r="BB100" s="5">
        <f t="shared" si="97"/>
        <v>45</v>
      </c>
      <c r="BC100" s="5">
        <f t="shared" si="97"/>
        <v>46</v>
      </c>
      <c r="BD100" s="5">
        <f t="shared" si="97"/>
        <v>47</v>
      </c>
      <c r="BE100" s="5">
        <f t="shared" si="97"/>
        <v>48</v>
      </c>
      <c r="BF100" s="5">
        <f t="shared" si="97"/>
        <v>49</v>
      </c>
      <c r="BG100" s="5">
        <f t="shared" si="97"/>
        <v>50</v>
      </c>
      <c r="BH100" s="5">
        <f t="shared" si="97"/>
        <v>51</v>
      </c>
      <c r="BI100" s="5">
        <f t="shared" si="97"/>
        <v>52</v>
      </c>
      <c r="BJ100" s="5">
        <f t="shared" si="97"/>
        <v>53</v>
      </c>
      <c r="BK100" s="5">
        <f t="shared" si="97"/>
        <v>54</v>
      </c>
      <c r="BL100" s="5">
        <f t="shared" si="97"/>
        <v>55</v>
      </c>
      <c r="BM100" s="5">
        <f t="shared" si="97"/>
        <v>56</v>
      </c>
      <c r="BN100" s="5">
        <f t="shared" si="97"/>
        <v>57</v>
      </c>
      <c r="BO100" s="5">
        <f t="shared" si="97"/>
        <v>58</v>
      </c>
      <c r="BP100" s="5">
        <f t="shared" si="97"/>
        <v>59</v>
      </c>
      <c r="BQ100" s="5">
        <f t="shared" si="97"/>
        <v>60</v>
      </c>
    </row>
    <row r="101" spans="1:69">
      <c r="E101" s="5" t="str">
        <f t="shared" ref="E101:AJ101" si="98">E$346</f>
        <v>Month to SemiAnnual : period end flag</v>
      </c>
      <c r="F101" s="5">
        <f t="shared" si="98"/>
        <v>0</v>
      </c>
      <c r="G101" s="5" t="str">
        <f t="shared" si="98"/>
        <v>counter</v>
      </c>
      <c r="H101" s="5">
        <f t="shared" si="98"/>
        <v>0</v>
      </c>
      <c r="I101" s="5">
        <f t="shared" si="98"/>
        <v>0</v>
      </c>
      <c r="J101" s="5">
        <f t="shared" si="98"/>
        <v>0</v>
      </c>
      <c r="K101" s="5">
        <f t="shared" si="98"/>
        <v>0</v>
      </c>
      <c r="L101" s="5">
        <f t="shared" si="98"/>
        <v>0</v>
      </c>
      <c r="M101" s="5">
        <f t="shared" si="98"/>
        <v>0</v>
      </c>
      <c r="N101" s="5">
        <f t="shared" si="98"/>
        <v>0</v>
      </c>
      <c r="O101" s="5">
        <f t="shared" si="98"/>
        <v>1</v>
      </c>
      <c r="P101" s="5">
        <f t="shared" si="98"/>
        <v>0</v>
      </c>
      <c r="Q101" s="5">
        <f t="shared" si="98"/>
        <v>0</v>
      </c>
      <c r="R101" s="5">
        <f t="shared" si="98"/>
        <v>0</v>
      </c>
      <c r="S101" s="5">
        <f t="shared" si="98"/>
        <v>0</v>
      </c>
      <c r="T101" s="5">
        <f t="shared" si="98"/>
        <v>0</v>
      </c>
      <c r="U101" s="5">
        <f t="shared" si="98"/>
        <v>2</v>
      </c>
      <c r="V101" s="5">
        <f t="shared" si="98"/>
        <v>0</v>
      </c>
      <c r="W101" s="5">
        <f t="shared" si="98"/>
        <v>0</v>
      </c>
      <c r="X101" s="5">
        <f t="shared" si="98"/>
        <v>0</v>
      </c>
      <c r="Y101" s="5">
        <f t="shared" si="98"/>
        <v>0</v>
      </c>
      <c r="Z101" s="5">
        <f t="shared" si="98"/>
        <v>0</v>
      </c>
      <c r="AA101" s="5">
        <f t="shared" si="98"/>
        <v>3</v>
      </c>
      <c r="AB101" s="5">
        <f t="shared" si="98"/>
        <v>0</v>
      </c>
      <c r="AC101" s="5">
        <f t="shared" si="98"/>
        <v>0</v>
      </c>
      <c r="AD101" s="5">
        <f t="shared" si="98"/>
        <v>0</v>
      </c>
      <c r="AE101" s="5">
        <f t="shared" si="98"/>
        <v>0</v>
      </c>
      <c r="AF101" s="5">
        <f t="shared" si="98"/>
        <v>0</v>
      </c>
      <c r="AG101" s="5">
        <f t="shared" si="98"/>
        <v>4</v>
      </c>
      <c r="AH101" s="5">
        <f t="shared" si="98"/>
        <v>0</v>
      </c>
      <c r="AI101" s="5">
        <f t="shared" si="98"/>
        <v>0</v>
      </c>
      <c r="AJ101" s="5">
        <f t="shared" si="98"/>
        <v>0</v>
      </c>
      <c r="AK101" s="5">
        <f t="shared" ref="AK101:BQ101" si="99">AK$346</f>
        <v>0</v>
      </c>
      <c r="AL101" s="5">
        <f t="shared" si="99"/>
        <v>0</v>
      </c>
      <c r="AM101" s="5">
        <f t="shared" si="99"/>
        <v>5</v>
      </c>
      <c r="AN101" s="5">
        <f t="shared" si="99"/>
        <v>0</v>
      </c>
      <c r="AO101" s="5">
        <f t="shared" si="99"/>
        <v>0</v>
      </c>
      <c r="AP101" s="5">
        <f t="shared" si="99"/>
        <v>0</v>
      </c>
      <c r="AQ101" s="5">
        <f t="shared" si="99"/>
        <v>0</v>
      </c>
      <c r="AR101" s="5">
        <f t="shared" si="99"/>
        <v>0</v>
      </c>
      <c r="AS101" s="5">
        <f t="shared" si="99"/>
        <v>6</v>
      </c>
      <c r="AT101" s="5">
        <f t="shared" si="99"/>
        <v>0</v>
      </c>
      <c r="AU101" s="5">
        <f t="shared" si="99"/>
        <v>0</v>
      </c>
      <c r="AV101" s="5">
        <f t="shared" si="99"/>
        <v>0</v>
      </c>
      <c r="AW101" s="5">
        <f t="shared" si="99"/>
        <v>0</v>
      </c>
      <c r="AX101" s="5">
        <f t="shared" si="99"/>
        <v>0</v>
      </c>
      <c r="AY101" s="5">
        <f t="shared" si="99"/>
        <v>7</v>
      </c>
      <c r="AZ101" s="5">
        <f t="shared" si="99"/>
        <v>0</v>
      </c>
      <c r="BA101" s="5">
        <f t="shared" si="99"/>
        <v>0</v>
      </c>
      <c r="BB101" s="5">
        <f t="shared" si="99"/>
        <v>0</v>
      </c>
      <c r="BC101" s="5">
        <f t="shared" si="99"/>
        <v>0</v>
      </c>
      <c r="BD101" s="5">
        <f t="shared" si="99"/>
        <v>0</v>
      </c>
      <c r="BE101" s="5">
        <f t="shared" si="99"/>
        <v>8</v>
      </c>
      <c r="BF101" s="5">
        <f t="shared" si="99"/>
        <v>0</v>
      </c>
      <c r="BG101" s="5">
        <f t="shared" si="99"/>
        <v>0</v>
      </c>
      <c r="BH101" s="5">
        <f t="shared" si="99"/>
        <v>0</v>
      </c>
      <c r="BI101" s="5">
        <f t="shared" si="99"/>
        <v>0</v>
      </c>
      <c r="BJ101" s="5">
        <f t="shared" si="99"/>
        <v>0</v>
      </c>
      <c r="BK101" s="5">
        <f t="shared" si="99"/>
        <v>9</v>
      </c>
      <c r="BL101" s="5">
        <f t="shared" si="99"/>
        <v>0</v>
      </c>
      <c r="BM101" s="5">
        <f t="shared" si="99"/>
        <v>0</v>
      </c>
      <c r="BN101" s="5">
        <f t="shared" si="99"/>
        <v>0</v>
      </c>
      <c r="BO101" s="5">
        <f t="shared" si="99"/>
        <v>0</v>
      </c>
      <c r="BP101" s="5">
        <f t="shared" si="99"/>
        <v>0</v>
      </c>
      <c r="BQ101" s="5">
        <f t="shared" si="99"/>
        <v>10</v>
      </c>
    </row>
    <row r="102" spans="1:69">
      <c r="A102" s="31"/>
      <c r="B102" s="31"/>
      <c r="C102" s="51"/>
      <c r="D102" s="50"/>
      <c r="E102" s="3" t="s">
        <v>166</v>
      </c>
      <c r="F102" s="3"/>
      <c r="G102" s="3" t="s">
        <v>252</v>
      </c>
      <c r="H102" s="3" t="e">
        <f>SUM(J102:BQ102)</f>
        <v>#N/A</v>
      </c>
      <c r="I102" s="3"/>
      <c r="J102" s="3" t="str">
        <f t="shared" ref="J102:AO102" si="100">INDEX($J99:$BQ99,MATCH(J100,$J101:$BQ101,0))</f>
        <v>Month6</v>
      </c>
      <c r="K102" s="3" t="str">
        <f t="shared" si="100"/>
        <v>Month12</v>
      </c>
      <c r="L102" s="3" t="str">
        <f t="shared" si="100"/>
        <v>Month18</v>
      </c>
      <c r="M102" s="3" t="str">
        <f t="shared" si="100"/>
        <v>Month24</v>
      </c>
      <c r="N102" s="3" t="str">
        <f t="shared" si="100"/>
        <v>Month30</v>
      </c>
      <c r="O102" s="3" t="str">
        <f t="shared" si="100"/>
        <v>Month36</v>
      </c>
      <c r="P102" s="3" t="str">
        <f t="shared" si="100"/>
        <v>Month42</v>
      </c>
      <c r="Q102" s="3" t="str">
        <f t="shared" si="100"/>
        <v>Month48</v>
      </c>
      <c r="R102" s="3" t="str">
        <f t="shared" si="100"/>
        <v>Month54</v>
      </c>
      <c r="S102" s="3" t="str">
        <f t="shared" si="100"/>
        <v>Month60</v>
      </c>
      <c r="T102" s="3" t="e">
        <f t="shared" si="100"/>
        <v>#N/A</v>
      </c>
      <c r="U102" s="3" t="e">
        <f t="shared" si="100"/>
        <v>#N/A</v>
      </c>
      <c r="V102" s="3" t="e">
        <f t="shared" si="100"/>
        <v>#N/A</v>
      </c>
      <c r="W102" s="3" t="e">
        <f t="shared" si="100"/>
        <v>#N/A</v>
      </c>
      <c r="X102" s="3" t="e">
        <f t="shared" si="100"/>
        <v>#N/A</v>
      </c>
      <c r="Y102" s="3" t="e">
        <f t="shared" si="100"/>
        <v>#N/A</v>
      </c>
      <c r="Z102" s="3" t="e">
        <f t="shared" si="100"/>
        <v>#N/A</v>
      </c>
      <c r="AA102" s="3" t="e">
        <f t="shared" si="100"/>
        <v>#N/A</v>
      </c>
      <c r="AB102" s="3" t="e">
        <f t="shared" si="100"/>
        <v>#N/A</v>
      </c>
      <c r="AC102" s="3" t="e">
        <f t="shared" si="100"/>
        <v>#N/A</v>
      </c>
      <c r="AD102" s="3" t="e">
        <f t="shared" si="100"/>
        <v>#N/A</v>
      </c>
      <c r="AE102" s="3" t="e">
        <f t="shared" si="100"/>
        <v>#N/A</v>
      </c>
      <c r="AF102" s="3" t="e">
        <f t="shared" si="100"/>
        <v>#N/A</v>
      </c>
      <c r="AG102" s="3" t="e">
        <f t="shared" si="100"/>
        <v>#N/A</v>
      </c>
      <c r="AH102" s="3" t="e">
        <f t="shared" si="100"/>
        <v>#N/A</v>
      </c>
      <c r="AI102" s="3" t="e">
        <f t="shared" si="100"/>
        <v>#N/A</v>
      </c>
      <c r="AJ102" s="3" t="e">
        <f t="shared" si="100"/>
        <v>#N/A</v>
      </c>
      <c r="AK102" s="3" t="e">
        <f t="shared" si="100"/>
        <v>#N/A</v>
      </c>
      <c r="AL102" s="3" t="e">
        <f t="shared" si="100"/>
        <v>#N/A</v>
      </c>
      <c r="AM102" s="3" t="e">
        <f t="shared" si="100"/>
        <v>#N/A</v>
      </c>
      <c r="AN102" s="3" t="e">
        <f t="shared" si="100"/>
        <v>#N/A</v>
      </c>
      <c r="AO102" s="3" t="e">
        <f t="shared" si="100"/>
        <v>#N/A</v>
      </c>
      <c r="AP102" s="3" t="e">
        <f t="shared" ref="AP102:BU102" si="101">INDEX($J99:$BQ99,MATCH(AP100,$J101:$BQ101,0))</f>
        <v>#N/A</v>
      </c>
      <c r="AQ102" s="3" t="e">
        <f t="shared" si="101"/>
        <v>#N/A</v>
      </c>
      <c r="AR102" s="3" t="e">
        <f t="shared" si="101"/>
        <v>#N/A</v>
      </c>
      <c r="AS102" s="3" t="e">
        <f t="shared" si="101"/>
        <v>#N/A</v>
      </c>
      <c r="AT102" s="3" t="e">
        <f t="shared" si="101"/>
        <v>#N/A</v>
      </c>
      <c r="AU102" s="3" t="e">
        <f t="shared" si="101"/>
        <v>#N/A</v>
      </c>
      <c r="AV102" s="3" t="e">
        <f t="shared" si="101"/>
        <v>#N/A</v>
      </c>
      <c r="AW102" s="3" t="e">
        <f t="shared" si="101"/>
        <v>#N/A</v>
      </c>
      <c r="AX102" s="3" t="e">
        <f t="shared" si="101"/>
        <v>#N/A</v>
      </c>
      <c r="AY102" s="3" t="e">
        <f t="shared" si="101"/>
        <v>#N/A</v>
      </c>
      <c r="AZ102" s="3" t="e">
        <f t="shared" si="101"/>
        <v>#N/A</v>
      </c>
      <c r="BA102" s="3" t="e">
        <f t="shared" si="101"/>
        <v>#N/A</v>
      </c>
      <c r="BB102" s="3" t="e">
        <f t="shared" si="101"/>
        <v>#N/A</v>
      </c>
      <c r="BC102" s="3" t="e">
        <f t="shared" si="101"/>
        <v>#N/A</v>
      </c>
      <c r="BD102" s="3" t="e">
        <f t="shared" si="101"/>
        <v>#N/A</v>
      </c>
      <c r="BE102" s="3" t="e">
        <f t="shared" si="101"/>
        <v>#N/A</v>
      </c>
      <c r="BF102" s="3" t="e">
        <f t="shared" si="101"/>
        <v>#N/A</v>
      </c>
      <c r="BG102" s="3" t="e">
        <f t="shared" si="101"/>
        <v>#N/A</v>
      </c>
      <c r="BH102" s="3" t="e">
        <f t="shared" si="101"/>
        <v>#N/A</v>
      </c>
      <c r="BI102" s="3" t="e">
        <f t="shared" si="101"/>
        <v>#N/A</v>
      </c>
      <c r="BJ102" s="3" t="e">
        <f t="shared" si="101"/>
        <v>#N/A</v>
      </c>
      <c r="BK102" s="3" t="e">
        <f t="shared" si="101"/>
        <v>#N/A</v>
      </c>
      <c r="BL102" s="3" t="e">
        <f t="shared" si="101"/>
        <v>#N/A</v>
      </c>
      <c r="BM102" s="3" t="e">
        <f t="shared" si="101"/>
        <v>#N/A</v>
      </c>
      <c r="BN102" s="3" t="e">
        <f t="shared" si="101"/>
        <v>#N/A</v>
      </c>
      <c r="BO102" s="3" t="e">
        <f t="shared" si="101"/>
        <v>#N/A</v>
      </c>
      <c r="BP102" s="3" t="e">
        <f t="shared" si="101"/>
        <v>#N/A</v>
      </c>
      <c r="BQ102" s="3" t="e">
        <f t="shared" si="101"/>
        <v>#N/A</v>
      </c>
    </row>
    <row r="105" spans="1:69">
      <c r="B105" s="22" t="s">
        <v>234</v>
      </c>
    </row>
    <row r="106" spans="1:69">
      <c r="E106" s="5" t="str">
        <f t="shared" ref="E106:AJ106" si="102">E$28</f>
        <v>Period number</v>
      </c>
      <c r="F106" s="5">
        <f t="shared" si="102"/>
        <v>0</v>
      </c>
      <c r="G106" s="5" t="str">
        <f t="shared" si="102"/>
        <v>Counter</v>
      </c>
      <c r="H106" s="5">
        <f t="shared" si="102"/>
        <v>0</v>
      </c>
      <c r="I106" s="5">
        <f t="shared" si="102"/>
        <v>0</v>
      </c>
      <c r="J106" s="5">
        <f t="shared" si="102"/>
        <v>1</v>
      </c>
      <c r="K106" s="5">
        <f t="shared" si="102"/>
        <v>2</v>
      </c>
      <c r="L106" s="5">
        <f t="shared" si="102"/>
        <v>3</v>
      </c>
      <c r="M106" s="5">
        <f t="shared" si="102"/>
        <v>4</v>
      </c>
      <c r="N106" s="5">
        <f t="shared" si="102"/>
        <v>5</v>
      </c>
      <c r="O106" s="5">
        <f t="shared" si="102"/>
        <v>6</v>
      </c>
      <c r="P106" s="5">
        <f t="shared" si="102"/>
        <v>7</v>
      </c>
      <c r="Q106" s="5">
        <f t="shared" si="102"/>
        <v>8</v>
      </c>
      <c r="R106" s="5">
        <f t="shared" si="102"/>
        <v>9</v>
      </c>
      <c r="S106" s="5">
        <f t="shared" si="102"/>
        <v>10</v>
      </c>
      <c r="T106" s="5">
        <f t="shared" si="102"/>
        <v>11</v>
      </c>
      <c r="U106" s="5">
        <f t="shared" si="102"/>
        <v>12</v>
      </c>
      <c r="V106" s="5">
        <f t="shared" si="102"/>
        <v>13</v>
      </c>
      <c r="W106" s="5">
        <f t="shared" si="102"/>
        <v>14</v>
      </c>
      <c r="X106" s="5">
        <f t="shared" si="102"/>
        <v>15</v>
      </c>
      <c r="Y106" s="5">
        <f t="shared" si="102"/>
        <v>16</v>
      </c>
      <c r="Z106" s="5">
        <f t="shared" si="102"/>
        <v>17</v>
      </c>
      <c r="AA106" s="5">
        <f t="shared" si="102"/>
        <v>18</v>
      </c>
      <c r="AB106" s="5">
        <f t="shared" si="102"/>
        <v>19</v>
      </c>
      <c r="AC106" s="5">
        <f t="shared" si="102"/>
        <v>20</v>
      </c>
      <c r="AD106" s="5">
        <f t="shared" si="102"/>
        <v>21</v>
      </c>
      <c r="AE106" s="5">
        <f t="shared" si="102"/>
        <v>22</v>
      </c>
      <c r="AF106" s="5">
        <f t="shared" si="102"/>
        <v>23</v>
      </c>
      <c r="AG106" s="5">
        <f t="shared" si="102"/>
        <v>24</v>
      </c>
      <c r="AH106" s="5">
        <f t="shared" si="102"/>
        <v>25</v>
      </c>
      <c r="AI106" s="5">
        <f t="shared" si="102"/>
        <v>26</v>
      </c>
      <c r="AJ106" s="5">
        <f t="shared" si="102"/>
        <v>27</v>
      </c>
      <c r="AK106" s="5">
        <f t="shared" ref="AK106:BQ106" si="103">AK$28</f>
        <v>28</v>
      </c>
      <c r="AL106" s="5">
        <f t="shared" si="103"/>
        <v>29</v>
      </c>
      <c r="AM106" s="5">
        <f t="shared" si="103"/>
        <v>30</v>
      </c>
      <c r="AN106" s="5">
        <f t="shared" si="103"/>
        <v>31</v>
      </c>
      <c r="AO106" s="5">
        <f t="shared" si="103"/>
        <v>32</v>
      </c>
      <c r="AP106" s="5">
        <f t="shared" si="103"/>
        <v>33</v>
      </c>
      <c r="AQ106" s="5">
        <f t="shared" si="103"/>
        <v>34</v>
      </c>
      <c r="AR106" s="5">
        <f t="shared" si="103"/>
        <v>35</v>
      </c>
      <c r="AS106" s="5">
        <f t="shared" si="103"/>
        <v>36</v>
      </c>
      <c r="AT106" s="5">
        <f t="shared" si="103"/>
        <v>37</v>
      </c>
      <c r="AU106" s="5">
        <f t="shared" si="103"/>
        <v>38</v>
      </c>
      <c r="AV106" s="5">
        <f t="shared" si="103"/>
        <v>39</v>
      </c>
      <c r="AW106" s="5">
        <f t="shared" si="103"/>
        <v>40</v>
      </c>
      <c r="AX106" s="5">
        <f t="shared" si="103"/>
        <v>41</v>
      </c>
      <c r="AY106" s="5">
        <f t="shared" si="103"/>
        <v>42</v>
      </c>
      <c r="AZ106" s="5">
        <f t="shared" si="103"/>
        <v>43</v>
      </c>
      <c r="BA106" s="5">
        <f t="shared" si="103"/>
        <v>44</v>
      </c>
      <c r="BB106" s="5">
        <f t="shared" si="103"/>
        <v>45</v>
      </c>
      <c r="BC106" s="5">
        <f t="shared" si="103"/>
        <v>46</v>
      </c>
      <c r="BD106" s="5">
        <f t="shared" si="103"/>
        <v>47</v>
      </c>
      <c r="BE106" s="5">
        <f t="shared" si="103"/>
        <v>48</v>
      </c>
      <c r="BF106" s="5">
        <f t="shared" si="103"/>
        <v>49</v>
      </c>
      <c r="BG106" s="5">
        <f t="shared" si="103"/>
        <v>50</v>
      </c>
      <c r="BH106" s="5">
        <f t="shared" si="103"/>
        <v>51</v>
      </c>
      <c r="BI106" s="5">
        <f t="shared" si="103"/>
        <v>52</v>
      </c>
      <c r="BJ106" s="5">
        <f t="shared" si="103"/>
        <v>53</v>
      </c>
      <c r="BK106" s="5">
        <f t="shared" si="103"/>
        <v>54</v>
      </c>
      <c r="BL106" s="5">
        <f t="shared" si="103"/>
        <v>55</v>
      </c>
      <c r="BM106" s="5">
        <f t="shared" si="103"/>
        <v>56</v>
      </c>
      <c r="BN106" s="5">
        <f t="shared" si="103"/>
        <v>57</v>
      </c>
      <c r="BO106" s="5">
        <f t="shared" si="103"/>
        <v>58</v>
      </c>
      <c r="BP106" s="5">
        <f t="shared" si="103"/>
        <v>59</v>
      </c>
      <c r="BQ106" s="5">
        <f t="shared" si="103"/>
        <v>60</v>
      </c>
    </row>
    <row r="107" spans="1:69">
      <c r="E107" s="5" t="str">
        <f t="shared" ref="E107:AJ107" si="104">E$346</f>
        <v>Month to SemiAnnual : period end flag</v>
      </c>
      <c r="F107" s="5">
        <f t="shared" si="104"/>
        <v>0</v>
      </c>
      <c r="G107" s="5" t="str">
        <f t="shared" si="104"/>
        <v>counter</v>
      </c>
      <c r="H107" s="5">
        <f t="shared" si="104"/>
        <v>0</v>
      </c>
      <c r="I107" s="5">
        <f t="shared" si="104"/>
        <v>0</v>
      </c>
      <c r="J107" s="5">
        <f t="shared" si="104"/>
        <v>0</v>
      </c>
      <c r="K107" s="5">
        <f t="shared" si="104"/>
        <v>0</v>
      </c>
      <c r="L107" s="5">
        <f t="shared" si="104"/>
        <v>0</v>
      </c>
      <c r="M107" s="5">
        <f t="shared" si="104"/>
        <v>0</v>
      </c>
      <c r="N107" s="5">
        <f t="shared" si="104"/>
        <v>0</v>
      </c>
      <c r="O107" s="5">
        <f t="shared" si="104"/>
        <v>1</v>
      </c>
      <c r="P107" s="5">
        <f t="shared" si="104"/>
        <v>0</v>
      </c>
      <c r="Q107" s="5">
        <f t="shared" si="104"/>
        <v>0</v>
      </c>
      <c r="R107" s="5">
        <f t="shared" si="104"/>
        <v>0</v>
      </c>
      <c r="S107" s="5">
        <f t="shared" si="104"/>
        <v>0</v>
      </c>
      <c r="T107" s="5">
        <f t="shared" si="104"/>
        <v>0</v>
      </c>
      <c r="U107" s="5">
        <f t="shared" si="104"/>
        <v>2</v>
      </c>
      <c r="V107" s="5">
        <f t="shared" si="104"/>
        <v>0</v>
      </c>
      <c r="W107" s="5">
        <f t="shared" si="104"/>
        <v>0</v>
      </c>
      <c r="X107" s="5">
        <f t="shared" si="104"/>
        <v>0</v>
      </c>
      <c r="Y107" s="5">
        <f t="shared" si="104"/>
        <v>0</v>
      </c>
      <c r="Z107" s="5">
        <f t="shared" si="104"/>
        <v>0</v>
      </c>
      <c r="AA107" s="5">
        <f t="shared" si="104"/>
        <v>3</v>
      </c>
      <c r="AB107" s="5">
        <f t="shared" si="104"/>
        <v>0</v>
      </c>
      <c r="AC107" s="5">
        <f t="shared" si="104"/>
        <v>0</v>
      </c>
      <c r="AD107" s="5">
        <f t="shared" si="104"/>
        <v>0</v>
      </c>
      <c r="AE107" s="5">
        <f t="shared" si="104"/>
        <v>0</v>
      </c>
      <c r="AF107" s="5">
        <f t="shared" si="104"/>
        <v>0</v>
      </c>
      <c r="AG107" s="5">
        <f t="shared" si="104"/>
        <v>4</v>
      </c>
      <c r="AH107" s="5">
        <f t="shared" si="104"/>
        <v>0</v>
      </c>
      <c r="AI107" s="5">
        <f t="shared" si="104"/>
        <v>0</v>
      </c>
      <c r="AJ107" s="5">
        <f t="shared" si="104"/>
        <v>0</v>
      </c>
      <c r="AK107" s="5">
        <f t="shared" ref="AK107:BQ107" si="105">AK$346</f>
        <v>0</v>
      </c>
      <c r="AL107" s="5">
        <f t="shared" si="105"/>
        <v>0</v>
      </c>
      <c r="AM107" s="5">
        <f t="shared" si="105"/>
        <v>5</v>
      </c>
      <c r="AN107" s="5">
        <f t="shared" si="105"/>
        <v>0</v>
      </c>
      <c r="AO107" s="5">
        <f t="shared" si="105"/>
        <v>0</v>
      </c>
      <c r="AP107" s="5">
        <f t="shared" si="105"/>
        <v>0</v>
      </c>
      <c r="AQ107" s="5">
        <f t="shared" si="105"/>
        <v>0</v>
      </c>
      <c r="AR107" s="5">
        <f t="shared" si="105"/>
        <v>0</v>
      </c>
      <c r="AS107" s="5">
        <f t="shared" si="105"/>
        <v>6</v>
      </c>
      <c r="AT107" s="5">
        <f t="shared" si="105"/>
        <v>0</v>
      </c>
      <c r="AU107" s="5">
        <f t="shared" si="105"/>
        <v>0</v>
      </c>
      <c r="AV107" s="5">
        <f t="shared" si="105"/>
        <v>0</v>
      </c>
      <c r="AW107" s="5">
        <f t="shared" si="105"/>
        <v>0</v>
      </c>
      <c r="AX107" s="5">
        <f t="shared" si="105"/>
        <v>0</v>
      </c>
      <c r="AY107" s="5">
        <f t="shared" si="105"/>
        <v>7</v>
      </c>
      <c r="AZ107" s="5">
        <f t="shared" si="105"/>
        <v>0</v>
      </c>
      <c r="BA107" s="5">
        <f t="shared" si="105"/>
        <v>0</v>
      </c>
      <c r="BB107" s="5">
        <f t="shared" si="105"/>
        <v>0</v>
      </c>
      <c r="BC107" s="5">
        <f t="shared" si="105"/>
        <v>0</v>
      </c>
      <c r="BD107" s="5">
        <f t="shared" si="105"/>
        <v>0</v>
      </c>
      <c r="BE107" s="5">
        <f t="shared" si="105"/>
        <v>8</v>
      </c>
      <c r="BF107" s="5">
        <f t="shared" si="105"/>
        <v>0</v>
      </c>
      <c r="BG107" s="5">
        <f t="shared" si="105"/>
        <v>0</v>
      </c>
      <c r="BH107" s="5">
        <f t="shared" si="105"/>
        <v>0</v>
      </c>
      <c r="BI107" s="5">
        <f t="shared" si="105"/>
        <v>0</v>
      </c>
      <c r="BJ107" s="5">
        <f t="shared" si="105"/>
        <v>0</v>
      </c>
      <c r="BK107" s="5">
        <f t="shared" si="105"/>
        <v>9</v>
      </c>
      <c r="BL107" s="5">
        <f t="shared" si="105"/>
        <v>0</v>
      </c>
      <c r="BM107" s="5">
        <f t="shared" si="105"/>
        <v>0</v>
      </c>
      <c r="BN107" s="5">
        <f t="shared" si="105"/>
        <v>0</v>
      </c>
      <c r="BO107" s="5">
        <f t="shared" si="105"/>
        <v>0</v>
      </c>
      <c r="BP107" s="5">
        <f t="shared" si="105"/>
        <v>0</v>
      </c>
      <c r="BQ107" s="5">
        <f t="shared" si="105"/>
        <v>10</v>
      </c>
    </row>
    <row r="108" spans="1:69">
      <c r="A108" s="31"/>
      <c r="B108" s="31"/>
      <c r="C108" s="51"/>
      <c r="D108" s="50"/>
      <c r="E108" s="3" t="s">
        <v>234</v>
      </c>
      <c r="F108" s="3"/>
      <c r="G108" s="3" t="s">
        <v>279</v>
      </c>
      <c r="H108" s="3"/>
      <c r="I108" s="3"/>
      <c r="J108" s="14">
        <f t="shared" ref="J108:AO108" si="106">INDEX($J106:$BQ106,MATCH(J106,$J107:$BQ107,0))</f>
        <v>6</v>
      </c>
      <c r="K108" s="14">
        <f t="shared" si="106"/>
        <v>12</v>
      </c>
      <c r="L108" s="14">
        <f t="shared" si="106"/>
        <v>18</v>
      </c>
      <c r="M108" s="14">
        <f t="shared" si="106"/>
        <v>24</v>
      </c>
      <c r="N108" s="14">
        <f t="shared" si="106"/>
        <v>30</v>
      </c>
      <c r="O108" s="14">
        <f t="shared" si="106"/>
        <v>36</v>
      </c>
      <c r="P108" s="14">
        <f t="shared" si="106"/>
        <v>42</v>
      </c>
      <c r="Q108" s="14">
        <f t="shared" si="106"/>
        <v>48</v>
      </c>
      <c r="R108" s="14">
        <f t="shared" si="106"/>
        <v>54</v>
      </c>
      <c r="S108" s="14">
        <f t="shared" si="106"/>
        <v>60</v>
      </c>
      <c r="T108" s="14" t="e">
        <f t="shared" si="106"/>
        <v>#N/A</v>
      </c>
      <c r="U108" s="14" t="e">
        <f t="shared" si="106"/>
        <v>#N/A</v>
      </c>
      <c r="V108" s="14" t="e">
        <f t="shared" si="106"/>
        <v>#N/A</v>
      </c>
      <c r="W108" s="14" t="e">
        <f t="shared" si="106"/>
        <v>#N/A</v>
      </c>
      <c r="X108" s="14" t="e">
        <f t="shared" si="106"/>
        <v>#N/A</v>
      </c>
      <c r="Y108" s="14" t="e">
        <f t="shared" si="106"/>
        <v>#N/A</v>
      </c>
      <c r="Z108" s="14" t="e">
        <f t="shared" si="106"/>
        <v>#N/A</v>
      </c>
      <c r="AA108" s="14" t="e">
        <f t="shared" si="106"/>
        <v>#N/A</v>
      </c>
      <c r="AB108" s="14" t="e">
        <f t="shared" si="106"/>
        <v>#N/A</v>
      </c>
      <c r="AC108" s="14" t="e">
        <f t="shared" si="106"/>
        <v>#N/A</v>
      </c>
      <c r="AD108" s="14" t="e">
        <f t="shared" si="106"/>
        <v>#N/A</v>
      </c>
      <c r="AE108" s="14" t="e">
        <f t="shared" si="106"/>
        <v>#N/A</v>
      </c>
      <c r="AF108" s="14" t="e">
        <f t="shared" si="106"/>
        <v>#N/A</v>
      </c>
      <c r="AG108" s="14" t="e">
        <f t="shared" si="106"/>
        <v>#N/A</v>
      </c>
      <c r="AH108" s="14" t="e">
        <f t="shared" si="106"/>
        <v>#N/A</v>
      </c>
      <c r="AI108" s="14" t="e">
        <f t="shared" si="106"/>
        <v>#N/A</v>
      </c>
      <c r="AJ108" s="14" t="e">
        <f t="shared" si="106"/>
        <v>#N/A</v>
      </c>
      <c r="AK108" s="14" t="e">
        <f t="shared" si="106"/>
        <v>#N/A</v>
      </c>
      <c r="AL108" s="14" t="e">
        <f t="shared" si="106"/>
        <v>#N/A</v>
      </c>
      <c r="AM108" s="14" t="e">
        <f t="shared" si="106"/>
        <v>#N/A</v>
      </c>
      <c r="AN108" s="14" t="e">
        <f t="shared" si="106"/>
        <v>#N/A</v>
      </c>
      <c r="AO108" s="14" t="e">
        <f t="shared" si="106"/>
        <v>#N/A</v>
      </c>
      <c r="AP108" s="14" t="e">
        <f t="shared" ref="AP108:BU108" si="107">INDEX($J106:$BQ106,MATCH(AP106,$J107:$BQ107,0))</f>
        <v>#N/A</v>
      </c>
      <c r="AQ108" s="14" t="e">
        <f t="shared" si="107"/>
        <v>#N/A</v>
      </c>
      <c r="AR108" s="14" t="e">
        <f t="shared" si="107"/>
        <v>#N/A</v>
      </c>
      <c r="AS108" s="14" t="e">
        <f t="shared" si="107"/>
        <v>#N/A</v>
      </c>
      <c r="AT108" s="14" t="e">
        <f t="shared" si="107"/>
        <v>#N/A</v>
      </c>
      <c r="AU108" s="14" t="e">
        <f t="shared" si="107"/>
        <v>#N/A</v>
      </c>
      <c r="AV108" s="14" t="e">
        <f t="shared" si="107"/>
        <v>#N/A</v>
      </c>
      <c r="AW108" s="14" t="e">
        <f t="shared" si="107"/>
        <v>#N/A</v>
      </c>
      <c r="AX108" s="14" t="e">
        <f t="shared" si="107"/>
        <v>#N/A</v>
      </c>
      <c r="AY108" s="14" t="e">
        <f t="shared" si="107"/>
        <v>#N/A</v>
      </c>
      <c r="AZ108" s="14" t="e">
        <f t="shared" si="107"/>
        <v>#N/A</v>
      </c>
      <c r="BA108" s="14" t="e">
        <f t="shared" si="107"/>
        <v>#N/A</v>
      </c>
      <c r="BB108" s="14" t="e">
        <f t="shared" si="107"/>
        <v>#N/A</v>
      </c>
      <c r="BC108" s="14" t="e">
        <f t="shared" si="107"/>
        <v>#N/A</v>
      </c>
      <c r="BD108" s="14" t="e">
        <f t="shared" si="107"/>
        <v>#N/A</v>
      </c>
      <c r="BE108" s="14" t="e">
        <f t="shared" si="107"/>
        <v>#N/A</v>
      </c>
      <c r="BF108" s="14" t="e">
        <f t="shared" si="107"/>
        <v>#N/A</v>
      </c>
      <c r="BG108" s="14" t="e">
        <f t="shared" si="107"/>
        <v>#N/A</v>
      </c>
      <c r="BH108" s="14" t="e">
        <f t="shared" si="107"/>
        <v>#N/A</v>
      </c>
      <c r="BI108" s="14" t="e">
        <f t="shared" si="107"/>
        <v>#N/A</v>
      </c>
      <c r="BJ108" s="14" t="e">
        <f t="shared" si="107"/>
        <v>#N/A</v>
      </c>
      <c r="BK108" s="14" t="e">
        <f t="shared" si="107"/>
        <v>#N/A</v>
      </c>
      <c r="BL108" s="14" t="e">
        <f t="shared" si="107"/>
        <v>#N/A</v>
      </c>
      <c r="BM108" s="14" t="e">
        <f t="shared" si="107"/>
        <v>#N/A</v>
      </c>
      <c r="BN108" s="14" t="e">
        <f t="shared" si="107"/>
        <v>#N/A</v>
      </c>
      <c r="BO108" s="14" t="e">
        <f t="shared" si="107"/>
        <v>#N/A</v>
      </c>
      <c r="BP108" s="14" t="e">
        <f t="shared" si="107"/>
        <v>#N/A</v>
      </c>
      <c r="BQ108" s="14" t="e">
        <f t="shared" si="107"/>
        <v>#N/A</v>
      </c>
    </row>
    <row r="111" spans="1:69">
      <c r="A111" s="22" t="s">
        <v>148</v>
      </c>
    </row>
    <row r="112" spans="1:69" ht="14.5">
      <c r="A112"/>
      <c r="B112" s="22" t="s">
        <v>235</v>
      </c>
    </row>
    <row r="113" spans="1:69">
      <c r="A113" s="17"/>
      <c r="B113" s="17"/>
      <c r="C113" s="26"/>
      <c r="D113" s="27"/>
      <c r="E113" s="18" t="str">
        <f>InpC!E$100</f>
        <v>Start date</v>
      </c>
      <c r="F113" s="18">
        <f>InpC!F$100</f>
        <v>45047</v>
      </c>
      <c r="G113" s="18" t="str">
        <f>InpC!G$100</f>
        <v>date</v>
      </c>
      <c r="M113" s="8"/>
    </row>
    <row r="114" spans="1:69">
      <c r="E114" s="8" t="str">
        <f t="shared" ref="E114:AJ114" si="108">E$19</f>
        <v>Model period end</v>
      </c>
      <c r="F114" s="8">
        <f t="shared" si="108"/>
        <v>0</v>
      </c>
      <c r="G114" s="8" t="str">
        <f t="shared" si="108"/>
        <v>date</v>
      </c>
      <c r="H114" s="8">
        <f t="shared" si="108"/>
        <v>0</v>
      </c>
      <c r="I114" s="8">
        <f t="shared" si="108"/>
        <v>0</v>
      </c>
      <c r="J114" s="8">
        <f t="shared" si="108"/>
        <v>45077</v>
      </c>
      <c r="K114" s="8">
        <f t="shared" si="108"/>
        <v>45107</v>
      </c>
      <c r="L114" s="8">
        <f t="shared" si="108"/>
        <v>45138</v>
      </c>
      <c r="M114" s="8">
        <f t="shared" si="108"/>
        <v>45169</v>
      </c>
      <c r="N114" s="8">
        <f t="shared" si="108"/>
        <v>45199</v>
      </c>
      <c r="O114" s="8">
        <f t="shared" si="108"/>
        <v>45230</v>
      </c>
      <c r="P114" s="8">
        <f t="shared" si="108"/>
        <v>45260</v>
      </c>
      <c r="Q114" s="8">
        <f t="shared" si="108"/>
        <v>45291</v>
      </c>
      <c r="R114" s="8">
        <f t="shared" si="108"/>
        <v>45322</v>
      </c>
      <c r="S114" s="8">
        <f t="shared" si="108"/>
        <v>45351</v>
      </c>
      <c r="T114" s="8">
        <f t="shared" si="108"/>
        <v>45382</v>
      </c>
      <c r="U114" s="8">
        <f t="shared" si="108"/>
        <v>45412</v>
      </c>
      <c r="V114" s="8">
        <f t="shared" si="108"/>
        <v>45443</v>
      </c>
      <c r="W114" s="8">
        <f t="shared" si="108"/>
        <v>45473</v>
      </c>
      <c r="X114" s="8">
        <f t="shared" si="108"/>
        <v>45504</v>
      </c>
      <c r="Y114" s="8">
        <f t="shared" si="108"/>
        <v>45535</v>
      </c>
      <c r="Z114" s="8">
        <f t="shared" si="108"/>
        <v>45565</v>
      </c>
      <c r="AA114" s="8">
        <f t="shared" si="108"/>
        <v>45596</v>
      </c>
      <c r="AB114" s="8">
        <f t="shared" si="108"/>
        <v>45626</v>
      </c>
      <c r="AC114" s="8">
        <f t="shared" si="108"/>
        <v>45657</v>
      </c>
      <c r="AD114" s="8">
        <f t="shared" si="108"/>
        <v>45688</v>
      </c>
      <c r="AE114" s="8">
        <f t="shared" si="108"/>
        <v>45716</v>
      </c>
      <c r="AF114" s="8">
        <f t="shared" si="108"/>
        <v>45747</v>
      </c>
      <c r="AG114" s="8">
        <f t="shared" si="108"/>
        <v>45777</v>
      </c>
      <c r="AH114" s="8">
        <f t="shared" si="108"/>
        <v>45808</v>
      </c>
      <c r="AI114" s="8">
        <f t="shared" si="108"/>
        <v>45838</v>
      </c>
      <c r="AJ114" s="8">
        <f t="shared" si="108"/>
        <v>45869</v>
      </c>
      <c r="AK114" s="8">
        <f t="shared" ref="AK114:BQ114" si="109">AK$19</f>
        <v>45900</v>
      </c>
      <c r="AL114" s="8">
        <f t="shared" si="109"/>
        <v>45930</v>
      </c>
      <c r="AM114" s="8">
        <f t="shared" si="109"/>
        <v>45961</v>
      </c>
      <c r="AN114" s="8">
        <f t="shared" si="109"/>
        <v>45991</v>
      </c>
      <c r="AO114" s="8">
        <f t="shared" si="109"/>
        <v>46022</v>
      </c>
      <c r="AP114" s="8">
        <f t="shared" si="109"/>
        <v>46053</v>
      </c>
      <c r="AQ114" s="8">
        <f t="shared" si="109"/>
        <v>46081</v>
      </c>
      <c r="AR114" s="8">
        <f t="shared" si="109"/>
        <v>46112</v>
      </c>
      <c r="AS114" s="8">
        <f t="shared" si="109"/>
        <v>46142</v>
      </c>
      <c r="AT114" s="8">
        <f t="shared" si="109"/>
        <v>46173</v>
      </c>
      <c r="AU114" s="8">
        <f t="shared" si="109"/>
        <v>46203</v>
      </c>
      <c r="AV114" s="8">
        <f t="shared" si="109"/>
        <v>46234</v>
      </c>
      <c r="AW114" s="8">
        <f t="shared" si="109"/>
        <v>46265</v>
      </c>
      <c r="AX114" s="8">
        <f t="shared" si="109"/>
        <v>46295</v>
      </c>
      <c r="AY114" s="8">
        <f t="shared" si="109"/>
        <v>46326</v>
      </c>
      <c r="AZ114" s="8">
        <f t="shared" si="109"/>
        <v>46356</v>
      </c>
      <c r="BA114" s="8">
        <f t="shared" si="109"/>
        <v>46387</v>
      </c>
      <c r="BB114" s="8">
        <f t="shared" si="109"/>
        <v>46418</v>
      </c>
      <c r="BC114" s="8">
        <f t="shared" si="109"/>
        <v>46446</v>
      </c>
      <c r="BD114" s="8">
        <f t="shared" si="109"/>
        <v>46477</v>
      </c>
      <c r="BE114" s="8">
        <f t="shared" si="109"/>
        <v>46507</v>
      </c>
      <c r="BF114" s="8">
        <f t="shared" si="109"/>
        <v>46538</v>
      </c>
      <c r="BG114" s="8">
        <f t="shared" si="109"/>
        <v>46568</v>
      </c>
      <c r="BH114" s="8">
        <f t="shared" si="109"/>
        <v>46599</v>
      </c>
      <c r="BI114" s="8">
        <f t="shared" si="109"/>
        <v>46630</v>
      </c>
      <c r="BJ114" s="8">
        <f t="shared" si="109"/>
        <v>46660</v>
      </c>
      <c r="BK114" s="8">
        <f t="shared" si="109"/>
        <v>46691</v>
      </c>
      <c r="BL114" s="8">
        <f t="shared" si="109"/>
        <v>46721</v>
      </c>
      <c r="BM114" s="8">
        <f t="shared" si="109"/>
        <v>46752</v>
      </c>
      <c r="BN114" s="8">
        <f t="shared" si="109"/>
        <v>46783</v>
      </c>
      <c r="BO114" s="8">
        <f t="shared" si="109"/>
        <v>46812</v>
      </c>
      <c r="BP114" s="8">
        <f t="shared" si="109"/>
        <v>46843</v>
      </c>
      <c r="BQ114" s="8">
        <f t="shared" si="109"/>
        <v>46873</v>
      </c>
    </row>
    <row r="115" spans="1:69" ht="14.5">
      <c r="E115" s="2" t="s">
        <v>235</v>
      </c>
      <c r="F115"/>
      <c r="G115" s="2" t="s">
        <v>21</v>
      </c>
      <c r="H115" s="2">
        <f>SUM(J115:BQ115)</f>
        <v>60</v>
      </c>
      <c r="I115"/>
      <c r="J115" s="2">
        <f t="shared" ref="J115:AO115" si="110">IF($F113&lt;J114,1,0)</f>
        <v>1</v>
      </c>
      <c r="K115" s="2">
        <f t="shared" si="110"/>
        <v>1</v>
      </c>
      <c r="L115" s="2">
        <f t="shared" si="110"/>
        <v>1</v>
      </c>
      <c r="M115" s="2">
        <f t="shared" si="110"/>
        <v>1</v>
      </c>
      <c r="N115" s="2">
        <f t="shared" si="110"/>
        <v>1</v>
      </c>
      <c r="O115" s="2">
        <f t="shared" si="110"/>
        <v>1</v>
      </c>
      <c r="P115" s="2">
        <f t="shared" si="110"/>
        <v>1</v>
      </c>
      <c r="Q115" s="2">
        <f t="shared" si="110"/>
        <v>1</v>
      </c>
      <c r="R115" s="2">
        <f t="shared" si="110"/>
        <v>1</v>
      </c>
      <c r="S115" s="2">
        <f t="shared" si="110"/>
        <v>1</v>
      </c>
      <c r="T115" s="2">
        <f t="shared" si="110"/>
        <v>1</v>
      </c>
      <c r="U115" s="2">
        <f t="shared" si="110"/>
        <v>1</v>
      </c>
      <c r="V115" s="2">
        <f t="shared" si="110"/>
        <v>1</v>
      </c>
      <c r="W115" s="2">
        <f t="shared" si="110"/>
        <v>1</v>
      </c>
      <c r="X115" s="2">
        <f t="shared" si="110"/>
        <v>1</v>
      </c>
      <c r="Y115" s="2">
        <f t="shared" si="110"/>
        <v>1</v>
      </c>
      <c r="Z115" s="2">
        <f t="shared" si="110"/>
        <v>1</v>
      </c>
      <c r="AA115" s="2">
        <f t="shared" si="110"/>
        <v>1</v>
      </c>
      <c r="AB115" s="2">
        <f t="shared" si="110"/>
        <v>1</v>
      </c>
      <c r="AC115" s="2">
        <f t="shared" si="110"/>
        <v>1</v>
      </c>
      <c r="AD115" s="2">
        <f t="shared" si="110"/>
        <v>1</v>
      </c>
      <c r="AE115" s="2">
        <f t="shared" si="110"/>
        <v>1</v>
      </c>
      <c r="AF115" s="2">
        <f t="shared" si="110"/>
        <v>1</v>
      </c>
      <c r="AG115" s="2">
        <f t="shared" si="110"/>
        <v>1</v>
      </c>
      <c r="AH115" s="2">
        <f t="shared" si="110"/>
        <v>1</v>
      </c>
      <c r="AI115" s="2">
        <f t="shared" si="110"/>
        <v>1</v>
      </c>
      <c r="AJ115" s="2">
        <f t="shared" si="110"/>
        <v>1</v>
      </c>
      <c r="AK115" s="2">
        <f t="shared" si="110"/>
        <v>1</v>
      </c>
      <c r="AL115" s="2">
        <f t="shared" si="110"/>
        <v>1</v>
      </c>
      <c r="AM115" s="2">
        <f t="shared" si="110"/>
        <v>1</v>
      </c>
      <c r="AN115" s="2">
        <f t="shared" si="110"/>
        <v>1</v>
      </c>
      <c r="AO115" s="2">
        <f t="shared" si="110"/>
        <v>1</v>
      </c>
      <c r="AP115" s="2">
        <f t="shared" ref="AP115:BU115" si="111">IF($F113&lt;AP114,1,0)</f>
        <v>1</v>
      </c>
      <c r="AQ115" s="2">
        <f t="shared" si="111"/>
        <v>1</v>
      </c>
      <c r="AR115" s="2">
        <f t="shared" si="111"/>
        <v>1</v>
      </c>
      <c r="AS115" s="2">
        <f t="shared" si="111"/>
        <v>1</v>
      </c>
      <c r="AT115" s="2">
        <f t="shared" si="111"/>
        <v>1</v>
      </c>
      <c r="AU115" s="2">
        <f t="shared" si="111"/>
        <v>1</v>
      </c>
      <c r="AV115" s="2">
        <f t="shared" si="111"/>
        <v>1</v>
      </c>
      <c r="AW115" s="2">
        <f t="shared" si="111"/>
        <v>1</v>
      </c>
      <c r="AX115" s="2">
        <f t="shared" si="111"/>
        <v>1</v>
      </c>
      <c r="AY115" s="2">
        <f t="shared" si="111"/>
        <v>1</v>
      </c>
      <c r="AZ115" s="2">
        <f t="shared" si="111"/>
        <v>1</v>
      </c>
      <c r="BA115" s="2">
        <f t="shared" si="111"/>
        <v>1</v>
      </c>
      <c r="BB115" s="2">
        <f t="shared" si="111"/>
        <v>1</v>
      </c>
      <c r="BC115" s="2">
        <f t="shared" si="111"/>
        <v>1</v>
      </c>
      <c r="BD115" s="2">
        <f t="shared" si="111"/>
        <v>1</v>
      </c>
      <c r="BE115" s="2">
        <f t="shared" si="111"/>
        <v>1</v>
      </c>
      <c r="BF115" s="2">
        <f t="shared" si="111"/>
        <v>1</v>
      </c>
      <c r="BG115" s="2">
        <f t="shared" si="111"/>
        <v>1</v>
      </c>
      <c r="BH115" s="2">
        <f t="shared" si="111"/>
        <v>1</v>
      </c>
      <c r="BI115" s="2">
        <f t="shared" si="111"/>
        <v>1</v>
      </c>
      <c r="BJ115" s="2">
        <f t="shared" si="111"/>
        <v>1</v>
      </c>
      <c r="BK115" s="2">
        <f t="shared" si="111"/>
        <v>1</v>
      </c>
      <c r="BL115" s="2">
        <f t="shared" si="111"/>
        <v>1</v>
      </c>
      <c r="BM115" s="2">
        <f t="shared" si="111"/>
        <v>1</v>
      </c>
      <c r="BN115" s="2">
        <f t="shared" si="111"/>
        <v>1</v>
      </c>
      <c r="BO115" s="2">
        <f t="shared" si="111"/>
        <v>1</v>
      </c>
      <c r="BP115" s="2">
        <f t="shared" si="111"/>
        <v>1</v>
      </c>
      <c r="BQ115" s="2">
        <f t="shared" si="111"/>
        <v>1</v>
      </c>
    </row>
    <row r="118" spans="1:69">
      <c r="B118" s="22" t="s">
        <v>291</v>
      </c>
    </row>
    <row r="119" spans="1:69">
      <c r="A119" s="17"/>
      <c r="B119" s="17"/>
      <c r="C119" s="26"/>
      <c r="D119" s="27"/>
      <c r="E119" s="18" t="str">
        <f>InpC!E$100</f>
        <v>Start date</v>
      </c>
      <c r="F119" s="18">
        <f>InpC!F$100</f>
        <v>45047</v>
      </c>
      <c r="G119" s="18" t="str">
        <f>InpC!G$100</f>
        <v>date</v>
      </c>
      <c r="M119" s="8"/>
    </row>
    <row r="120" spans="1:69">
      <c r="E120" s="8" t="str">
        <f t="shared" ref="E120:AJ120" si="112">E$19</f>
        <v>Model period end</v>
      </c>
      <c r="F120" s="8">
        <f t="shared" si="112"/>
        <v>0</v>
      </c>
      <c r="G120" s="8" t="str">
        <f t="shared" si="112"/>
        <v>date</v>
      </c>
      <c r="H120" s="8">
        <f t="shared" si="112"/>
        <v>0</v>
      </c>
      <c r="I120" s="8">
        <f t="shared" si="112"/>
        <v>0</v>
      </c>
      <c r="J120" s="8">
        <f t="shared" si="112"/>
        <v>45077</v>
      </c>
      <c r="K120" s="8">
        <f t="shared" si="112"/>
        <v>45107</v>
      </c>
      <c r="L120" s="8">
        <f t="shared" si="112"/>
        <v>45138</v>
      </c>
      <c r="M120" s="8">
        <f t="shared" si="112"/>
        <v>45169</v>
      </c>
      <c r="N120" s="8">
        <f t="shared" si="112"/>
        <v>45199</v>
      </c>
      <c r="O120" s="8">
        <f t="shared" si="112"/>
        <v>45230</v>
      </c>
      <c r="P120" s="8">
        <f t="shared" si="112"/>
        <v>45260</v>
      </c>
      <c r="Q120" s="8">
        <f t="shared" si="112"/>
        <v>45291</v>
      </c>
      <c r="R120" s="8">
        <f t="shared" si="112"/>
        <v>45322</v>
      </c>
      <c r="S120" s="8">
        <f t="shared" si="112"/>
        <v>45351</v>
      </c>
      <c r="T120" s="8">
        <f t="shared" si="112"/>
        <v>45382</v>
      </c>
      <c r="U120" s="8">
        <f t="shared" si="112"/>
        <v>45412</v>
      </c>
      <c r="V120" s="8">
        <f t="shared" si="112"/>
        <v>45443</v>
      </c>
      <c r="W120" s="8">
        <f t="shared" si="112"/>
        <v>45473</v>
      </c>
      <c r="X120" s="8">
        <f t="shared" si="112"/>
        <v>45504</v>
      </c>
      <c r="Y120" s="8">
        <f t="shared" si="112"/>
        <v>45535</v>
      </c>
      <c r="Z120" s="8">
        <f t="shared" si="112"/>
        <v>45565</v>
      </c>
      <c r="AA120" s="8">
        <f t="shared" si="112"/>
        <v>45596</v>
      </c>
      <c r="AB120" s="8">
        <f t="shared" si="112"/>
        <v>45626</v>
      </c>
      <c r="AC120" s="8">
        <f t="shared" si="112"/>
        <v>45657</v>
      </c>
      <c r="AD120" s="8">
        <f t="shared" si="112"/>
        <v>45688</v>
      </c>
      <c r="AE120" s="8">
        <f t="shared" si="112"/>
        <v>45716</v>
      </c>
      <c r="AF120" s="8">
        <f t="shared" si="112"/>
        <v>45747</v>
      </c>
      <c r="AG120" s="8">
        <f t="shared" si="112"/>
        <v>45777</v>
      </c>
      <c r="AH120" s="8">
        <f t="shared" si="112"/>
        <v>45808</v>
      </c>
      <c r="AI120" s="8">
        <f t="shared" si="112"/>
        <v>45838</v>
      </c>
      <c r="AJ120" s="8">
        <f t="shared" si="112"/>
        <v>45869</v>
      </c>
      <c r="AK120" s="8">
        <f t="shared" ref="AK120:BQ120" si="113">AK$19</f>
        <v>45900</v>
      </c>
      <c r="AL120" s="8">
        <f t="shared" si="113"/>
        <v>45930</v>
      </c>
      <c r="AM120" s="8">
        <f t="shared" si="113"/>
        <v>45961</v>
      </c>
      <c r="AN120" s="8">
        <f t="shared" si="113"/>
        <v>45991</v>
      </c>
      <c r="AO120" s="8">
        <f t="shared" si="113"/>
        <v>46022</v>
      </c>
      <c r="AP120" s="8">
        <f t="shared" si="113"/>
        <v>46053</v>
      </c>
      <c r="AQ120" s="8">
        <f t="shared" si="113"/>
        <v>46081</v>
      </c>
      <c r="AR120" s="8">
        <f t="shared" si="113"/>
        <v>46112</v>
      </c>
      <c r="AS120" s="8">
        <f t="shared" si="113"/>
        <v>46142</v>
      </c>
      <c r="AT120" s="8">
        <f t="shared" si="113"/>
        <v>46173</v>
      </c>
      <c r="AU120" s="8">
        <f t="shared" si="113"/>
        <v>46203</v>
      </c>
      <c r="AV120" s="8">
        <f t="shared" si="113"/>
        <v>46234</v>
      </c>
      <c r="AW120" s="8">
        <f t="shared" si="113"/>
        <v>46265</v>
      </c>
      <c r="AX120" s="8">
        <f t="shared" si="113"/>
        <v>46295</v>
      </c>
      <c r="AY120" s="8">
        <f t="shared" si="113"/>
        <v>46326</v>
      </c>
      <c r="AZ120" s="8">
        <f t="shared" si="113"/>
        <v>46356</v>
      </c>
      <c r="BA120" s="8">
        <f t="shared" si="113"/>
        <v>46387</v>
      </c>
      <c r="BB120" s="8">
        <f t="shared" si="113"/>
        <v>46418</v>
      </c>
      <c r="BC120" s="8">
        <f t="shared" si="113"/>
        <v>46446</v>
      </c>
      <c r="BD120" s="8">
        <f t="shared" si="113"/>
        <v>46477</v>
      </c>
      <c r="BE120" s="8">
        <f t="shared" si="113"/>
        <v>46507</v>
      </c>
      <c r="BF120" s="8">
        <f t="shared" si="113"/>
        <v>46538</v>
      </c>
      <c r="BG120" s="8">
        <f t="shared" si="113"/>
        <v>46568</v>
      </c>
      <c r="BH120" s="8">
        <f t="shared" si="113"/>
        <v>46599</v>
      </c>
      <c r="BI120" s="8">
        <f t="shared" si="113"/>
        <v>46630</v>
      </c>
      <c r="BJ120" s="8">
        <f t="shared" si="113"/>
        <v>46660</v>
      </c>
      <c r="BK120" s="8">
        <f t="shared" si="113"/>
        <v>46691</v>
      </c>
      <c r="BL120" s="8">
        <f t="shared" si="113"/>
        <v>46721</v>
      </c>
      <c r="BM120" s="8">
        <f t="shared" si="113"/>
        <v>46752</v>
      </c>
      <c r="BN120" s="8">
        <f t="shared" si="113"/>
        <v>46783</v>
      </c>
      <c r="BO120" s="8">
        <f t="shared" si="113"/>
        <v>46812</v>
      </c>
      <c r="BP120" s="8">
        <f t="shared" si="113"/>
        <v>46843</v>
      </c>
      <c r="BQ120" s="8">
        <f t="shared" si="113"/>
        <v>46873</v>
      </c>
    </row>
    <row r="121" spans="1:69">
      <c r="E121" s="8" t="str">
        <f t="shared" ref="E121:AJ121" si="114">E$12</f>
        <v>Model period start</v>
      </c>
      <c r="F121" s="8">
        <f t="shared" si="114"/>
        <v>0</v>
      </c>
      <c r="G121" s="8" t="str">
        <f t="shared" si="114"/>
        <v>date</v>
      </c>
      <c r="H121" s="8">
        <f t="shared" si="114"/>
        <v>0</v>
      </c>
      <c r="I121" s="8">
        <f t="shared" si="114"/>
        <v>0</v>
      </c>
      <c r="J121" s="8">
        <f t="shared" si="114"/>
        <v>45047</v>
      </c>
      <c r="K121" s="8">
        <f t="shared" si="114"/>
        <v>45078</v>
      </c>
      <c r="L121" s="8">
        <f t="shared" si="114"/>
        <v>45108</v>
      </c>
      <c r="M121" s="8">
        <f t="shared" si="114"/>
        <v>45139</v>
      </c>
      <c r="N121" s="8">
        <f t="shared" si="114"/>
        <v>45170</v>
      </c>
      <c r="O121" s="8">
        <f t="shared" si="114"/>
        <v>45200</v>
      </c>
      <c r="P121" s="8">
        <f t="shared" si="114"/>
        <v>45231</v>
      </c>
      <c r="Q121" s="8">
        <f t="shared" si="114"/>
        <v>45261</v>
      </c>
      <c r="R121" s="8">
        <f t="shared" si="114"/>
        <v>45292</v>
      </c>
      <c r="S121" s="8">
        <f t="shared" si="114"/>
        <v>45323</v>
      </c>
      <c r="T121" s="8">
        <f t="shared" si="114"/>
        <v>45352</v>
      </c>
      <c r="U121" s="8">
        <f t="shared" si="114"/>
        <v>45383</v>
      </c>
      <c r="V121" s="8">
        <f t="shared" si="114"/>
        <v>45413</v>
      </c>
      <c r="W121" s="8">
        <f t="shared" si="114"/>
        <v>45444</v>
      </c>
      <c r="X121" s="8">
        <f t="shared" si="114"/>
        <v>45474</v>
      </c>
      <c r="Y121" s="8">
        <f t="shared" si="114"/>
        <v>45505</v>
      </c>
      <c r="Z121" s="8">
        <f t="shared" si="114"/>
        <v>45536</v>
      </c>
      <c r="AA121" s="8">
        <f t="shared" si="114"/>
        <v>45566</v>
      </c>
      <c r="AB121" s="8">
        <f t="shared" si="114"/>
        <v>45597</v>
      </c>
      <c r="AC121" s="8">
        <f t="shared" si="114"/>
        <v>45627</v>
      </c>
      <c r="AD121" s="8">
        <f t="shared" si="114"/>
        <v>45658</v>
      </c>
      <c r="AE121" s="8">
        <f t="shared" si="114"/>
        <v>45689</v>
      </c>
      <c r="AF121" s="8">
        <f t="shared" si="114"/>
        <v>45717</v>
      </c>
      <c r="AG121" s="8">
        <f t="shared" si="114"/>
        <v>45748</v>
      </c>
      <c r="AH121" s="8">
        <f t="shared" si="114"/>
        <v>45778</v>
      </c>
      <c r="AI121" s="8">
        <f t="shared" si="114"/>
        <v>45809</v>
      </c>
      <c r="AJ121" s="8">
        <f t="shared" si="114"/>
        <v>45839</v>
      </c>
      <c r="AK121" s="8">
        <f t="shared" ref="AK121:BQ121" si="115">AK$12</f>
        <v>45870</v>
      </c>
      <c r="AL121" s="8">
        <f t="shared" si="115"/>
        <v>45901</v>
      </c>
      <c r="AM121" s="8">
        <f t="shared" si="115"/>
        <v>45931</v>
      </c>
      <c r="AN121" s="8">
        <f t="shared" si="115"/>
        <v>45962</v>
      </c>
      <c r="AO121" s="8">
        <f t="shared" si="115"/>
        <v>45992</v>
      </c>
      <c r="AP121" s="8">
        <f t="shared" si="115"/>
        <v>46023</v>
      </c>
      <c r="AQ121" s="8">
        <f t="shared" si="115"/>
        <v>46054</v>
      </c>
      <c r="AR121" s="8">
        <f t="shared" si="115"/>
        <v>46082</v>
      </c>
      <c r="AS121" s="8">
        <f t="shared" si="115"/>
        <v>46113</v>
      </c>
      <c r="AT121" s="8">
        <f t="shared" si="115"/>
        <v>46143</v>
      </c>
      <c r="AU121" s="8">
        <f t="shared" si="115"/>
        <v>46174</v>
      </c>
      <c r="AV121" s="8">
        <f t="shared" si="115"/>
        <v>46204</v>
      </c>
      <c r="AW121" s="8">
        <f t="shared" si="115"/>
        <v>46235</v>
      </c>
      <c r="AX121" s="8">
        <f t="shared" si="115"/>
        <v>46266</v>
      </c>
      <c r="AY121" s="8">
        <f t="shared" si="115"/>
        <v>46296</v>
      </c>
      <c r="AZ121" s="8">
        <f t="shared" si="115"/>
        <v>46327</v>
      </c>
      <c r="BA121" s="8">
        <f t="shared" si="115"/>
        <v>46357</v>
      </c>
      <c r="BB121" s="8">
        <f t="shared" si="115"/>
        <v>46388</v>
      </c>
      <c r="BC121" s="8">
        <f t="shared" si="115"/>
        <v>46419</v>
      </c>
      <c r="BD121" s="8">
        <f t="shared" si="115"/>
        <v>46447</v>
      </c>
      <c r="BE121" s="8">
        <f t="shared" si="115"/>
        <v>46478</v>
      </c>
      <c r="BF121" s="8">
        <f t="shared" si="115"/>
        <v>46508</v>
      </c>
      <c r="BG121" s="8">
        <f t="shared" si="115"/>
        <v>46539</v>
      </c>
      <c r="BH121" s="8">
        <f t="shared" si="115"/>
        <v>46569</v>
      </c>
      <c r="BI121" s="8">
        <f t="shared" si="115"/>
        <v>46600</v>
      </c>
      <c r="BJ121" s="8">
        <f t="shared" si="115"/>
        <v>46631</v>
      </c>
      <c r="BK121" s="8">
        <f t="shared" si="115"/>
        <v>46661</v>
      </c>
      <c r="BL121" s="8">
        <f t="shared" si="115"/>
        <v>46692</v>
      </c>
      <c r="BM121" s="8">
        <f t="shared" si="115"/>
        <v>46722</v>
      </c>
      <c r="BN121" s="8">
        <f t="shared" si="115"/>
        <v>46753</v>
      </c>
      <c r="BO121" s="8">
        <f t="shared" si="115"/>
        <v>46784</v>
      </c>
      <c r="BP121" s="8">
        <f t="shared" si="115"/>
        <v>46813</v>
      </c>
      <c r="BQ121" s="8">
        <f t="shared" si="115"/>
        <v>46844</v>
      </c>
    </row>
    <row r="122" spans="1:69" ht="14.5">
      <c r="E122" s="2" t="s">
        <v>291</v>
      </c>
      <c r="F122"/>
      <c r="G122" s="2" t="s">
        <v>21</v>
      </c>
      <c r="H122" s="2">
        <f>SUM(J122:BQ122)</f>
        <v>1</v>
      </c>
      <c r="I122"/>
      <c r="J122" s="2">
        <f t="shared" ref="J122:AO122" si="116">IF(AND(J120&gt;=$F119,J121&lt;=$F119),1,0)</f>
        <v>1</v>
      </c>
      <c r="K122" s="2">
        <f t="shared" si="116"/>
        <v>0</v>
      </c>
      <c r="L122" s="2">
        <f t="shared" si="116"/>
        <v>0</v>
      </c>
      <c r="M122" s="2">
        <f t="shared" si="116"/>
        <v>0</v>
      </c>
      <c r="N122" s="2">
        <f t="shared" si="116"/>
        <v>0</v>
      </c>
      <c r="O122" s="2">
        <f t="shared" si="116"/>
        <v>0</v>
      </c>
      <c r="P122" s="2">
        <f t="shared" si="116"/>
        <v>0</v>
      </c>
      <c r="Q122" s="2">
        <f t="shared" si="116"/>
        <v>0</v>
      </c>
      <c r="R122" s="2">
        <f t="shared" si="116"/>
        <v>0</v>
      </c>
      <c r="S122" s="2">
        <f t="shared" si="116"/>
        <v>0</v>
      </c>
      <c r="T122" s="2">
        <f t="shared" si="116"/>
        <v>0</v>
      </c>
      <c r="U122" s="2">
        <f t="shared" si="116"/>
        <v>0</v>
      </c>
      <c r="V122" s="2">
        <f t="shared" si="116"/>
        <v>0</v>
      </c>
      <c r="W122" s="2">
        <f t="shared" si="116"/>
        <v>0</v>
      </c>
      <c r="X122" s="2">
        <f t="shared" si="116"/>
        <v>0</v>
      </c>
      <c r="Y122" s="2">
        <f t="shared" si="116"/>
        <v>0</v>
      </c>
      <c r="Z122" s="2">
        <f t="shared" si="116"/>
        <v>0</v>
      </c>
      <c r="AA122" s="2">
        <f t="shared" si="116"/>
        <v>0</v>
      </c>
      <c r="AB122" s="2">
        <f t="shared" si="116"/>
        <v>0</v>
      </c>
      <c r="AC122" s="2">
        <f t="shared" si="116"/>
        <v>0</v>
      </c>
      <c r="AD122" s="2">
        <f t="shared" si="116"/>
        <v>0</v>
      </c>
      <c r="AE122" s="2">
        <f t="shared" si="116"/>
        <v>0</v>
      </c>
      <c r="AF122" s="2">
        <f t="shared" si="116"/>
        <v>0</v>
      </c>
      <c r="AG122" s="2">
        <f t="shared" si="116"/>
        <v>0</v>
      </c>
      <c r="AH122" s="2">
        <f t="shared" si="116"/>
        <v>0</v>
      </c>
      <c r="AI122" s="2">
        <f t="shared" si="116"/>
        <v>0</v>
      </c>
      <c r="AJ122" s="2">
        <f t="shared" si="116"/>
        <v>0</v>
      </c>
      <c r="AK122" s="2">
        <f t="shared" si="116"/>
        <v>0</v>
      </c>
      <c r="AL122" s="2">
        <f t="shared" si="116"/>
        <v>0</v>
      </c>
      <c r="AM122" s="2">
        <f t="shared" si="116"/>
        <v>0</v>
      </c>
      <c r="AN122" s="2">
        <f t="shared" si="116"/>
        <v>0</v>
      </c>
      <c r="AO122" s="2">
        <f t="shared" si="116"/>
        <v>0</v>
      </c>
      <c r="AP122" s="2">
        <f t="shared" ref="AP122:BU122" si="117">IF(AND(AP120&gt;=$F119,AP121&lt;=$F119),1,0)</f>
        <v>0</v>
      </c>
      <c r="AQ122" s="2">
        <f t="shared" si="117"/>
        <v>0</v>
      </c>
      <c r="AR122" s="2">
        <f t="shared" si="117"/>
        <v>0</v>
      </c>
      <c r="AS122" s="2">
        <f t="shared" si="117"/>
        <v>0</v>
      </c>
      <c r="AT122" s="2">
        <f t="shared" si="117"/>
        <v>0</v>
      </c>
      <c r="AU122" s="2">
        <f t="shared" si="117"/>
        <v>0</v>
      </c>
      <c r="AV122" s="2">
        <f t="shared" si="117"/>
        <v>0</v>
      </c>
      <c r="AW122" s="2">
        <f t="shared" si="117"/>
        <v>0</v>
      </c>
      <c r="AX122" s="2">
        <f t="shared" si="117"/>
        <v>0</v>
      </c>
      <c r="AY122" s="2">
        <f t="shared" si="117"/>
        <v>0</v>
      </c>
      <c r="AZ122" s="2">
        <f t="shared" si="117"/>
        <v>0</v>
      </c>
      <c r="BA122" s="2">
        <f t="shared" si="117"/>
        <v>0</v>
      </c>
      <c r="BB122" s="2">
        <f t="shared" si="117"/>
        <v>0</v>
      </c>
      <c r="BC122" s="2">
        <f t="shared" si="117"/>
        <v>0</v>
      </c>
      <c r="BD122" s="2">
        <f t="shared" si="117"/>
        <v>0</v>
      </c>
      <c r="BE122" s="2">
        <f t="shared" si="117"/>
        <v>0</v>
      </c>
      <c r="BF122" s="2">
        <f t="shared" si="117"/>
        <v>0</v>
      </c>
      <c r="BG122" s="2">
        <f t="shared" si="117"/>
        <v>0</v>
      </c>
      <c r="BH122" s="2">
        <f t="shared" si="117"/>
        <v>0</v>
      </c>
      <c r="BI122" s="2">
        <f t="shared" si="117"/>
        <v>0</v>
      </c>
      <c r="BJ122" s="2">
        <f t="shared" si="117"/>
        <v>0</v>
      </c>
      <c r="BK122" s="2">
        <f t="shared" si="117"/>
        <v>0</v>
      </c>
      <c r="BL122" s="2">
        <f t="shared" si="117"/>
        <v>0</v>
      </c>
      <c r="BM122" s="2">
        <f t="shared" si="117"/>
        <v>0</v>
      </c>
      <c r="BN122" s="2">
        <f t="shared" si="117"/>
        <v>0</v>
      </c>
      <c r="BO122" s="2">
        <f t="shared" si="117"/>
        <v>0</v>
      </c>
      <c r="BP122" s="2">
        <f t="shared" si="117"/>
        <v>0</v>
      </c>
      <c r="BQ122" s="2">
        <f t="shared" si="117"/>
        <v>0</v>
      </c>
    </row>
    <row r="125" spans="1:69">
      <c r="B125" s="22" t="s">
        <v>102</v>
      </c>
    </row>
    <row r="126" spans="1:69">
      <c r="E126" s="5" t="str">
        <f t="shared" ref="E126:AJ126" si="118">E$28</f>
        <v>Period number</v>
      </c>
      <c r="F126" s="5">
        <f t="shared" si="118"/>
        <v>0</v>
      </c>
      <c r="G126" s="5" t="str">
        <f t="shared" si="118"/>
        <v>Counter</v>
      </c>
      <c r="H126" s="5">
        <f t="shared" si="118"/>
        <v>0</v>
      </c>
      <c r="I126" s="5">
        <f t="shared" si="118"/>
        <v>0</v>
      </c>
      <c r="J126" s="5">
        <f t="shared" si="118"/>
        <v>1</v>
      </c>
      <c r="K126" s="5">
        <f t="shared" si="118"/>
        <v>2</v>
      </c>
      <c r="L126" s="5">
        <f t="shared" si="118"/>
        <v>3</v>
      </c>
      <c r="M126" s="5">
        <f t="shared" si="118"/>
        <v>4</v>
      </c>
      <c r="N126" s="5">
        <f t="shared" si="118"/>
        <v>5</v>
      </c>
      <c r="O126" s="5">
        <f t="shared" si="118"/>
        <v>6</v>
      </c>
      <c r="P126" s="5">
        <f t="shared" si="118"/>
        <v>7</v>
      </c>
      <c r="Q126" s="5">
        <f t="shared" si="118"/>
        <v>8</v>
      </c>
      <c r="R126" s="5">
        <f t="shared" si="118"/>
        <v>9</v>
      </c>
      <c r="S126" s="5">
        <f t="shared" si="118"/>
        <v>10</v>
      </c>
      <c r="T126" s="5">
        <f t="shared" si="118"/>
        <v>11</v>
      </c>
      <c r="U126" s="5">
        <f t="shared" si="118"/>
        <v>12</v>
      </c>
      <c r="V126" s="5">
        <f t="shared" si="118"/>
        <v>13</v>
      </c>
      <c r="W126" s="5">
        <f t="shared" si="118"/>
        <v>14</v>
      </c>
      <c r="X126" s="5">
        <f t="shared" si="118"/>
        <v>15</v>
      </c>
      <c r="Y126" s="5">
        <f t="shared" si="118"/>
        <v>16</v>
      </c>
      <c r="Z126" s="5">
        <f t="shared" si="118"/>
        <v>17</v>
      </c>
      <c r="AA126" s="5">
        <f t="shared" si="118"/>
        <v>18</v>
      </c>
      <c r="AB126" s="5">
        <f t="shared" si="118"/>
        <v>19</v>
      </c>
      <c r="AC126" s="5">
        <f t="shared" si="118"/>
        <v>20</v>
      </c>
      <c r="AD126" s="5">
        <f t="shared" si="118"/>
        <v>21</v>
      </c>
      <c r="AE126" s="5">
        <f t="shared" si="118"/>
        <v>22</v>
      </c>
      <c r="AF126" s="5">
        <f t="shared" si="118"/>
        <v>23</v>
      </c>
      <c r="AG126" s="5">
        <f t="shared" si="118"/>
        <v>24</v>
      </c>
      <c r="AH126" s="5">
        <f t="shared" si="118"/>
        <v>25</v>
      </c>
      <c r="AI126" s="5">
        <f t="shared" si="118"/>
        <v>26</v>
      </c>
      <c r="AJ126" s="5">
        <f t="shared" si="118"/>
        <v>27</v>
      </c>
      <c r="AK126" s="5">
        <f t="shared" ref="AK126:BQ126" si="119">AK$28</f>
        <v>28</v>
      </c>
      <c r="AL126" s="5">
        <f t="shared" si="119"/>
        <v>29</v>
      </c>
      <c r="AM126" s="5">
        <f t="shared" si="119"/>
        <v>30</v>
      </c>
      <c r="AN126" s="5">
        <f t="shared" si="119"/>
        <v>31</v>
      </c>
      <c r="AO126" s="5">
        <f t="shared" si="119"/>
        <v>32</v>
      </c>
      <c r="AP126" s="5">
        <f t="shared" si="119"/>
        <v>33</v>
      </c>
      <c r="AQ126" s="5">
        <f t="shared" si="119"/>
        <v>34</v>
      </c>
      <c r="AR126" s="5">
        <f t="shared" si="119"/>
        <v>35</v>
      </c>
      <c r="AS126" s="5">
        <f t="shared" si="119"/>
        <v>36</v>
      </c>
      <c r="AT126" s="5">
        <f t="shared" si="119"/>
        <v>37</v>
      </c>
      <c r="AU126" s="5">
        <f t="shared" si="119"/>
        <v>38</v>
      </c>
      <c r="AV126" s="5">
        <f t="shared" si="119"/>
        <v>39</v>
      </c>
      <c r="AW126" s="5">
        <f t="shared" si="119"/>
        <v>40</v>
      </c>
      <c r="AX126" s="5">
        <f t="shared" si="119"/>
        <v>41</v>
      </c>
      <c r="AY126" s="5">
        <f t="shared" si="119"/>
        <v>42</v>
      </c>
      <c r="AZ126" s="5">
        <f t="shared" si="119"/>
        <v>43</v>
      </c>
      <c r="BA126" s="5">
        <f t="shared" si="119"/>
        <v>44</v>
      </c>
      <c r="BB126" s="5">
        <f t="shared" si="119"/>
        <v>45</v>
      </c>
      <c r="BC126" s="5">
        <f t="shared" si="119"/>
        <v>46</v>
      </c>
      <c r="BD126" s="5">
        <f t="shared" si="119"/>
        <v>47</v>
      </c>
      <c r="BE126" s="5">
        <f t="shared" si="119"/>
        <v>48</v>
      </c>
      <c r="BF126" s="5">
        <f t="shared" si="119"/>
        <v>49</v>
      </c>
      <c r="BG126" s="5">
        <f t="shared" si="119"/>
        <v>50</v>
      </c>
      <c r="BH126" s="5">
        <f t="shared" si="119"/>
        <v>51</v>
      </c>
      <c r="BI126" s="5">
        <f t="shared" si="119"/>
        <v>52</v>
      </c>
      <c r="BJ126" s="5">
        <f t="shared" si="119"/>
        <v>53</v>
      </c>
      <c r="BK126" s="5">
        <f t="shared" si="119"/>
        <v>54</v>
      </c>
      <c r="BL126" s="5">
        <f t="shared" si="119"/>
        <v>55</v>
      </c>
      <c r="BM126" s="5">
        <f t="shared" si="119"/>
        <v>56</v>
      </c>
      <c r="BN126" s="5">
        <f t="shared" si="119"/>
        <v>57</v>
      </c>
      <c r="BO126" s="5">
        <f t="shared" si="119"/>
        <v>58</v>
      </c>
      <c r="BP126" s="5">
        <f t="shared" si="119"/>
        <v>59</v>
      </c>
      <c r="BQ126" s="5">
        <f t="shared" si="119"/>
        <v>60</v>
      </c>
    </row>
    <row r="127" spans="1:69">
      <c r="E127" s="2" t="str">
        <f t="shared" ref="E127:AJ127" si="120">E$122</f>
        <v>First Customer Order Growth escalation flag</v>
      </c>
      <c r="F127" s="2">
        <f t="shared" si="120"/>
        <v>0</v>
      </c>
      <c r="G127" s="2" t="str">
        <f t="shared" si="120"/>
        <v>flag</v>
      </c>
      <c r="H127" s="2">
        <f t="shared" si="120"/>
        <v>1</v>
      </c>
      <c r="I127" s="2">
        <f t="shared" si="120"/>
        <v>0</v>
      </c>
      <c r="J127" s="2">
        <f t="shared" si="120"/>
        <v>1</v>
      </c>
      <c r="K127" s="2">
        <f t="shared" si="120"/>
        <v>0</v>
      </c>
      <c r="L127" s="2">
        <f t="shared" si="120"/>
        <v>0</v>
      </c>
      <c r="M127" s="2">
        <f t="shared" si="120"/>
        <v>0</v>
      </c>
      <c r="N127" s="2">
        <f t="shared" si="120"/>
        <v>0</v>
      </c>
      <c r="O127" s="2">
        <f t="shared" si="120"/>
        <v>0</v>
      </c>
      <c r="P127" s="2">
        <f t="shared" si="120"/>
        <v>0</v>
      </c>
      <c r="Q127" s="2">
        <f t="shared" si="120"/>
        <v>0</v>
      </c>
      <c r="R127" s="2">
        <f t="shared" si="120"/>
        <v>0</v>
      </c>
      <c r="S127" s="2">
        <f t="shared" si="120"/>
        <v>0</v>
      </c>
      <c r="T127" s="2">
        <f t="shared" si="120"/>
        <v>0</v>
      </c>
      <c r="U127" s="2">
        <f t="shared" si="120"/>
        <v>0</v>
      </c>
      <c r="V127" s="2">
        <f t="shared" si="120"/>
        <v>0</v>
      </c>
      <c r="W127" s="2">
        <f t="shared" si="120"/>
        <v>0</v>
      </c>
      <c r="X127" s="2">
        <f t="shared" si="120"/>
        <v>0</v>
      </c>
      <c r="Y127" s="2">
        <f t="shared" si="120"/>
        <v>0</v>
      </c>
      <c r="Z127" s="2">
        <f t="shared" si="120"/>
        <v>0</v>
      </c>
      <c r="AA127" s="2">
        <f t="shared" si="120"/>
        <v>0</v>
      </c>
      <c r="AB127" s="2">
        <f t="shared" si="120"/>
        <v>0</v>
      </c>
      <c r="AC127" s="2">
        <f t="shared" si="120"/>
        <v>0</v>
      </c>
      <c r="AD127" s="2">
        <f t="shared" si="120"/>
        <v>0</v>
      </c>
      <c r="AE127" s="2">
        <f t="shared" si="120"/>
        <v>0</v>
      </c>
      <c r="AF127" s="2">
        <f t="shared" si="120"/>
        <v>0</v>
      </c>
      <c r="AG127" s="2">
        <f t="shared" si="120"/>
        <v>0</v>
      </c>
      <c r="AH127" s="2">
        <f t="shared" si="120"/>
        <v>0</v>
      </c>
      <c r="AI127" s="2">
        <f t="shared" si="120"/>
        <v>0</v>
      </c>
      <c r="AJ127" s="2">
        <f t="shared" si="120"/>
        <v>0</v>
      </c>
      <c r="AK127" s="2">
        <f t="shared" ref="AK127:BQ127" si="121">AK$122</f>
        <v>0</v>
      </c>
      <c r="AL127" s="2">
        <f t="shared" si="121"/>
        <v>0</v>
      </c>
      <c r="AM127" s="2">
        <f t="shared" si="121"/>
        <v>0</v>
      </c>
      <c r="AN127" s="2">
        <f t="shared" si="121"/>
        <v>0</v>
      </c>
      <c r="AO127" s="2">
        <f t="shared" si="121"/>
        <v>0</v>
      </c>
      <c r="AP127" s="2">
        <f t="shared" si="121"/>
        <v>0</v>
      </c>
      <c r="AQ127" s="2">
        <f t="shared" si="121"/>
        <v>0</v>
      </c>
      <c r="AR127" s="2">
        <f t="shared" si="121"/>
        <v>0</v>
      </c>
      <c r="AS127" s="2">
        <f t="shared" si="121"/>
        <v>0</v>
      </c>
      <c r="AT127" s="2">
        <f t="shared" si="121"/>
        <v>0</v>
      </c>
      <c r="AU127" s="2">
        <f t="shared" si="121"/>
        <v>0</v>
      </c>
      <c r="AV127" s="2">
        <f t="shared" si="121"/>
        <v>0</v>
      </c>
      <c r="AW127" s="2">
        <f t="shared" si="121"/>
        <v>0</v>
      </c>
      <c r="AX127" s="2">
        <f t="shared" si="121"/>
        <v>0</v>
      </c>
      <c r="AY127" s="2">
        <f t="shared" si="121"/>
        <v>0</v>
      </c>
      <c r="AZ127" s="2">
        <f t="shared" si="121"/>
        <v>0</v>
      </c>
      <c r="BA127" s="2">
        <f t="shared" si="121"/>
        <v>0</v>
      </c>
      <c r="BB127" s="2">
        <f t="shared" si="121"/>
        <v>0</v>
      </c>
      <c r="BC127" s="2">
        <f t="shared" si="121"/>
        <v>0</v>
      </c>
      <c r="BD127" s="2">
        <f t="shared" si="121"/>
        <v>0</v>
      </c>
      <c r="BE127" s="2">
        <f t="shared" si="121"/>
        <v>0</v>
      </c>
      <c r="BF127" s="2">
        <f t="shared" si="121"/>
        <v>0</v>
      </c>
      <c r="BG127" s="2">
        <f t="shared" si="121"/>
        <v>0</v>
      </c>
      <c r="BH127" s="2">
        <f t="shared" si="121"/>
        <v>0</v>
      </c>
      <c r="BI127" s="2">
        <f t="shared" si="121"/>
        <v>0</v>
      </c>
      <c r="BJ127" s="2">
        <f t="shared" si="121"/>
        <v>0</v>
      </c>
      <c r="BK127" s="2">
        <f t="shared" si="121"/>
        <v>0</v>
      </c>
      <c r="BL127" s="2">
        <f t="shared" si="121"/>
        <v>0</v>
      </c>
      <c r="BM127" s="2">
        <f t="shared" si="121"/>
        <v>0</v>
      </c>
      <c r="BN127" s="2">
        <f t="shared" si="121"/>
        <v>0</v>
      </c>
      <c r="BO127" s="2">
        <f t="shared" si="121"/>
        <v>0</v>
      </c>
      <c r="BP127" s="2">
        <f t="shared" si="121"/>
        <v>0</v>
      </c>
      <c r="BQ127" s="2">
        <f t="shared" si="121"/>
        <v>0</v>
      </c>
    </row>
    <row r="128" spans="1:69" ht="14.5">
      <c r="E128" s="2" t="s">
        <v>102</v>
      </c>
      <c r="F128"/>
      <c r="G128"/>
      <c r="H128" s="2">
        <f>SUM(J128:BQ128)</f>
        <v>1</v>
      </c>
      <c r="I128"/>
      <c r="J128" s="2">
        <f t="shared" ref="J128:AO128" si="122">J126*J127</f>
        <v>1</v>
      </c>
      <c r="K128" s="2">
        <f t="shared" si="122"/>
        <v>0</v>
      </c>
      <c r="L128" s="2">
        <f t="shared" si="122"/>
        <v>0</v>
      </c>
      <c r="M128" s="2">
        <f t="shared" si="122"/>
        <v>0</v>
      </c>
      <c r="N128" s="2">
        <f t="shared" si="122"/>
        <v>0</v>
      </c>
      <c r="O128" s="2">
        <f t="shared" si="122"/>
        <v>0</v>
      </c>
      <c r="P128" s="2">
        <f t="shared" si="122"/>
        <v>0</v>
      </c>
      <c r="Q128" s="2">
        <f t="shared" si="122"/>
        <v>0</v>
      </c>
      <c r="R128" s="2">
        <f t="shared" si="122"/>
        <v>0</v>
      </c>
      <c r="S128" s="2">
        <f t="shared" si="122"/>
        <v>0</v>
      </c>
      <c r="T128" s="2">
        <f t="shared" si="122"/>
        <v>0</v>
      </c>
      <c r="U128" s="2">
        <f t="shared" si="122"/>
        <v>0</v>
      </c>
      <c r="V128" s="2">
        <f t="shared" si="122"/>
        <v>0</v>
      </c>
      <c r="W128" s="2">
        <f t="shared" si="122"/>
        <v>0</v>
      </c>
      <c r="X128" s="2">
        <f t="shared" si="122"/>
        <v>0</v>
      </c>
      <c r="Y128" s="2">
        <f t="shared" si="122"/>
        <v>0</v>
      </c>
      <c r="Z128" s="2">
        <f t="shared" si="122"/>
        <v>0</v>
      </c>
      <c r="AA128" s="2">
        <f t="shared" si="122"/>
        <v>0</v>
      </c>
      <c r="AB128" s="2">
        <f t="shared" si="122"/>
        <v>0</v>
      </c>
      <c r="AC128" s="2">
        <f t="shared" si="122"/>
        <v>0</v>
      </c>
      <c r="AD128" s="2">
        <f t="shared" si="122"/>
        <v>0</v>
      </c>
      <c r="AE128" s="2">
        <f t="shared" si="122"/>
        <v>0</v>
      </c>
      <c r="AF128" s="2">
        <f t="shared" si="122"/>
        <v>0</v>
      </c>
      <c r="AG128" s="2">
        <f t="shared" si="122"/>
        <v>0</v>
      </c>
      <c r="AH128" s="2">
        <f t="shared" si="122"/>
        <v>0</v>
      </c>
      <c r="AI128" s="2">
        <f t="shared" si="122"/>
        <v>0</v>
      </c>
      <c r="AJ128" s="2">
        <f t="shared" si="122"/>
        <v>0</v>
      </c>
      <c r="AK128" s="2">
        <f t="shared" si="122"/>
        <v>0</v>
      </c>
      <c r="AL128" s="2">
        <f t="shared" si="122"/>
        <v>0</v>
      </c>
      <c r="AM128" s="2">
        <f t="shared" si="122"/>
        <v>0</v>
      </c>
      <c r="AN128" s="2">
        <f t="shared" si="122"/>
        <v>0</v>
      </c>
      <c r="AO128" s="2">
        <f t="shared" si="122"/>
        <v>0</v>
      </c>
      <c r="AP128" s="2">
        <f t="shared" ref="AP128:BU128" si="123">AP126*AP127</f>
        <v>0</v>
      </c>
      <c r="AQ128" s="2">
        <f t="shared" si="123"/>
        <v>0</v>
      </c>
      <c r="AR128" s="2">
        <f t="shared" si="123"/>
        <v>0</v>
      </c>
      <c r="AS128" s="2">
        <f t="shared" si="123"/>
        <v>0</v>
      </c>
      <c r="AT128" s="2">
        <f t="shared" si="123"/>
        <v>0</v>
      </c>
      <c r="AU128" s="2">
        <f t="shared" si="123"/>
        <v>0</v>
      </c>
      <c r="AV128" s="2">
        <f t="shared" si="123"/>
        <v>0</v>
      </c>
      <c r="AW128" s="2">
        <f t="shared" si="123"/>
        <v>0</v>
      </c>
      <c r="AX128" s="2">
        <f t="shared" si="123"/>
        <v>0</v>
      </c>
      <c r="AY128" s="2">
        <f t="shared" si="123"/>
        <v>0</v>
      </c>
      <c r="AZ128" s="2">
        <f t="shared" si="123"/>
        <v>0</v>
      </c>
      <c r="BA128" s="2">
        <f t="shared" si="123"/>
        <v>0</v>
      </c>
      <c r="BB128" s="2">
        <f t="shared" si="123"/>
        <v>0</v>
      </c>
      <c r="BC128" s="2">
        <f t="shared" si="123"/>
        <v>0</v>
      </c>
      <c r="BD128" s="2">
        <f t="shared" si="123"/>
        <v>0</v>
      </c>
      <c r="BE128" s="2">
        <f t="shared" si="123"/>
        <v>0</v>
      </c>
      <c r="BF128" s="2">
        <f t="shared" si="123"/>
        <v>0</v>
      </c>
      <c r="BG128" s="2">
        <f t="shared" si="123"/>
        <v>0</v>
      </c>
      <c r="BH128" s="2">
        <f t="shared" si="123"/>
        <v>0</v>
      </c>
      <c r="BI128" s="2">
        <f t="shared" si="123"/>
        <v>0</v>
      </c>
      <c r="BJ128" s="2">
        <f t="shared" si="123"/>
        <v>0</v>
      </c>
      <c r="BK128" s="2">
        <f t="shared" si="123"/>
        <v>0</v>
      </c>
      <c r="BL128" s="2">
        <f t="shared" si="123"/>
        <v>0</v>
      </c>
      <c r="BM128" s="2">
        <f t="shared" si="123"/>
        <v>0</v>
      </c>
      <c r="BN128" s="2">
        <f t="shared" si="123"/>
        <v>0</v>
      </c>
      <c r="BO128" s="2">
        <f t="shared" si="123"/>
        <v>0</v>
      </c>
      <c r="BP128" s="2">
        <f t="shared" si="123"/>
        <v>0</v>
      </c>
      <c r="BQ128" s="2">
        <f t="shared" si="123"/>
        <v>0</v>
      </c>
    </row>
    <row r="131" spans="1:69">
      <c r="B131" s="22" t="s">
        <v>103</v>
      </c>
    </row>
    <row r="132" spans="1:69">
      <c r="E132" s="2" t="str">
        <f t="shared" ref="E132:AJ132" si="124">E$128</f>
        <v>First Customer Order Growth escalation period</v>
      </c>
      <c r="F132" s="2">
        <f t="shared" si="124"/>
        <v>0</v>
      </c>
      <c r="G132" s="2">
        <f t="shared" si="124"/>
        <v>0</v>
      </c>
      <c r="H132" s="2">
        <f t="shared" si="124"/>
        <v>1</v>
      </c>
      <c r="I132" s="2">
        <f t="shared" si="124"/>
        <v>0</v>
      </c>
      <c r="J132" s="2">
        <f t="shared" si="124"/>
        <v>1</v>
      </c>
      <c r="K132" s="2">
        <f t="shared" si="124"/>
        <v>0</v>
      </c>
      <c r="L132" s="2">
        <f t="shared" si="124"/>
        <v>0</v>
      </c>
      <c r="M132" s="2">
        <f t="shared" si="124"/>
        <v>0</v>
      </c>
      <c r="N132" s="2">
        <f t="shared" si="124"/>
        <v>0</v>
      </c>
      <c r="O132" s="2">
        <f t="shared" si="124"/>
        <v>0</v>
      </c>
      <c r="P132" s="2">
        <f t="shared" si="124"/>
        <v>0</v>
      </c>
      <c r="Q132" s="2">
        <f t="shared" si="124"/>
        <v>0</v>
      </c>
      <c r="R132" s="2">
        <f t="shared" si="124"/>
        <v>0</v>
      </c>
      <c r="S132" s="2">
        <f t="shared" si="124"/>
        <v>0</v>
      </c>
      <c r="T132" s="2">
        <f t="shared" si="124"/>
        <v>0</v>
      </c>
      <c r="U132" s="2">
        <f t="shared" si="124"/>
        <v>0</v>
      </c>
      <c r="V132" s="2">
        <f t="shared" si="124"/>
        <v>0</v>
      </c>
      <c r="W132" s="2">
        <f t="shared" si="124"/>
        <v>0</v>
      </c>
      <c r="X132" s="2">
        <f t="shared" si="124"/>
        <v>0</v>
      </c>
      <c r="Y132" s="2">
        <f t="shared" si="124"/>
        <v>0</v>
      </c>
      <c r="Z132" s="2">
        <f t="shared" si="124"/>
        <v>0</v>
      </c>
      <c r="AA132" s="2">
        <f t="shared" si="124"/>
        <v>0</v>
      </c>
      <c r="AB132" s="2">
        <f t="shared" si="124"/>
        <v>0</v>
      </c>
      <c r="AC132" s="2">
        <f t="shared" si="124"/>
        <v>0</v>
      </c>
      <c r="AD132" s="2">
        <f t="shared" si="124"/>
        <v>0</v>
      </c>
      <c r="AE132" s="2">
        <f t="shared" si="124"/>
        <v>0</v>
      </c>
      <c r="AF132" s="2">
        <f t="shared" si="124"/>
        <v>0</v>
      </c>
      <c r="AG132" s="2">
        <f t="shared" si="124"/>
        <v>0</v>
      </c>
      <c r="AH132" s="2">
        <f t="shared" si="124"/>
        <v>0</v>
      </c>
      <c r="AI132" s="2">
        <f t="shared" si="124"/>
        <v>0</v>
      </c>
      <c r="AJ132" s="2">
        <f t="shared" si="124"/>
        <v>0</v>
      </c>
      <c r="AK132" s="2">
        <f t="shared" ref="AK132:BQ132" si="125">AK$128</f>
        <v>0</v>
      </c>
      <c r="AL132" s="2">
        <f t="shared" si="125"/>
        <v>0</v>
      </c>
      <c r="AM132" s="2">
        <f t="shared" si="125"/>
        <v>0</v>
      </c>
      <c r="AN132" s="2">
        <f t="shared" si="125"/>
        <v>0</v>
      </c>
      <c r="AO132" s="2">
        <f t="shared" si="125"/>
        <v>0</v>
      </c>
      <c r="AP132" s="2">
        <f t="shared" si="125"/>
        <v>0</v>
      </c>
      <c r="AQ132" s="2">
        <f t="shared" si="125"/>
        <v>0</v>
      </c>
      <c r="AR132" s="2">
        <f t="shared" si="125"/>
        <v>0</v>
      </c>
      <c r="AS132" s="2">
        <f t="shared" si="125"/>
        <v>0</v>
      </c>
      <c r="AT132" s="2">
        <f t="shared" si="125"/>
        <v>0</v>
      </c>
      <c r="AU132" s="2">
        <f t="shared" si="125"/>
        <v>0</v>
      </c>
      <c r="AV132" s="2">
        <f t="shared" si="125"/>
        <v>0</v>
      </c>
      <c r="AW132" s="2">
        <f t="shared" si="125"/>
        <v>0</v>
      </c>
      <c r="AX132" s="2">
        <f t="shared" si="125"/>
        <v>0</v>
      </c>
      <c r="AY132" s="2">
        <f t="shared" si="125"/>
        <v>0</v>
      </c>
      <c r="AZ132" s="2">
        <f t="shared" si="125"/>
        <v>0</v>
      </c>
      <c r="BA132" s="2">
        <f t="shared" si="125"/>
        <v>0</v>
      </c>
      <c r="BB132" s="2">
        <f t="shared" si="125"/>
        <v>0</v>
      </c>
      <c r="BC132" s="2">
        <f t="shared" si="125"/>
        <v>0</v>
      </c>
      <c r="BD132" s="2">
        <f t="shared" si="125"/>
        <v>0</v>
      </c>
      <c r="BE132" s="2">
        <f t="shared" si="125"/>
        <v>0</v>
      </c>
      <c r="BF132" s="2">
        <f t="shared" si="125"/>
        <v>0</v>
      </c>
      <c r="BG132" s="2">
        <f t="shared" si="125"/>
        <v>0</v>
      </c>
      <c r="BH132" s="2">
        <f t="shared" si="125"/>
        <v>0</v>
      </c>
      <c r="BI132" s="2">
        <f t="shared" si="125"/>
        <v>0</v>
      </c>
      <c r="BJ132" s="2">
        <f t="shared" si="125"/>
        <v>0</v>
      </c>
      <c r="BK132" s="2">
        <f t="shared" si="125"/>
        <v>0</v>
      </c>
      <c r="BL132" s="2">
        <f t="shared" si="125"/>
        <v>0</v>
      </c>
      <c r="BM132" s="2">
        <f t="shared" si="125"/>
        <v>0</v>
      </c>
      <c r="BN132" s="2">
        <f t="shared" si="125"/>
        <v>0</v>
      </c>
      <c r="BO132" s="2">
        <f t="shared" si="125"/>
        <v>0</v>
      </c>
      <c r="BP132" s="2">
        <f t="shared" si="125"/>
        <v>0</v>
      </c>
      <c r="BQ132" s="2">
        <f t="shared" si="125"/>
        <v>0</v>
      </c>
    </row>
    <row r="133" spans="1:69" ht="14.5">
      <c r="E133" s="2" t="s">
        <v>103</v>
      </c>
      <c r="F133" s="2">
        <f>SUM($J132:$BQ132)</f>
        <v>1</v>
      </c>
      <c r="G133"/>
    </row>
    <row r="136" spans="1:69">
      <c r="B136" s="22" t="s">
        <v>192</v>
      </c>
    </row>
    <row r="137" spans="1:69">
      <c r="E137" s="2" t="str">
        <f>E$133</f>
        <v>Period of first Customer Order Growth escalation</v>
      </c>
      <c r="F137" s="2">
        <f>F$133</f>
        <v>1</v>
      </c>
      <c r="G137" s="2">
        <f>G$133</f>
        <v>0</v>
      </c>
    </row>
    <row r="138" spans="1:69">
      <c r="A138" s="17"/>
      <c r="B138" s="17"/>
      <c r="C138" s="26"/>
      <c r="D138" s="27"/>
      <c r="E138" s="4" t="str">
        <f>InpC!E$17</f>
        <v>Customer Order Growth escalation frequency</v>
      </c>
      <c r="F138" s="4">
        <f>InpC!F$17</f>
        <v>1</v>
      </c>
      <c r="G138" s="4">
        <f>InpC!G$17</f>
        <v>0</v>
      </c>
    </row>
    <row r="139" spans="1:69">
      <c r="A139" s="17"/>
      <c r="B139" s="17"/>
      <c r="C139" s="26"/>
      <c r="D139" s="27"/>
      <c r="E139" s="4" t="str">
        <f>InpC!E$98</f>
        <v>Months per period (Primary)</v>
      </c>
      <c r="F139" s="4">
        <f>InpC!F$98</f>
        <v>1</v>
      </c>
      <c r="G139" s="4" t="str">
        <f>InpC!G$98</f>
        <v>Months</v>
      </c>
    </row>
    <row r="140" spans="1:69">
      <c r="E140" s="5" t="str">
        <f t="shared" ref="E140:AJ140" si="126">E$28</f>
        <v>Period number</v>
      </c>
      <c r="F140" s="5">
        <f t="shared" si="126"/>
        <v>0</v>
      </c>
      <c r="G140" s="5" t="str">
        <f t="shared" si="126"/>
        <v>Counter</v>
      </c>
      <c r="H140" s="5">
        <f t="shared" si="126"/>
        <v>0</v>
      </c>
      <c r="I140" s="5">
        <f t="shared" si="126"/>
        <v>0</v>
      </c>
      <c r="J140" s="5">
        <f t="shared" si="126"/>
        <v>1</v>
      </c>
      <c r="K140" s="5">
        <f t="shared" si="126"/>
        <v>2</v>
      </c>
      <c r="L140" s="5">
        <f t="shared" si="126"/>
        <v>3</v>
      </c>
      <c r="M140" s="5">
        <f t="shared" si="126"/>
        <v>4</v>
      </c>
      <c r="N140" s="5">
        <f t="shared" si="126"/>
        <v>5</v>
      </c>
      <c r="O140" s="5">
        <f t="shared" si="126"/>
        <v>6</v>
      </c>
      <c r="P140" s="5">
        <f t="shared" si="126"/>
        <v>7</v>
      </c>
      <c r="Q140" s="5">
        <f t="shared" si="126"/>
        <v>8</v>
      </c>
      <c r="R140" s="5">
        <f t="shared" si="126"/>
        <v>9</v>
      </c>
      <c r="S140" s="5">
        <f t="shared" si="126"/>
        <v>10</v>
      </c>
      <c r="T140" s="5">
        <f t="shared" si="126"/>
        <v>11</v>
      </c>
      <c r="U140" s="5">
        <f t="shared" si="126"/>
        <v>12</v>
      </c>
      <c r="V140" s="5">
        <f t="shared" si="126"/>
        <v>13</v>
      </c>
      <c r="W140" s="5">
        <f t="shared" si="126"/>
        <v>14</v>
      </c>
      <c r="X140" s="5">
        <f t="shared" si="126"/>
        <v>15</v>
      </c>
      <c r="Y140" s="5">
        <f t="shared" si="126"/>
        <v>16</v>
      </c>
      <c r="Z140" s="5">
        <f t="shared" si="126"/>
        <v>17</v>
      </c>
      <c r="AA140" s="5">
        <f t="shared" si="126"/>
        <v>18</v>
      </c>
      <c r="AB140" s="5">
        <f t="shared" si="126"/>
        <v>19</v>
      </c>
      <c r="AC140" s="5">
        <f t="shared" si="126"/>
        <v>20</v>
      </c>
      <c r="AD140" s="5">
        <f t="shared" si="126"/>
        <v>21</v>
      </c>
      <c r="AE140" s="5">
        <f t="shared" si="126"/>
        <v>22</v>
      </c>
      <c r="AF140" s="5">
        <f t="shared" si="126"/>
        <v>23</v>
      </c>
      <c r="AG140" s="5">
        <f t="shared" si="126"/>
        <v>24</v>
      </c>
      <c r="AH140" s="5">
        <f t="shared" si="126"/>
        <v>25</v>
      </c>
      <c r="AI140" s="5">
        <f t="shared" si="126"/>
        <v>26</v>
      </c>
      <c r="AJ140" s="5">
        <f t="shared" si="126"/>
        <v>27</v>
      </c>
      <c r="AK140" s="5">
        <f t="shared" ref="AK140:BQ140" si="127">AK$28</f>
        <v>28</v>
      </c>
      <c r="AL140" s="5">
        <f t="shared" si="127"/>
        <v>29</v>
      </c>
      <c r="AM140" s="5">
        <f t="shared" si="127"/>
        <v>30</v>
      </c>
      <c r="AN140" s="5">
        <f t="shared" si="127"/>
        <v>31</v>
      </c>
      <c r="AO140" s="5">
        <f t="shared" si="127"/>
        <v>32</v>
      </c>
      <c r="AP140" s="5">
        <f t="shared" si="127"/>
        <v>33</v>
      </c>
      <c r="AQ140" s="5">
        <f t="shared" si="127"/>
        <v>34</v>
      </c>
      <c r="AR140" s="5">
        <f t="shared" si="127"/>
        <v>35</v>
      </c>
      <c r="AS140" s="5">
        <f t="shared" si="127"/>
        <v>36</v>
      </c>
      <c r="AT140" s="5">
        <f t="shared" si="127"/>
        <v>37</v>
      </c>
      <c r="AU140" s="5">
        <f t="shared" si="127"/>
        <v>38</v>
      </c>
      <c r="AV140" s="5">
        <f t="shared" si="127"/>
        <v>39</v>
      </c>
      <c r="AW140" s="5">
        <f t="shared" si="127"/>
        <v>40</v>
      </c>
      <c r="AX140" s="5">
        <f t="shared" si="127"/>
        <v>41</v>
      </c>
      <c r="AY140" s="5">
        <f t="shared" si="127"/>
        <v>42</v>
      </c>
      <c r="AZ140" s="5">
        <f t="shared" si="127"/>
        <v>43</v>
      </c>
      <c r="BA140" s="5">
        <f t="shared" si="127"/>
        <v>44</v>
      </c>
      <c r="BB140" s="5">
        <f t="shared" si="127"/>
        <v>45</v>
      </c>
      <c r="BC140" s="5">
        <f t="shared" si="127"/>
        <v>46</v>
      </c>
      <c r="BD140" s="5">
        <f t="shared" si="127"/>
        <v>47</v>
      </c>
      <c r="BE140" s="5">
        <f t="shared" si="127"/>
        <v>48</v>
      </c>
      <c r="BF140" s="5">
        <f t="shared" si="127"/>
        <v>49</v>
      </c>
      <c r="BG140" s="5">
        <f t="shared" si="127"/>
        <v>50</v>
      </c>
      <c r="BH140" s="5">
        <f t="shared" si="127"/>
        <v>51</v>
      </c>
      <c r="BI140" s="5">
        <f t="shared" si="127"/>
        <v>52</v>
      </c>
      <c r="BJ140" s="5">
        <f t="shared" si="127"/>
        <v>53</v>
      </c>
      <c r="BK140" s="5">
        <f t="shared" si="127"/>
        <v>54</v>
      </c>
      <c r="BL140" s="5">
        <f t="shared" si="127"/>
        <v>55</v>
      </c>
      <c r="BM140" s="5">
        <f t="shared" si="127"/>
        <v>56</v>
      </c>
      <c r="BN140" s="5">
        <f t="shared" si="127"/>
        <v>57</v>
      </c>
      <c r="BO140" s="5">
        <f t="shared" si="127"/>
        <v>58</v>
      </c>
      <c r="BP140" s="5">
        <f t="shared" si="127"/>
        <v>59</v>
      </c>
      <c r="BQ140" s="5">
        <f t="shared" si="127"/>
        <v>60</v>
      </c>
    </row>
    <row r="141" spans="1:69">
      <c r="E141" s="2" t="str">
        <f t="shared" ref="E141:AJ141" si="128">E$115</f>
        <v>Customer Order Growth escalation duration flag</v>
      </c>
      <c r="F141" s="2">
        <f t="shared" si="128"/>
        <v>0</v>
      </c>
      <c r="G141" s="2" t="str">
        <f t="shared" si="128"/>
        <v>flag</v>
      </c>
      <c r="H141" s="2">
        <f t="shared" si="128"/>
        <v>60</v>
      </c>
      <c r="I141" s="2">
        <f t="shared" si="128"/>
        <v>0</v>
      </c>
      <c r="J141" s="2">
        <f t="shared" si="128"/>
        <v>1</v>
      </c>
      <c r="K141" s="2">
        <f t="shared" si="128"/>
        <v>1</v>
      </c>
      <c r="L141" s="2">
        <f t="shared" si="128"/>
        <v>1</v>
      </c>
      <c r="M141" s="2">
        <f t="shared" si="128"/>
        <v>1</v>
      </c>
      <c r="N141" s="2">
        <f t="shared" si="128"/>
        <v>1</v>
      </c>
      <c r="O141" s="2">
        <f t="shared" si="128"/>
        <v>1</v>
      </c>
      <c r="P141" s="2">
        <f t="shared" si="128"/>
        <v>1</v>
      </c>
      <c r="Q141" s="2">
        <f t="shared" si="128"/>
        <v>1</v>
      </c>
      <c r="R141" s="2">
        <f t="shared" si="128"/>
        <v>1</v>
      </c>
      <c r="S141" s="2">
        <f t="shared" si="128"/>
        <v>1</v>
      </c>
      <c r="T141" s="2">
        <f t="shared" si="128"/>
        <v>1</v>
      </c>
      <c r="U141" s="2">
        <f t="shared" si="128"/>
        <v>1</v>
      </c>
      <c r="V141" s="2">
        <f t="shared" si="128"/>
        <v>1</v>
      </c>
      <c r="W141" s="2">
        <f t="shared" si="128"/>
        <v>1</v>
      </c>
      <c r="X141" s="2">
        <f t="shared" si="128"/>
        <v>1</v>
      </c>
      <c r="Y141" s="2">
        <f t="shared" si="128"/>
        <v>1</v>
      </c>
      <c r="Z141" s="2">
        <f t="shared" si="128"/>
        <v>1</v>
      </c>
      <c r="AA141" s="2">
        <f t="shared" si="128"/>
        <v>1</v>
      </c>
      <c r="AB141" s="2">
        <f t="shared" si="128"/>
        <v>1</v>
      </c>
      <c r="AC141" s="2">
        <f t="shared" si="128"/>
        <v>1</v>
      </c>
      <c r="AD141" s="2">
        <f t="shared" si="128"/>
        <v>1</v>
      </c>
      <c r="AE141" s="2">
        <f t="shared" si="128"/>
        <v>1</v>
      </c>
      <c r="AF141" s="2">
        <f t="shared" si="128"/>
        <v>1</v>
      </c>
      <c r="AG141" s="2">
        <f t="shared" si="128"/>
        <v>1</v>
      </c>
      <c r="AH141" s="2">
        <f t="shared" si="128"/>
        <v>1</v>
      </c>
      <c r="AI141" s="2">
        <f t="shared" si="128"/>
        <v>1</v>
      </c>
      <c r="AJ141" s="2">
        <f t="shared" si="128"/>
        <v>1</v>
      </c>
      <c r="AK141" s="2">
        <f t="shared" ref="AK141:BQ141" si="129">AK$115</f>
        <v>1</v>
      </c>
      <c r="AL141" s="2">
        <f t="shared" si="129"/>
        <v>1</v>
      </c>
      <c r="AM141" s="2">
        <f t="shared" si="129"/>
        <v>1</v>
      </c>
      <c r="AN141" s="2">
        <f t="shared" si="129"/>
        <v>1</v>
      </c>
      <c r="AO141" s="2">
        <f t="shared" si="129"/>
        <v>1</v>
      </c>
      <c r="AP141" s="2">
        <f t="shared" si="129"/>
        <v>1</v>
      </c>
      <c r="AQ141" s="2">
        <f t="shared" si="129"/>
        <v>1</v>
      </c>
      <c r="AR141" s="2">
        <f t="shared" si="129"/>
        <v>1</v>
      </c>
      <c r="AS141" s="2">
        <f t="shared" si="129"/>
        <v>1</v>
      </c>
      <c r="AT141" s="2">
        <f t="shared" si="129"/>
        <v>1</v>
      </c>
      <c r="AU141" s="2">
        <f t="shared" si="129"/>
        <v>1</v>
      </c>
      <c r="AV141" s="2">
        <f t="shared" si="129"/>
        <v>1</v>
      </c>
      <c r="AW141" s="2">
        <f t="shared" si="129"/>
        <v>1</v>
      </c>
      <c r="AX141" s="2">
        <f t="shared" si="129"/>
        <v>1</v>
      </c>
      <c r="AY141" s="2">
        <f t="shared" si="129"/>
        <v>1</v>
      </c>
      <c r="AZ141" s="2">
        <f t="shared" si="129"/>
        <v>1</v>
      </c>
      <c r="BA141" s="2">
        <f t="shared" si="129"/>
        <v>1</v>
      </c>
      <c r="BB141" s="2">
        <f t="shared" si="129"/>
        <v>1</v>
      </c>
      <c r="BC141" s="2">
        <f t="shared" si="129"/>
        <v>1</v>
      </c>
      <c r="BD141" s="2">
        <f t="shared" si="129"/>
        <v>1</v>
      </c>
      <c r="BE141" s="2">
        <f t="shared" si="129"/>
        <v>1</v>
      </c>
      <c r="BF141" s="2">
        <f t="shared" si="129"/>
        <v>1</v>
      </c>
      <c r="BG141" s="2">
        <f t="shared" si="129"/>
        <v>1</v>
      </c>
      <c r="BH141" s="2">
        <f t="shared" si="129"/>
        <v>1</v>
      </c>
      <c r="BI141" s="2">
        <f t="shared" si="129"/>
        <v>1</v>
      </c>
      <c r="BJ141" s="2">
        <f t="shared" si="129"/>
        <v>1</v>
      </c>
      <c r="BK141" s="2">
        <f t="shared" si="129"/>
        <v>1</v>
      </c>
      <c r="BL141" s="2">
        <f t="shared" si="129"/>
        <v>1</v>
      </c>
      <c r="BM141" s="2">
        <f t="shared" si="129"/>
        <v>1</v>
      </c>
      <c r="BN141" s="2">
        <f t="shared" si="129"/>
        <v>1</v>
      </c>
      <c r="BO141" s="2">
        <f t="shared" si="129"/>
        <v>1</v>
      </c>
      <c r="BP141" s="2">
        <f t="shared" si="129"/>
        <v>1</v>
      </c>
      <c r="BQ141" s="2">
        <f t="shared" si="129"/>
        <v>1</v>
      </c>
    </row>
    <row r="142" spans="1:69" ht="14.5">
      <c r="E142" s="2" t="s">
        <v>192</v>
      </c>
      <c r="F142"/>
      <c r="G142" s="2" t="s">
        <v>21</v>
      </c>
      <c r="H142" s="2">
        <f>SUM(J142:BQ142)</f>
        <v>60</v>
      </c>
      <c r="I142"/>
      <c r="J142" s="2">
        <f t="shared" ref="J142:AO142" si="130">IF(MOD(J140-$F137,$F138/$F139)=0,1,0)*J141</f>
        <v>1</v>
      </c>
      <c r="K142" s="2">
        <f t="shared" si="130"/>
        <v>1</v>
      </c>
      <c r="L142" s="2">
        <f t="shared" si="130"/>
        <v>1</v>
      </c>
      <c r="M142" s="2">
        <f t="shared" si="130"/>
        <v>1</v>
      </c>
      <c r="N142" s="2">
        <f t="shared" si="130"/>
        <v>1</v>
      </c>
      <c r="O142" s="2">
        <f t="shared" si="130"/>
        <v>1</v>
      </c>
      <c r="P142" s="2">
        <f t="shared" si="130"/>
        <v>1</v>
      </c>
      <c r="Q142" s="2">
        <f t="shared" si="130"/>
        <v>1</v>
      </c>
      <c r="R142" s="2">
        <f t="shared" si="130"/>
        <v>1</v>
      </c>
      <c r="S142" s="2">
        <f t="shared" si="130"/>
        <v>1</v>
      </c>
      <c r="T142" s="2">
        <f t="shared" si="130"/>
        <v>1</v>
      </c>
      <c r="U142" s="2">
        <f t="shared" si="130"/>
        <v>1</v>
      </c>
      <c r="V142" s="2">
        <f t="shared" si="130"/>
        <v>1</v>
      </c>
      <c r="W142" s="2">
        <f t="shared" si="130"/>
        <v>1</v>
      </c>
      <c r="X142" s="2">
        <f t="shared" si="130"/>
        <v>1</v>
      </c>
      <c r="Y142" s="2">
        <f t="shared" si="130"/>
        <v>1</v>
      </c>
      <c r="Z142" s="2">
        <f t="shared" si="130"/>
        <v>1</v>
      </c>
      <c r="AA142" s="2">
        <f t="shared" si="130"/>
        <v>1</v>
      </c>
      <c r="AB142" s="2">
        <f t="shared" si="130"/>
        <v>1</v>
      </c>
      <c r="AC142" s="2">
        <f t="shared" si="130"/>
        <v>1</v>
      </c>
      <c r="AD142" s="2">
        <f t="shared" si="130"/>
        <v>1</v>
      </c>
      <c r="AE142" s="2">
        <f t="shared" si="130"/>
        <v>1</v>
      </c>
      <c r="AF142" s="2">
        <f t="shared" si="130"/>
        <v>1</v>
      </c>
      <c r="AG142" s="2">
        <f t="shared" si="130"/>
        <v>1</v>
      </c>
      <c r="AH142" s="2">
        <f t="shared" si="130"/>
        <v>1</v>
      </c>
      <c r="AI142" s="2">
        <f t="shared" si="130"/>
        <v>1</v>
      </c>
      <c r="AJ142" s="2">
        <f t="shared" si="130"/>
        <v>1</v>
      </c>
      <c r="AK142" s="2">
        <f t="shared" si="130"/>
        <v>1</v>
      </c>
      <c r="AL142" s="2">
        <f t="shared" si="130"/>
        <v>1</v>
      </c>
      <c r="AM142" s="2">
        <f t="shared" si="130"/>
        <v>1</v>
      </c>
      <c r="AN142" s="2">
        <f t="shared" si="130"/>
        <v>1</v>
      </c>
      <c r="AO142" s="2">
        <f t="shared" si="130"/>
        <v>1</v>
      </c>
      <c r="AP142" s="2">
        <f t="shared" ref="AP142:BU142" si="131">IF(MOD(AP140-$F137,$F138/$F139)=0,1,0)*AP141</f>
        <v>1</v>
      </c>
      <c r="AQ142" s="2">
        <f t="shared" si="131"/>
        <v>1</v>
      </c>
      <c r="AR142" s="2">
        <f t="shared" si="131"/>
        <v>1</v>
      </c>
      <c r="AS142" s="2">
        <f t="shared" si="131"/>
        <v>1</v>
      </c>
      <c r="AT142" s="2">
        <f t="shared" si="131"/>
        <v>1</v>
      </c>
      <c r="AU142" s="2">
        <f t="shared" si="131"/>
        <v>1</v>
      </c>
      <c r="AV142" s="2">
        <f t="shared" si="131"/>
        <v>1</v>
      </c>
      <c r="AW142" s="2">
        <f t="shared" si="131"/>
        <v>1</v>
      </c>
      <c r="AX142" s="2">
        <f t="shared" si="131"/>
        <v>1</v>
      </c>
      <c r="AY142" s="2">
        <f t="shared" si="131"/>
        <v>1</v>
      </c>
      <c r="AZ142" s="2">
        <f t="shared" si="131"/>
        <v>1</v>
      </c>
      <c r="BA142" s="2">
        <f t="shared" si="131"/>
        <v>1</v>
      </c>
      <c r="BB142" s="2">
        <f t="shared" si="131"/>
        <v>1</v>
      </c>
      <c r="BC142" s="2">
        <f t="shared" si="131"/>
        <v>1</v>
      </c>
      <c r="BD142" s="2">
        <f t="shared" si="131"/>
        <v>1</v>
      </c>
      <c r="BE142" s="2">
        <f t="shared" si="131"/>
        <v>1</v>
      </c>
      <c r="BF142" s="2">
        <f t="shared" si="131"/>
        <v>1</v>
      </c>
      <c r="BG142" s="2">
        <f t="shared" si="131"/>
        <v>1</v>
      </c>
      <c r="BH142" s="2">
        <f t="shared" si="131"/>
        <v>1</v>
      </c>
      <c r="BI142" s="2">
        <f t="shared" si="131"/>
        <v>1</v>
      </c>
      <c r="BJ142" s="2">
        <f t="shared" si="131"/>
        <v>1</v>
      </c>
      <c r="BK142" s="2">
        <f t="shared" si="131"/>
        <v>1</v>
      </c>
      <c r="BL142" s="2">
        <f t="shared" si="131"/>
        <v>1</v>
      </c>
      <c r="BM142" s="2">
        <f t="shared" si="131"/>
        <v>1</v>
      </c>
      <c r="BN142" s="2">
        <f t="shared" si="131"/>
        <v>1</v>
      </c>
      <c r="BO142" s="2">
        <f t="shared" si="131"/>
        <v>1</v>
      </c>
      <c r="BP142" s="2">
        <f t="shared" si="131"/>
        <v>1</v>
      </c>
      <c r="BQ142" s="2">
        <f t="shared" si="131"/>
        <v>1</v>
      </c>
    </row>
    <row r="145" spans="1:69">
      <c r="B145" s="22" t="s">
        <v>104</v>
      </c>
    </row>
    <row r="146" spans="1:69">
      <c r="A146" s="17"/>
      <c r="B146" s="17"/>
      <c r="C146" s="26"/>
      <c r="D146" s="27"/>
      <c r="E146" s="18" t="str">
        <f>InpC!E$100</f>
        <v>Start date</v>
      </c>
      <c r="F146" s="18">
        <f>InpC!F$100</f>
        <v>45047</v>
      </c>
      <c r="G146" s="18" t="str">
        <f>InpC!G$100</f>
        <v>date</v>
      </c>
      <c r="M146" s="8"/>
    </row>
    <row r="147" spans="1:69">
      <c r="E147" s="8" t="str">
        <f t="shared" ref="E147:AJ147" si="132">E$19</f>
        <v>Model period end</v>
      </c>
      <c r="F147" s="8">
        <f t="shared" si="132"/>
        <v>0</v>
      </c>
      <c r="G147" s="8" t="str">
        <f t="shared" si="132"/>
        <v>date</v>
      </c>
      <c r="H147" s="8">
        <f t="shared" si="132"/>
        <v>0</v>
      </c>
      <c r="I147" s="8">
        <f t="shared" si="132"/>
        <v>0</v>
      </c>
      <c r="J147" s="8">
        <f t="shared" si="132"/>
        <v>45077</v>
      </c>
      <c r="K147" s="8">
        <f t="shared" si="132"/>
        <v>45107</v>
      </c>
      <c r="L147" s="8">
        <f t="shared" si="132"/>
        <v>45138</v>
      </c>
      <c r="M147" s="8">
        <f t="shared" si="132"/>
        <v>45169</v>
      </c>
      <c r="N147" s="8">
        <f t="shared" si="132"/>
        <v>45199</v>
      </c>
      <c r="O147" s="8">
        <f t="shared" si="132"/>
        <v>45230</v>
      </c>
      <c r="P147" s="8">
        <f t="shared" si="132"/>
        <v>45260</v>
      </c>
      <c r="Q147" s="8">
        <f t="shared" si="132"/>
        <v>45291</v>
      </c>
      <c r="R147" s="8">
        <f t="shared" si="132"/>
        <v>45322</v>
      </c>
      <c r="S147" s="8">
        <f t="shared" si="132"/>
        <v>45351</v>
      </c>
      <c r="T147" s="8">
        <f t="shared" si="132"/>
        <v>45382</v>
      </c>
      <c r="U147" s="8">
        <f t="shared" si="132"/>
        <v>45412</v>
      </c>
      <c r="V147" s="8">
        <f t="shared" si="132"/>
        <v>45443</v>
      </c>
      <c r="W147" s="8">
        <f t="shared" si="132"/>
        <v>45473</v>
      </c>
      <c r="X147" s="8">
        <f t="shared" si="132"/>
        <v>45504</v>
      </c>
      <c r="Y147" s="8">
        <f t="shared" si="132"/>
        <v>45535</v>
      </c>
      <c r="Z147" s="8">
        <f t="shared" si="132"/>
        <v>45565</v>
      </c>
      <c r="AA147" s="8">
        <f t="shared" si="132"/>
        <v>45596</v>
      </c>
      <c r="AB147" s="8">
        <f t="shared" si="132"/>
        <v>45626</v>
      </c>
      <c r="AC147" s="8">
        <f t="shared" si="132"/>
        <v>45657</v>
      </c>
      <c r="AD147" s="8">
        <f t="shared" si="132"/>
        <v>45688</v>
      </c>
      <c r="AE147" s="8">
        <f t="shared" si="132"/>
        <v>45716</v>
      </c>
      <c r="AF147" s="8">
        <f t="shared" si="132"/>
        <v>45747</v>
      </c>
      <c r="AG147" s="8">
        <f t="shared" si="132"/>
        <v>45777</v>
      </c>
      <c r="AH147" s="8">
        <f t="shared" si="132"/>
        <v>45808</v>
      </c>
      <c r="AI147" s="8">
        <f t="shared" si="132"/>
        <v>45838</v>
      </c>
      <c r="AJ147" s="8">
        <f t="shared" si="132"/>
        <v>45869</v>
      </c>
      <c r="AK147" s="8">
        <f t="shared" ref="AK147:BQ147" si="133">AK$19</f>
        <v>45900</v>
      </c>
      <c r="AL147" s="8">
        <f t="shared" si="133"/>
        <v>45930</v>
      </c>
      <c r="AM147" s="8">
        <f t="shared" si="133"/>
        <v>45961</v>
      </c>
      <c r="AN147" s="8">
        <f t="shared" si="133"/>
        <v>45991</v>
      </c>
      <c r="AO147" s="8">
        <f t="shared" si="133"/>
        <v>46022</v>
      </c>
      <c r="AP147" s="8">
        <f t="shared" si="133"/>
        <v>46053</v>
      </c>
      <c r="AQ147" s="8">
        <f t="shared" si="133"/>
        <v>46081</v>
      </c>
      <c r="AR147" s="8">
        <f t="shared" si="133"/>
        <v>46112</v>
      </c>
      <c r="AS147" s="8">
        <f t="shared" si="133"/>
        <v>46142</v>
      </c>
      <c r="AT147" s="8">
        <f t="shared" si="133"/>
        <v>46173</v>
      </c>
      <c r="AU147" s="8">
        <f t="shared" si="133"/>
        <v>46203</v>
      </c>
      <c r="AV147" s="8">
        <f t="shared" si="133"/>
        <v>46234</v>
      </c>
      <c r="AW147" s="8">
        <f t="shared" si="133"/>
        <v>46265</v>
      </c>
      <c r="AX147" s="8">
        <f t="shared" si="133"/>
        <v>46295</v>
      </c>
      <c r="AY147" s="8">
        <f t="shared" si="133"/>
        <v>46326</v>
      </c>
      <c r="AZ147" s="8">
        <f t="shared" si="133"/>
        <v>46356</v>
      </c>
      <c r="BA147" s="8">
        <f t="shared" si="133"/>
        <v>46387</v>
      </c>
      <c r="BB147" s="8">
        <f t="shared" si="133"/>
        <v>46418</v>
      </c>
      <c r="BC147" s="8">
        <f t="shared" si="133"/>
        <v>46446</v>
      </c>
      <c r="BD147" s="8">
        <f t="shared" si="133"/>
        <v>46477</v>
      </c>
      <c r="BE147" s="8">
        <f t="shared" si="133"/>
        <v>46507</v>
      </c>
      <c r="BF147" s="8">
        <f t="shared" si="133"/>
        <v>46538</v>
      </c>
      <c r="BG147" s="8">
        <f t="shared" si="133"/>
        <v>46568</v>
      </c>
      <c r="BH147" s="8">
        <f t="shared" si="133"/>
        <v>46599</v>
      </c>
      <c r="BI147" s="8">
        <f t="shared" si="133"/>
        <v>46630</v>
      </c>
      <c r="BJ147" s="8">
        <f t="shared" si="133"/>
        <v>46660</v>
      </c>
      <c r="BK147" s="8">
        <f t="shared" si="133"/>
        <v>46691</v>
      </c>
      <c r="BL147" s="8">
        <f t="shared" si="133"/>
        <v>46721</v>
      </c>
      <c r="BM147" s="8">
        <f t="shared" si="133"/>
        <v>46752</v>
      </c>
      <c r="BN147" s="8">
        <f t="shared" si="133"/>
        <v>46783</v>
      </c>
      <c r="BO147" s="8">
        <f t="shared" si="133"/>
        <v>46812</v>
      </c>
      <c r="BP147" s="8">
        <f t="shared" si="133"/>
        <v>46843</v>
      </c>
      <c r="BQ147" s="8">
        <f t="shared" si="133"/>
        <v>46873</v>
      </c>
    </row>
    <row r="148" spans="1:69">
      <c r="E148" s="2" t="str">
        <f t="shared" ref="E148:AJ148" si="134">E$142</f>
        <v>Customer Order Growth escalation step up frequency flag</v>
      </c>
      <c r="F148" s="2">
        <f t="shared" si="134"/>
        <v>0</v>
      </c>
      <c r="G148" s="2" t="str">
        <f t="shared" si="134"/>
        <v>flag</v>
      </c>
      <c r="H148" s="2">
        <f t="shared" si="134"/>
        <v>60</v>
      </c>
      <c r="I148" s="2">
        <f t="shared" si="134"/>
        <v>0</v>
      </c>
      <c r="J148" s="2">
        <f t="shared" si="134"/>
        <v>1</v>
      </c>
      <c r="K148" s="2">
        <f t="shared" si="134"/>
        <v>1</v>
      </c>
      <c r="L148" s="2">
        <f t="shared" si="134"/>
        <v>1</v>
      </c>
      <c r="M148" s="2">
        <f t="shared" si="134"/>
        <v>1</v>
      </c>
      <c r="N148" s="2">
        <f t="shared" si="134"/>
        <v>1</v>
      </c>
      <c r="O148" s="2">
        <f t="shared" si="134"/>
        <v>1</v>
      </c>
      <c r="P148" s="2">
        <f t="shared" si="134"/>
        <v>1</v>
      </c>
      <c r="Q148" s="2">
        <f t="shared" si="134"/>
        <v>1</v>
      </c>
      <c r="R148" s="2">
        <f t="shared" si="134"/>
        <v>1</v>
      </c>
      <c r="S148" s="2">
        <f t="shared" si="134"/>
        <v>1</v>
      </c>
      <c r="T148" s="2">
        <f t="shared" si="134"/>
        <v>1</v>
      </c>
      <c r="U148" s="2">
        <f t="shared" si="134"/>
        <v>1</v>
      </c>
      <c r="V148" s="2">
        <f t="shared" si="134"/>
        <v>1</v>
      </c>
      <c r="W148" s="2">
        <f t="shared" si="134"/>
        <v>1</v>
      </c>
      <c r="X148" s="2">
        <f t="shared" si="134"/>
        <v>1</v>
      </c>
      <c r="Y148" s="2">
        <f t="shared" si="134"/>
        <v>1</v>
      </c>
      <c r="Z148" s="2">
        <f t="shared" si="134"/>
        <v>1</v>
      </c>
      <c r="AA148" s="2">
        <f t="shared" si="134"/>
        <v>1</v>
      </c>
      <c r="AB148" s="2">
        <f t="shared" si="134"/>
        <v>1</v>
      </c>
      <c r="AC148" s="2">
        <f t="shared" si="134"/>
        <v>1</v>
      </c>
      <c r="AD148" s="2">
        <f t="shared" si="134"/>
        <v>1</v>
      </c>
      <c r="AE148" s="2">
        <f t="shared" si="134"/>
        <v>1</v>
      </c>
      <c r="AF148" s="2">
        <f t="shared" si="134"/>
        <v>1</v>
      </c>
      <c r="AG148" s="2">
        <f t="shared" si="134"/>
        <v>1</v>
      </c>
      <c r="AH148" s="2">
        <f t="shared" si="134"/>
        <v>1</v>
      </c>
      <c r="AI148" s="2">
        <f t="shared" si="134"/>
        <v>1</v>
      </c>
      <c r="AJ148" s="2">
        <f t="shared" si="134"/>
        <v>1</v>
      </c>
      <c r="AK148" s="2">
        <f t="shared" ref="AK148:BQ148" si="135">AK$142</f>
        <v>1</v>
      </c>
      <c r="AL148" s="2">
        <f t="shared" si="135"/>
        <v>1</v>
      </c>
      <c r="AM148" s="2">
        <f t="shared" si="135"/>
        <v>1</v>
      </c>
      <c r="AN148" s="2">
        <f t="shared" si="135"/>
        <v>1</v>
      </c>
      <c r="AO148" s="2">
        <f t="shared" si="135"/>
        <v>1</v>
      </c>
      <c r="AP148" s="2">
        <f t="shared" si="135"/>
        <v>1</v>
      </c>
      <c r="AQ148" s="2">
        <f t="shared" si="135"/>
        <v>1</v>
      </c>
      <c r="AR148" s="2">
        <f t="shared" si="135"/>
        <v>1</v>
      </c>
      <c r="AS148" s="2">
        <f t="shared" si="135"/>
        <v>1</v>
      </c>
      <c r="AT148" s="2">
        <f t="shared" si="135"/>
        <v>1</v>
      </c>
      <c r="AU148" s="2">
        <f t="shared" si="135"/>
        <v>1</v>
      </c>
      <c r="AV148" s="2">
        <f t="shared" si="135"/>
        <v>1</v>
      </c>
      <c r="AW148" s="2">
        <f t="shared" si="135"/>
        <v>1</v>
      </c>
      <c r="AX148" s="2">
        <f t="shared" si="135"/>
        <v>1</v>
      </c>
      <c r="AY148" s="2">
        <f t="shared" si="135"/>
        <v>1</v>
      </c>
      <c r="AZ148" s="2">
        <f t="shared" si="135"/>
        <v>1</v>
      </c>
      <c r="BA148" s="2">
        <f t="shared" si="135"/>
        <v>1</v>
      </c>
      <c r="BB148" s="2">
        <f t="shared" si="135"/>
        <v>1</v>
      </c>
      <c r="BC148" s="2">
        <f t="shared" si="135"/>
        <v>1</v>
      </c>
      <c r="BD148" s="2">
        <f t="shared" si="135"/>
        <v>1</v>
      </c>
      <c r="BE148" s="2">
        <f t="shared" si="135"/>
        <v>1</v>
      </c>
      <c r="BF148" s="2">
        <f t="shared" si="135"/>
        <v>1</v>
      </c>
      <c r="BG148" s="2">
        <f t="shared" si="135"/>
        <v>1</v>
      </c>
      <c r="BH148" s="2">
        <f t="shared" si="135"/>
        <v>1</v>
      </c>
      <c r="BI148" s="2">
        <f t="shared" si="135"/>
        <v>1</v>
      </c>
      <c r="BJ148" s="2">
        <f t="shared" si="135"/>
        <v>1</v>
      </c>
      <c r="BK148" s="2">
        <f t="shared" si="135"/>
        <v>1</v>
      </c>
      <c r="BL148" s="2">
        <f t="shared" si="135"/>
        <v>1</v>
      </c>
      <c r="BM148" s="2">
        <f t="shared" si="135"/>
        <v>1</v>
      </c>
      <c r="BN148" s="2">
        <f t="shared" si="135"/>
        <v>1</v>
      </c>
      <c r="BO148" s="2">
        <f t="shared" si="135"/>
        <v>1</v>
      </c>
      <c r="BP148" s="2">
        <f t="shared" si="135"/>
        <v>1</v>
      </c>
      <c r="BQ148" s="2">
        <f t="shared" si="135"/>
        <v>1</v>
      </c>
    </row>
    <row r="149" spans="1:69" ht="14.5">
      <c r="E149" s="2" t="s">
        <v>104</v>
      </c>
      <c r="F149"/>
      <c r="G149" s="2" t="s">
        <v>210</v>
      </c>
      <c r="H149"/>
      <c r="I149"/>
      <c r="J149" s="8">
        <f t="shared" ref="J149:AO149" si="136">DATE(YEAR(J147),MONTH(J147),DAY($F146))*J148</f>
        <v>45047</v>
      </c>
      <c r="K149" s="8">
        <f t="shared" si="136"/>
        <v>45078</v>
      </c>
      <c r="L149" s="8">
        <f t="shared" si="136"/>
        <v>45108</v>
      </c>
      <c r="M149" s="8">
        <f t="shared" si="136"/>
        <v>45139</v>
      </c>
      <c r="N149" s="8">
        <f t="shared" si="136"/>
        <v>45170</v>
      </c>
      <c r="O149" s="8">
        <f t="shared" si="136"/>
        <v>45200</v>
      </c>
      <c r="P149" s="8">
        <f t="shared" si="136"/>
        <v>45231</v>
      </c>
      <c r="Q149" s="8">
        <f t="shared" si="136"/>
        <v>45261</v>
      </c>
      <c r="R149" s="8">
        <f t="shared" si="136"/>
        <v>45292</v>
      </c>
      <c r="S149" s="8">
        <f t="shared" si="136"/>
        <v>45323</v>
      </c>
      <c r="T149" s="8">
        <f t="shared" si="136"/>
        <v>45352</v>
      </c>
      <c r="U149" s="8">
        <f t="shared" si="136"/>
        <v>45383</v>
      </c>
      <c r="V149" s="8">
        <f t="shared" si="136"/>
        <v>45413</v>
      </c>
      <c r="W149" s="8">
        <f t="shared" si="136"/>
        <v>45444</v>
      </c>
      <c r="X149" s="8">
        <f t="shared" si="136"/>
        <v>45474</v>
      </c>
      <c r="Y149" s="8">
        <f t="shared" si="136"/>
        <v>45505</v>
      </c>
      <c r="Z149" s="8">
        <f t="shared" si="136"/>
        <v>45536</v>
      </c>
      <c r="AA149" s="8">
        <f t="shared" si="136"/>
        <v>45566</v>
      </c>
      <c r="AB149" s="8">
        <f t="shared" si="136"/>
        <v>45597</v>
      </c>
      <c r="AC149" s="8">
        <f t="shared" si="136"/>
        <v>45627</v>
      </c>
      <c r="AD149" s="8">
        <f t="shared" si="136"/>
        <v>45658</v>
      </c>
      <c r="AE149" s="8">
        <f t="shared" si="136"/>
        <v>45689</v>
      </c>
      <c r="AF149" s="8">
        <f t="shared" si="136"/>
        <v>45717</v>
      </c>
      <c r="AG149" s="8">
        <f t="shared" si="136"/>
        <v>45748</v>
      </c>
      <c r="AH149" s="8">
        <f t="shared" si="136"/>
        <v>45778</v>
      </c>
      <c r="AI149" s="8">
        <f t="shared" si="136"/>
        <v>45809</v>
      </c>
      <c r="AJ149" s="8">
        <f t="shared" si="136"/>
        <v>45839</v>
      </c>
      <c r="AK149" s="8">
        <f t="shared" si="136"/>
        <v>45870</v>
      </c>
      <c r="AL149" s="8">
        <f t="shared" si="136"/>
        <v>45901</v>
      </c>
      <c r="AM149" s="8">
        <f t="shared" si="136"/>
        <v>45931</v>
      </c>
      <c r="AN149" s="8">
        <f t="shared" si="136"/>
        <v>45962</v>
      </c>
      <c r="AO149" s="8">
        <f t="shared" si="136"/>
        <v>45992</v>
      </c>
      <c r="AP149" s="8">
        <f t="shared" ref="AP149:BU149" si="137">DATE(YEAR(AP147),MONTH(AP147),DAY($F146))*AP148</f>
        <v>46023</v>
      </c>
      <c r="AQ149" s="8">
        <f t="shared" si="137"/>
        <v>46054</v>
      </c>
      <c r="AR149" s="8">
        <f t="shared" si="137"/>
        <v>46082</v>
      </c>
      <c r="AS149" s="8">
        <f t="shared" si="137"/>
        <v>46113</v>
      </c>
      <c r="AT149" s="8">
        <f t="shared" si="137"/>
        <v>46143</v>
      </c>
      <c r="AU149" s="8">
        <f t="shared" si="137"/>
        <v>46174</v>
      </c>
      <c r="AV149" s="8">
        <f t="shared" si="137"/>
        <v>46204</v>
      </c>
      <c r="AW149" s="8">
        <f t="shared" si="137"/>
        <v>46235</v>
      </c>
      <c r="AX149" s="8">
        <f t="shared" si="137"/>
        <v>46266</v>
      </c>
      <c r="AY149" s="8">
        <f t="shared" si="137"/>
        <v>46296</v>
      </c>
      <c r="AZ149" s="8">
        <f t="shared" si="137"/>
        <v>46327</v>
      </c>
      <c r="BA149" s="8">
        <f t="shared" si="137"/>
        <v>46357</v>
      </c>
      <c r="BB149" s="8">
        <f t="shared" si="137"/>
        <v>46388</v>
      </c>
      <c r="BC149" s="8">
        <f t="shared" si="137"/>
        <v>46419</v>
      </c>
      <c r="BD149" s="8">
        <f t="shared" si="137"/>
        <v>46447</v>
      </c>
      <c r="BE149" s="8">
        <f t="shared" si="137"/>
        <v>46478</v>
      </c>
      <c r="BF149" s="8">
        <f t="shared" si="137"/>
        <v>46508</v>
      </c>
      <c r="BG149" s="8">
        <f t="shared" si="137"/>
        <v>46539</v>
      </c>
      <c r="BH149" s="8">
        <f t="shared" si="137"/>
        <v>46569</v>
      </c>
      <c r="BI149" s="8">
        <f t="shared" si="137"/>
        <v>46600</v>
      </c>
      <c r="BJ149" s="8">
        <f t="shared" si="137"/>
        <v>46631</v>
      </c>
      <c r="BK149" s="8">
        <f t="shared" si="137"/>
        <v>46661</v>
      </c>
      <c r="BL149" s="8">
        <f t="shared" si="137"/>
        <v>46692</v>
      </c>
      <c r="BM149" s="8">
        <f t="shared" si="137"/>
        <v>46722</v>
      </c>
      <c r="BN149" s="8">
        <f t="shared" si="137"/>
        <v>46753</v>
      </c>
      <c r="BO149" s="8">
        <f t="shared" si="137"/>
        <v>46784</v>
      </c>
      <c r="BP149" s="8">
        <f t="shared" si="137"/>
        <v>46813</v>
      </c>
      <c r="BQ149" s="8">
        <f t="shared" si="137"/>
        <v>46844</v>
      </c>
    </row>
    <row r="152" spans="1:69">
      <c r="B152" s="22" t="s">
        <v>105</v>
      </c>
    </row>
    <row r="153" spans="1:69">
      <c r="A153" s="17"/>
      <c r="B153" s="17"/>
      <c r="C153" s="26"/>
      <c r="D153" s="27"/>
      <c r="E153" s="18" t="str">
        <f>InpC!E$100</f>
        <v>Start date</v>
      </c>
      <c r="F153" s="18">
        <f>InpC!F$100</f>
        <v>45047</v>
      </c>
      <c r="G153" s="18" t="str">
        <f>InpC!G$100</f>
        <v>date</v>
      </c>
      <c r="M153" s="8"/>
    </row>
    <row r="154" spans="1:69">
      <c r="E154" s="8" t="str">
        <f t="shared" ref="E154:AJ154" si="138">E$149</f>
        <v>Day in period Customer Order Growth escalation occurs</v>
      </c>
      <c r="F154" s="8">
        <f t="shared" si="138"/>
        <v>0</v>
      </c>
      <c r="G154" s="8" t="str">
        <f t="shared" si="138"/>
        <v>date</v>
      </c>
      <c r="H154" s="8">
        <f t="shared" si="138"/>
        <v>0</v>
      </c>
      <c r="I154" s="8">
        <f t="shared" si="138"/>
        <v>0</v>
      </c>
      <c r="J154" s="8">
        <f t="shared" si="138"/>
        <v>45047</v>
      </c>
      <c r="K154" s="8">
        <f t="shared" si="138"/>
        <v>45078</v>
      </c>
      <c r="L154" s="8">
        <f t="shared" si="138"/>
        <v>45108</v>
      </c>
      <c r="M154" s="8">
        <f t="shared" si="138"/>
        <v>45139</v>
      </c>
      <c r="N154" s="8">
        <f t="shared" si="138"/>
        <v>45170</v>
      </c>
      <c r="O154" s="8">
        <f t="shared" si="138"/>
        <v>45200</v>
      </c>
      <c r="P154" s="8">
        <f t="shared" si="138"/>
        <v>45231</v>
      </c>
      <c r="Q154" s="8">
        <f t="shared" si="138"/>
        <v>45261</v>
      </c>
      <c r="R154" s="8">
        <f t="shared" si="138"/>
        <v>45292</v>
      </c>
      <c r="S154" s="8">
        <f t="shared" si="138"/>
        <v>45323</v>
      </c>
      <c r="T154" s="8">
        <f t="shared" si="138"/>
        <v>45352</v>
      </c>
      <c r="U154" s="8">
        <f t="shared" si="138"/>
        <v>45383</v>
      </c>
      <c r="V154" s="8">
        <f t="shared" si="138"/>
        <v>45413</v>
      </c>
      <c r="W154" s="8">
        <f t="shared" si="138"/>
        <v>45444</v>
      </c>
      <c r="X154" s="8">
        <f t="shared" si="138"/>
        <v>45474</v>
      </c>
      <c r="Y154" s="8">
        <f t="shared" si="138"/>
        <v>45505</v>
      </c>
      <c r="Z154" s="8">
        <f t="shared" si="138"/>
        <v>45536</v>
      </c>
      <c r="AA154" s="8">
        <f t="shared" si="138"/>
        <v>45566</v>
      </c>
      <c r="AB154" s="8">
        <f t="shared" si="138"/>
        <v>45597</v>
      </c>
      <c r="AC154" s="8">
        <f t="shared" si="138"/>
        <v>45627</v>
      </c>
      <c r="AD154" s="8">
        <f t="shared" si="138"/>
        <v>45658</v>
      </c>
      <c r="AE154" s="8">
        <f t="shared" si="138"/>
        <v>45689</v>
      </c>
      <c r="AF154" s="8">
        <f t="shared" si="138"/>
        <v>45717</v>
      </c>
      <c r="AG154" s="8">
        <f t="shared" si="138"/>
        <v>45748</v>
      </c>
      <c r="AH154" s="8">
        <f t="shared" si="138"/>
        <v>45778</v>
      </c>
      <c r="AI154" s="8">
        <f t="shared" si="138"/>
        <v>45809</v>
      </c>
      <c r="AJ154" s="8">
        <f t="shared" si="138"/>
        <v>45839</v>
      </c>
      <c r="AK154" s="8">
        <f t="shared" ref="AK154:BQ154" si="139">AK$149</f>
        <v>45870</v>
      </c>
      <c r="AL154" s="8">
        <f t="shared" si="139"/>
        <v>45901</v>
      </c>
      <c r="AM154" s="8">
        <f t="shared" si="139"/>
        <v>45931</v>
      </c>
      <c r="AN154" s="8">
        <f t="shared" si="139"/>
        <v>45962</v>
      </c>
      <c r="AO154" s="8">
        <f t="shared" si="139"/>
        <v>45992</v>
      </c>
      <c r="AP154" s="8">
        <f t="shared" si="139"/>
        <v>46023</v>
      </c>
      <c r="AQ154" s="8">
        <f t="shared" si="139"/>
        <v>46054</v>
      </c>
      <c r="AR154" s="8">
        <f t="shared" si="139"/>
        <v>46082</v>
      </c>
      <c r="AS154" s="8">
        <f t="shared" si="139"/>
        <v>46113</v>
      </c>
      <c r="AT154" s="8">
        <f t="shared" si="139"/>
        <v>46143</v>
      </c>
      <c r="AU154" s="8">
        <f t="shared" si="139"/>
        <v>46174</v>
      </c>
      <c r="AV154" s="8">
        <f t="shared" si="139"/>
        <v>46204</v>
      </c>
      <c r="AW154" s="8">
        <f t="shared" si="139"/>
        <v>46235</v>
      </c>
      <c r="AX154" s="8">
        <f t="shared" si="139"/>
        <v>46266</v>
      </c>
      <c r="AY154" s="8">
        <f t="shared" si="139"/>
        <v>46296</v>
      </c>
      <c r="AZ154" s="8">
        <f t="shared" si="139"/>
        <v>46327</v>
      </c>
      <c r="BA154" s="8">
        <f t="shared" si="139"/>
        <v>46357</v>
      </c>
      <c r="BB154" s="8">
        <f t="shared" si="139"/>
        <v>46388</v>
      </c>
      <c r="BC154" s="8">
        <f t="shared" si="139"/>
        <v>46419</v>
      </c>
      <c r="BD154" s="8">
        <f t="shared" si="139"/>
        <v>46447</v>
      </c>
      <c r="BE154" s="8">
        <f t="shared" si="139"/>
        <v>46478</v>
      </c>
      <c r="BF154" s="8">
        <f t="shared" si="139"/>
        <v>46508</v>
      </c>
      <c r="BG154" s="8">
        <f t="shared" si="139"/>
        <v>46539</v>
      </c>
      <c r="BH154" s="8">
        <f t="shared" si="139"/>
        <v>46569</v>
      </c>
      <c r="BI154" s="8">
        <f t="shared" si="139"/>
        <v>46600</v>
      </c>
      <c r="BJ154" s="8">
        <f t="shared" si="139"/>
        <v>46631</v>
      </c>
      <c r="BK154" s="8">
        <f t="shared" si="139"/>
        <v>46661</v>
      </c>
      <c r="BL154" s="8">
        <f t="shared" si="139"/>
        <v>46692</v>
      </c>
      <c r="BM154" s="8">
        <f t="shared" si="139"/>
        <v>46722</v>
      </c>
      <c r="BN154" s="8">
        <f t="shared" si="139"/>
        <v>46753</v>
      </c>
      <c r="BO154" s="8">
        <f t="shared" si="139"/>
        <v>46784</v>
      </c>
      <c r="BP154" s="8">
        <f t="shared" si="139"/>
        <v>46813</v>
      </c>
      <c r="BQ154" s="8">
        <f t="shared" si="139"/>
        <v>46844</v>
      </c>
    </row>
    <row r="155" spans="1:69">
      <c r="E155" s="2" t="str">
        <f t="shared" ref="E155:AJ155" si="140">E$142</f>
        <v>Customer Order Growth escalation step up frequency flag</v>
      </c>
      <c r="F155" s="2">
        <f t="shared" si="140"/>
        <v>0</v>
      </c>
      <c r="G155" s="2" t="str">
        <f t="shared" si="140"/>
        <v>flag</v>
      </c>
      <c r="H155" s="2">
        <f t="shared" si="140"/>
        <v>60</v>
      </c>
      <c r="I155" s="2">
        <f t="shared" si="140"/>
        <v>0</v>
      </c>
      <c r="J155" s="2">
        <f t="shared" si="140"/>
        <v>1</v>
      </c>
      <c r="K155" s="2">
        <f t="shared" si="140"/>
        <v>1</v>
      </c>
      <c r="L155" s="2">
        <f t="shared" si="140"/>
        <v>1</v>
      </c>
      <c r="M155" s="2">
        <f t="shared" si="140"/>
        <v>1</v>
      </c>
      <c r="N155" s="2">
        <f t="shared" si="140"/>
        <v>1</v>
      </c>
      <c r="O155" s="2">
        <f t="shared" si="140"/>
        <v>1</v>
      </c>
      <c r="P155" s="2">
        <f t="shared" si="140"/>
        <v>1</v>
      </c>
      <c r="Q155" s="2">
        <f t="shared" si="140"/>
        <v>1</v>
      </c>
      <c r="R155" s="2">
        <f t="shared" si="140"/>
        <v>1</v>
      </c>
      <c r="S155" s="2">
        <f t="shared" si="140"/>
        <v>1</v>
      </c>
      <c r="T155" s="2">
        <f t="shared" si="140"/>
        <v>1</v>
      </c>
      <c r="U155" s="2">
        <f t="shared" si="140"/>
        <v>1</v>
      </c>
      <c r="V155" s="2">
        <f t="shared" si="140"/>
        <v>1</v>
      </c>
      <c r="W155" s="2">
        <f t="shared" si="140"/>
        <v>1</v>
      </c>
      <c r="X155" s="2">
        <f t="shared" si="140"/>
        <v>1</v>
      </c>
      <c r="Y155" s="2">
        <f t="shared" si="140"/>
        <v>1</v>
      </c>
      <c r="Z155" s="2">
        <f t="shared" si="140"/>
        <v>1</v>
      </c>
      <c r="AA155" s="2">
        <f t="shared" si="140"/>
        <v>1</v>
      </c>
      <c r="AB155" s="2">
        <f t="shared" si="140"/>
        <v>1</v>
      </c>
      <c r="AC155" s="2">
        <f t="shared" si="140"/>
        <v>1</v>
      </c>
      <c r="AD155" s="2">
        <f t="shared" si="140"/>
        <v>1</v>
      </c>
      <c r="AE155" s="2">
        <f t="shared" si="140"/>
        <v>1</v>
      </c>
      <c r="AF155" s="2">
        <f t="shared" si="140"/>
        <v>1</v>
      </c>
      <c r="AG155" s="2">
        <f t="shared" si="140"/>
        <v>1</v>
      </c>
      <c r="AH155" s="2">
        <f t="shared" si="140"/>
        <v>1</v>
      </c>
      <c r="AI155" s="2">
        <f t="shared" si="140"/>
        <v>1</v>
      </c>
      <c r="AJ155" s="2">
        <f t="shared" si="140"/>
        <v>1</v>
      </c>
      <c r="AK155" s="2">
        <f t="shared" ref="AK155:BQ155" si="141">AK$142</f>
        <v>1</v>
      </c>
      <c r="AL155" s="2">
        <f t="shared" si="141"/>
        <v>1</v>
      </c>
      <c r="AM155" s="2">
        <f t="shared" si="141"/>
        <v>1</v>
      </c>
      <c r="AN155" s="2">
        <f t="shared" si="141"/>
        <v>1</v>
      </c>
      <c r="AO155" s="2">
        <f t="shared" si="141"/>
        <v>1</v>
      </c>
      <c r="AP155" s="2">
        <f t="shared" si="141"/>
        <v>1</v>
      </c>
      <c r="AQ155" s="2">
        <f t="shared" si="141"/>
        <v>1</v>
      </c>
      <c r="AR155" s="2">
        <f t="shared" si="141"/>
        <v>1</v>
      </c>
      <c r="AS155" s="2">
        <f t="shared" si="141"/>
        <v>1</v>
      </c>
      <c r="AT155" s="2">
        <f t="shared" si="141"/>
        <v>1</v>
      </c>
      <c r="AU155" s="2">
        <f t="shared" si="141"/>
        <v>1</v>
      </c>
      <c r="AV155" s="2">
        <f t="shared" si="141"/>
        <v>1</v>
      </c>
      <c r="AW155" s="2">
        <f t="shared" si="141"/>
        <v>1</v>
      </c>
      <c r="AX155" s="2">
        <f t="shared" si="141"/>
        <v>1</v>
      </c>
      <c r="AY155" s="2">
        <f t="shared" si="141"/>
        <v>1</v>
      </c>
      <c r="AZ155" s="2">
        <f t="shared" si="141"/>
        <v>1</v>
      </c>
      <c r="BA155" s="2">
        <f t="shared" si="141"/>
        <v>1</v>
      </c>
      <c r="BB155" s="2">
        <f t="shared" si="141"/>
        <v>1</v>
      </c>
      <c r="BC155" s="2">
        <f t="shared" si="141"/>
        <v>1</v>
      </c>
      <c r="BD155" s="2">
        <f t="shared" si="141"/>
        <v>1</v>
      </c>
      <c r="BE155" s="2">
        <f t="shared" si="141"/>
        <v>1</v>
      </c>
      <c r="BF155" s="2">
        <f t="shared" si="141"/>
        <v>1</v>
      </c>
      <c r="BG155" s="2">
        <f t="shared" si="141"/>
        <v>1</v>
      </c>
      <c r="BH155" s="2">
        <f t="shared" si="141"/>
        <v>1</v>
      </c>
      <c r="BI155" s="2">
        <f t="shared" si="141"/>
        <v>1</v>
      </c>
      <c r="BJ155" s="2">
        <f t="shared" si="141"/>
        <v>1</v>
      </c>
      <c r="BK155" s="2">
        <f t="shared" si="141"/>
        <v>1</v>
      </c>
      <c r="BL155" s="2">
        <f t="shared" si="141"/>
        <v>1</v>
      </c>
      <c r="BM155" s="2">
        <f t="shared" si="141"/>
        <v>1</v>
      </c>
      <c r="BN155" s="2">
        <f t="shared" si="141"/>
        <v>1</v>
      </c>
      <c r="BO155" s="2">
        <f t="shared" si="141"/>
        <v>1</v>
      </c>
      <c r="BP155" s="2">
        <f t="shared" si="141"/>
        <v>1</v>
      </c>
      <c r="BQ155" s="2">
        <f t="shared" si="141"/>
        <v>1</v>
      </c>
    </row>
    <row r="156" spans="1:69" ht="14.5">
      <c r="E156" s="2" t="s">
        <v>105</v>
      </c>
      <c r="F156"/>
      <c r="G156"/>
      <c r="H156" s="2">
        <f>SUM(J156:BQ156)</f>
        <v>147.67225785730801</v>
      </c>
      <c r="I156"/>
      <c r="J156" s="2">
        <f t="shared" ref="J156:AO156" si="142">YEARFRAC($F153,J154,1)*J155</f>
        <v>0</v>
      </c>
      <c r="K156" s="2">
        <f t="shared" si="142"/>
        <v>8.4931506849315067E-2</v>
      </c>
      <c r="L156" s="2">
        <f t="shared" si="142"/>
        <v>0.16712328767123288</v>
      </c>
      <c r="M156" s="2">
        <f t="shared" si="142"/>
        <v>0.25205479452054796</v>
      </c>
      <c r="N156" s="2">
        <f t="shared" si="142"/>
        <v>0.33698630136986302</v>
      </c>
      <c r="O156" s="2">
        <f t="shared" si="142"/>
        <v>0.41917808219178082</v>
      </c>
      <c r="P156" s="2">
        <f t="shared" si="142"/>
        <v>0.50410958904109593</v>
      </c>
      <c r="Q156" s="2">
        <f t="shared" si="142"/>
        <v>0.58630136986301373</v>
      </c>
      <c r="R156" s="2">
        <f t="shared" si="142"/>
        <v>0.67123287671232879</v>
      </c>
      <c r="S156" s="2">
        <f t="shared" si="142"/>
        <v>0.75616438356164384</v>
      </c>
      <c r="T156" s="2">
        <f t="shared" si="142"/>
        <v>0.83333333333333337</v>
      </c>
      <c r="U156" s="2">
        <f t="shared" si="142"/>
        <v>0.91803278688524592</v>
      </c>
      <c r="V156" s="2">
        <f t="shared" si="142"/>
        <v>1</v>
      </c>
      <c r="W156" s="2">
        <f t="shared" si="142"/>
        <v>1.0861833105335157</v>
      </c>
      <c r="X156" s="2">
        <f t="shared" si="142"/>
        <v>1.1682626538987688</v>
      </c>
      <c r="Y156" s="2">
        <f t="shared" si="142"/>
        <v>1.2530779753761969</v>
      </c>
      <c r="Z156" s="2">
        <f t="shared" si="142"/>
        <v>1.3378932968536252</v>
      </c>
      <c r="AA156" s="2">
        <f t="shared" si="142"/>
        <v>1.4199726402188781</v>
      </c>
      <c r="AB156" s="2">
        <f t="shared" si="142"/>
        <v>1.5047879616963065</v>
      </c>
      <c r="AC156" s="2">
        <f t="shared" si="142"/>
        <v>1.5868673050615596</v>
      </c>
      <c r="AD156" s="2">
        <f t="shared" si="142"/>
        <v>1.6724452554744527</v>
      </c>
      <c r="AE156" s="2">
        <f t="shared" si="142"/>
        <v>1.7572992700729928</v>
      </c>
      <c r="AF156" s="2">
        <f t="shared" si="142"/>
        <v>1.8339416058394162</v>
      </c>
      <c r="AG156" s="2">
        <f t="shared" si="142"/>
        <v>1.9187956204379564</v>
      </c>
      <c r="AH156" s="2">
        <f t="shared" si="142"/>
        <v>2.0009124087591244</v>
      </c>
      <c r="AI156" s="2">
        <f t="shared" si="142"/>
        <v>2.0857664233576645</v>
      </c>
      <c r="AJ156" s="2">
        <f t="shared" si="142"/>
        <v>2.167883211678832</v>
      </c>
      <c r="AK156" s="2">
        <f t="shared" si="142"/>
        <v>2.2527372262773722</v>
      </c>
      <c r="AL156" s="2">
        <f t="shared" si="142"/>
        <v>2.3375912408759127</v>
      </c>
      <c r="AM156" s="2">
        <f t="shared" si="142"/>
        <v>2.4197080291970803</v>
      </c>
      <c r="AN156" s="2">
        <f t="shared" si="142"/>
        <v>2.5045620437956204</v>
      </c>
      <c r="AO156" s="2">
        <f t="shared" si="142"/>
        <v>2.5866788321167884</v>
      </c>
      <c r="AP156" s="2">
        <f t="shared" ref="AP156:BU156" si="143">YEARFRAC($F153,AP154,1)*AP155</f>
        <v>2.6721423682409307</v>
      </c>
      <c r="AQ156" s="2">
        <f t="shared" si="143"/>
        <v>2.7570157426420261</v>
      </c>
      <c r="AR156" s="2">
        <f t="shared" si="143"/>
        <v>2.8336755646817249</v>
      </c>
      <c r="AS156" s="2">
        <f t="shared" si="143"/>
        <v>2.9185489390828199</v>
      </c>
      <c r="AT156" s="2">
        <f t="shared" si="143"/>
        <v>3.0006844626967832</v>
      </c>
      <c r="AU156" s="2">
        <f t="shared" si="143"/>
        <v>3.0855578370978782</v>
      </c>
      <c r="AV156" s="2">
        <f t="shared" si="143"/>
        <v>3.1676933607118412</v>
      </c>
      <c r="AW156" s="2">
        <f t="shared" si="143"/>
        <v>3.2525667351129361</v>
      </c>
      <c r="AX156" s="2">
        <f t="shared" si="143"/>
        <v>3.3374401095140316</v>
      </c>
      <c r="AY156" s="2">
        <f t="shared" si="143"/>
        <v>3.4195756331279945</v>
      </c>
      <c r="AZ156" s="2">
        <f t="shared" si="143"/>
        <v>3.5044490075290895</v>
      </c>
      <c r="BA156" s="2">
        <f t="shared" si="143"/>
        <v>3.5865845311430529</v>
      </c>
      <c r="BB156" s="2">
        <f t="shared" si="143"/>
        <v>3.6719605695509312</v>
      </c>
      <c r="BC156" s="2">
        <f t="shared" si="143"/>
        <v>3.7568455640744798</v>
      </c>
      <c r="BD156" s="2">
        <f t="shared" si="143"/>
        <v>3.833515881708653</v>
      </c>
      <c r="BE156" s="2">
        <f t="shared" si="143"/>
        <v>3.9184008762322016</v>
      </c>
      <c r="BF156" s="2">
        <f t="shared" si="143"/>
        <v>4.0005476451259581</v>
      </c>
      <c r="BG156" s="2">
        <f t="shared" si="143"/>
        <v>4.0854326396495075</v>
      </c>
      <c r="BH156" s="2">
        <f t="shared" si="143"/>
        <v>4.167579408543264</v>
      </c>
      <c r="BI156" s="2">
        <f t="shared" si="143"/>
        <v>4.2524644030668126</v>
      </c>
      <c r="BJ156" s="2">
        <f t="shared" si="143"/>
        <v>4.3373493975903612</v>
      </c>
      <c r="BK156" s="2">
        <f t="shared" si="143"/>
        <v>4.4194961664841186</v>
      </c>
      <c r="BL156" s="2">
        <f t="shared" si="143"/>
        <v>4.5043811610076672</v>
      </c>
      <c r="BM156" s="2">
        <f t="shared" si="143"/>
        <v>4.5865279299014237</v>
      </c>
      <c r="BN156" s="2">
        <f t="shared" si="143"/>
        <v>4.6697080291970803</v>
      </c>
      <c r="BO156" s="2">
        <f t="shared" si="143"/>
        <v>4.7545620437956204</v>
      </c>
      <c r="BP156" s="2">
        <f t="shared" si="143"/>
        <v>4.8339416058394162</v>
      </c>
      <c r="BQ156" s="2">
        <f t="shared" si="143"/>
        <v>4.9187956204379564</v>
      </c>
    </row>
    <row r="159" spans="1:69">
      <c r="B159" s="22" t="s">
        <v>167</v>
      </c>
    </row>
    <row r="160" spans="1:69">
      <c r="A160" s="17"/>
      <c r="B160" s="17"/>
      <c r="C160" s="26"/>
      <c r="D160" s="27"/>
      <c r="E160" s="36" t="str">
        <f>InpC!E$16</f>
        <v>Customer Order Growth annual start escalation rate</v>
      </c>
      <c r="F160" s="36">
        <f>InpC!F$16</f>
        <v>1</v>
      </c>
      <c r="G160" s="36" t="str">
        <f>InpC!G$16</f>
        <v>%</v>
      </c>
      <c r="M160" s="45"/>
    </row>
    <row r="161" spans="1:69">
      <c r="E161" s="2" t="str">
        <f t="shared" ref="E161:AJ161" si="144">E$156</f>
        <v>years since Customer Order Growth base date</v>
      </c>
      <c r="F161" s="2">
        <f t="shared" si="144"/>
        <v>0</v>
      </c>
      <c r="G161" s="2">
        <f t="shared" si="144"/>
        <v>0</v>
      </c>
      <c r="H161" s="2">
        <f t="shared" si="144"/>
        <v>147.67225785730801</v>
      </c>
      <c r="I161" s="2">
        <f t="shared" si="144"/>
        <v>0</v>
      </c>
      <c r="J161" s="2">
        <f t="shared" si="144"/>
        <v>0</v>
      </c>
      <c r="K161" s="2">
        <f t="shared" si="144"/>
        <v>8.4931506849315067E-2</v>
      </c>
      <c r="L161" s="2">
        <f t="shared" si="144"/>
        <v>0.16712328767123288</v>
      </c>
      <c r="M161" s="2">
        <f t="shared" si="144"/>
        <v>0.25205479452054796</v>
      </c>
      <c r="N161" s="2">
        <f t="shared" si="144"/>
        <v>0.33698630136986302</v>
      </c>
      <c r="O161" s="2">
        <f t="shared" si="144"/>
        <v>0.41917808219178082</v>
      </c>
      <c r="P161" s="2">
        <f t="shared" si="144"/>
        <v>0.50410958904109593</v>
      </c>
      <c r="Q161" s="2">
        <f t="shared" si="144"/>
        <v>0.58630136986301373</v>
      </c>
      <c r="R161" s="2">
        <f t="shared" si="144"/>
        <v>0.67123287671232879</v>
      </c>
      <c r="S161" s="2">
        <f t="shared" si="144"/>
        <v>0.75616438356164384</v>
      </c>
      <c r="T161" s="2">
        <f t="shared" si="144"/>
        <v>0.83333333333333337</v>
      </c>
      <c r="U161" s="2">
        <f t="shared" si="144"/>
        <v>0.91803278688524592</v>
      </c>
      <c r="V161" s="2">
        <f t="shared" si="144"/>
        <v>1</v>
      </c>
      <c r="W161" s="2">
        <f t="shared" si="144"/>
        <v>1.0861833105335157</v>
      </c>
      <c r="X161" s="2">
        <f t="shared" si="144"/>
        <v>1.1682626538987688</v>
      </c>
      <c r="Y161" s="2">
        <f t="shared" si="144"/>
        <v>1.2530779753761969</v>
      </c>
      <c r="Z161" s="2">
        <f t="shared" si="144"/>
        <v>1.3378932968536252</v>
      </c>
      <c r="AA161" s="2">
        <f t="shared" si="144"/>
        <v>1.4199726402188781</v>
      </c>
      <c r="AB161" s="2">
        <f t="shared" si="144"/>
        <v>1.5047879616963065</v>
      </c>
      <c r="AC161" s="2">
        <f t="shared" si="144"/>
        <v>1.5868673050615596</v>
      </c>
      <c r="AD161" s="2">
        <f t="shared" si="144"/>
        <v>1.6724452554744527</v>
      </c>
      <c r="AE161" s="2">
        <f t="shared" si="144"/>
        <v>1.7572992700729928</v>
      </c>
      <c r="AF161" s="2">
        <f t="shared" si="144"/>
        <v>1.8339416058394162</v>
      </c>
      <c r="AG161" s="2">
        <f t="shared" si="144"/>
        <v>1.9187956204379564</v>
      </c>
      <c r="AH161" s="2">
        <f t="shared" si="144"/>
        <v>2.0009124087591244</v>
      </c>
      <c r="AI161" s="2">
        <f t="shared" si="144"/>
        <v>2.0857664233576645</v>
      </c>
      <c r="AJ161" s="2">
        <f t="shared" si="144"/>
        <v>2.167883211678832</v>
      </c>
      <c r="AK161" s="2">
        <f t="shared" ref="AK161:BQ161" si="145">AK$156</f>
        <v>2.2527372262773722</v>
      </c>
      <c r="AL161" s="2">
        <f t="shared" si="145"/>
        <v>2.3375912408759127</v>
      </c>
      <c r="AM161" s="2">
        <f t="shared" si="145"/>
        <v>2.4197080291970803</v>
      </c>
      <c r="AN161" s="2">
        <f t="shared" si="145"/>
        <v>2.5045620437956204</v>
      </c>
      <c r="AO161" s="2">
        <f t="shared" si="145"/>
        <v>2.5866788321167884</v>
      </c>
      <c r="AP161" s="2">
        <f t="shared" si="145"/>
        <v>2.6721423682409307</v>
      </c>
      <c r="AQ161" s="2">
        <f t="shared" si="145"/>
        <v>2.7570157426420261</v>
      </c>
      <c r="AR161" s="2">
        <f t="shared" si="145"/>
        <v>2.8336755646817249</v>
      </c>
      <c r="AS161" s="2">
        <f t="shared" si="145"/>
        <v>2.9185489390828199</v>
      </c>
      <c r="AT161" s="2">
        <f t="shared" si="145"/>
        <v>3.0006844626967832</v>
      </c>
      <c r="AU161" s="2">
        <f t="shared" si="145"/>
        <v>3.0855578370978782</v>
      </c>
      <c r="AV161" s="2">
        <f t="shared" si="145"/>
        <v>3.1676933607118412</v>
      </c>
      <c r="AW161" s="2">
        <f t="shared" si="145"/>
        <v>3.2525667351129361</v>
      </c>
      <c r="AX161" s="2">
        <f t="shared" si="145"/>
        <v>3.3374401095140316</v>
      </c>
      <c r="AY161" s="2">
        <f t="shared" si="145"/>
        <v>3.4195756331279945</v>
      </c>
      <c r="AZ161" s="2">
        <f t="shared" si="145"/>
        <v>3.5044490075290895</v>
      </c>
      <c r="BA161" s="2">
        <f t="shared" si="145"/>
        <v>3.5865845311430529</v>
      </c>
      <c r="BB161" s="2">
        <f t="shared" si="145"/>
        <v>3.6719605695509312</v>
      </c>
      <c r="BC161" s="2">
        <f t="shared" si="145"/>
        <v>3.7568455640744798</v>
      </c>
      <c r="BD161" s="2">
        <f t="shared" si="145"/>
        <v>3.833515881708653</v>
      </c>
      <c r="BE161" s="2">
        <f t="shared" si="145"/>
        <v>3.9184008762322016</v>
      </c>
      <c r="BF161" s="2">
        <f t="shared" si="145"/>
        <v>4.0005476451259581</v>
      </c>
      <c r="BG161" s="2">
        <f t="shared" si="145"/>
        <v>4.0854326396495075</v>
      </c>
      <c r="BH161" s="2">
        <f t="shared" si="145"/>
        <v>4.167579408543264</v>
      </c>
      <c r="BI161" s="2">
        <f t="shared" si="145"/>
        <v>4.2524644030668126</v>
      </c>
      <c r="BJ161" s="2">
        <f t="shared" si="145"/>
        <v>4.3373493975903612</v>
      </c>
      <c r="BK161" s="2">
        <f t="shared" si="145"/>
        <v>4.4194961664841186</v>
      </c>
      <c r="BL161" s="2">
        <f t="shared" si="145"/>
        <v>4.5043811610076672</v>
      </c>
      <c r="BM161" s="2">
        <f t="shared" si="145"/>
        <v>4.5865279299014237</v>
      </c>
      <c r="BN161" s="2">
        <f t="shared" si="145"/>
        <v>4.6697080291970803</v>
      </c>
      <c r="BO161" s="2">
        <f t="shared" si="145"/>
        <v>4.7545620437956204</v>
      </c>
      <c r="BP161" s="2">
        <f t="shared" si="145"/>
        <v>4.8339416058394162</v>
      </c>
      <c r="BQ161" s="2">
        <f t="shared" si="145"/>
        <v>4.9187956204379564</v>
      </c>
    </row>
    <row r="162" spans="1:69">
      <c r="E162" s="2" t="str">
        <f t="shared" ref="E162:AJ162" si="146">E$115</f>
        <v>Customer Order Growth escalation duration flag</v>
      </c>
      <c r="F162" s="2">
        <f t="shared" si="146"/>
        <v>0</v>
      </c>
      <c r="G162" s="2" t="str">
        <f t="shared" si="146"/>
        <v>flag</v>
      </c>
      <c r="H162" s="2">
        <f t="shared" si="146"/>
        <v>60</v>
      </c>
      <c r="I162" s="2">
        <f t="shared" si="146"/>
        <v>0</v>
      </c>
      <c r="J162" s="2">
        <f t="shared" si="146"/>
        <v>1</v>
      </c>
      <c r="K162" s="2">
        <f t="shared" si="146"/>
        <v>1</v>
      </c>
      <c r="L162" s="2">
        <f t="shared" si="146"/>
        <v>1</v>
      </c>
      <c r="M162" s="2">
        <f t="shared" si="146"/>
        <v>1</v>
      </c>
      <c r="N162" s="2">
        <f t="shared" si="146"/>
        <v>1</v>
      </c>
      <c r="O162" s="2">
        <f t="shared" si="146"/>
        <v>1</v>
      </c>
      <c r="P162" s="2">
        <f t="shared" si="146"/>
        <v>1</v>
      </c>
      <c r="Q162" s="2">
        <f t="shared" si="146"/>
        <v>1</v>
      </c>
      <c r="R162" s="2">
        <f t="shared" si="146"/>
        <v>1</v>
      </c>
      <c r="S162" s="2">
        <f t="shared" si="146"/>
        <v>1</v>
      </c>
      <c r="T162" s="2">
        <f t="shared" si="146"/>
        <v>1</v>
      </c>
      <c r="U162" s="2">
        <f t="shared" si="146"/>
        <v>1</v>
      </c>
      <c r="V162" s="2">
        <f t="shared" si="146"/>
        <v>1</v>
      </c>
      <c r="W162" s="2">
        <f t="shared" si="146"/>
        <v>1</v>
      </c>
      <c r="X162" s="2">
        <f t="shared" si="146"/>
        <v>1</v>
      </c>
      <c r="Y162" s="2">
        <f t="shared" si="146"/>
        <v>1</v>
      </c>
      <c r="Z162" s="2">
        <f t="shared" si="146"/>
        <v>1</v>
      </c>
      <c r="AA162" s="2">
        <f t="shared" si="146"/>
        <v>1</v>
      </c>
      <c r="AB162" s="2">
        <f t="shared" si="146"/>
        <v>1</v>
      </c>
      <c r="AC162" s="2">
        <f t="shared" si="146"/>
        <v>1</v>
      </c>
      <c r="AD162" s="2">
        <f t="shared" si="146"/>
        <v>1</v>
      </c>
      <c r="AE162" s="2">
        <f t="shared" si="146"/>
        <v>1</v>
      </c>
      <c r="AF162" s="2">
        <f t="shared" si="146"/>
        <v>1</v>
      </c>
      <c r="AG162" s="2">
        <f t="shared" si="146"/>
        <v>1</v>
      </c>
      <c r="AH162" s="2">
        <f t="shared" si="146"/>
        <v>1</v>
      </c>
      <c r="AI162" s="2">
        <f t="shared" si="146"/>
        <v>1</v>
      </c>
      <c r="AJ162" s="2">
        <f t="shared" si="146"/>
        <v>1</v>
      </c>
      <c r="AK162" s="2">
        <f t="shared" ref="AK162:BQ162" si="147">AK$115</f>
        <v>1</v>
      </c>
      <c r="AL162" s="2">
        <f t="shared" si="147"/>
        <v>1</v>
      </c>
      <c r="AM162" s="2">
        <f t="shared" si="147"/>
        <v>1</v>
      </c>
      <c r="AN162" s="2">
        <f t="shared" si="147"/>
        <v>1</v>
      </c>
      <c r="AO162" s="2">
        <f t="shared" si="147"/>
        <v>1</v>
      </c>
      <c r="AP162" s="2">
        <f t="shared" si="147"/>
        <v>1</v>
      </c>
      <c r="AQ162" s="2">
        <f t="shared" si="147"/>
        <v>1</v>
      </c>
      <c r="AR162" s="2">
        <f t="shared" si="147"/>
        <v>1</v>
      </c>
      <c r="AS162" s="2">
        <f t="shared" si="147"/>
        <v>1</v>
      </c>
      <c r="AT162" s="2">
        <f t="shared" si="147"/>
        <v>1</v>
      </c>
      <c r="AU162" s="2">
        <f t="shared" si="147"/>
        <v>1</v>
      </c>
      <c r="AV162" s="2">
        <f t="shared" si="147"/>
        <v>1</v>
      </c>
      <c r="AW162" s="2">
        <f t="shared" si="147"/>
        <v>1</v>
      </c>
      <c r="AX162" s="2">
        <f t="shared" si="147"/>
        <v>1</v>
      </c>
      <c r="AY162" s="2">
        <f t="shared" si="147"/>
        <v>1</v>
      </c>
      <c r="AZ162" s="2">
        <f t="shared" si="147"/>
        <v>1</v>
      </c>
      <c r="BA162" s="2">
        <f t="shared" si="147"/>
        <v>1</v>
      </c>
      <c r="BB162" s="2">
        <f t="shared" si="147"/>
        <v>1</v>
      </c>
      <c r="BC162" s="2">
        <f t="shared" si="147"/>
        <v>1</v>
      </c>
      <c r="BD162" s="2">
        <f t="shared" si="147"/>
        <v>1</v>
      </c>
      <c r="BE162" s="2">
        <f t="shared" si="147"/>
        <v>1</v>
      </c>
      <c r="BF162" s="2">
        <f t="shared" si="147"/>
        <v>1</v>
      </c>
      <c r="BG162" s="2">
        <f t="shared" si="147"/>
        <v>1</v>
      </c>
      <c r="BH162" s="2">
        <f t="shared" si="147"/>
        <v>1</v>
      </c>
      <c r="BI162" s="2">
        <f t="shared" si="147"/>
        <v>1</v>
      </c>
      <c r="BJ162" s="2">
        <f t="shared" si="147"/>
        <v>1</v>
      </c>
      <c r="BK162" s="2">
        <f t="shared" si="147"/>
        <v>1</v>
      </c>
      <c r="BL162" s="2">
        <f t="shared" si="147"/>
        <v>1</v>
      </c>
      <c r="BM162" s="2">
        <f t="shared" si="147"/>
        <v>1</v>
      </c>
      <c r="BN162" s="2">
        <f t="shared" si="147"/>
        <v>1</v>
      </c>
      <c r="BO162" s="2">
        <f t="shared" si="147"/>
        <v>1</v>
      </c>
      <c r="BP162" s="2">
        <f t="shared" si="147"/>
        <v>1</v>
      </c>
      <c r="BQ162" s="2">
        <f t="shared" si="147"/>
        <v>1</v>
      </c>
    </row>
    <row r="163" spans="1:69">
      <c r="E163" s="2" t="str">
        <f t="shared" ref="E163:AJ163" si="148">E$142</f>
        <v>Customer Order Growth escalation step up frequency flag</v>
      </c>
      <c r="F163" s="2">
        <f t="shared" si="148"/>
        <v>0</v>
      </c>
      <c r="G163" s="2" t="str">
        <f t="shared" si="148"/>
        <v>flag</v>
      </c>
      <c r="H163" s="2">
        <f t="shared" si="148"/>
        <v>60</v>
      </c>
      <c r="I163" s="2">
        <f t="shared" si="148"/>
        <v>0</v>
      </c>
      <c r="J163" s="2">
        <f t="shared" si="148"/>
        <v>1</v>
      </c>
      <c r="K163" s="2">
        <f t="shared" si="148"/>
        <v>1</v>
      </c>
      <c r="L163" s="2">
        <f t="shared" si="148"/>
        <v>1</v>
      </c>
      <c r="M163" s="2">
        <f t="shared" si="148"/>
        <v>1</v>
      </c>
      <c r="N163" s="2">
        <f t="shared" si="148"/>
        <v>1</v>
      </c>
      <c r="O163" s="2">
        <f t="shared" si="148"/>
        <v>1</v>
      </c>
      <c r="P163" s="2">
        <f t="shared" si="148"/>
        <v>1</v>
      </c>
      <c r="Q163" s="2">
        <f t="shared" si="148"/>
        <v>1</v>
      </c>
      <c r="R163" s="2">
        <f t="shared" si="148"/>
        <v>1</v>
      </c>
      <c r="S163" s="2">
        <f t="shared" si="148"/>
        <v>1</v>
      </c>
      <c r="T163" s="2">
        <f t="shared" si="148"/>
        <v>1</v>
      </c>
      <c r="U163" s="2">
        <f t="shared" si="148"/>
        <v>1</v>
      </c>
      <c r="V163" s="2">
        <f t="shared" si="148"/>
        <v>1</v>
      </c>
      <c r="W163" s="2">
        <f t="shared" si="148"/>
        <v>1</v>
      </c>
      <c r="X163" s="2">
        <f t="shared" si="148"/>
        <v>1</v>
      </c>
      <c r="Y163" s="2">
        <f t="shared" si="148"/>
        <v>1</v>
      </c>
      <c r="Z163" s="2">
        <f t="shared" si="148"/>
        <v>1</v>
      </c>
      <c r="AA163" s="2">
        <f t="shared" si="148"/>
        <v>1</v>
      </c>
      <c r="AB163" s="2">
        <f t="shared" si="148"/>
        <v>1</v>
      </c>
      <c r="AC163" s="2">
        <f t="shared" si="148"/>
        <v>1</v>
      </c>
      <c r="AD163" s="2">
        <f t="shared" si="148"/>
        <v>1</v>
      </c>
      <c r="AE163" s="2">
        <f t="shared" si="148"/>
        <v>1</v>
      </c>
      <c r="AF163" s="2">
        <f t="shared" si="148"/>
        <v>1</v>
      </c>
      <c r="AG163" s="2">
        <f t="shared" si="148"/>
        <v>1</v>
      </c>
      <c r="AH163" s="2">
        <f t="shared" si="148"/>
        <v>1</v>
      </c>
      <c r="AI163" s="2">
        <f t="shared" si="148"/>
        <v>1</v>
      </c>
      <c r="AJ163" s="2">
        <f t="shared" si="148"/>
        <v>1</v>
      </c>
      <c r="AK163" s="2">
        <f t="shared" ref="AK163:BQ163" si="149">AK$142</f>
        <v>1</v>
      </c>
      <c r="AL163" s="2">
        <f t="shared" si="149"/>
        <v>1</v>
      </c>
      <c r="AM163" s="2">
        <f t="shared" si="149"/>
        <v>1</v>
      </c>
      <c r="AN163" s="2">
        <f t="shared" si="149"/>
        <v>1</v>
      </c>
      <c r="AO163" s="2">
        <f t="shared" si="149"/>
        <v>1</v>
      </c>
      <c r="AP163" s="2">
        <f t="shared" si="149"/>
        <v>1</v>
      </c>
      <c r="AQ163" s="2">
        <f t="shared" si="149"/>
        <v>1</v>
      </c>
      <c r="AR163" s="2">
        <f t="shared" si="149"/>
        <v>1</v>
      </c>
      <c r="AS163" s="2">
        <f t="shared" si="149"/>
        <v>1</v>
      </c>
      <c r="AT163" s="2">
        <f t="shared" si="149"/>
        <v>1</v>
      </c>
      <c r="AU163" s="2">
        <f t="shared" si="149"/>
        <v>1</v>
      </c>
      <c r="AV163" s="2">
        <f t="shared" si="149"/>
        <v>1</v>
      </c>
      <c r="AW163" s="2">
        <f t="shared" si="149"/>
        <v>1</v>
      </c>
      <c r="AX163" s="2">
        <f t="shared" si="149"/>
        <v>1</v>
      </c>
      <c r="AY163" s="2">
        <f t="shared" si="149"/>
        <v>1</v>
      </c>
      <c r="AZ163" s="2">
        <f t="shared" si="149"/>
        <v>1</v>
      </c>
      <c r="BA163" s="2">
        <f t="shared" si="149"/>
        <v>1</v>
      </c>
      <c r="BB163" s="2">
        <f t="shared" si="149"/>
        <v>1</v>
      </c>
      <c r="BC163" s="2">
        <f t="shared" si="149"/>
        <v>1</v>
      </c>
      <c r="BD163" s="2">
        <f t="shared" si="149"/>
        <v>1</v>
      </c>
      <c r="BE163" s="2">
        <f t="shared" si="149"/>
        <v>1</v>
      </c>
      <c r="BF163" s="2">
        <f t="shared" si="149"/>
        <v>1</v>
      </c>
      <c r="BG163" s="2">
        <f t="shared" si="149"/>
        <v>1</v>
      </c>
      <c r="BH163" s="2">
        <f t="shared" si="149"/>
        <v>1</v>
      </c>
      <c r="BI163" s="2">
        <f t="shared" si="149"/>
        <v>1</v>
      </c>
      <c r="BJ163" s="2">
        <f t="shared" si="149"/>
        <v>1</v>
      </c>
      <c r="BK163" s="2">
        <f t="shared" si="149"/>
        <v>1</v>
      </c>
      <c r="BL163" s="2">
        <f t="shared" si="149"/>
        <v>1</v>
      </c>
      <c r="BM163" s="2">
        <f t="shared" si="149"/>
        <v>1</v>
      </c>
      <c r="BN163" s="2">
        <f t="shared" si="149"/>
        <v>1</v>
      </c>
      <c r="BO163" s="2">
        <f t="shared" si="149"/>
        <v>1</v>
      </c>
      <c r="BP163" s="2">
        <f t="shared" si="149"/>
        <v>1</v>
      </c>
      <c r="BQ163" s="2">
        <f t="shared" si="149"/>
        <v>1</v>
      </c>
    </row>
    <row r="164" spans="1:69">
      <c r="A164" s="31"/>
      <c r="B164" s="31"/>
      <c r="C164" s="51"/>
      <c r="D164" s="50"/>
      <c r="E164" s="3" t="s">
        <v>167</v>
      </c>
      <c r="F164" s="3"/>
      <c r="G164" s="3" t="s">
        <v>39</v>
      </c>
      <c r="H164" s="3"/>
      <c r="I164" s="3"/>
      <c r="J164" s="23">
        <f t="shared" ref="J164:AO164" si="150">IF(J162=0,1,IF(J163=1,(1+$F160)^J161,I164))</f>
        <v>1</v>
      </c>
      <c r="K164" s="23">
        <f t="shared" si="150"/>
        <v>1.0606373855281319</v>
      </c>
      <c r="L164" s="23">
        <f t="shared" si="150"/>
        <v>1.1228173700183663</v>
      </c>
      <c r="M164" s="23">
        <f t="shared" si="150"/>
        <v>1.1909020797618532</v>
      </c>
      <c r="N164" s="23">
        <f t="shared" si="150"/>
        <v>1.2631152682986266</v>
      </c>
      <c r="O164" s="23">
        <f t="shared" si="150"/>
        <v>1.3371655411476067</v>
      </c>
      <c r="P164" s="23">
        <f t="shared" si="150"/>
        <v>1.4182477635811073</v>
      </c>
      <c r="Q164" s="23">
        <f t="shared" si="150"/>
        <v>1.5013926961905415</v>
      </c>
      <c r="R164" s="23">
        <f t="shared" si="150"/>
        <v>1.5924332239385688</v>
      </c>
      <c r="S164" s="23">
        <f t="shared" si="150"/>
        <v>1.6889942112663376</v>
      </c>
      <c r="T164" s="23">
        <f t="shared" si="150"/>
        <v>1.7817974362806785</v>
      </c>
      <c r="U164" s="23">
        <f t="shared" si="150"/>
        <v>1.8895370233838522</v>
      </c>
      <c r="V164" s="23">
        <f t="shared" si="150"/>
        <v>2</v>
      </c>
      <c r="W164" s="23">
        <f t="shared" si="150"/>
        <v>2.123116166406207</v>
      </c>
      <c r="X164" s="23">
        <f t="shared" si="150"/>
        <v>2.2474089271664077</v>
      </c>
      <c r="Y164" s="23">
        <f t="shared" si="150"/>
        <v>2.3834939697312532</v>
      </c>
      <c r="Z164" s="23">
        <f t="shared" si="150"/>
        <v>2.5278192299912496</v>
      </c>
      <c r="AA164" s="23">
        <f t="shared" si="150"/>
        <v>2.6758043641867868</v>
      </c>
      <c r="AB164" s="23">
        <f t="shared" si="150"/>
        <v>2.8378295952846591</v>
      </c>
      <c r="AC164" s="23">
        <f t="shared" si="150"/>
        <v>3.0039635452521662</v>
      </c>
      <c r="AD164" s="23">
        <f t="shared" si="150"/>
        <v>3.1875439973292665</v>
      </c>
      <c r="AE164" s="23">
        <f t="shared" si="150"/>
        <v>3.3806467402188143</v>
      </c>
      <c r="AF164" s="23">
        <f t="shared" si="150"/>
        <v>3.565097680673023</v>
      </c>
      <c r="AG164" s="23">
        <f t="shared" si="150"/>
        <v>3.7810727829410813</v>
      </c>
      <c r="AH164" s="23">
        <f t="shared" si="150"/>
        <v>4.002530534348697</v>
      </c>
      <c r="AI164" s="23">
        <f t="shared" si="150"/>
        <v>4.245005501072133</v>
      </c>
      <c r="AJ164" s="23">
        <f t="shared" si="150"/>
        <v>4.4936358308615398</v>
      </c>
      <c r="AK164" s="23">
        <f t="shared" si="150"/>
        <v>4.7658621609806406</v>
      </c>
      <c r="AL164" s="23">
        <f t="shared" si="150"/>
        <v>5.0545800755537291</v>
      </c>
      <c r="AM164" s="23">
        <f t="shared" si="150"/>
        <v>5.3506272563676252</v>
      </c>
      <c r="AN164" s="23">
        <f t="shared" si="150"/>
        <v>5.674770483959108</v>
      </c>
      <c r="AO164" s="23">
        <f t="shared" si="150"/>
        <v>6.0071422692370309</v>
      </c>
      <c r="AP164" s="23">
        <f t="shared" ref="AP164:BU164" si="151">IF(AP162=0,1,IF(AP163=1,(1+$F160)^AP161,AO164))</f>
        <v>6.3737497145436315</v>
      </c>
      <c r="AQ164" s="23">
        <f t="shared" si="151"/>
        <v>6.7599648394172203</v>
      </c>
      <c r="AR164" s="23">
        <f t="shared" si="151"/>
        <v>7.1288806340588637</v>
      </c>
      <c r="AS164" s="23">
        <f t="shared" si="151"/>
        <v>7.5608526517252477</v>
      </c>
      <c r="AT164" s="23">
        <f t="shared" si="151"/>
        <v>8.003796367598353</v>
      </c>
      <c r="AU164" s="23">
        <f t="shared" si="151"/>
        <v>8.4887835967832839</v>
      </c>
      <c r="AV164" s="23">
        <f t="shared" si="151"/>
        <v>8.9860890625555676</v>
      </c>
      <c r="AW164" s="23">
        <f t="shared" si="151"/>
        <v>9.5305979725149506</v>
      </c>
      <c r="AX164" s="23">
        <f t="shared" si="151"/>
        <v>10.108101208588977</v>
      </c>
      <c r="AY164" s="23">
        <f t="shared" si="151"/>
        <v>10.700272504075359</v>
      </c>
      <c r="AZ164" s="23">
        <f t="shared" si="151"/>
        <v>11.348651757486126</v>
      </c>
      <c r="BA164" s="23">
        <f t="shared" si="151"/>
        <v>12.013499256989205</v>
      </c>
      <c r="BB164" s="23">
        <f t="shared" si="151"/>
        <v>12.745893176469126</v>
      </c>
      <c r="BC164" s="23">
        <f t="shared" si="151"/>
        <v>13.518334978287017</v>
      </c>
      <c r="BD164" s="23">
        <f t="shared" si="151"/>
        <v>14.256183252216472</v>
      </c>
      <c r="BE164" s="23">
        <f t="shared" si="151"/>
        <v>15.120153452336938</v>
      </c>
      <c r="BF164" s="23">
        <f t="shared" si="151"/>
        <v>16.006074731707191</v>
      </c>
      <c r="BG164" s="23">
        <f t="shared" si="151"/>
        <v>16.976093939824924</v>
      </c>
      <c r="BH164" s="23">
        <f t="shared" si="151"/>
        <v>17.970758637460968</v>
      </c>
      <c r="BI164" s="23">
        <f t="shared" si="151"/>
        <v>19.059843960063692</v>
      </c>
      <c r="BJ164" s="23">
        <f t="shared" si="151"/>
        <v>20.214931328759011</v>
      </c>
      <c r="BK164" s="23">
        <f t="shared" si="151"/>
        <v>21.399366254079712</v>
      </c>
      <c r="BL164" s="23">
        <f t="shared" si="151"/>
        <v>22.696236139791509</v>
      </c>
      <c r="BM164" s="23">
        <f t="shared" si="151"/>
        <v>24.026055881451988</v>
      </c>
      <c r="BN164" s="23">
        <f t="shared" si="151"/>
        <v>25.452016011999472</v>
      </c>
      <c r="BO164" s="23">
        <f t="shared" si="151"/>
        <v>26.993909742126416</v>
      </c>
      <c r="BP164" s="23">
        <f t="shared" si="151"/>
        <v>28.520781445384184</v>
      </c>
      <c r="BQ164" s="23">
        <f t="shared" si="151"/>
        <v>30.248582263528654</v>
      </c>
    </row>
    <row r="167" spans="1:69">
      <c r="A167" s="22" t="s">
        <v>236</v>
      </c>
    </row>
    <row r="168" spans="1:69" ht="14.5">
      <c r="A168"/>
      <c r="B168" s="22" t="s">
        <v>106</v>
      </c>
    </row>
    <row r="169" spans="1:69">
      <c r="A169" s="17"/>
      <c r="B169" s="17"/>
      <c r="C169" s="26"/>
      <c r="D169" s="27"/>
      <c r="E169" s="18" t="str">
        <f>InpC!E$100</f>
        <v>Start date</v>
      </c>
      <c r="F169" s="18">
        <f>InpC!F$100</f>
        <v>45047</v>
      </c>
      <c r="G169" s="18" t="str">
        <f>InpC!G$100</f>
        <v>date</v>
      </c>
      <c r="M169" s="8"/>
    </row>
    <row r="170" spans="1:69">
      <c r="E170" s="8" t="str">
        <f t="shared" ref="E170:AJ170" si="152">E$19</f>
        <v>Model period end</v>
      </c>
      <c r="F170" s="8">
        <f t="shared" si="152"/>
        <v>0</v>
      </c>
      <c r="G170" s="8" t="str">
        <f t="shared" si="152"/>
        <v>date</v>
      </c>
      <c r="H170" s="8">
        <f t="shared" si="152"/>
        <v>0</v>
      </c>
      <c r="I170" s="8">
        <f t="shared" si="152"/>
        <v>0</v>
      </c>
      <c r="J170" s="8">
        <f t="shared" si="152"/>
        <v>45077</v>
      </c>
      <c r="K170" s="8">
        <f t="shared" si="152"/>
        <v>45107</v>
      </c>
      <c r="L170" s="8">
        <f t="shared" si="152"/>
        <v>45138</v>
      </c>
      <c r="M170" s="8">
        <f t="shared" si="152"/>
        <v>45169</v>
      </c>
      <c r="N170" s="8">
        <f t="shared" si="152"/>
        <v>45199</v>
      </c>
      <c r="O170" s="8">
        <f t="shared" si="152"/>
        <v>45230</v>
      </c>
      <c r="P170" s="8">
        <f t="shared" si="152"/>
        <v>45260</v>
      </c>
      <c r="Q170" s="8">
        <f t="shared" si="152"/>
        <v>45291</v>
      </c>
      <c r="R170" s="8">
        <f t="shared" si="152"/>
        <v>45322</v>
      </c>
      <c r="S170" s="8">
        <f t="shared" si="152"/>
        <v>45351</v>
      </c>
      <c r="T170" s="8">
        <f t="shared" si="152"/>
        <v>45382</v>
      </c>
      <c r="U170" s="8">
        <f t="shared" si="152"/>
        <v>45412</v>
      </c>
      <c r="V170" s="8">
        <f t="shared" si="152"/>
        <v>45443</v>
      </c>
      <c r="W170" s="8">
        <f t="shared" si="152"/>
        <v>45473</v>
      </c>
      <c r="X170" s="8">
        <f t="shared" si="152"/>
        <v>45504</v>
      </c>
      <c r="Y170" s="8">
        <f t="shared" si="152"/>
        <v>45535</v>
      </c>
      <c r="Z170" s="8">
        <f t="shared" si="152"/>
        <v>45565</v>
      </c>
      <c r="AA170" s="8">
        <f t="shared" si="152"/>
        <v>45596</v>
      </c>
      <c r="AB170" s="8">
        <f t="shared" si="152"/>
        <v>45626</v>
      </c>
      <c r="AC170" s="8">
        <f t="shared" si="152"/>
        <v>45657</v>
      </c>
      <c r="AD170" s="8">
        <f t="shared" si="152"/>
        <v>45688</v>
      </c>
      <c r="AE170" s="8">
        <f t="shared" si="152"/>
        <v>45716</v>
      </c>
      <c r="AF170" s="8">
        <f t="shared" si="152"/>
        <v>45747</v>
      </c>
      <c r="AG170" s="8">
        <f t="shared" si="152"/>
        <v>45777</v>
      </c>
      <c r="AH170" s="8">
        <f t="shared" si="152"/>
        <v>45808</v>
      </c>
      <c r="AI170" s="8">
        <f t="shared" si="152"/>
        <v>45838</v>
      </c>
      <c r="AJ170" s="8">
        <f t="shared" si="152"/>
        <v>45869</v>
      </c>
      <c r="AK170" s="8">
        <f t="shared" ref="AK170:BQ170" si="153">AK$19</f>
        <v>45900</v>
      </c>
      <c r="AL170" s="8">
        <f t="shared" si="153"/>
        <v>45930</v>
      </c>
      <c r="AM170" s="8">
        <f t="shared" si="153"/>
        <v>45961</v>
      </c>
      <c r="AN170" s="8">
        <f t="shared" si="153"/>
        <v>45991</v>
      </c>
      <c r="AO170" s="8">
        <f t="shared" si="153"/>
        <v>46022</v>
      </c>
      <c r="AP170" s="8">
        <f t="shared" si="153"/>
        <v>46053</v>
      </c>
      <c r="AQ170" s="8">
        <f t="shared" si="153"/>
        <v>46081</v>
      </c>
      <c r="AR170" s="8">
        <f t="shared" si="153"/>
        <v>46112</v>
      </c>
      <c r="AS170" s="8">
        <f t="shared" si="153"/>
        <v>46142</v>
      </c>
      <c r="AT170" s="8">
        <f t="shared" si="153"/>
        <v>46173</v>
      </c>
      <c r="AU170" s="8">
        <f t="shared" si="153"/>
        <v>46203</v>
      </c>
      <c r="AV170" s="8">
        <f t="shared" si="153"/>
        <v>46234</v>
      </c>
      <c r="AW170" s="8">
        <f t="shared" si="153"/>
        <v>46265</v>
      </c>
      <c r="AX170" s="8">
        <f t="shared" si="153"/>
        <v>46295</v>
      </c>
      <c r="AY170" s="8">
        <f t="shared" si="153"/>
        <v>46326</v>
      </c>
      <c r="AZ170" s="8">
        <f t="shared" si="153"/>
        <v>46356</v>
      </c>
      <c r="BA170" s="8">
        <f t="shared" si="153"/>
        <v>46387</v>
      </c>
      <c r="BB170" s="8">
        <f t="shared" si="153"/>
        <v>46418</v>
      </c>
      <c r="BC170" s="8">
        <f t="shared" si="153"/>
        <v>46446</v>
      </c>
      <c r="BD170" s="8">
        <f t="shared" si="153"/>
        <v>46477</v>
      </c>
      <c r="BE170" s="8">
        <f t="shared" si="153"/>
        <v>46507</v>
      </c>
      <c r="BF170" s="8">
        <f t="shared" si="153"/>
        <v>46538</v>
      </c>
      <c r="BG170" s="8">
        <f t="shared" si="153"/>
        <v>46568</v>
      </c>
      <c r="BH170" s="8">
        <f t="shared" si="153"/>
        <v>46599</v>
      </c>
      <c r="BI170" s="8">
        <f t="shared" si="153"/>
        <v>46630</v>
      </c>
      <c r="BJ170" s="8">
        <f t="shared" si="153"/>
        <v>46660</v>
      </c>
      <c r="BK170" s="8">
        <f t="shared" si="153"/>
        <v>46691</v>
      </c>
      <c r="BL170" s="8">
        <f t="shared" si="153"/>
        <v>46721</v>
      </c>
      <c r="BM170" s="8">
        <f t="shared" si="153"/>
        <v>46752</v>
      </c>
      <c r="BN170" s="8">
        <f t="shared" si="153"/>
        <v>46783</v>
      </c>
      <c r="BO170" s="8">
        <f t="shared" si="153"/>
        <v>46812</v>
      </c>
      <c r="BP170" s="8">
        <f t="shared" si="153"/>
        <v>46843</v>
      </c>
      <c r="BQ170" s="8">
        <f t="shared" si="153"/>
        <v>46873</v>
      </c>
    </row>
    <row r="171" spans="1:69" ht="14.5">
      <c r="E171" s="2" t="s">
        <v>106</v>
      </c>
      <c r="F171"/>
      <c r="G171" s="2" t="s">
        <v>21</v>
      </c>
      <c r="H171" s="2">
        <f>SUM(J171:BQ171)</f>
        <v>60</v>
      </c>
      <c r="I171"/>
      <c r="J171" s="2">
        <f t="shared" ref="J171:AO171" si="154">IF($F169&lt;J170,1,0)</f>
        <v>1</v>
      </c>
      <c r="K171" s="2">
        <f t="shared" si="154"/>
        <v>1</v>
      </c>
      <c r="L171" s="2">
        <f t="shared" si="154"/>
        <v>1</v>
      </c>
      <c r="M171" s="2">
        <f t="shared" si="154"/>
        <v>1</v>
      </c>
      <c r="N171" s="2">
        <f t="shared" si="154"/>
        <v>1</v>
      </c>
      <c r="O171" s="2">
        <f t="shared" si="154"/>
        <v>1</v>
      </c>
      <c r="P171" s="2">
        <f t="shared" si="154"/>
        <v>1</v>
      </c>
      <c r="Q171" s="2">
        <f t="shared" si="154"/>
        <v>1</v>
      </c>
      <c r="R171" s="2">
        <f t="shared" si="154"/>
        <v>1</v>
      </c>
      <c r="S171" s="2">
        <f t="shared" si="154"/>
        <v>1</v>
      </c>
      <c r="T171" s="2">
        <f t="shared" si="154"/>
        <v>1</v>
      </c>
      <c r="U171" s="2">
        <f t="shared" si="154"/>
        <v>1</v>
      </c>
      <c r="V171" s="2">
        <f t="shared" si="154"/>
        <v>1</v>
      </c>
      <c r="W171" s="2">
        <f t="shared" si="154"/>
        <v>1</v>
      </c>
      <c r="X171" s="2">
        <f t="shared" si="154"/>
        <v>1</v>
      </c>
      <c r="Y171" s="2">
        <f t="shared" si="154"/>
        <v>1</v>
      </c>
      <c r="Z171" s="2">
        <f t="shared" si="154"/>
        <v>1</v>
      </c>
      <c r="AA171" s="2">
        <f t="shared" si="154"/>
        <v>1</v>
      </c>
      <c r="AB171" s="2">
        <f t="shared" si="154"/>
        <v>1</v>
      </c>
      <c r="AC171" s="2">
        <f t="shared" si="154"/>
        <v>1</v>
      </c>
      <c r="AD171" s="2">
        <f t="shared" si="154"/>
        <v>1</v>
      </c>
      <c r="AE171" s="2">
        <f t="shared" si="154"/>
        <v>1</v>
      </c>
      <c r="AF171" s="2">
        <f t="shared" si="154"/>
        <v>1</v>
      </c>
      <c r="AG171" s="2">
        <f t="shared" si="154"/>
        <v>1</v>
      </c>
      <c r="AH171" s="2">
        <f t="shared" si="154"/>
        <v>1</v>
      </c>
      <c r="AI171" s="2">
        <f t="shared" si="154"/>
        <v>1</v>
      </c>
      <c r="AJ171" s="2">
        <f t="shared" si="154"/>
        <v>1</v>
      </c>
      <c r="AK171" s="2">
        <f t="shared" si="154"/>
        <v>1</v>
      </c>
      <c r="AL171" s="2">
        <f t="shared" si="154"/>
        <v>1</v>
      </c>
      <c r="AM171" s="2">
        <f t="shared" si="154"/>
        <v>1</v>
      </c>
      <c r="AN171" s="2">
        <f t="shared" si="154"/>
        <v>1</v>
      </c>
      <c r="AO171" s="2">
        <f t="shared" si="154"/>
        <v>1</v>
      </c>
      <c r="AP171" s="2">
        <f t="shared" ref="AP171:BU171" si="155">IF($F169&lt;AP170,1,0)</f>
        <v>1</v>
      </c>
      <c r="AQ171" s="2">
        <f t="shared" si="155"/>
        <v>1</v>
      </c>
      <c r="AR171" s="2">
        <f t="shared" si="155"/>
        <v>1</v>
      </c>
      <c r="AS171" s="2">
        <f t="shared" si="155"/>
        <v>1</v>
      </c>
      <c r="AT171" s="2">
        <f t="shared" si="155"/>
        <v>1</v>
      </c>
      <c r="AU171" s="2">
        <f t="shared" si="155"/>
        <v>1</v>
      </c>
      <c r="AV171" s="2">
        <f t="shared" si="155"/>
        <v>1</v>
      </c>
      <c r="AW171" s="2">
        <f t="shared" si="155"/>
        <v>1</v>
      </c>
      <c r="AX171" s="2">
        <f t="shared" si="155"/>
        <v>1</v>
      </c>
      <c r="AY171" s="2">
        <f t="shared" si="155"/>
        <v>1</v>
      </c>
      <c r="AZ171" s="2">
        <f t="shared" si="155"/>
        <v>1</v>
      </c>
      <c r="BA171" s="2">
        <f t="shared" si="155"/>
        <v>1</v>
      </c>
      <c r="BB171" s="2">
        <f t="shared" si="155"/>
        <v>1</v>
      </c>
      <c r="BC171" s="2">
        <f t="shared" si="155"/>
        <v>1</v>
      </c>
      <c r="BD171" s="2">
        <f t="shared" si="155"/>
        <v>1</v>
      </c>
      <c r="BE171" s="2">
        <f t="shared" si="155"/>
        <v>1</v>
      </c>
      <c r="BF171" s="2">
        <f t="shared" si="155"/>
        <v>1</v>
      </c>
      <c r="BG171" s="2">
        <f t="shared" si="155"/>
        <v>1</v>
      </c>
      <c r="BH171" s="2">
        <f t="shared" si="155"/>
        <v>1</v>
      </c>
      <c r="BI171" s="2">
        <f t="shared" si="155"/>
        <v>1</v>
      </c>
      <c r="BJ171" s="2">
        <f t="shared" si="155"/>
        <v>1</v>
      </c>
      <c r="BK171" s="2">
        <f t="shared" si="155"/>
        <v>1</v>
      </c>
      <c r="BL171" s="2">
        <f t="shared" si="155"/>
        <v>1</v>
      </c>
      <c r="BM171" s="2">
        <f t="shared" si="155"/>
        <v>1</v>
      </c>
      <c r="BN171" s="2">
        <f t="shared" si="155"/>
        <v>1</v>
      </c>
      <c r="BO171" s="2">
        <f t="shared" si="155"/>
        <v>1</v>
      </c>
      <c r="BP171" s="2">
        <f t="shared" si="155"/>
        <v>1</v>
      </c>
      <c r="BQ171" s="2">
        <f t="shared" si="155"/>
        <v>1</v>
      </c>
    </row>
    <row r="174" spans="1:69">
      <c r="B174" s="22" t="s">
        <v>292</v>
      </c>
    </row>
    <row r="175" spans="1:69">
      <c r="A175" s="17"/>
      <c r="B175" s="17"/>
      <c r="C175" s="26"/>
      <c r="D175" s="27"/>
      <c r="E175" s="18" t="str">
        <f>InpC!E$100</f>
        <v>Start date</v>
      </c>
      <c r="F175" s="18">
        <f>InpC!F$100</f>
        <v>45047</v>
      </c>
      <c r="G175" s="18" t="str">
        <f>InpC!G$100</f>
        <v>date</v>
      </c>
      <c r="M175" s="8"/>
    </row>
    <row r="176" spans="1:69">
      <c r="E176" s="8" t="str">
        <f t="shared" ref="E176:AJ176" si="156">E$19</f>
        <v>Model period end</v>
      </c>
      <c r="F176" s="8">
        <f t="shared" si="156"/>
        <v>0</v>
      </c>
      <c r="G176" s="8" t="str">
        <f t="shared" si="156"/>
        <v>date</v>
      </c>
      <c r="H176" s="8">
        <f t="shared" si="156"/>
        <v>0</v>
      </c>
      <c r="I176" s="8">
        <f t="shared" si="156"/>
        <v>0</v>
      </c>
      <c r="J176" s="8">
        <f t="shared" si="156"/>
        <v>45077</v>
      </c>
      <c r="K176" s="8">
        <f t="shared" si="156"/>
        <v>45107</v>
      </c>
      <c r="L176" s="8">
        <f t="shared" si="156"/>
        <v>45138</v>
      </c>
      <c r="M176" s="8">
        <f t="shared" si="156"/>
        <v>45169</v>
      </c>
      <c r="N176" s="8">
        <f t="shared" si="156"/>
        <v>45199</v>
      </c>
      <c r="O176" s="8">
        <f t="shared" si="156"/>
        <v>45230</v>
      </c>
      <c r="P176" s="8">
        <f t="shared" si="156"/>
        <v>45260</v>
      </c>
      <c r="Q176" s="8">
        <f t="shared" si="156"/>
        <v>45291</v>
      </c>
      <c r="R176" s="8">
        <f t="shared" si="156"/>
        <v>45322</v>
      </c>
      <c r="S176" s="8">
        <f t="shared" si="156"/>
        <v>45351</v>
      </c>
      <c r="T176" s="8">
        <f t="shared" si="156"/>
        <v>45382</v>
      </c>
      <c r="U176" s="8">
        <f t="shared" si="156"/>
        <v>45412</v>
      </c>
      <c r="V176" s="8">
        <f t="shared" si="156"/>
        <v>45443</v>
      </c>
      <c r="W176" s="8">
        <f t="shared" si="156"/>
        <v>45473</v>
      </c>
      <c r="X176" s="8">
        <f t="shared" si="156"/>
        <v>45504</v>
      </c>
      <c r="Y176" s="8">
        <f t="shared" si="156"/>
        <v>45535</v>
      </c>
      <c r="Z176" s="8">
        <f t="shared" si="156"/>
        <v>45565</v>
      </c>
      <c r="AA176" s="8">
        <f t="shared" si="156"/>
        <v>45596</v>
      </c>
      <c r="AB176" s="8">
        <f t="shared" si="156"/>
        <v>45626</v>
      </c>
      <c r="AC176" s="8">
        <f t="shared" si="156"/>
        <v>45657</v>
      </c>
      <c r="AD176" s="8">
        <f t="shared" si="156"/>
        <v>45688</v>
      </c>
      <c r="AE176" s="8">
        <f t="shared" si="156"/>
        <v>45716</v>
      </c>
      <c r="AF176" s="8">
        <f t="shared" si="156"/>
        <v>45747</v>
      </c>
      <c r="AG176" s="8">
        <f t="shared" si="156"/>
        <v>45777</v>
      </c>
      <c r="AH176" s="8">
        <f t="shared" si="156"/>
        <v>45808</v>
      </c>
      <c r="AI176" s="8">
        <f t="shared" si="156"/>
        <v>45838</v>
      </c>
      <c r="AJ176" s="8">
        <f t="shared" si="156"/>
        <v>45869</v>
      </c>
      <c r="AK176" s="8">
        <f t="shared" ref="AK176:BQ176" si="157">AK$19</f>
        <v>45900</v>
      </c>
      <c r="AL176" s="8">
        <f t="shared" si="157"/>
        <v>45930</v>
      </c>
      <c r="AM176" s="8">
        <f t="shared" si="157"/>
        <v>45961</v>
      </c>
      <c r="AN176" s="8">
        <f t="shared" si="157"/>
        <v>45991</v>
      </c>
      <c r="AO176" s="8">
        <f t="shared" si="157"/>
        <v>46022</v>
      </c>
      <c r="AP176" s="8">
        <f t="shared" si="157"/>
        <v>46053</v>
      </c>
      <c r="AQ176" s="8">
        <f t="shared" si="157"/>
        <v>46081</v>
      </c>
      <c r="AR176" s="8">
        <f t="shared" si="157"/>
        <v>46112</v>
      </c>
      <c r="AS176" s="8">
        <f t="shared" si="157"/>
        <v>46142</v>
      </c>
      <c r="AT176" s="8">
        <f t="shared" si="157"/>
        <v>46173</v>
      </c>
      <c r="AU176" s="8">
        <f t="shared" si="157"/>
        <v>46203</v>
      </c>
      <c r="AV176" s="8">
        <f t="shared" si="157"/>
        <v>46234</v>
      </c>
      <c r="AW176" s="8">
        <f t="shared" si="157"/>
        <v>46265</v>
      </c>
      <c r="AX176" s="8">
        <f t="shared" si="157"/>
        <v>46295</v>
      </c>
      <c r="AY176" s="8">
        <f t="shared" si="157"/>
        <v>46326</v>
      </c>
      <c r="AZ176" s="8">
        <f t="shared" si="157"/>
        <v>46356</v>
      </c>
      <c r="BA176" s="8">
        <f t="shared" si="157"/>
        <v>46387</v>
      </c>
      <c r="BB176" s="8">
        <f t="shared" si="157"/>
        <v>46418</v>
      </c>
      <c r="BC176" s="8">
        <f t="shared" si="157"/>
        <v>46446</v>
      </c>
      <c r="BD176" s="8">
        <f t="shared" si="157"/>
        <v>46477</v>
      </c>
      <c r="BE176" s="8">
        <f t="shared" si="157"/>
        <v>46507</v>
      </c>
      <c r="BF176" s="8">
        <f t="shared" si="157"/>
        <v>46538</v>
      </c>
      <c r="BG176" s="8">
        <f t="shared" si="157"/>
        <v>46568</v>
      </c>
      <c r="BH176" s="8">
        <f t="shared" si="157"/>
        <v>46599</v>
      </c>
      <c r="BI176" s="8">
        <f t="shared" si="157"/>
        <v>46630</v>
      </c>
      <c r="BJ176" s="8">
        <f t="shared" si="157"/>
        <v>46660</v>
      </c>
      <c r="BK176" s="8">
        <f t="shared" si="157"/>
        <v>46691</v>
      </c>
      <c r="BL176" s="8">
        <f t="shared" si="157"/>
        <v>46721</v>
      </c>
      <c r="BM176" s="8">
        <f t="shared" si="157"/>
        <v>46752</v>
      </c>
      <c r="BN176" s="8">
        <f t="shared" si="157"/>
        <v>46783</v>
      </c>
      <c r="BO176" s="8">
        <f t="shared" si="157"/>
        <v>46812</v>
      </c>
      <c r="BP176" s="8">
        <f t="shared" si="157"/>
        <v>46843</v>
      </c>
      <c r="BQ176" s="8">
        <f t="shared" si="157"/>
        <v>46873</v>
      </c>
    </row>
    <row r="177" spans="2:69">
      <c r="E177" s="8" t="str">
        <f t="shared" ref="E177:AJ177" si="158">E$12</f>
        <v>Model period start</v>
      </c>
      <c r="F177" s="8">
        <f t="shared" si="158"/>
        <v>0</v>
      </c>
      <c r="G177" s="8" t="str">
        <f t="shared" si="158"/>
        <v>date</v>
      </c>
      <c r="H177" s="8">
        <f t="shared" si="158"/>
        <v>0</v>
      </c>
      <c r="I177" s="8">
        <f t="shared" si="158"/>
        <v>0</v>
      </c>
      <c r="J177" s="8">
        <f t="shared" si="158"/>
        <v>45047</v>
      </c>
      <c r="K177" s="8">
        <f t="shared" si="158"/>
        <v>45078</v>
      </c>
      <c r="L177" s="8">
        <f t="shared" si="158"/>
        <v>45108</v>
      </c>
      <c r="M177" s="8">
        <f t="shared" si="158"/>
        <v>45139</v>
      </c>
      <c r="N177" s="8">
        <f t="shared" si="158"/>
        <v>45170</v>
      </c>
      <c r="O177" s="8">
        <f t="shared" si="158"/>
        <v>45200</v>
      </c>
      <c r="P177" s="8">
        <f t="shared" si="158"/>
        <v>45231</v>
      </c>
      <c r="Q177" s="8">
        <f t="shared" si="158"/>
        <v>45261</v>
      </c>
      <c r="R177" s="8">
        <f t="shared" si="158"/>
        <v>45292</v>
      </c>
      <c r="S177" s="8">
        <f t="shared" si="158"/>
        <v>45323</v>
      </c>
      <c r="T177" s="8">
        <f t="shared" si="158"/>
        <v>45352</v>
      </c>
      <c r="U177" s="8">
        <f t="shared" si="158"/>
        <v>45383</v>
      </c>
      <c r="V177" s="8">
        <f t="shared" si="158"/>
        <v>45413</v>
      </c>
      <c r="W177" s="8">
        <f t="shared" si="158"/>
        <v>45444</v>
      </c>
      <c r="X177" s="8">
        <f t="shared" si="158"/>
        <v>45474</v>
      </c>
      <c r="Y177" s="8">
        <f t="shared" si="158"/>
        <v>45505</v>
      </c>
      <c r="Z177" s="8">
        <f t="shared" si="158"/>
        <v>45536</v>
      </c>
      <c r="AA177" s="8">
        <f t="shared" si="158"/>
        <v>45566</v>
      </c>
      <c r="AB177" s="8">
        <f t="shared" si="158"/>
        <v>45597</v>
      </c>
      <c r="AC177" s="8">
        <f t="shared" si="158"/>
        <v>45627</v>
      </c>
      <c r="AD177" s="8">
        <f t="shared" si="158"/>
        <v>45658</v>
      </c>
      <c r="AE177" s="8">
        <f t="shared" si="158"/>
        <v>45689</v>
      </c>
      <c r="AF177" s="8">
        <f t="shared" si="158"/>
        <v>45717</v>
      </c>
      <c r="AG177" s="8">
        <f t="shared" si="158"/>
        <v>45748</v>
      </c>
      <c r="AH177" s="8">
        <f t="shared" si="158"/>
        <v>45778</v>
      </c>
      <c r="AI177" s="8">
        <f t="shared" si="158"/>
        <v>45809</v>
      </c>
      <c r="AJ177" s="8">
        <f t="shared" si="158"/>
        <v>45839</v>
      </c>
      <c r="AK177" s="8">
        <f t="shared" ref="AK177:BQ177" si="159">AK$12</f>
        <v>45870</v>
      </c>
      <c r="AL177" s="8">
        <f t="shared" si="159"/>
        <v>45901</v>
      </c>
      <c r="AM177" s="8">
        <f t="shared" si="159"/>
        <v>45931</v>
      </c>
      <c r="AN177" s="8">
        <f t="shared" si="159"/>
        <v>45962</v>
      </c>
      <c r="AO177" s="8">
        <f t="shared" si="159"/>
        <v>45992</v>
      </c>
      <c r="AP177" s="8">
        <f t="shared" si="159"/>
        <v>46023</v>
      </c>
      <c r="AQ177" s="8">
        <f t="shared" si="159"/>
        <v>46054</v>
      </c>
      <c r="AR177" s="8">
        <f t="shared" si="159"/>
        <v>46082</v>
      </c>
      <c r="AS177" s="8">
        <f t="shared" si="159"/>
        <v>46113</v>
      </c>
      <c r="AT177" s="8">
        <f t="shared" si="159"/>
        <v>46143</v>
      </c>
      <c r="AU177" s="8">
        <f t="shared" si="159"/>
        <v>46174</v>
      </c>
      <c r="AV177" s="8">
        <f t="shared" si="159"/>
        <v>46204</v>
      </c>
      <c r="AW177" s="8">
        <f t="shared" si="159"/>
        <v>46235</v>
      </c>
      <c r="AX177" s="8">
        <f t="shared" si="159"/>
        <v>46266</v>
      </c>
      <c r="AY177" s="8">
        <f t="shared" si="159"/>
        <v>46296</v>
      </c>
      <c r="AZ177" s="8">
        <f t="shared" si="159"/>
        <v>46327</v>
      </c>
      <c r="BA177" s="8">
        <f t="shared" si="159"/>
        <v>46357</v>
      </c>
      <c r="BB177" s="8">
        <f t="shared" si="159"/>
        <v>46388</v>
      </c>
      <c r="BC177" s="8">
        <f t="shared" si="159"/>
        <v>46419</v>
      </c>
      <c r="BD177" s="8">
        <f t="shared" si="159"/>
        <v>46447</v>
      </c>
      <c r="BE177" s="8">
        <f t="shared" si="159"/>
        <v>46478</v>
      </c>
      <c r="BF177" s="8">
        <f t="shared" si="159"/>
        <v>46508</v>
      </c>
      <c r="BG177" s="8">
        <f t="shared" si="159"/>
        <v>46539</v>
      </c>
      <c r="BH177" s="8">
        <f t="shared" si="159"/>
        <v>46569</v>
      </c>
      <c r="BI177" s="8">
        <f t="shared" si="159"/>
        <v>46600</v>
      </c>
      <c r="BJ177" s="8">
        <f t="shared" si="159"/>
        <v>46631</v>
      </c>
      <c r="BK177" s="8">
        <f t="shared" si="159"/>
        <v>46661</v>
      </c>
      <c r="BL177" s="8">
        <f t="shared" si="159"/>
        <v>46692</v>
      </c>
      <c r="BM177" s="8">
        <f t="shared" si="159"/>
        <v>46722</v>
      </c>
      <c r="BN177" s="8">
        <f t="shared" si="159"/>
        <v>46753</v>
      </c>
      <c r="BO177" s="8">
        <f t="shared" si="159"/>
        <v>46784</v>
      </c>
      <c r="BP177" s="8">
        <f t="shared" si="159"/>
        <v>46813</v>
      </c>
      <c r="BQ177" s="8">
        <f t="shared" si="159"/>
        <v>46844</v>
      </c>
    </row>
    <row r="178" spans="2:69" ht="14.5">
      <c r="E178" s="2" t="s">
        <v>292</v>
      </c>
      <c r="F178"/>
      <c r="G178" s="2" t="s">
        <v>21</v>
      </c>
      <c r="H178" s="2">
        <f>SUM(J178:BQ178)</f>
        <v>1</v>
      </c>
      <c r="I178"/>
      <c r="J178" s="2">
        <f t="shared" ref="J178:AO178" si="160">IF(AND(J176&gt;=$F175,J177&lt;=$F175),1,0)</f>
        <v>1</v>
      </c>
      <c r="K178" s="2">
        <f t="shared" si="160"/>
        <v>0</v>
      </c>
      <c r="L178" s="2">
        <f t="shared" si="160"/>
        <v>0</v>
      </c>
      <c r="M178" s="2">
        <f t="shared" si="160"/>
        <v>0</v>
      </c>
      <c r="N178" s="2">
        <f t="shared" si="160"/>
        <v>0</v>
      </c>
      <c r="O178" s="2">
        <f t="shared" si="160"/>
        <v>0</v>
      </c>
      <c r="P178" s="2">
        <f t="shared" si="160"/>
        <v>0</v>
      </c>
      <c r="Q178" s="2">
        <f t="shared" si="160"/>
        <v>0</v>
      </c>
      <c r="R178" s="2">
        <f t="shared" si="160"/>
        <v>0</v>
      </c>
      <c r="S178" s="2">
        <f t="shared" si="160"/>
        <v>0</v>
      </c>
      <c r="T178" s="2">
        <f t="shared" si="160"/>
        <v>0</v>
      </c>
      <c r="U178" s="2">
        <f t="shared" si="160"/>
        <v>0</v>
      </c>
      <c r="V178" s="2">
        <f t="shared" si="160"/>
        <v>0</v>
      </c>
      <c r="W178" s="2">
        <f t="shared" si="160"/>
        <v>0</v>
      </c>
      <c r="X178" s="2">
        <f t="shared" si="160"/>
        <v>0</v>
      </c>
      <c r="Y178" s="2">
        <f t="shared" si="160"/>
        <v>0</v>
      </c>
      <c r="Z178" s="2">
        <f t="shared" si="160"/>
        <v>0</v>
      </c>
      <c r="AA178" s="2">
        <f t="shared" si="160"/>
        <v>0</v>
      </c>
      <c r="AB178" s="2">
        <f t="shared" si="160"/>
        <v>0</v>
      </c>
      <c r="AC178" s="2">
        <f t="shared" si="160"/>
        <v>0</v>
      </c>
      <c r="AD178" s="2">
        <f t="shared" si="160"/>
        <v>0</v>
      </c>
      <c r="AE178" s="2">
        <f t="shared" si="160"/>
        <v>0</v>
      </c>
      <c r="AF178" s="2">
        <f t="shared" si="160"/>
        <v>0</v>
      </c>
      <c r="AG178" s="2">
        <f t="shared" si="160"/>
        <v>0</v>
      </c>
      <c r="AH178" s="2">
        <f t="shared" si="160"/>
        <v>0</v>
      </c>
      <c r="AI178" s="2">
        <f t="shared" si="160"/>
        <v>0</v>
      </c>
      <c r="AJ178" s="2">
        <f t="shared" si="160"/>
        <v>0</v>
      </c>
      <c r="AK178" s="2">
        <f t="shared" si="160"/>
        <v>0</v>
      </c>
      <c r="AL178" s="2">
        <f t="shared" si="160"/>
        <v>0</v>
      </c>
      <c r="AM178" s="2">
        <f t="shared" si="160"/>
        <v>0</v>
      </c>
      <c r="AN178" s="2">
        <f t="shared" si="160"/>
        <v>0</v>
      </c>
      <c r="AO178" s="2">
        <f t="shared" si="160"/>
        <v>0</v>
      </c>
      <c r="AP178" s="2">
        <f t="shared" ref="AP178:BU178" si="161">IF(AND(AP176&gt;=$F175,AP177&lt;=$F175),1,0)</f>
        <v>0</v>
      </c>
      <c r="AQ178" s="2">
        <f t="shared" si="161"/>
        <v>0</v>
      </c>
      <c r="AR178" s="2">
        <f t="shared" si="161"/>
        <v>0</v>
      </c>
      <c r="AS178" s="2">
        <f t="shared" si="161"/>
        <v>0</v>
      </c>
      <c r="AT178" s="2">
        <f t="shared" si="161"/>
        <v>0</v>
      </c>
      <c r="AU178" s="2">
        <f t="shared" si="161"/>
        <v>0</v>
      </c>
      <c r="AV178" s="2">
        <f t="shared" si="161"/>
        <v>0</v>
      </c>
      <c r="AW178" s="2">
        <f t="shared" si="161"/>
        <v>0</v>
      </c>
      <c r="AX178" s="2">
        <f t="shared" si="161"/>
        <v>0</v>
      </c>
      <c r="AY178" s="2">
        <f t="shared" si="161"/>
        <v>0</v>
      </c>
      <c r="AZ178" s="2">
        <f t="shared" si="161"/>
        <v>0</v>
      </c>
      <c r="BA178" s="2">
        <f t="shared" si="161"/>
        <v>0</v>
      </c>
      <c r="BB178" s="2">
        <f t="shared" si="161"/>
        <v>0</v>
      </c>
      <c r="BC178" s="2">
        <f t="shared" si="161"/>
        <v>0</v>
      </c>
      <c r="BD178" s="2">
        <f t="shared" si="161"/>
        <v>0</v>
      </c>
      <c r="BE178" s="2">
        <f t="shared" si="161"/>
        <v>0</v>
      </c>
      <c r="BF178" s="2">
        <f t="shared" si="161"/>
        <v>0</v>
      </c>
      <c r="BG178" s="2">
        <f t="shared" si="161"/>
        <v>0</v>
      </c>
      <c r="BH178" s="2">
        <f t="shared" si="161"/>
        <v>0</v>
      </c>
      <c r="BI178" s="2">
        <f t="shared" si="161"/>
        <v>0</v>
      </c>
      <c r="BJ178" s="2">
        <f t="shared" si="161"/>
        <v>0</v>
      </c>
      <c r="BK178" s="2">
        <f t="shared" si="161"/>
        <v>0</v>
      </c>
      <c r="BL178" s="2">
        <f t="shared" si="161"/>
        <v>0</v>
      </c>
      <c r="BM178" s="2">
        <f t="shared" si="161"/>
        <v>0</v>
      </c>
      <c r="BN178" s="2">
        <f t="shared" si="161"/>
        <v>0</v>
      </c>
      <c r="BO178" s="2">
        <f t="shared" si="161"/>
        <v>0</v>
      </c>
      <c r="BP178" s="2">
        <f t="shared" si="161"/>
        <v>0</v>
      </c>
      <c r="BQ178" s="2">
        <f t="shared" si="161"/>
        <v>0</v>
      </c>
    </row>
    <row r="181" spans="2:69">
      <c r="B181" s="22" t="s">
        <v>276</v>
      </c>
    </row>
    <row r="182" spans="2:69">
      <c r="E182" s="5" t="str">
        <f t="shared" ref="E182:AJ182" si="162">E$28</f>
        <v>Period number</v>
      </c>
      <c r="F182" s="5">
        <f t="shared" si="162"/>
        <v>0</v>
      </c>
      <c r="G182" s="5" t="str">
        <f t="shared" si="162"/>
        <v>Counter</v>
      </c>
      <c r="H182" s="5">
        <f t="shared" si="162"/>
        <v>0</v>
      </c>
      <c r="I182" s="5">
        <f t="shared" si="162"/>
        <v>0</v>
      </c>
      <c r="J182" s="5">
        <f t="shared" si="162"/>
        <v>1</v>
      </c>
      <c r="K182" s="5">
        <f t="shared" si="162"/>
        <v>2</v>
      </c>
      <c r="L182" s="5">
        <f t="shared" si="162"/>
        <v>3</v>
      </c>
      <c r="M182" s="5">
        <f t="shared" si="162"/>
        <v>4</v>
      </c>
      <c r="N182" s="5">
        <f t="shared" si="162"/>
        <v>5</v>
      </c>
      <c r="O182" s="5">
        <f t="shared" si="162"/>
        <v>6</v>
      </c>
      <c r="P182" s="5">
        <f t="shared" si="162"/>
        <v>7</v>
      </c>
      <c r="Q182" s="5">
        <f t="shared" si="162"/>
        <v>8</v>
      </c>
      <c r="R182" s="5">
        <f t="shared" si="162"/>
        <v>9</v>
      </c>
      <c r="S182" s="5">
        <f t="shared" si="162"/>
        <v>10</v>
      </c>
      <c r="T182" s="5">
        <f t="shared" si="162"/>
        <v>11</v>
      </c>
      <c r="U182" s="5">
        <f t="shared" si="162"/>
        <v>12</v>
      </c>
      <c r="V182" s="5">
        <f t="shared" si="162"/>
        <v>13</v>
      </c>
      <c r="W182" s="5">
        <f t="shared" si="162"/>
        <v>14</v>
      </c>
      <c r="X182" s="5">
        <f t="shared" si="162"/>
        <v>15</v>
      </c>
      <c r="Y182" s="5">
        <f t="shared" si="162"/>
        <v>16</v>
      </c>
      <c r="Z182" s="5">
        <f t="shared" si="162"/>
        <v>17</v>
      </c>
      <c r="AA182" s="5">
        <f t="shared" si="162"/>
        <v>18</v>
      </c>
      <c r="AB182" s="5">
        <f t="shared" si="162"/>
        <v>19</v>
      </c>
      <c r="AC182" s="5">
        <f t="shared" si="162"/>
        <v>20</v>
      </c>
      <c r="AD182" s="5">
        <f t="shared" si="162"/>
        <v>21</v>
      </c>
      <c r="AE182" s="5">
        <f t="shared" si="162"/>
        <v>22</v>
      </c>
      <c r="AF182" s="5">
        <f t="shared" si="162"/>
        <v>23</v>
      </c>
      <c r="AG182" s="5">
        <f t="shared" si="162"/>
        <v>24</v>
      </c>
      <c r="AH182" s="5">
        <f t="shared" si="162"/>
        <v>25</v>
      </c>
      <c r="AI182" s="5">
        <f t="shared" si="162"/>
        <v>26</v>
      </c>
      <c r="AJ182" s="5">
        <f t="shared" si="162"/>
        <v>27</v>
      </c>
      <c r="AK182" s="5">
        <f t="shared" ref="AK182:BQ182" si="163">AK$28</f>
        <v>28</v>
      </c>
      <c r="AL182" s="5">
        <f t="shared" si="163"/>
        <v>29</v>
      </c>
      <c r="AM182" s="5">
        <f t="shared" si="163"/>
        <v>30</v>
      </c>
      <c r="AN182" s="5">
        <f t="shared" si="163"/>
        <v>31</v>
      </c>
      <c r="AO182" s="5">
        <f t="shared" si="163"/>
        <v>32</v>
      </c>
      <c r="AP182" s="5">
        <f t="shared" si="163"/>
        <v>33</v>
      </c>
      <c r="AQ182" s="5">
        <f t="shared" si="163"/>
        <v>34</v>
      </c>
      <c r="AR182" s="5">
        <f t="shared" si="163"/>
        <v>35</v>
      </c>
      <c r="AS182" s="5">
        <f t="shared" si="163"/>
        <v>36</v>
      </c>
      <c r="AT182" s="5">
        <f t="shared" si="163"/>
        <v>37</v>
      </c>
      <c r="AU182" s="5">
        <f t="shared" si="163"/>
        <v>38</v>
      </c>
      <c r="AV182" s="5">
        <f t="shared" si="163"/>
        <v>39</v>
      </c>
      <c r="AW182" s="5">
        <f t="shared" si="163"/>
        <v>40</v>
      </c>
      <c r="AX182" s="5">
        <f t="shared" si="163"/>
        <v>41</v>
      </c>
      <c r="AY182" s="5">
        <f t="shared" si="163"/>
        <v>42</v>
      </c>
      <c r="AZ182" s="5">
        <f t="shared" si="163"/>
        <v>43</v>
      </c>
      <c r="BA182" s="5">
        <f t="shared" si="163"/>
        <v>44</v>
      </c>
      <c r="BB182" s="5">
        <f t="shared" si="163"/>
        <v>45</v>
      </c>
      <c r="BC182" s="5">
        <f t="shared" si="163"/>
        <v>46</v>
      </c>
      <c r="BD182" s="5">
        <f t="shared" si="163"/>
        <v>47</v>
      </c>
      <c r="BE182" s="5">
        <f t="shared" si="163"/>
        <v>48</v>
      </c>
      <c r="BF182" s="5">
        <f t="shared" si="163"/>
        <v>49</v>
      </c>
      <c r="BG182" s="5">
        <f t="shared" si="163"/>
        <v>50</v>
      </c>
      <c r="BH182" s="5">
        <f t="shared" si="163"/>
        <v>51</v>
      </c>
      <c r="BI182" s="5">
        <f t="shared" si="163"/>
        <v>52</v>
      </c>
      <c r="BJ182" s="5">
        <f t="shared" si="163"/>
        <v>53</v>
      </c>
      <c r="BK182" s="5">
        <f t="shared" si="163"/>
        <v>54</v>
      </c>
      <c r="BL182" s="5">
        <f t="shared" si="163"/>
        <v>55</v>
      </c>
      <c r="BM182" s="5">
        <f t="shared" si="163"/>
        <v>56</v>
      </c>
      <c r="BN182" s="5">
        <f t="shared" si="163"/>
        <v>57</v>
      </c>
      <c r="BO182" s="5">
        <f t="shared" si="163"/>
        <v>58</v>
      </c>
      <c r="BP182" s="5">
        <f t="shared" si="163"/>
        <v>59</v>
      </c>
      <c r="BQ182" s="5">
        <f t="shared" si="163"/>
        <v>60</v>
      </c>
    </row>
    <row r="183" spans="2:69">
      <c r="E183" s="2" t="str">
        <f t="shared" ref="E183:AJ183" si="164">E$178</f>
        <v>First Fixed Operating Cost Growth Rate escalation flag</v>
      </c>
      <c r="F183" s="2">
        <f t="shared" si="164"/>
        <v>0</v>
      </c>
      <c r="G183" s="2" t="str">
        <f t="shared" si="164"/>
        <v>flag</v>
      </c>
      <c r="H183" s="2">
        <f t="shared" si="164"/>
        <v>1</v>
      </c>
      <c r="I183" s="2">
        <f t="shared" si="164"/>
        <v>0</v>
      </c>
      <c r="J183" s="2">
        <f t="shared" si="164"/>
        <v>1</v>
      </c>
      <c r="K183" s="2">
        <f t="shared" si="164"/>
        <v>0</v>
      </c>
      <c r="L183" s="2">
        <f t="shared" si="164"/>
        <v>0</v>
      </c>
      <c r="M183" s="2">
        <f t="shared" si="164"/>
        <v>0</v>
      </c>
      <c r="N183" s="2">
        <f t="shared" si="164"/>
        <v>0</v>
      </c>
      <c r="O183" s="2">
        <f t="shared" si="164"/>
        <v>0</v>
      </c>
      <c r="P183" s="2">
        <f t="shared" si="164"/>
        <v>0</v>
      </c>
      <c r="Q183" s="2">
        <f t="shared" si="164"/>
        <v>0</v>
      </c>
      <c r="R183" s="2">
        <f t="shared" si="164"/>
        <v>0</v>
      </c>
      <c r="S183" s="2">
        <f t="shared" si="164"/>
        <v>0</v>
      </c>
      <c r="T183" s="2">
        <f t="shared" si="164"/>
        <v>0</v>
      </c>
      <c r="U183" s="2">
        <f t="shared" si="164"/>
        <v>0</v>
      </c>
      <c r="V183" s="2">
        <f t="shared" si="164"/>
        <v>0</v>
      </c>
      <c r="W183" s="2">
        <f t="shared" si="164"/>
        <v>0</v>
      </c>
      <c r="X183" s="2">
        <f t="shared" si="164"/>
        <v>0</v>
      </c>
      <c r="Y183" s="2">
        <f t="shared" si="164"/>
        <v>0</v>
      </c>
      <c r="Z183" s="2">
        <f t="shared" si="164"/>
        <v>0</v>
      </c>
      <c r="AA183" s="2">
        <f t="shared" si="164"/>
        <v>0</v>
      </c>
      <c r="AB183" s="2">
        <f t="shared" si="164"/>
        <v>0</v>
      </c>
      <c r="AC183" s="2">
        <f t="shared" si="164"/>
        <v>0</v>
      </c>
      <c r="AD183" s="2">
        <f t="shared" si="164"/>
        <v>0</v>
      </c>
      <c r="AE183" s="2">
        <f t="shared" si="164"/>
        <v>0</v>
      </c>
      <c r="AF183" s="2">
        <f t="shared" si="164"/>
        <v>0</v>
      </c>
      <c r="AG183" s="2">
        <f t="shared" si="164"/>
        <v>0</v>
      </c>
      <c r="AH183" s="2">
        <f t="shared" si="164"/>
        <v>0</v>
      </c>
      <c r="AI183" s="2">
        <f t="shared" si="164"/>
        <v>0</v>
      </c>
      <c r="AJ183" s="2">
        <f t="shared" si="164"/>
        <v>0</v>
      </c>
      <c r="AK183" s="2">
        <f t="shared" ref="AK183:BQ183" si="165">AK$178</f>
        <v>0</v>
      </c>
      <c r="AL183" s="2">
        <f t="shared" si="165"/>
        <v>0</v>
      </c>
      <c r="AM183" s="2">
        <f t="shared" si="165"/>
        <v>0</v>
      </c>
      <c r="AN183" s="2">
        <f t="shared" si="165"/>
        <v>0</v>
      </c>
      <c r="AO183" s="2">
        <f t="shared" si="165"/>
        <v>0</v>
      </c>
      <c r="AP183" s="2">
        <f t="shared" si="165"/>
        <v>0</v>
      </c>
      <c r="AQ183" s="2">
        <f t="shared" si="165"/>
        <v>0</v>
      </c>
      <c r="AR183" s="2">
        <f t="shared" si="165"/>
        <v>0</v>
      </c>
      <c r="AS183" s="2">
        <f t="shared" si="165"/>
        <v>0</v>
      </c>
      <c r="AT183" s="2">
        <f t="shared" si="165"/>
        <v>0</v>
      </c>
      <c r="AU183" s="2">
        <f t="shared" si="165"/>
        <v>0</v>
      </c>
      <c r="AV183" s="2">
        <f t="shared" si="165"/>
        <v>0</v>
      </c>
      <c r="AW183" s="2">
        <f t="shared" si="165"/>
        <v>0</v>
      </c>
      <c r="AX183" s="2">
        <f t="shared" si="165"/>
        <v>0</v>
      </c>
      <c r="AY183" s="2">
        <f t="shared" si="165"/>
        <v>0</v>
      </c>
      <c r="AZ183" s="2">
        <f t="shared" si="165"/>
        <v>0</v>
      </c>
      <c r="BA183" s="2">
        <f t="shared" si="165"/>
        <v>0</v>
      </c>
      <c r="BB183" s="2">
        <f t="shared" si="165"/>
        <v>0</v>
      </c>
      <c r="BC183" s="2">
        <f t="shared" si="165"/>
        <v>0</v>
      </c>
      <c r="BD183" s="2">
        <f t="shared" si="165"/>
        <v>0</v>
      </c>
      <c r="BE183" s="2">
        <f t="shared" si="165"/>
        <v>0</v>
      </c>
      <c r="BF183" s="2">
        <f t="shared" si="165"/>
        <v>0</v>
      </c>
      <c r="BG183" s="2">
        <f t="shared" si="165"/>
        <v>0</v>
      </c>
      <c r="BH183" s="2">
        <f t="shared" si="165"/>
        <v>0</v>
      </c>
      <c r="BI183" s="2">
        <f t="shared" si="165"/>
        <v>0</v>
      </c>
      <c r="BJ183" s="2">
        <f t="shared" si="165"/>
        <v>0</v>
      </c>
      <c r="BK183" s="2">
        <f t="shared" si="165"/>
        <v>0</v>
      </c>
      <c r="BL183" s="2">
        <f t="shared" si="165"/>
        <v>0</v>
      </c>
      <c r="BM183" s="2">
        <f t="shared" si="165"/>
        <v>0</v>
      </c>
      <c r="BN183" s="2">
        <f t="shared" si="165"/>
        <v>0</v>
      </c>
      <c r="BO183" s="2">
        <f t="shared" si="165"/>
        <v>0</v>
      </c>
      <c r="BP183" s="2">
        <f t="shared" si="165"/>
        <v>0</v>
      </c>
      <c r="BQ183" s="2">
        <f t="shared" si="165"/>
        <v>0</v>
      </c>
    </row>
    <row r="184" spans="2:69" ht="14.5">
      <c r="E184" s="2" t="s">
        <v>276</v>
      </c>
      <c r="F184"/>
      <c r="G184"/>
      <c r="H184" s="2">
        <f>SUM(J184:BQ184)</f>
        <v>1</v>
      </c>
      <c r="I184"/>
      <c r="J184" s="2">
        <f t="shared" ref="J184:AO184" si="166">J182*J183</f>
        <v>1</v>
      </c>
      <c r="K184" s="2">
        <f t="shared" si="166"/>
        <v>0</v>
      </c>
      <c r="L184" s="2">
        <f t="shared" si="166"/>
        <v>0</v>
      </c>
      <c r="M184" s="2">
        <f t="shared" si="166"/>
        <v>0</v>
      </c>
      <c r="N184" s="2">
        <f t="shared" si="166"/>
        <v>0</v>
      </c>
      <c r="O184" s="2">
        <f t="shared" si="166"/>
        <v>0</v>
      </c>
      <c r="P184" s="2">
        <f t="shared" si="166"/>
        <v>0</v>
      </c>
      <c r="Q184" s="2">
        <f t="shared" si="166"/>
        <v>0</v>
      </c>
      <c r="R184" s="2">
        <f t="shared" si="166"/>
        <v>0</v>
      </c>
      <c r="S184" s="2">
        <f t="shared" si="166"/>
        <v>0</v>
      </c>
      <c r="T184" s="2">
        <f t="shared" si="166"/>
        <v>0</v>
      </c>
      <c r="U184" s="2">
        <f t="shared" si="166"/>
        <v>0</v>
      </c>
      <c r="V184" s="2">
        <f t="shared" si="166"/>
        <v>0</v>
      </c>
      <c r="W184" s="2">
        <f t="shared" si="166"/>
        <v>0</v>
      </c>
      <c r="X184" s="2">
        <f t="shared" si="166"/>
        <v>0</v>
      </c>
      <c r="Y184" s="2">
        <f t="shared" si="166"/>
        <v>0</v>
      </c>
      <c r="Z184" s="2">
        <f t="shared" si="166"/>
        <v>0</v>
      </c>
      <c r="AA184" s="2">
        <f t="shared" si="166"/>
        <v>0</v>
      </c>
      <c r="AB184" s="2">
        <f t="shared" si="166"/>
        <v>0</v>
      </c>
      <c r="AC184" s="2">
        <f t="shared" si="166"/>
        <v>0</v>
      </c>
      <c r="AD184" s="2">
        <f t="shared" si="166"/>
        <v>0</v>
      </c>
      <c r="AE184" s="2">
        <f t="shared" si="166"/>
        <v>0</v>
      </c>
      <c r="AF184" s="2">
        <f t="shared" si="166"/>
        <v>0</v>
      </c>
      <c r="AG184" s="2">
        <f t="shared" si="166"/>
        <v>0</v>
      </c>
      <c r="AH184" s="2">
        <f t="shared" si="166"/>
        <v>0</v>
      </c>
      <c r="AI184" s="2">
        <f t="shared" si="166"/>
        <v>0</v>
      </c>
      <c r="AJ184" s="2">
        <f t="shared" si="166"/>
        <v>0</v>
      </c>
      <c r="AK184" s="2">
        <f t="shared" si="166"/>
        <v>0</v>
      </c>
      <c r="AL184" s="2">
        <f t="shared" si="166"/>
        <v>0</v>
      </c>
      <c r="AM184" s="2">
        <f t="shared" si="166"/>
        <v>0</v>
      </c>
      <c r="AN184" s="2">
        <f t="shared" si="166"/>
        <v>0</v>
      </c>
      <c r="AO184" s="2">
        <f t="shared" si="166"/>
        <v>0</v>
      </c>
      <c r="AP184" s="2">
        <f t="shared" ref="AP184:BU184" si="167">AP182*AP183</f>
        <v>0</v>
      </c>
      <c r="AQ184" s="2">
        <f t="shared" si="167"/>
        <v>0</v>
      </c>
      <c r="AR184" s="2">
        <f t="shared" si="167"/>
        <v>0</v>
      </c>
      <c r="AS184" s="2">
        <f t="shared" si="167"/>
        <v>0</v>
      </c>
      <c r="AT184" s="2">
        <f t="shared" si="167"/>
        <v>0</v>
      </c>
      <c r="AU184" s="2">
        <f t="shared" si="167"/>
        <v>0</v>
      </c>
      <c r="AV184" s="2">
        <f t="shared" si="167"/>
        <v>0</v>
      </c>
      <c r="AW184" s="2">
        <f t="shared" si="167"/>
        <v>0</v>
      </c>
      <c r="AX184" s="2">
        <f t="shared" si="167"/>
        <v>0</v>
      </c>
      <c r="AY184" s="2">
        <f t="shared" si="167"/>
        <v>0</v>
      </c>
      <c r="AZ184" s="2">
        <f t="shared" si="167"/>
        <v>0</v>
      </c>
      <c r="BA184" s="2">
        <f t="shared" si="167"/>
        <v>0</v>
      </c>
      <c r="BB184" s="2">
        <f t="shared" si="167"/>
        <v>0</v>
      </c>
      <c r="BC184" s="2">
        <f t="shared" si="167"/>
        <v>0</v>
      </c>
      <c r="BD184" s="2">
        <f t="shared" si="167"/>
        <v>0</v>
      </c>
      <c r="BE184" s="2">
        <f t="shared" si="167"/>
        <v>0</v>
      </c>
      <c r="BF184" s="2">
        <f t="shared" si="167"/>
        <v>0</v>
      </c>
      <c r="BG184" s="2">
        <f t="shared" si="167"/>
        <v>0</v>
      </c>
      <c r="BH184" s="2">
        <f t="shared" si="167"/>
        <v>0</v>
      </c>
      <c r="BI184" s="2">
        <f t="shared" si="167"/>
        <v>0</v>
      </c>
      <c r="BJ184" s="2">
        <f t="shared" si="167"/>
        <v>0</v>
      </c>
      <c r="BK184" s="2">
        <f t="shared" si="167"/>
        <v>0</v>
      </c>
      <c r="BL184" s="2">
        <f t="shared" si="167"/>
        <v>0</v>
      </c>
      <c r="BM184" s="2">
        <f t="shared" si="167"/>
        <v>0</v>
      </c>
      <c r="BN184" s="2">
        <f t="shared" si="167"/>
        <v>0</v>
      </c>
      <c r="BO184" s="2">
        <f t="shared" si="167"/>
        <v>0</v>
      </c>
      <c r="BP184" s="2">
        <f t="shared" si="167"/>
        <v>0</v>
      </c>
      <c r="BQ184" s="2">
        <f t="shared" si="167"/>
        <v>0</v>
      </c>
    </row>
    <row r="187" spans="2:69">
      <c r="B187" s="22" t="s">
        <v>193</v>
      </c>
    </row>
    <row r="188" spans="2:69">
      <c r="E188" s="2" t="str">
        <f t="shared" ref="E188:AJ188" si="168">E$184</f>
        <v>First Fixed Operating Cost Growth Rate escalation period</v>
      </c>
      <c r="F188" s="2">
        <f t="shared" si="168"/>
        <v>0</v>
      </c>
      <c r="G188" s="2">
        <f t="shared" si="168"/>
        <v>0</v>
      </c>
      <c r="H188" s="2">
        <f t="shared" si="168"/>
        <v>1</v>
      </c>
      <c r="I188" s="2">
        <f t="shared" si="168"/>
        <v>0</v>
      </c>
      <c r="J188" s="2">
        <f t="shared" si="168"/>
        <v>1</v>
      </c>
      <c r="K188" s="2">
        <f t="shared" si="168"/>
        <v>0</v>
      </c>
      <c r="L188" s="2">
        <f t="shared" si="168"/>
        <v>0</v>
      </c>
      <c r="M188" s="2">
        <f t="shared" si="168"/>
        <v>0</v>
      </c>
      <c r="N188" s="2">
        <f t="shared" si="168"/>
        <v>0</v>
      </c>
      <c r="O188" s="2">
        <f t="shared" si="168"/>
        <v>0</v>
      </c>
      <c r="P188" s="2">
        <f t="shared" si="168"/>
        <v>0</v>
      </c>
      <c r="Q188" s="2">
        <f t="shared" si="168"/>
        <v>0</v>
      </c>
      <c r="R188" s="2">
        <f t="shared" si="168"/>
        <v>0</v>
      </c>
      <c r="S188" s="2">
        <f t="shared" si="168"/>
        <v>0</v>
      </c>
      <c r="T188" s="2">
        <f t="shared" si="168"/>
        <v>0</v>
      </c>
      <c r="U188" s="2">
        <f t="shared" si="168"/>
        <v>0</v>
      </c>
      <c r="V188" s="2">
        <f t="shared" si="168"/>
        <v>0</v>
      </c>
      <c r="W188" s="2">
        <f t="shared" si="168"/>
        <v>0</v>
      </c>
      <c r="X188" s="2">
        <f t="shared" si="168"/>
        <v>0</v>
      </c>
      <c r="Y188" s="2">
        <f t="shared" si="168"/>
        <v>0</v>
      </c>
      <c r="Z188" s="2">
        <f t="shared" si="168"/>
        <v>0</v>
      </c>
      <c r="AA188" s="2">
        <f t="shared" si="168"/>
        <v>0</v>
      </c>
      <c r="AB188" s="2">
        <f t="shared" si="168"/>
        <v>0</v>
      </c>
      <c r="AC188" s="2">
        <f t="shared" si="168"/>
        <v>0</v>
      </c>
      <c r="AD188" s="2">
        <f t="shared" si="168"/>
        <v>0</v>
      </c>
      <c r="AE188" s="2">
        <f t="shared" si="168"/>
        <v>0</v>
      </c>
      <c r="AF188" s="2">
        <f t="shared" si="168"/>
        <v>0</v>
      </c>
      <c r="AG188" s="2">
        <f t="shared" si="168"/>
        <v>0</v>
      </c>
      <c r="AH188" s="2">
        <f t="shared" si="168"/>
        <v>0</v>
      </c>
      <c r="AI188" s="2">
        <f t="shared" si="168"/>
        <v>0</v>
      </c>
      <c r="AJ188" s="2">
        <f t="shared" si="168"/>
        <v>0</v>
      </c>
      <c r="AK188" s="2">
        <f t="shared" ref="AK188:BQ188" si="169">AK$184</f>
        <v>0</v>
      </c>
      <c r="AL188" s="2">
        <f t="shared" si="169"/>
        <v>0</v>
      </c>
      <c r="AM188" s="2">
        <f t="shared" si="169"/>
        <v>0</v>
      </c>
      <c r="AN188" s="2">
        <f t="shared" si="169"/>
        <v>0</v>
      </c>
      <c r="AO188" s="2">
        <f t="shared" si="169"/>
        <v>0</v>
      </c>
      <c r="AP188" s="2">
        <f t="shared" si="169"/>
        <v>0</v>
      </c>
      <c r="AQ188" s="2">
        <f t="shared" si="169"/>
        <v>0</v>
      </c>
      <c r="AR188" s="2">
        <f t="shared" si="169"/>
        <v>0</v>
      </c>
      <c r="AS188" s="2">
        <f t="shared" si="169"/>
        <v>0</v>
      </c>
      <c r="AT188" s="2">
        <f t="shared" si="169"/>
        <v>0</v>
      </c>
      <c r="AU188" s="2">
        <f t="shared" si="169"/>
        <v>0</v>
      </c>
      <c r="AV188" s="2">
        <f t="shared" si="169"/>
        <v>0</v>
      </c>
      <c r="AW188" s="2">
        <f t="shared" si="169"/>
        <v>0</v>
      </c>
      <c r="AX188" s="2">
        <f t="shared" si="169"/>
        <v>0</v>
      </c>
      <c r="AY188" s="2">
        <f t="shared" si="169"/>
        <v>0</v>
      </c>
      <c r="AZ188" s="2">
        <f t="shared" si="169"/>
        <v>0</v>
      </c>
      <c r="BA188" s="2">
        <f t="shared" si="169"/>
        <v>0</v>
      </c>
      <c r="BB188" s="2">
        <f t="shared" si="169"/>
        <v>0</v>
      </c>
      <c r="BC188" s="2">
        <f t="shared" si="169"/>
        <v>0</v>
      </c>
      <c r="BD188" s="2">
        <f t="shared" si="169"/>
        <v>0</v>
      </c>
      <c r="BE188" s="2">
        <f t="shared" si="169"/>
        <v>0</v>
      </c>
      <c r="BF188" s="2">
        <f t="shared" si="169"/>
        <v>0</v>
      </c>
      <c r="BG188" s="2">
        <f t="shared" si="169"/>
        <v>0</v>
      </c>
      <c r="BH188" s="2">
        <f t="shared" si="169"/>
        <v>0</v>
      </c>
      <c r="BI188" s="2">
        <f t="shared" si="169"/>
        <v>0</v>
      </c>
      <c r="BJ188" s="2">
        <f t="shared" si="169"/>
        <v>0</v>
      </c>
      <c r="BK188" s="2">
        <f t="shared" si="169"/>
        <v>0</v>
      </c>
      <c r="BL188" s="2">
        <f t="shared" si="169"/>
        <v>0</v>
      </c>
      <c r="BM188" s="2">
        <f t="shared" si="169"/>
        <v>0</v>
      </c>
      <c r="BN188" s="2">
        <f t="shared" si="169"/>
        <v>0</v>
      </c>
      <c r="BO188" s="2">
        <f t="shared" si="169"/>
        <v>0</v>
      </c>
      <c r="BP188" s="2">
        <f t="shared" si="169"/>
        <v>0</v>
      </c>
      <c r="BQ188" s="2">
        <f t="shared" si="169"/>
        <v>0</v>
      </c>
    </row>
    <row r="189" spans="2:69" ht="14.5">
      <c r="E189" s="2" t="s">
        <v>193</v>
      </c>
      <c r="F189" s="2">
        <f>SUM($J188:$BQ188)</f>
        <v>1</v>
      </c>
      <c r="G189"/>
    </row>
    <row r="192" spans="2:69">
      <c r="B192" s="22" t="s">
        <v>128</v>
      </c>
    </row>
    <row r="193" spans="1:69">
      <c r="E193" s="2" t="str">
        <f>E$189</f>
        <v>Period of first Fixed Operating Cost Growth Rate escalation</v>
      </c>
      <c r="F193" s="2">
        <f>F$189</f>
        <v>1</v>
      </c>
      <c r="G193" s="2">
        <f>G$189</f>
        <v>0</v>
      </c>
    </row>
    <row r="194" spans="1:69">
      <c r="A194" s="17"/>
      <c r="B194" s="17"/>
      <c r="C194" s="26"/>
      <c r="D194" s="27"/>
      <c r="E194" s="4" t="str">
        <f>InpC!E$27</f>
        <v>Fixed Operating Cost Growth Rate escalation frequency</v>
      </c>
      <c r="F194" s="4">
        <f>InpC!F$27</f>
        <v>3</v>
      </c>
      <c r="G194" s="4" t="str">
        <f>InpC!G$27</f>
        <v>Months</v>
      </c>
    </row>
    <row r="195" spans="1:69">
      <c r="A195" s="17"/>
      <c r="B195" s="17"/>
      <c r="C195" s="26"/>
      <c r="D195" s="27"/>
      <c r="E195" s="4" t="str">
        <f>InpC!E$98</f>
        <v>Months per period (Primary)</v>
      </c>
      <c r="F195" s="4">
        <f>InpC!F$98</f>
        <v>1</v>
      </c>
      <c r="G195" s="4" t="str">
        <f>InpC!G$98</f>
        <v>Months</v>
      </c>
    </row>
    <row r="196" spans="1:69">
      <c r="E196" s="5" t="str">
        <f t="shared" ref="E196:AJ196" si="170">E$28</f>
        <v>Period number</v>
      </c>
      <c r="F196" s="5">
        <f t="shared" si="170"/>
        <v>0</v>
      </c>
      <c r="G196" s="5" t="str">
        <f t="shared" si="170"/>
        <v>Counter</v>
      </c>
      <c r="H196" s="5">
        <f t="shared" si="170"/>
        <v>0</v>
      </c>
      <c r="I196" s="5">
        <f t="shared" si="170"/>
        <v>0</v>
      </c>
      <c r="J196" s="5">
        <f t="shared" si="170"/>
        <v>1</v>
      </c>
      <c r="K196" s="5">
        <f t="shared" si="170"/>
        <v>2</v>
      </c>
      <c r="L196" s="5">
        <f t="shared" si="170"/>
        <v>3</v>
      </c>
      <c r="M196" s="5">
        <f t="shared" si="170"/>
        <v>4</v>
      </c>
      <c r="N196" s="5">
        <f t="shared" si="170"/>
        <v>5</v>
      </c>
      <c r="O196" s="5">
        <f t="shared" si="170"/>
        <v>6</v>
      </c>
      <c r="P196" s="5">
        <f t="shared" si="170"/>
        <v>7</v>
      </c>
      <c r="Q196" s="5">
        <f t="shared" si="170"/>
        <v>8</v>
      </c>
      <c r="R196" s="5">
        <f t="shared" si="170"/>
        <v>9</v>
      </c>
      <c r="S196" s="5">
        <f t="shared" si="170"/>
        <v>10</v>
      </c>
      <c r="T196" s="5">
        <f t="shared" si="170"/>
        <v>11</v>
      </c>
      <c r="U196" s="5">
        <f t="shared" si="170"/>
        <v>12</v>
      </c>
      <c r="V196" s="5">
        <f t="shared" si="170"/>
        <v>13</v>
      </c>
      <c r="W196" s="5">
        <f t="shared" si="170"/>
        <v>14</v>
      </c>
      <c r="X196" s="5">
        <f t="shared" si="170"/>
        <v>15</v>
      </c>
      <c r="Y196" s="5">
        <f t="shared" si="170"/>
        <v>16</v>
      </c>
      <c r="Z196" s="5">
        <f t="shared" si="170"/>
        <v>17</v>
      </c>
      <c r="AA196" s="5">
        <f t="shared" si="170"/>
        <v>18</v>
      </c>
      <c r="AB196" s="5">
        <f t="shared" si="170"/>
        <v>19</v>
      </c>
      <c r="AC196" s="5">
        <f t="shared" si="170"/>
        <v>20</v>
      </c>
      <c r="AD196" s="5">
        <f t="shared" si="170"/>
        <v>21</v>
      </c>
      <c r="AE196" s="5">
        <f t="shared" si="170"/>
        <v>22</v>
      </c>
      <c r="AF196" s="5">
        <f t="shared" si="170"/>
        <v>23</v>
      </c>
      <c r="AG196" s="5">
        <f t="shared" si="170"/>
        <v>24</v>
      </c>
      <c r="AH196" s="5">
        <f t="shared" si="170"/>
        <v>25</v>
      </c>
      <c r="AI196" s="5">
        <f t="shared" si="170"/>
        <v>26</v>
      </c>
      <c r="AJ196" s="5">
        <f t="shared" si="170"/>
        <v>27</v>
      </c>
      <c r="AK196" s="5">
        <f t="shared" ref="AK196:BQ196" si="171">AK$28</f>
        <v>28</v>
      </c>
      <c r="AL196" s="5">
        <f t="shared" si="171"/>
        <v>29</v>
      </c>
      <c r="AM196" s="5">
        <f t="shared" si="171"/>
        <v>30</v>
      </c>
      <c r="AN196" s="5">
        <f t="shared" si="171"/>
        <v>31</v>
      </c>
      <c r="AO196" s="5">
        <f t="shared" si="171"/>
        <v>32</v>
      </c>
      <c r="AP196" s="5">
        <f t="shared" si="171"/>
        <v>33</v>
      </c>
      <c r="AQ196" s="5">
        <f t="shared" si="171"/>
        <v>34</v>
      </c>
      <c r="AR196" s="5">
        <f t="shared" si="171"/>
        <v>35</v>
      </c>
      <c r="AS196" s="5">
        <f t="shared" si="171"/>
        <v>36</v>
      </c>
      <c r="AT196" s="5">
        <f t="shared" si="171"/>
        <v>37</v>
      </c>
      <c r="AU196" s="5">
        <f t="shared" si="171"/>
        <v>38</v>
      </c>
      <c r="AV196" s="5">
        <f t="shared" si="171"/>
        <v>39</v>
      </c>
      <c r="AW196" s="5">
        <f t="shared" si="171"/>
        <v>40</v>
      </c>
      <c r="AX196" s="5">
        <f t="shared" si="171"/>
        <v>41</v>
      </c>
      <c r="AY196" s="5">
        <f t="shared" si="171"/>
        <v>42</v>
      </c>
      <c r="AZ196" s="5">
        <f t="shared" si="171"/>
        <v>43</v>
      </c>
      <c r="BA196" s="5">
        <f t="shared" si="171"/>
        <v>44</v>
      </c>
      <c r="BB196" s="5">
        <f t="shared" si="171"/>
        <v>45</v>
      </c>
      <c r="BC196" s="5">
        <f t="shared" si="171"/>
        <v>46</v>
      </c>
      <c r="BD196" s="5">
        <f t="shared" si="171"/>
        <v>47</v>
      </c>
      <c r="BE196" s="5">
        <f t="shared" si="171"/>
        <v>48</v>
      </c>
      <c r="BF196" s="5">
        <f t="shared" si="171"/>
        <v>49</v>
      </c>
      <c r="BG196" s="5">
        <f t="shared" si="171"/>
        <v>50</v>
      </c>
      <c r="BH196" s="5">
        <f t="shared" si="171"/>
        <v>51</v>
      </c>
      <c r="BI196" s="5">
        <f t="shared" si="171"/>
        <v>52</v>
      </c>
      <c r="BJ196" s="5">
        <f t="shared" si="171"/>
        <v>53</v>
      </c>
      <c r="BK196" s="5">
        <f t="shared" si="171"/>
        <v>54</v>
      </c>
      <c r="BL196" s="5">
        <f t="shared" si="171"/>
        <v>55</v>
      </c>
      <c r="BM196" s="5">
        <f t="shared" si="171"/>
        <v>56</v>
      </c>
      <c r="BN196" s="5">
        <f t="shared" si="171"/>
        <v>57</v>
      </c>
      <c r="BO196" s="5">
        <f t="shared" si="171"/>
        <v>58</v>
      </c>
      <c r="BP196" s="5">
        <f t="shared" si="171"/>
        <v>59</v>
      </c>
      <c r="BQ196" s="5">
        <f t="shared" si="171"/>
        <v>60</v>
      </c>
    </row>
    <row r="197" spans="1:69">
      <c r="E197" s="2" t="str">
        <f t="shared" ref="E197:AJ197" si="172">E$171</f>
        <v>Fixed Operating Cost Growth Rate escalation duration flag</v>
      </c>
      <c r="F197" s="2">
        <f t="shared" si="172"/>
        <v>0</v>
      </c>
      <c r="G197" s="2" t="str">
        <f t="shared" si="172"/>
        <v>flag</v>
      </c>
      <c r="H197" s="2">
        <f t="shared" si="172"/>
        <v>60</v>
      </c>
      <c r="I197" s="2">
        <f t="shared" si="172"/>
        <v>0</v>
      </c>
      <c r="J197" s="2">
        <f t="shared" si="172"/>
        <v>1</v>
      </c>
      <c r="K197" s="2">
        <f t="shared" si="172"/>
        <v>1</v>
      </c>
      <c r="L197" s="2">
        <f t="shared" si="172"/>
        <v>1</v>
      </c>
      <c r="M197" s="2">
        <f t="shared" si="172"/>
        <v>1</v>
      </c>
      <c r="N197" s="2">
        <f t="shared" si="172"/>
        <v>1</v>
      </c>
      <c r="O197" s="2">
        <f t="shared" si="172"/>
        <v>1</v>
      </c>
      <c r="P197" s="2">
        <f t="shared" si="172"/>
        <v>1</v>
      </c>
      <c r="Q197" s="2">
        <f t="shared" si="172"/>
        <v>1</v>
      </c>
      <c r="R197" s="2">
        <f t="shared" si="172"/>
        <v>1</v>
      </c>
      <c r="S197" s="2">
        <f t="shared" si="172"/>
        <v>1</v>
      </c>
      <c r="T197" s="2">
        <f t="shared" si="172"/>
        <v>1</v>
      </c>
      <c r="U197" s="2">
        <f t="shared" si="172"/>
        <v>1</v>
      </c>
      <c r="V197" s="2">
        <f t="shared" si="172"/>
        <v>1</v>
      </c>
      <c r="W197" s="2">
        <f t="shared" si="172"/>
        <v>1</v>
      </c>
      <c r="X197" s="2">
        <f t="shared" si="172"/>
        <v>1</v>
      </c>
      <c r="Y197" s="2">
        <f t="shared" si="172"/>
        <v>1</v>
      </c>
      <c r="Z197" s="2">
        <f t="shared" si="172"/>
        <v>1</v>
      </c>
      <c r="AA197" s="2">
        <f t="shared" si="172"/>
        <v>1</v>
      </c>
      <c r="AB197" s="2">
        <f t="shared" si="172"/>
        <v>1</v>
      </c>
      <c r="AC197" s="2">
        <f t="shared" si="172"/>
        <v>1</v>
      </c>
      <c r="AD197" s="2">
        <f t="shared" si="172"/>
        <v>1</v>
      </c>
      <c r="AE197" s="2">
        <f t="shared" si="172"/>
        <v>1</v>
      </c>
      <c r="AF197" s="2">
        <f t="shared" si="172"/>
        <v>1</v>
      </c>
      <c r="AG197" s="2">
        <f t="shared" si="172"/>
        <v>1</v>
      </c>
      <c r="AH197" s="2">
        <f t="shared" si="172"/>
        <v>1</v>
      </c>
      <c r="AI197" s="2">
        <f t="shared" si="172"/>
        <v>1</v>
      </c>
      <c r="AJ197" s="2">
        <f t="shared" si="172"/>
        <v>1</v>
      </c>
      <c r="AK197" s="2">
        <f t="shared" ref="AK197:BQ197" si="173">AK$171</f>
        <v>1</v>
      </c>
      <c r="AL197" s="2">
        <f t="shared" si="173"/>
        <v>1</v>
      </c>
      <c r="AM197" s="2">
        <f t="shared" si="173"/>
        <v>1</v>
      </c>
      <c r="AN197" s="2">
        <f t="shared" si="173"/>
        <v>1</v>
      </c>
      <c r="AO197" s="2">
        <f t="shared" si="173"/>
        <v>1</v>
      </c>
      <c r="AP197" s="2">
        <f t="shared" si="173"/>
        <v>1</v>
      </c>
      <c r="AQ197" s="2">
        <f t="shared" si="173"/>
        <v>1</v>
      </c>
      <c r="AR197" s="2">
        <f t="shared" si="173"/>
        <v>1</v>
      </c>
      <c r="AS197" s="2">
        <f t="shared" si="173"/>
        <v>1</v>
      </c>
      <c r="AT197" s="2">
        <f t="shared" si="173"/>
        <v>1</v>
      </c>
      <c r="AU197" s="2">
        <f t="shared" si="173"/>
        <v>1</v>
      </c>
      <c r="AV197" s="2">
        <f t="shared" si="173"/>
        <v>1</v>
      </c>
      <c r="AW197" s="2">
        <f t="shared" si="173"/>
        <v>1</v>
      </c>
      <c r="AX197" s="2">
        <f t="shared" si="173"/>
        <v>1</v>
      </c>
      <c r="AY197" s="2">
        <f t="shared" si="173"/>
        <v>1</v>
      </c>
      <c r="AZ197" s="2">
        <f t="shared" si="173"/>
        <v>1</v>
      </c>
      <c r="BA197" s="2">
        <f t="shared" si="173"/>
        <v>1</v>
      </c>
      <c r="BB197" s="2">
        <f t="shared" si="173"/>
        <v>1</v>
      </c>
      <c r="BC197" s="2">
        <f t="shared" si="173"/>
        <v>1</v>
      </c>
      <c r="BD197" s="2">
        <f t="shared" si="173"/>
        <v>1</v>
      </c>
      <c r="BE197" s="2">
        <f t="shared" si="173"/>
        <v>1</v>
      </c>
      <c r="BF197" s="2">
        <f t="shared" si="173"/>
        <v>1</v>
      </c>
      <c r="BG197" s="2">
        <f t="shared" si="173"/>
        <v>1</v>
      </c>
      <c r="BH197" s="2">
        <f t="shared" si="173"/>
        <v>1</v>
      </c>
      <c r="BI197" s="2">
        <f t="shared" si="173"/>
        <v>1</v>
      </c>
      <c r="BJ197" s="2">
        <f t="shared" si="173"/>
        <v>1</v>
      </c>
      <c r="BK197" s="2">
        <f t="shared" si="173"/>
        <v>1</v>
      </c>
      <c r="BL197" s="2">
        <f t="shared" si="173"/>
        <v>1</v>
      </c>
      <c r="BM197" s="2">
        <f t="shared" si="173"/>
        <v>1</v>
      </c>
      <c r="BN197" s="2">
        <f t="shared" si="173"/>
        <v>1</v>
      </c>
      <c r="BO197" s="2">
        <f t="shared" si="173"/>
        <v>1</v>
      </c>
      <c r="BP197" s="2">
        <f t="shared" si="173"/>
        <v>1</v>
      </c>
      <c r="BQ197" s="2">
        <f t="shared" si="173"/>
        <v>1</v>
      </c>
    </row>
    <row r="198" spans="1:69" ht="14.5">
      <c r="E198" s="2" t="s">
        <v>128</v>
      </c>
      <c r="F198"/>
      <c r="G198" s="2" t="s">
        <v>21</v>
      </c>
      <c r="H198" s="2">
        <f>SUM(J198:BQ198)</f>
        <v>20</v>
      </c>
      <c r="I198"/>
      <c r="J198" s="2">
        <f t="shared" ref="J198:AO198" si="174">IF(MOD(J196-$F193,$F194/$F195)=0,1,0)*J197</f>
        <v>1</v>
      </c>
      <c r="K198" s="2">
        <f t="shared" si="174"/>
        <v>0</v>
      </c>
      <c r="L198" s="2">
        <f t="shared" si="174"/>
        <v>0</v>
      </c>
      <c r="M198" s="2">
        <f t="shared" si="174"/>
        <v>1</v>
      </c>
      <c r="N198" s="2">
        <f t="shared" si="174"/>
        <v>0</v>
      </c>
      <c r="O198" s="2">
        <f t="shared" si="174"/>
        <v>0</v>
      </c>
      <c r="P198" s="2">
        <f t="shared" si="174"/>
        <v>1</v>
      </c>
      <c r="Q198" s="2">
        <f t="shared" si="174"/>
        <v>0</v>
      </c>
      <c r="R198" s="2">
        <f t="shared" si="174"/>
        <v>0</v>
      </c>
      <c r="S198" s="2">
        <f t="shared" si="174"/>
        <v>1</v>
      </c>
      <c r="T198" s="2">
        <f t="shared" si="174"/>
        <v>0</v>
      </c>
      <c r="U198" s="2">
        <f t="shared" si="174"/>
        <v>0</v>
      </c>
      <c r="V198" s="2">
        <f t="shared" si="174"/>
        <v>1</v>
      </c>
      <c r="W198" s="2">
        <f t="shared" si="174"/>
        <v>0</v>
      </c>
      <c r="X198" s="2">
        <f t="shared" si="174"/>
        <v>0</v>
      </c>
      <c r="Y198" s="2">
        <f t="shared" si="174"/>
        <v>1</v>
      </c>
      <c r="Z198" s="2">
        <f t="shared" si="174"/>
        <v>0</v>
      </c>
      <c r="AA198" s="2">
        <f t="shared" si="174"/>
        <v>0</v>
      </c>
      <c r="AB198" s="2">
        <f t="shared" si="174"/>
        <v>1</v>
      </c>
      <c r="AC198" s="2">
        <f t="shared" si="174"/>
        <v>0</v>
      </c>
      <c r="AD198" s="2">
        <f t="shared" si="174"/>
        <v>0</v>
      </c>
      <c r="AE198" s="2">
        <f t="shared" si="174"/>
        <v>1</v>
      </c>
      <c r="AF198" s="2">
        <f t="shared" si="174"/>
        <v>0</v>
      </c>
      <c r="AG198" s="2">
        <f t="shared" si="174"/>
        <v>0</v>
      </c>
      <c r="AH198" s="2">
        <f t="shared" si="174"/>
        <v>1</v>
      </c>
      <c r="AI198" s="2">
        <f t="shared" si="174"/>
        <v>0</v>
      </c>
      <c r="AJ198" s="2">
        <f t="shared" si="174"/>
        <v>0</v>
      </c>
      <c r="AK198" s="2">
        <f t="shared" si="174"/>
        <v>1</v>
      </c>
      <c r="AL198" s="2">
        <f t="shared" si="174"/>
        <v>0</v>
      </c>
      <c r="AM198" s="2">
        <f t="shared" si="174"/>
        <v>0</v>
      </c>
      <c r="AN198" s="2">
        <f t="shared" si="174"/>
        <v>1</v>
      </c>
      <c r="AO198" s="2">
        <f t="shared" si="174"/>
        <v>0</v>
      </c>
      <c r="AP198" s="2">
        <f t="shared" ref="AP198:BU198" si="175">IF(MOD(AP196-$F193,$F194/$F195)=0,1,0)*AP197</f>
        <v>0</v>
      </c>
      <c r="AQ198" s="2">
        <f t="shared" si="175"/>
        <v>1</v>
      </c>
      <c r="AR198" s="2">
        <f t="shared" si="175"/>
        <v>0</v>
      </c>
      <c r="AS198" s="2">
        <f t="shared" si="175"/>
        <v>0</v>
      </c>
      <c r="AT198" s="2">
        <f t="shared" si="175"/>
        <v>1</v>
      </c>
      <c r="AU198" s="2">
        <f t="shared" si="175"/>
        <v>0</v>
      </c>
      <c r="AV198" s="2">
        <f t="shared" si="175"/>
        <v>0</v>
      </c>
      <c r="AW198" s="2">
        <f t="shared" si="175"/>
        <v>1</v>
      </c>
      <c r="AX198" s="2">
        <f t="shared" si="175"/>
        <v>0</v>
      </c>
      <c r="AY198" s="2">
        <f t="shared" si="175"/>
        <v>0</v>
      </c>
      <c r="AZ198" s="2">
        <f t="shared" si="175"/>
        <v>1</v>
      </c>
      <c r="BA198" s="2">
        <f t="shared" si="175"/>
        <v>0</v>
      </c>
      <c r="BB198" s="2">
        <f t="shared" si="175"/>
        <v>0</v>
      </c>
      <c r="BC198" s="2">
        <f t="shared" si="175"/>
        <v>1</v>
      </c>
      <c r="BD198" s="2">
        <f t="shared" si="175"/>
        <v>0</v>
      </c>
      <c r="BE198" s="2">
        <f t="shared" si="175"/>
        <v>0</v>
      </c>
      <c r="BF198" s="2">
        <f t="shared" si="175"/>
        <v>1</v>
      </c>
      <c r="BG198" s="2">
        <f t="shared" si="175"/>
        <v>0</v>
      </c>
      <c r="BH198" s="2">
        <f t="shared" si="175"/>
        <v>0</v>
      </c>
      <c r="BI198" s="2">
        <f t="shared" si="175"/>
        <v>1</v>
      </c>
      <c r="BJ198" s="2">
        <f t="shared" si="175"/>
        <v>0</v>
      </c>
      <c r="BK198" s="2">
        <f t="shared" si="175"/>
        <v>0</v>
      </c>
      <c r="BL198" s="2">
        <f t="shared" si="175"/>
        <v>1</v>
      </c>
      <c r="BM198" s="2">
        <f t="shared" si="175"/>
        <v>0</v>
      </c>
      <c r="BN198" s="2">
        <f t="shared" si="175"/>
        <v>0</v>
      </c>
      <c r="BO198" s="2">
        <f t="shared" si="175"/>
        <v>1</v>
      </c>
      <c r="BP198" s="2">
        <f t="shared" si="175"/>
        <v>0</v>
      </c>
      <c r="BQ198" s="2">
        <f t="shared" si="175"/>
        <v>0</v>
      </c>
    </row>
    <row r="201" spans="1:69">
      <c r="B201" s="22" t="s">
        <v>213</v>
      </c>
    </row>
    <row r="202" spans="1:69">
      <c r="A202" s="17"/>
      <c r="B202" s="17"/>
      <c r="C202" s="26"/>
      <c r="D202" s="27"/>
      <c r="E202" s="18" t="str">
        <f>InpC!E$100</f>
        <v>Start date</v>
      </c>
      <c r="F202" s="18">
        <f>InpC!F$100</f>
        <v>45047</v>
      </c>
      <c r="G202" s="18" t="str">
        <f>InpC!G$100</f>
        <v>date</v>
      </c>
      <c r="M202" s="8"/>
    </row>
    <row r="203" spans="1:69">
      <c r="E203" s="8" t="str">
        <f t="shared" ref="E203:AJ203" si="176">E$19</f>
        <v>Model period end</v>
      </c>
      <c r="F203" s="8">
        <f t="shared" si="176"/>
        <v>0</v>
      </c>
      <c r="G203" s="8" t="str">
        <f t="shared" si="176"/>
        <v>date</v>
      </c>
      <c r="H203" s="8">
        <f t="shared" si="176"/>
        <v>0</v>
      </c>
      <c r="I203" s="8">
        <f t="shared" si="176"/>
        <v>0</v>
      </c>
      <c r="J203" s="8">
        <f t="shared" si="176"/>
        <v>45077</v>
      </c>
      <c r="K203" s="8">
        <f t="shared" si="176"/>
        <v>45107</v>
      </c>
      <c r="L203" s="8">
        <f t="shared" si="176"/>
        <v>45138</v>
      </c>
      <c r="M203" s="8">
        <f t="shared" si="176"/>
        <v>45169</v>
      </c>
      <c r="N203" s="8">
        <f t="shared" si="176"/>
        <v>45199</v>
      </c>
      <c r="O203" s="8">
        <f t="shared" si="176"/>
        <v>45230</v>
      </c>
      <c r="P203" s="8">
        <f t="shared" si="176"/>
        <v>45260</v>
      </c>
      <c r="Q203" s="8">
        <f t="shared" si="176"/>
        <v>45291</v>
      </c>
      <c r="R203" s="8">
        <f t="shared" si="176"/>
        <v>45322</v>
      </c>
      <c r="S203" s="8">
        <f t="shared" si="176"/>
        <v>45351</v>
      </c>
      <c r="T203" s="8">
        <f t="shared" si="176"/>
        <v>45382</v>
      </c>
      <c r="U203" s="8">
        <f t="shared" si="176"/>
        <v>45412</v>
      </c>
      <c r="V203" s="8">
        <f t="shared" si="176"/>
        <v>45443</v>
      </c>
      <c r="W203" s="8">
        <f t="shared" si="176"/>
        <v>45473</v>
      </c>
      <c r="X203" s="8">
        <f t="shared" si="176"/>
        <v>45504</v>
      </c>
      <c r="Y203" s="8">
        <f t="shared" si="176"/>
        <v>45535</v>
      </c>
      <c r="Z203" s="8">
        <f t="shared" si="176"/>
        <v>45565</v>
      </c>
      <c r="AA203" s="8">
        <f t="shared" si="176"/>
        <v>45596</v>
      </c>
      <c r="AB203" s="8">
        <f t="shared" si="176"/>
        <v>45626</v>
      </c>
      <c r="AC203" s="8">
        <f t="shared" si="176"/>
        <v>45657</v>
      </c>
      <c r="AD203" s="8">
        <f t="shared" si="176"/>
        <v>45688</v>
      </c>
      <c r="AE203" s="8">
        <f t="shared" si="176"/>
        <v>45716</v>
      </c>
      <c r="AF203" s="8">
        <f t="shared" si="176"/>
        <v>45747</v>
      </c>
      <c r="AG203" s="8">
        <f t="shared" si="176"/>
        <v>45777</v>
      </c>
      <c r="AH203" s="8">
        <f t="shared" si="176"/>
        <v>45808</v>
      </c>
      <c r="AI203" s="8">
        <f t="shared" si="176"/>
        <v>45838</v>
      </c>
      <c r="AJ203" s="8">
        <f t="shared" si="176"/>
        <v>45869</v>
      </c>
      <c r="AK203" s="8">
        <f t="shared" ref="AK203:BQ203" si="177">AK$19</f>
        <v>45900</v>
      </c>
      <c r="AL203" s="8">
        <f t="shared" si="177"/>
        <v>45930</v>
      </c>
      <c r="AM203" s="8">
        <f t="shared" si="177"/>
        <v>45961</v>
      </c>
      <c r="AN203" s="8">
        <f t="shared" si="177"/>
        <v>45991</v>
      </c>
      <c r="AO203" s="8">
        <f t="shared" si="177"/>
        <v>46022</v>
      </c>
      <c r="AP203" s="8">
        <f t="shared" si="177"/>
        <v>46053</v>
      </c>
      <c r="AQ203" s="8">
        <f t="shared" si="177"/>
        <v>46081</v>
      </c>
      <c r="AR203" s="8">
        <f t="shared" si="177"/>
        <v>46112</v>
      </c>
      <c r="AS203" s="8">
        <f t="shared" si="177"/>
        <v>46142</v>
      </c>
      <c r="AT203" s="8">
        <f t="shared" si="177"/>
        <v>46173</v>
      </c>
      <c r="AU203" s="8">
        <f t="shared" si="177"/>
        <v>46203</v>
      </c>
      <c r="AV203" s="8">
        <f t="shared" si="177"/>
        <v>46234</v>
      </c>
      <c r="AW203" s="8">
        <f t="shared" si="177"/>
        <v>46265</v>
      </c>
      <c r="AX203" s="8">
        <f t="shared" si="177"/>
        <v>46295</v>
      </c>
      <c r="AY203" s="8">
        <f t="shared" si="177"/>
        <v>46326</v>
      </c>
      <c r="AZ203" s="8">
        <f t="shared" si="177"/>
        <v>46356</v>
      </c>
      <c r="BA203" s="8">
        <f t="shared" si="177"/>
        <v>46387</v>
      </c>
      <c r="BB203" s="8">
        <f t="shared" si="177"/>
        <v>46418</v>
      </c>
      <c r="BC203" s="8">
        <f t="shared" si="177"/>
        <v>46446</v>
      </c>
      <c r="BD203" s="8">
        <f t="shared" si="177"/>
        <v>46477</v>
      </c>
      <c r="BE203" s="8">
        <f t="shared" si="177"/>
        <v>46507</v>
      </c>
      <c r="BF203" s="8">
        <f t="shared" si="177"/>
        <v>46538</v>
      </c>
      <c r="BG203" s="8">
        <f t="shared" si="177"/>
        <v>46568</v>
      </c>
      <c r="BH203" s="8">
        <f t="shared" si="177"/>
        <v>46599</v>
      </c>
      <c r="BI203" s="8">
        <f t="shared" si="177"/>
        <v>46630</v>
      </c>
      <c r="BJ203" s="8">
        <f t="shared" si="177"/>
        <v>46660</v>
      </c>
      <c r="BK203" s="8">
        <f t="shared" si="177"/>
        <v>46691</v>
      </c>
      <c r="BL203" s="8">
        <f t="shared" si="177"/>
        <v>46721</v>
      </c>
      <c r="BM203" s="8">
        <f t="shared" si="177"/>
        <v>46752</v>
      </c>
      <c r="BN203" s="8">
        <f t="shared" si="177"/>
        <v>46783</v>
      </c>
      <c r="BO203" s="8">
        <f t="shared" si="177"/>
        <v>46812</v>
      </c>
      <c r="BP203" s="8">
        <f t="shared" si="177"/>
        <v>46843</v>
      </c>
      <c r="BQ203" s="8">
        <f t="shared" si="177"/>
        <v>46873</v>
      </c>
    </row>
    <row r="204" spans="1:69">
      <c r="E204" s="2" t="str">
        <f t="shared" ref="E204:AJ204" si="178">E$198</f>
        <v>Fixed Operating Cost Growth Rate escalation step up frequency flag</v>
      </c>
      <c r="F204" s="2">
        <f t="shared" si="178"/>
        <v>0</v>
      </c>
      <c r="G204" s="2" t="str">
        <f t="shared" si="178"/>
        <v>flag</v>
      </c>
      <c r="H204" s="2">
        <f t="shared" si="178"/>
        <v>20</v>
      </c>
      <c r="I204" s="2">
        <f t="shared" si="178"/>
        <v>0</v>
      </c>
      <c r="J204" s="2">
        <f t="shared" si="178"/>
        <v>1</v>
      </c>
      <c r="K204" s="2">
        <f t="shared" si="178"/>
        <v>0</v>
      </c>
      <c r="L204" s="2">
        <f t="shared" si="178"/>
        <v>0</v>
      </c>
      <c r="M204" s="2">
        <f t="shared" si="178"/>
        <v>1</v>
      </c>
      <c r="N204" s="2">
        <f t="shared" si="178"/>
        <v>0</v>
      </c>
      <c r="O204" s="2">
        <f t="shared" si="178"/>
        <v>0</v>
      </c>
      <c r="P204" s="2">
        <f t="shared" si="178"/>
        <v>1</v>
      </c>
      <c r="Q204" s="2">
        <f t="shared" si="178"/>
        <v>0</v>
      </c>
      <c r="R204" s="2">
        <f t="shared" si="178"/>
        <v>0</v>
      </c>
      <c r="S204" s="2">
        <f t="shared" si="178"/>
        <v>1</v>
      </c>
      <c r="T204" s="2">
        <f t="shared" si="178"/>
        <v>0</v>
      </c>
      <c r="U204" s="2">
        <f t="shared" si="178"/>
        <v>0</v>
      </c>
      <c r="V204" s="2">
        <f t="shared" si="178"/>
        <v>1</v>
      </c>
      <c r="W204" s="2">
        <f t="shared" si="178"/>
        <v>0</v>
      </c>
      <c r="X204" s="2">
        <f t="shared" si="178"/>
        <v>0</v>
      </c>
      <c r="Y204" s="2">
        <f t="shared" si="178"/>
        <v>1</v>
      </c>
      <c r="Z204" s="2">
        <f t="shared" si="178"/>
        <v>0</v>
      </c>
      <c r="AA204" s="2">
        <f t="shared" si="178"/>
        <v>0</v>
      </c>
      <c r="AB204" s="2">
        <f t="shared" si="178"/>
        <v>1</v>
      </c>
      <c r="AC204" s="2">
        <f t="shared" si="178"/>
        <v>0</v>
      </c>
      <c r="AD204" s="2">
        <f t="shared" si="178"/>
        <v>0</v>
      </c>
      <c r="AE204" s="2">
        <f t="shared" si="178"/>
        <v>1</v>
      </c>
      <c r="AF204" s="2">
        <f t="shared" si="178"/>
        <v>0</v>
      </c>
      <c r="AG204" s="2">
        <f t="shared" si="178"/>
        <v>0</v>
      </c>
      <c r="AH204" s="2">
        <f t="shared" si="178"/>
        <v>1</v>
      </c>
      <c r="AI204" s="2">
        <f t="shared" si="178"/>
        <v>0</v>
      </c>
      <c r="AJ204" s="2">
        <f t="shared" si="178"/>
        <v>0</v>
      </c>
      <c r="AK204" s="2">
        <f t="shared" ref="AK204:BQ204" si="179">AK$198</f>
        <v>1</v>
      </c>
      <c r="AL204" s="2">
        <f t="shared" si="179"/>
        <v>0</v>
      </c>
      <c r="AM204" s="2">
        <f t="shared" si="179"/>
        <v>0</v>
      </c>
      <c r="AN204" s="2">
        <f t="shared" si="179"/>
        <v>1</v>
      </c>
      <c r="AO204" s="2">
        <f t="shared" si="179"/>
        <v>0</v>
      </c>
      <c r="AP204" s="2">
        <f t="shared" si="179"/>
        <v>0</v>
      </c>
      <c r="AQ204" s="2">
        <f t="shared" si="179"/>
        <v>1</v>
      </c>
      <c r="AR204" s="2">
        <f t="shared" si="179"/>
        <v>0</v>
      </c>
      <c r="AS204" s="2">
        <f t="shared" si="179"/>
        <v>0</v>
      </c>
      <c r="AT204" s="2">
        <f t="shared" si="179"/>
        <v>1</v>
      </c>
      <c r="AU204" s="2">
        <f t="shared" si="179"/>
        <v>0</v>
      </c>
      <c r="AV204" s="2">
        <f t="shared" si="179"/>
        <v>0</v>
      </c>
      <c r="AW204" s="2">
        <f t="shared" si="179"/>
        <v>1</v>
      </c>
      <c r="AX204" s="2">
        <f t="shared" si="179"/>
        <v>0</v>
      </c>
      <c r="AY204" s="2">
        <f t="shared" si="179"/>
        <v>0</v>
      </c>
      <c r="AZ204" s="2">
        <f t="shared" si="179"/>
        <v>1</v>
      </c>
      <c r="BA204" s="2">
        <f t="shared" si="179"/>
        <v>0</v>
      </c>
      <c r="BB204" s="2">
        <f t="shared" si="179"/>
        <v>0</v>
      </c>
      <c r="BC204" s="2">
        <f t="shared" si="179"/>
        <v>1</v>
      </c>
      <c r="BD204" s="2">
        <f t="shared" si="179"/>
        <v>0</v>
      </c>
      <c r="BE204" s="2">
        <f t="shared" si="179"/>
        <v>0</v>
      </c>
      <c r="BF204" s="2">
        <f t="shared" si="179"/>
        <v>1</v>
      </c>
      <c r="BG204" s="2">
        <f t="shared" si="179"/>
        <v>0</v>
      </c>
      <c r="BH204" s="2">
        <f t="shared" si="179"/>
        <v>0</v>
      </c>
      <c r="BI204" s="2">
        <f t="shared" si="179"/>
        <v>1</v>
      </c>
      <c r="BJ204" s="2">
        <f t="shared" si="179"/>
        <v>0</v>
      </c>
      <c r="BK204" s="2">
        <f t="shared" si="179"/>
        <v>0</v>
      </c>
      <c r="BL204" s="2">
        <f t="shared" si="179"/>
        <v>1</v>
      </c>
      <c r="BM204" s="2">
        <f t="shared" si="179"/>
        <v>0</v>
      </c>
      <c r="BN204" s="2">
        <f t="shared" si="179"/>
        <v>0</v>
      </c>
      <c r="BO204" s="2">
        <f t="shared" si="179"/>
        <v>1</v>
      </c>
      <c r="BP204" s="2">
        <f t="shared" si="179"/>
        <v>0</v>
      </c>
      <c r="BQ204" s="2">
        <f t="shared" si="179"/>
        <v>0</v>
      </c>
    </row>
    <row r="205" spans="1:69" ht="14.5">
      <c r="E205" s="2" t="s">
        <v>213</v>
      </c>
      <c r="F205"/>
      <c r="G205" s="2" t="s">
        <v>210</v>
      </c>
      <c r="H205"/>
      <c r="I205"/>
      <c r="J205" s="8">
        <f t="shared" ref="J205:AO205" si="180">DATE(YEAR(J203),MONTH(J203),DAY($F202))*J204</f>
        <v>45047</v>
      </c>
      <c r="K205" s="8">
        <f t="shared" si="180"/>
        <v>0</v>
      </c>
      <c r="L205" s="8">
        <f t="shared" si="180"/>
        <v>0</v>
      </c>
      <c r="M205" s="8">
        <f t="shared" si="180"/>
        <v>45139</v>
      </c>
      <c r="N205" s="8">
        <f t="shared" si="180"/>
        <v>0</v>
      </c>
      <c r="O205" s="8">
        <f t="shared" si="180"/>
        <v>0</v>
      </c>
      <c r="P205" s="8">
        <f t="shared" si="180"/>
        <v>45231</v>
      </c>
      <c r="Q205" s="8">
        <f t="shared" si="180"/>
        <v>0</v>
      </c>
      <c r="R205" s="8">
        <f t="shared" si="180"/>
        <v>0</v>
      </c>
      <c r="S205" s="8">
        <f t="shared" si="180"/>
        <v>45323</v>
      </c>
      <c r="T205" s="8">
        <f t="shared" si="180"/>
        <v>0</v>
      </c>
      <c r="U205" s="8">
        <f t="shared" si="180"/>
        <v>0</v>
      </c>
      <c r="V205" s="8">
        <f t="shared" si="180"/>
        <v>45413</v>
      </c>
      <c r="W205" s="8">
        <f t="shared" si="180"/>
        <v>0</v>
      </c>
      <c r="X205" s="8">
        <f t="shared" si="180"/>
        <v>0</v>
      </c>
      <c r="Y205" s="8">
        <f t="shared" si="180"/>
        <v>45505</v>
      </c>
      <c r="Z205" s="8">
        <f t="shared" si="180"/>
        <v>0</v>
      </c>
      <c r="AA205" s="8">
        <f t="shared" si="180"/>
        <v>0</v>
      </c>
      <c r="AB205" s="8">
        <f t="shared" si="180"/>
        <v>45597</v>
      </c>
      <c r="AC205" s="8">
        <f t="shared" si="180"/>
        <v>0</v>
      </c>
      <c r="AD205" s="8">
        <f t="shared" si="180"/>
        <v>0</v>
      </c>
      <c r="AE205" s="8">
        <f t="shared" si="180"/>
        <v>45689</v>
      </c>
      <c r="AF205" s="8">
        <f t="shared" si="180"/>
        <v>0</v>
      </c>
      <c r="AG205" s="8">
        <f t="shared" si="180"/>
        <v>0</v>
      </c>
      <c r="AH205" s="8">
        <f t="shared" si="180"/>
        <v>45778</v>
      </c>
      <c r="AI205" s="8">
        <f t="shared" si="180"/>
        <v>0</v>
      </c>
      <c r="AJ205" s="8">
        <f t="shared" si="180"/>
        <v>0</v>
      </c>
      <c r="AK205" s="8">
        <f t="shared" si="180"/>
        <v>45870</v>
      </c>
      <c r="AL205" s="8">
        <f t="shared" si="180"/>
        <v>0</v>
      </c>
      <c r="AM205" s="8">
        <f t="shared" si="180"/>
        <v>0</v>
      </c>
      <c r="AN205" s="8">
        <f t="shared" si="180"/>
        <v>45962</v>
      </c>
      <c r="AO205" s="8">
        <f t="shared" si="180"/>
        <v>0</v>
      </c>
      <c r="AP205" s="8">
        <f t="shared" ref="AP205:BU205" si="181">DATE(YEAR(AP203),MONTH(AP203),DAY($F202))*AP204</f>
        <v>0</v>
      </c>
      <c r="AQ205" s="8">
        <f t="shared" si="181"/>
        <v>46054</v>
      </c>
      <c r="AR205" s="8">
        <f t="shared" si="181"/>
        <v>0</v>
      </c>
      <c r="AS205" s="8">
        <f t="shared" si="181"/>
        <v>0</v>
      </c>
      <c r="AT205" s="8">
        <f t="shared" si="181"/>
        <v>46143</v>
      </c>
      <c r="AU205" s="8">
        <f t="shared" si="181"/>
        <v>0</v>
      </c>
      <c r="AV205" s="8">
        <f t="shared" si="181"/>
        <v>0</v>
      </c>
      <c r="AW205" s="8">
        <f t="shared" si="181"/>
        <v>46235</v>
      </c>
      <c r="AX205" s="8">
        <f t="shared" si="181"/>
        <v>0</v>
      </c>
      <c r="AY205" s="8">
        <f t="shared" si="181"/>
        <v>0</v>
      </c>
      <c r="AZ205" s="8">
        <f t="shared" si="181"/>
        <v>46327</v>
      </c>
      <c r="BA205" s="8">
        <f t="shared" si="181"/>
        <v>0</v>
      </c>
      <c r="BB205" s="8">
        <f t="shared" si="181"/>
        <v>0</v>
      </c>
      <c r="BC205" s="8">
        <f t="shared" si="181"/>
        <v>46419</v>
      </c>
      <c r="BD205" s="8">
        <f t="shared" si="181"/>
        <v>0</v>
      </c>
      <c r="BE205" s="8">
        <f t="shared" si="181"/>
        <v>0</v>
      </c>
      <c r="BF205" s="8">
        <f t="shared" si="181"/>
        <v>46508</v>
      </c>
      <c r="BG205" s="8">
        <f t="shared" si="181"/>
        <v>0</v>
      </c>
      <c r="BH205" s="8">
        <f t="shared" si="181"/>
        <v>0</v>
      </c>
      <c r="BI205" s="8">
        <f t="shared" si="181"/>
        <v>46600</v>
      </c>
      <c r="BJ205" s="8">
        <f t="shared" si="181"/>
        <v>0</v>
      </c>
      <c r="BK205" s="8">
        <f t="shared" si="181"/>
        <v>0</v>
      </c>
      <c r="BL205" s="8">
        <f t="shared" si="181"/>
        <v>46692</v>
      </c>
      <c r="BM205" s="8">
        <f t="shared" si="181"/>
        <v>0</v>
      </c>
      <c r="BN205" s="8">
        <f t="shared" si="181"/>
        <v>0</v>
      </c>
      <c r="BO205" s="8">
        <f t="shared" si="181"/>
        <v>46784</v>
      </c>
      <c r="BP205" s="8">
        <f t="shared" si="181"/>
        <v>0</v>
      </c>
      <c r="BQ205" s="8">
        <f t="shared" si="181"/>
        <v>0</v>
      </c>
    </row>
    <row r="208" spans="1:69">
      <c r="B208" s="22" t="s">
        <v>237</v>
      </c>
    </row>
    <row r="209" spans="1:69">
      <c r="A209" s="17"/>
      <c r="B209" s="17"/>
      <c r="C209" s="26"/>
      <c r="D209" s="27"/>
      <c r="E209" s="18" t="str">
        <f>InpC!E$100</f>
        <v>Start date</v>
      </c>
      <c r="F209" s="18">
        <f>InpC!F$100</f>
        <v>45047</v>
      </c>
      <c r="G209" s="18" t="str">
        <f>InpC!G$100</f>
        <v>date</v>
      </c>
      <c r="M209" s="8"/>
    </row>
    <row r="210" spans="1:69">
      <c r="E210" s="8" t="str">
        <f t="shared" ref="E210:AJ210" si="182">E$205</f>
        <v>Day in period Fixed Operating Cost Growth Rate escalation occurs</v>
      </c>
      <c r="F210" s="8">
        <f t="shared" si="182"/>
        <v>0</v>
      </c>
      <c r="G210" s="8" t="str">
        <f t="shared" si="182"/>
        <v>date</v>
      </c>
      <c r="H210" s="8">
        <f t="shared" si="182"/>
        <v>0</v>
      </c>
      <c r="I210" s="8">
        <f t="shared" si="182"/>
        <v>0</v>
      </c>
      <c r="J210" s="8">
        <f t="shared" si="182"/>
        <v>45047</v>
      </c>
      <c r="K210" s="8">
        <f t="shared" si="182"/>
        <v>0</v>
      </c>
      <c r="L210" s="8">
        <f t="shared" si="182"/>
        <v>0</v>
      </c>
      <c r="M210" s="8">
        <f t="shared" si="182"/>
        <v>45139</v>
      </c>
      <c r="N210" s="8">
        <f t="shared" si="182"/>
        <v>0</v>
      </c>
      <c r="O210" s="8">
        <f t="shared" si="182"/>
        <v>0</v>
      </c>
      <c r="P210" s="8">
        <f t="shared" si="182"/>
        <v>45231</v>
      </c>
      <c r="Q210" s="8">
        <f t="shared" si="182"/>
        <v>0</v>
      </c>
      <c r="R210" s="8">
        <f t="shared" si="182"/>
        <v>0</v>
      </c>
      <c r="S210" s="8">
        <f t="shared" si="182"/>
        <v>45323</v>
      </c>
      <c r="T210" s="8">
        <f t="shared" si="182"/>
        <v>0</v>
      </c>
      <c r="U210" s="8">
        <f t="shared" si="182"/>
        <v>0</v>
      </c>
      <c r="V210" s="8">
        <f t="shared" si="182"/>
        <v>45413</v>
      </c>
      <c r="W210" s="8">
        <f t="shared" si="182"/>
        <v>0</v>
      </c>
      <c r="X210" s="8">
        <f t="shared" si="182"/>
        <v>0</v>
      </c>
      <c r="Y210" s="8">
        <f t="shared" si="182"/>
        <v>45505</v>
      </c>
      <c r="Z210" s="8">
        <f t="shared" si="182"/>
        <v>0</v>
      </c>
      <c r="AA210" s="8">
        <f t="shared" si="182"/>
        <v>0</v>
      </c>
      <c r="AB210" s="8">
        <f t="shared" si="182"/>
        <v>45597</v>
      </c>
      <c r="AC210" s="8">
        <f t="shared" si="182"/>
        <v>0</v>
      </c>
      <c r="AD210" s="8">
        <f t="shared" si="182"/>
        <v>0</v>
      </c>
      <c r="AE210" s="8">
        <f t="shared" si="182"/>
        <v>45689</v>
      </c>
      <c r="AF210" s="8">
        <f t="shared" si="182"/>
        <v>0</v>
      </c>
      <c r="AG210" s="8">
        <f t="shared" si="182"/>
        <v>0</v>
      </c>
      <c r="AH210" s="8">
        <f t="shared" si="182"/>
        <v>45778</v>
      </c>
      <c r="AI210" s="8">
        <f t="shared" si="182"/>
        <v>0</v>
      </c>
      <c r="AJ210" s="8">
        <f t="shared" si="182"/>
        <v>0</v>
      </c>
      <c r="AK210" s="8">
        <f t="shared" ref="AK210:BQ210" si="183">AK$205</f>
        <v>45870</v>
      </c>
      <c r="AL210" s="8">
        <f t="shared" si="183"/>
        <v>0</v>
      </c>
      <c r="AM210" s="8">
        <f t="shared" si="183"/>
        <v>0</v>
      </c>
      <c r="AN210" s="8">
        <f t="shared" si="183"/>
        <v>45962</v>
      </c>
      <c r="AO210" s="8">
        <f t="shared" si="183"/>
        <v>0</v>
      </c>
      <c r="AP210" s="8">
        <f t="shared" si="183"/>
        <v>0</v>
      </c>
      <c r="AQ210" s="8">
        <f t="shared" si="183"/>
        <v>46054</v>
      </c>
      <c r="AR210" s="8">
        <f t="shared" si="183"/>
        <v>0</v>
      </c>
      <c r="AS210" s="8">
        <f t="shared" si="183"/>
        <v>0</v>
      </c>
      <c r="AT210" s="8">
        <f t="shared" si="183"/>
        <v>46143</v>
      </c>
      <c r="AU210" s="8">
        <f t="shared" si="183"/>
        <v>0</v>
      </c>
      <c r="AV210" s="8">
        <f t="shared" si="183"/>
        <v>0</v>
      </c>
      <c r="AW210" s="8">
        <f t="shared" si="183"/>
        <v>46235</v>
      </c>
      <c r="AX210" s="8">
        <f t="shared" si="183"/>
        <v>0</v>
      </c>
      <c r="AY210" s="8">
        <f t="shared" si="183"/>
        <v>0</v>
      </c>
      <c r="AZ210" s="8">
        <f t="shared" si="183"/>
        <v>46327</v>
      </c>
      <c r="BA210" s="8">
        <f t="shared" si="183"/>
        <v>0</v>
      </c>
      <c r="BB210" s="8">
        <f t="shared" si="183"/>
        <v>0</v>
      </c>
      <c r="BC210" s="8">
        <f t="shared" si="183"/>
        <v>46419</v>
      </c>
      <c r="BD210" s="8">
        <f t="shared" si="183"/>
        <v>0</v>
      </c>
      <c r="BE210" s="8">
        <f t="shared" si="183"/>
        <v>0</v>
      </c>
      <c r="BF210" s="8">
        <f t="shared" si="183"/>
        <v>46508</v>
      </c>
      <c r="BG210" s="8">
        <f t="shared" si="183"/>
        <v>0</v>
      </c>
      <c r="BH210" s="8">
        <f t="shared" si="183"/>
        <v>0</v>
      </c>
      <c r="BI210" s="8">
        <f t="shared" si="183"/>
        <v>46600</v>
      </c>
      <c r="BJ210" s="8">
        <f t="shared" si="183"/>
        <v>0</v>
      </c>
      <c r="BK210" s="8">
        <f t="shared" si="183"/>
        <v>0</v>
      </c>
      <c r="BL210" s="8">
        <f t="shared" si="183"/>
        <v>46692</v>
      </c>
      <c r="BM210" s="8">
        <f t="shared" si="183"/>
        <v>0</v>
      </c>
      <c r="BN210" s="8">
        <f t="shared" si="183"/>
        <v>0</v>
      </c>
      <c r="BO210" s="8">
        <f t="shared" si="183"/>
        <v>46784</v>
      </c>
      <c r="BP210" s="8">
        <f t="shared" si="183"/>
        <v>0</v>
      </c>
      <c r="BQ210" s="8">
        <f t="shared" si="183"/>
        <v>0</v>
      </c>
    </row>
    <row r="211" spans="1:69">
      <c r="E211" s="2" t="str">
        <f t="shared" ref="E211:AJ211" si="184">E$198</f>
        <v>Fixed Operating Cost Growth Rate escalation step up frequency flag</v>
      </c>
      <c r="F211" s="2">
        <f t="shared" si="184"/>
        <v>0</v>
      </c>
      <c r="G211" s="2" t="str">
        <f t="shared" si="184"/>
        <v>flag</v>
      </c>
      <c r="H211" s="2">
        <f t="shared" si="184"/>
        <v>20</v>
      </c>
      <c r="I211" s="2">
        <f t="shared" si="184"/>
        <v>0</v>
      </c>
      <c r="J211" s="2">
        <f t="shared" si="184"/>
        <v>1</v>
      </c>
      <c r="K211" s="2">
        <f t="shared" si="184"/>
        <v>0</v>
      </c>
      <c r="L211" s="2">
        <f t="shared" si="184"/>
        <v>0</v>
      </c>
      <c r="M211" s="2">
        <f t="shared" si="184"/>
        <v>1</v>
      </c>
      <c r="N211" s="2">
        <f t="shared" si="184"/>
        <v>0</v>
      </c>
      <c r="O211" s="2">
        <f t="shared" si="184"/>
        <v>0</v>
      </c>
      <c r="P211" s="2">
        <f t="shared" si="184"/>
        <v>1</v>
      </c>
      <c r="Q211" s="2">
        <f t="shared" si="184"/>
        <v>0</v>
      </c>
      <c r="R211" s="2">
        <f t="shared" si="184"/>
        <v>0</v>
      </c>
      <c r="S211" s="2">
        <f t="shared" si="184"/>
        <v>1</v>
      </c>
      <c r="T211" s="2">
        <f t="shared" si="184"/>
        <v>0</v>
      </c>
      <c r="U211" s="2">
        <f t="shared" si="184"/>
        <v>0</v>
      </c>
      <c r="V211" s="2">
        <f t="shared" si="184"/>
        <v>1</v>
      </c>
      <c r="W211" s="2">
        <f t="shared" si="184"/>
        <v>0</v>
      </c>
      <c r="X211" s="2">
        <f t="shared" si="184"/>
        <v>0</v>
      </c>
      <c r="Y211" s="2">
        <f t="shared" si="184"/>
        <v>1</v>
      </c>
      <c r="Z211" s="2">
        <f t="shared" si="184"/>
        <v>0</v>
      </c>
      <c r="AA211" s="2">
        <f t="shared" si="184"/>
        <v>0</v>
      </c>
      <c r="AB211" s="2">
        <f t="shared" si="184"/>
        <v>1</v>
      </c>
      <c r="AC211" s="2">
        <f t="shared" si="184"/>
        <v>0</v>
      </c>
      <c r="AD211" s="2">
        <f t="shared" si="184"/>
        <v>0</v>
      </c>
      <c r="AE211" s="2">
        <f t="shared" si="184"/>
        <v>1</v>
      </c>
      <c r="AF211" s="2">
        <f t="shared" si="184"/>
        <v>0</v>
      </c>
      <c r="AG211" s="2">
        <f t="shared" si="184"/>
        <v>0</v>
      </c>
      <c r="AH211" s="2">
        <f t="shared" si="184"/>
        <v>1</v>
      </c>
      <c r="AI211" s="2">
        <f t="shared" si="184"/>
        <v>0</v>
      </c>
      <c r="AJ211" s="2">
        <f t="shared" si="184"/>
        <v>0</v>
      </c>
      <c r="AK211" s="2">
        <f t="shared" ref="AK211:BQ211" si="185">AK$198</f>
        <v>1</v>
      </c>
      <c r="AL211" s="2">
        <f t="shared" si="185"/>
        <v>0</v>
      </c>
      <c r="AM211" s="2">
        <f t="shared" si="185"/>
        <v>0</v>
      </c>
      <c r="AN211" s="2">
        <f t="shared" si="185"/>
        <v>1</v>
      </c>
      <c r="AO211" s="2">
        <f t="shared" si="185"/>
        <v>0</v>
      </c>
      <c r="AP211" s="2">
        <f t="shared" si="185"/>
        <v>0</v>
      </c>
      <c r="AQ211" s="2">
        <f t="shared" si="185"/>
        <v>1</v>
      </c>
      <c r="AR211" s="2">
        <f t="shared" si="185"/>
        <v>0</v>
      </c>
      <c r="AS211" s="2">
        <f t="shared" si="185"/>
        <v>0</v>
      </c>
      <c r="AT211" s="2">
        <f t="shared" si="185"/>
        <v>1</v>
      </c>
      <c r="AU211" s="2">
        <f t="shared" si="185"/>
        <v>0</v>
      </c>
      <c r="AV211" s="2">
        <f t="shared" si="185"/>
        <v>0</v>
      </c>
      <c r="AW211" s="2">
        <f t="shared" si="185"/>
        <v>1</v>
      </c>
      <c r="AX211" s="2">
        <f t="shared" si="185"/>
        <v>0</v>
      </c>
      <c r="AY211" s="2">
        <f t="shared" si="185"/>
        <v>0</v>
      </c>
      <c r="AZ211" s="2">
        <f t="shared" si="185"/>
        <v>1</v>
      </c>
      <c r="BA211" s="2">
        <f t="shared" si="185"/>
        <v>0</v>
      </c>
      <c r="BB211" s="2">
        <f t="shared" si="185"/>
        <v>0</v>
      </c>
      <c r="BC211" s="2">
        <f t="shared" si="185"/>
        <v>1</v>
      </c>
      <c r="BD211" s="2">
        <f t="shared" si="185"/>
        <v>0</v>
      </c>
      <c r="BE211" s="2">
        <f t="shared" si="185"/>
        <v>0</v>
      </c>
      <c r="BF211" s="2">
        <f t="shared" si="185"/>
        <v>1</v>
      </c>
      <c r="BG211" s="2">
        <f t="shared" si="185"/>
        <v>0</v>
      </c>
      <c r="BH211" s="2">
        <f t="shared" si="185"/>
        <v>0</v>
      </c>
      <c r="BI211" s="2">
        <f t="shared" si="185"/>
        <v>1</v>
      </c>
      <c r="BJ211" s="2">
        <f t="shared" si="185"/>
        <v>0</v>
      </c>
      <c r="BK211" s="2">
        <f t="shared" si="185"/>
        <v>0</v>
      </c>
      <c r="BL211" s="2">
        <f t="shared" si="185"/>
        <v>1</v>
      </c>
      <c r="BM211" s="2">
        <f t="shared" si="185"/>
        <v>0</v>
      </c>
      <c r="BN211" s="2">
        <f t="shared" si="185"/>
        <v>0</v>
      </c>
      <c r="BO211" s="2">
        <f t="shared" si="185"/>
        <v>1</v>
      </c>
      <c r="BP211" s="2">
        <f t="shared" si="185"/>
        <v>0</v>
      </c>
      <c r="BQ211" s="2">
        <f t="shared" si="185"/>
        <v>0</v>
      </c>
    </row>
    <row r="212" spans="1:69" ht="14.5">
      <c r="E212" s="2" t="s">
        <v>237</v>
      </c>
      <c r="F212"/>
      <c r="G212"/>
      <c r="H212" s="2">
        <f>SUM(J212:BQ212)</f>
        <v>47.569222418152265</v>
      </c>
      <c r="I212"/>
      <c r="J212" s="2">
        <f t="shared" ref="J212:AO212" si="186">YEARFRAC($F209,J210,1)*J211</f>
        <v>0</v>
      </c>
      <c r="K212" s="2">
        <f t="shared" si="186"/>
        <v>0</v>
      </c>
      <c r="L212" s="2">
        <f t="shared" si="186"/>
        <v>0</v>
      </c>
      <c r="M212" s="2">
        <f t="shared" si="186"/>
        <v>0.25205479452054796</v>
      </c>
      <c r="N212" s="2">
        <f t="shared" si="186"/>
        <v>0</v>
      </c>
      <c r="O212" s="2">
        <f t="shared" si="186"/>
        <v>0</v>
      </c>
      <c r="P212" s="2">
        <f t="shared" si="186"/>
        <v>0.50410958904109593</v>
      </c>
      <c r="Q212" s="2">
        <f t="shared" si="186"/>
        <v>0</v>
      </c>
      <c r="R212" s="2">
        <f t="shared" si="186"/>
        <v>0</v>
      </c>
      <c r="S212" s="2">
        <f t="shared" si="186"/>
        <v>0.75616438356164384</v>
      </c>
      <c r="T212" s="2">
        <f t="shared" si="186"/>
        <v>0</v>
      </c>
      <c r="U212" s="2">
        <f t="shared" si="186"/>
        <v>0</v>
      </c>
      <c r="V212" s="2">
        <f t="shared" si="186"/>
        <v>1</v>
      </c>
      <c r="W212" s="2">
        <f t="shared" si="186"/>
        <v>0</v>
      </c>
      <c r="X212" s="2">
        <f t="shared" si="186"/>
        <v>0</v>
      </c>
      <c r="Y212" s="2">
        <f t="shared" si="186"/>
        <v>1.2530779753761969</v>
      </c>
      <c r="Z212" s="2">
        <f t="shared" si="186"/>
        <v>0</v>
      </c>
      <c r="AA212" s="2">
        <f t="shared" si="186"/>
        <v>0</v>
      </c>
      <c r="AB212" s="2">
        <f t="shared" si="186"/>
        <v>1.5047879616963065</v>
      </c>
      <c r="AC212" s="2">
        <f t="shared" si="186"/>
        <v>0</v>
      </c>
      <c r="AD212" s="2">
        <f t="shared" si="186"/>
        <v>0</v>
      </c>
      <c r="AE212" s="2">
        <f t="shared" si="186"/>
        <v>1.7572992700729928</v>
      </c>
      <c r="AF212" s="2">
        <f t="shared" si="186"/>
        <v>0</v>
      </c>
      <c r="AG212" s="2">
        <f t="shared" si="186"/>
        <v>0</v>
      </c>
      <c r="AH212" s="2">
        <f t="shared" si="186"/>
        <v>2.0009124087591244</v>
      </c>
      <c r="AI212" s="2">
        <f t="shared" si="186"/>
        <v>0</v>
      </c>
      <c r="AJ212" s="2">
        <f t="shared" si="186"/>
        <v>0</v>
      </c>
      <c r="AK212" s="2">
        <f t="shared" si="186"/>
        <v>2.2527372262773722</v>
      </c>
      <c r="AL212" s="2">
        <f t="shared" si="186"/>
        <v>0</v>
      </c>
      <c r="AM212" s="2">
        <f t="shared" si="186"/>
        <v>0</v>
      </c>
      <c r="AN212" s="2">
        <f t="shared" si="186"/>
        <v>2.5045620437956204</v>
      </c>
      <c r="AO212" s="2">
        <f t="shared" si="186"/>
        <v>0</v>
      </c>
      <c r="AP212" s="2">
        <f t="shared" ref="AP212:BU212" si="187">YEARFRAC($F209,AP210,1)*AP211</f>
        <v>0</v>
      </c>
      <c r="AQ212" s="2">
        <f t="shared" si="187"/>
        <v>2.7570157426420261</v>
      </c>
      <c r="AR212" s="2">
        <f t="shared" si="187"/>
        <v>0</v>
      </c>
      <c r="AS212" s="2">
        <f t="shared" si="187"/>
        <v>0</v>
      </c>
      <c r="AT212" s="2">
        <f t="shared" si="187"/>
        <v>3.0006844626967832</v>
      </c>
      <c r="AU212" s="2">
        <f t="shared" si="187"/>
        <v>0</v>
      </c>
      <c r="AV212" s="2">
        <f t="shared" si="187"/>
        <v>0</v>
      </c>
      <c r="AW212" s="2">
        <f t="shared" si="187"/>
        <v>3.2525667351129361</v>
      </c>
      <c r="AX212" s="2">
        <f t="shared" si="187"/>
        <v>0</v>
      </c>
      <c r="AY212" s="2">
        <f t="shared" si="187"/>
        <v>0</v>
      </c>
      <c r="AZ212" s="2">
        <f t="shared" si="187"/>
        <v>3.5044490075290895</v>
      </c>
      <c r="BA212" s="2">
        <f t="shared" si="187"/>
        <v>0</v>
      </c>
      <c r="BB212" s="2">
        <f t="shared" si="187"/>
        <v>0</v>
      </c>
      <c r="BC212" s="2">
        <f t="shared" si="187"/>
        <v>3.7568455640744798</v>
      </c>
      <c r="BD212" s="2">
        <f t="shared" si="187"/>
        <v>0</v>
      </c>
      <c r="BE212" s="2">
        <f t="shared" si="187"/>
        <v>0</v>
      </c>
      <c r="BF212" s="2">
        <f t="shared" si="187"/>
        <v>4.0005476451259581</v>
      </c>
      <c r="BG212" s="2">
        <f t="shared" si="187"/>
        <v>0</v>
      </c>
      <c r="BH212" s="2">
        <f t="shared" si="187"/>
        <v>0</v>
      </c>
      <c r="BI212" s="2">
        <f t="shared" si="187"/>
        <v>4.2524644030668126</v>
      </c>
      <c r="BJ212" s="2">
        <f t="shared" si="187"/>
        <v>0</v>
      </c>
      <c r="BK212" s="2">
        <f t="shared" si="187"/>
        <v>0</v>
      </c>
      <c r="BL212" s="2">
        <f t="shared" si="187"/>
        <v>4.5043811610076672</v>
      </c>
      <c r="BM212" s="2">
        <f t="shared" si="187"/>
        <v>0</v>
      </c>
      <c r="BN212" s="2">
        <f t="shared" si="187"/>
        <v>0</v>
      </c>
      <c r="BO212" s="2">
        <f t="shared" si="187"/>
        <v>4.7545620437956204</v>
      </c>
      <c r="BP212" s="2">
        <f t="shared" si="187"/>
        <v>0</v>
      </c>
      <c r="BQ212" s="2">
        <f t="shared" si="187"/>
        <v>0</v>
      </c>
    </row>
    <row r="215" spans="1:69">
      <c r="B215" s="22" t="s">
        <v>55</v>
      </c>
    </row>
    <row r="216" spans="1:69">
      <c r="A216" s="17"/>
      <c r="B216" s="17"/>
      <c r="C216" s="26"/>
      <c r="D216" s="27"/>
      <c r="E216" s="36" t="str">
        <f>InpC!E$26</f>
        <v>Fixed Operating Cost Growth Rate annual start escalation rate</v>
      </c>
      <c r="F216" s="36">
        <f>InpC!F$26</f>
        <v>0.1</v>
      </c>
      <c r="G216" s="36" t="str">
        <f>InpC!G$26</f>
        <v>%</v>
      </c>
      <c r="M216" s="45"/>
    </row>
    <row r="217" spans="1:69">
      <c r="E217" s="2" t="str">
        <f t="shared" ref="E217:AJ217" si="188">E$212</f>
        <v>years since Fixed Operating Cost Growth Rate base date</v>
      </c>
      <c r="F217" s="2">
        <f t="shared" si="188"/>
        <v>0</v>
      </c>
      <c r="G217" s="2">
        <f t="shared" si="188"/>
        <v>0</v>
      </c>
      <c r="H217" s="2">
        <f t="shared" si="188"/>
        <v>47.569222418152265</v>
      </c>
      <c r="I217" s="2">
        <f t="shared" si="188"/>
        <v>0</v>
      </c>
      <c r="J217" s="2">
        <f t="shared" si="188"/>
        <v>0</v>
      </c>
      <c r="K217" s="2">
        <f t="shared" si="188"/>
        <v>0</v>
      </c>
      <c r="L217" s="2">
        <f t="shared" si="188"/>
        <v>0</v>
      </c>
      <c r="M217" s="2">
        <f t="shared" si="188"/>
        <v>0.25205479452054796</v>
      </c>
      <c r="N217" s="2">
        <f t="shared" si="188"/>
        <v>0</v>
      </c>
      <c r="O217" s="2">
        <f t="shared" si="188"/>
        <v>0</v>
      </c>
      <c r="P217" s="2">
        <f t="shared" si="188"/>
        <v>0.50410958904109593</v>
      </c>
      <c r="Q217" s="2">
        <f t="shared" si="188"/>
        <v>0</v>
      </c>
      <c r="R217" s="2">
        <f t="shared" si="188"/>
        <v>0</v>
      </c>
      <c r="S217" s="2">
        <f t="shared" si="188"/>
        <v>0.75616438356164384</v>
      </c>
      <c r="T217" s="2">
        <f t="shared" si="188"/>
        <v>0</v>
      </c>
      <c r="U217" s="2">
        <f t="shared" si="188"/>
        <v>0</v>
      </c>
      <c r="V217" s="2">
        <f t="shared" si="188"/>
        <v>1</v>
      </c>
      <c r="W217" s="2">
        <f t="shared" si="188"/>
        <v>0</v>
      </c>
      <c r="X217" s="2">
        <f t="shared" si="188"/>
        <v>0</v>
      </c>
      <c r="Y217" s="2">
        <f t="shared" si="188"/>
        <v>1.2530779753761969</v>
      </c>
      <c r="Z217" s="2">
        <f t="shared" si="188"/>
        <v>0</v>
      </c>
      <c r="AA217" s="2">
        <f t="shared" si="188"/>
        <v>0</v>
      </c>
      <c r="AB217" s="2">
        <f t="shared" si="188"/>
        <v>1.5047879616963065</v>
      </c>
      <c r="AC217" s="2">
        <f t="shared" si="188"/>
        <v>0</v>
      </c>
      <c r="AD217" s="2">
        <f t="shared" si="188"/>
        <v>0</v>
      </c>
      <c r="AE217" s="2">
        <f t="shared" si="188"/>
        <v>1.7572992700729928</v>
      </c>
      <c r="AF217" s="2">
        <f t="shared" si="188"/>
        <v>0</v>
      </c>
      <c r="AG217" s="2">
        <f t="shared" si="188"/>
        <v>0</v>
      </c>
      <c r="AH217" s="2">
        <f t="shared" si="188"/>
        <v>2.0009124087591244</v>
      </c>
      <c r="AI217" s="2">
        <f t="shared" si="188"/>
        <v>0</v>
      </c>
      <c r="AJ217" s="2">
        <f t="shared" si="188"/>
        <v>0</v>
      </c>
      <c r="AK217" s="2">
        <f t="shared" ref="AK217:BQ217" si="189">AK$212</f>
        <v>2.2527372262773722</v>
      </c>
      <c r="AL217" s="2">
        <f t="shared" si="189"/>
        <v>0</v>
      </c>
      <c r="AM217" s="2">
        <f t="shared" si="189"/>
        <v>0</v>
      </c>
      <c r="AN217" s="2">
        <f t="shared" si="189"/>
        <v>2.5045620437956204</v>
      </c>
      <c r="AO217" s="2">
        <f t="shared" si="189"/>
        <v>0</v>
      </c>
      <c r="AP217" s="2">
        <f t="shared" si="189"/>
        <v>0</v>
      </c>
      <c r="AQ217" s="2">
        <f t="shared" si="189"/>
        <v>2.7570157426420261</v>
      </c>
      <c r="AR217" s="2">
        <f t="shared" si="189"/>
        <v>0</v>
      </c>
      <c r="AS217" s="2">
        <f t="shared" si="189"/>
        <v>0</v>
      </c>
      <c r="AT217" s="2">
        <f t="shared" si="189"/>
        <v>3.0006844626967832</v>
      </c>
      <c r="AU217" s="2">
        <f t="shared" si="189"/>
        <v>0</v>
      </c>
      <c r="AV217" s="2">
        <f t="shared" si="189"/>
        <v>0</v>
      </c>
      <c r="AW217" s="2">
        <f t="shared" si="189"/>
        <v>3.2525667351129361</v>
      </c>
      <c r="AX217" s="2">
        <f t="shared" si="189"/>
        <v>0</v>
      </c>
      <c r="AY217" s="2">
        <f t="shared" si="189"/>
        <v>0</v>
      </c>
      <c r="AZ217" s="2">
        <f t="shared" si="189"/>
        <v>3.5044490075290895</v>
      </c>
      <c r="BA217" s="2">
        <f t="shared" si="189"/>
        <v>0</v>
      </c>
      <c r="BB217" s="2">
        <f t="shared" si="189"/>
        <v>0</v>
      </c>
      <c r="BC217" s="2">
        <f t="shared" si="189"/>
        <v>3.7568455640744798</v>
      </c>
      <c r="BD217" s="2">
        <f t="shared" si="189"/>
        <v>0</v>
      </c>
      <c r="BE217" s="2">
        <f t="shared" si="189"/>
        <v>0</v>
      </c>
      <c r="BF217" s="2">
        <f t="shared" si="189"/>
        <v>4.0005476451259581</v>
      </c>
      <c r="BG217" s="2">
        <f t="shared" si="189"/>
        <v>0</v>
      </c>
      <c r="BH217" s="2">
        <f t="shared" si="189"/>
        <v>0</v>
      </c>
      <c r="BI217" s="2">
        <f t="shared" si="189"/>
        <v>4.2524644030668126</v>
      </c>
      <c r="BJ217" s="2">
        <f t="shared" si="189"/>
        <v>0</v>
      </c>
      <c r="BK217" s="2">
        <f t="shared" si="189"/>
        <v>0</v>
      </c>
      <c r="BL217" s="2">
        <f t="shared" si="189"/>
        <v>4.5043811610076672</v>
      </c>
      <c r="BM217" s="2">
        <f t="shared" si="189"/>
        <v>0</v>
      </c>
      <c r="BN217" s="2">
        <f t="shared" si="189"/>
        <v>0</v>
      </c>
      <c r="BO217" s="2">
        <f t="shared" si="189"/>
        <v>4.7545620437956204</v>
      </c>
      <c r="BP217" s="2">
        <f t="shared" si="189"/>
        <v>0</v>
      </c>
      <c r="BQ217" s="2">
        <f t="shared" si="189"/>
        <v>0</v>
      </c>
    </row>
    <row r="218" spans="1:69">
      <c r="E218" s="2" t="str">
        <f t="shared" ref="E218:AJ218" si="190">E$171</f>
        <v>Fixed Operating Cost Growth Rate escalation duration flag</v>
      </c>
      <c r="F218" s="2">
        <f t="shared" si="190"/>
        <v>0</v>
      </c>
      <c r="G218" s="2" t="str">
        <f t="shared" si="190"/>
        <v>flag</v>
      </c>
      <c r="H218" s="2">
        <f t="shared" si="190"/>
        <v>60</v>
      </c>
      <c r="I218" s="2">
        <f t="shared" si="190"/>
        <v>0</v>
      </c>
      <c r="J218" s="2">
        <f t="shared" si="190"/>
        <v>1</v>
      </c>
      <c r="K218" s="2">
        <f t="shared" si="190"/>
        <v>1</v>
      </c>
      <c r="L218" s="2">
        <f t="shared" si="190"/>
        <v>1</v>
      </c>
      <c r="M218" s="2">
        <f t="shared" si="190"/>
        <v>1</v>
      </c>
      <c r="N218" s="2">
        <f t="shared" si="190"/>
        <v>1</v>
      </c>
      <c r="O218" s="2">
        <f t="shared" si="190"/>
        <v>1</v>
      </c>
      <c r="P218" s="2">
        <f t="shared" si="190"/>
        <v>1</v>
      </c>
      <c r="Q218" s="2">
        <f t="shared" si="190"/>
        <v>1</v>
      </c>
      <c r="R218" s="2">
        <f t="shared" si="190"/>
        <v>1</v>
      </c>
      <c r="S218" s="2">
        <f t="shared" si="190"/>
        <v>1</v>
      </c>
      <c r="T218" s="2">
        <f t="shared" si="190"/>
        <v>1</v>
      </c>
      <c r="U218" s="2">
        <f t="shared" si="190"/>
        <v>1</v>
      </c>
      <c r="V218" s="2">
        <f t="shared" si="190"/>
        <v>1</v>
      </c>
      <c r="W218" s="2">
        <f t="shared" si="190"/>
        <v>1</v>
      </c>
      <c r="X218" s="2">
        <f t="shared" si="190"/>
        <v>1</v>
      </c>
      <c r="Y218" s="2">
        <f t="shared" si="190"/>
        <v>1</v>
      </c>
      <c r="Z218" s="2">
        <f t="shared" si="190"/>
        <v>1</v>
      </c>
      <c r="AA218" s="2">
        <f t="shared" si="190"/>
        <v>1</v>
      </c>
      <c r="AB218" s="2">
        <f t="shared" si="190"/>
        <v>1</v>
      </c>
      <c r="AC218" s="2">
        <f t="shared" si="190"/>
        <v>1</v>
      </c>
      <c r="AD218" s="2">
        <f t="shared" si="190"/>
        <v>1</v>
      </c>
      <c r="AE218" s="2">
        <f t="shared" si="190"/>
        <v>1</v>
      </c>
      <c r="AF218" s="2">
        <f t="shared" si="190"/>
        <v>1</v>
      </c>
      <c r="AG218" s="2">
        <f t="shared" si="190"/>
        <v>1</v>
      </c>
      <c r="AH218" s="2">
        <f t="shared" si="190"/>
        <v>1</v>
      </c>
      <c r="AI218" s="2">
        <f t="shared" si="190"/>
        <v>1</v>
      </c>
      <c r="AJ218" s="2">
        <f t="shared" si="190"/>
        <v>1</v>
      </c>
      <c r="AK218" s="2">
        <f t="shared" ref="AK218:BQ218" si="191">AK$171</f>
        <v>1</v>
      </c>
      <c r="AL218" s="2">
        <f t="shared" si="191"/>
        <v>1</v>
      </c>
      <c r="AM218" s="2">
        <f t="shared" si="191"/>
        <v>1</v>
      </c>
      <c r="AN218" s="2">
        <f t="shared" si="191"/>
        <v>1</v>
      </c>
      <c r="AO218" s="2">
        <f t="shared" si="191"/>
        <v>1</v>
      </c>
      <c r="AP218" s="2">
        <f t="shared" si="191"/>
        <v>1</v>
      </c>
      <c r="AQ218" s="2">
        <f t="shared" si="191"/>
        <v>1</v>
      </c>
      <c r="AR218" s="2">
        <f t="shared" si="191"/>
        <v>1</v>
      </c>
      <c r="AS218" s="2">
        <f t="shared" si="191"/>
        <v>1</v>
      </c>
      <c r="AT218" s="2">
        <f t="shared" si="191"/>
        <v>1</v>
      </c>
      <c r="AU218" s="2">
        <f t="shared" si="191"/>
        <v>1</v>
      </c>
      <c r="AV218" s="2">
        <f t="shared" si="191"/>
        <v>1</v>
      </c>
      <c r="AW218" s="2">
        <f t="shared" si="191"/>
        <v>1</v>
      </c>
      <c r="AX218" s="2">
        <f t="shared" si="191"/>
        <v>1</v>
      </c>
      <c r="AY218" s="2">
        <f t="shared" si="191"/>
        <v>1</v>
      </c>
      <c r="AZ218" s="2">
        <f t="shared" si="191"/>
        <v>1</v>
      </c>
      <c r="BA218" s="2">
        <f t="shared" si="191"/>
        <v>1</v>
      </c>
      <c r="BB218" s="2">
        <f t="shared" si="191"/>
        <v>1</v>
      </c>
      <c r="BC218" s="2">
        <f t="shared" si="191"/>
        <v>1</v>
      </c>
      <c r="BD218" s="2">
        <f t="shared" si="191"/>
        <v>1</v>
      </c>
      <c r="BE218" s="2">
        <f t="shared" si="191"/>
        <v>1</v>
      </c>
      <c r="BF218" s="2">
        <f t="shared" si="191"/>
        <v>1</v>
      </c>
      <c r="BG218" s="2">
        <f t="shared" si="191"/>
        <v>1</v>
      </c>
      <c r="BH218" s="2">
        <f t="shared" si="191"/>
        <v>1</v>
      </c>
      <c r="BI218" s="2">
        <f t="shared" si="191"/>
        <v>1</v>
      </c>
      <c r="BJ218" s="2">
        <f t="shared" si="191"/>
        <v>1</v>
      </c>
      <c r="BK218" s="2">
        <f t="shared" si="191"/>
        <v>1</v>
      </c>
      <c r="BL218" s="2">
        <f t="shared" si="191"/>
        <v>1</v>
      </c>
      <c r="BM218" s="2">
        <f t="shared" si="191"/>
        <v>1</v>
      </c>
      <c r="BN218" s="2">
        <f t="shared" si="191"/>
        <v>1</v>
      </c>
      <c r="BO218" s="2">
        <f t="shared" si="191"/>
        <v>1</v>
      </c>
      <c r="BP218" s="2">
        <f t="shared" si="191"/>
        <v>1</v>
      </c>
      <c r="BQ218" s="2">
        <f t="shared" si="191"/>
        <v>1</v>
      </c>
    </row>
    <row r="219" spans="1:69">
      <c r="E219" s="2" t="str">
        <f t="shared" ref="E219:AJ219" si="192">E$198</f>
        <v>Fixed Operating Cost Growth Rate escalation step up frequency flag</v>
      </c>
      <c r="F219" s="2">
        <f t="shared" si="192"/>
        <v>0</v>
      </c>
      <c r="G219" s="2" t="str">
        <f t="shared" si="192"/>
        <v>flag</v>
      </c>
      <c r="H219" s="2">
        <f t="shared" si="192"/>
        <v>20</v>
      </c>
      <c r="I219" s="2">
        <f t="shared" si="192"/>
        <v>0</v>
      </c>
      <c r="J219" s="2">
        <f t="shared" si="192"/>
        <v>1</v>
      </c>
      <c r="K219" s="2">
        <f t="shared" si="192"/>
        <v>0</v>
      </c>
      <c r="L219" s="2">
        <f t="shared" si="192"/>
        <v>0</v>
      </c>
      <c r="M219" s="2">
        <f t="shared" si="192"/>
        <v>1</v>
      </c>
      <c r="N219" s="2">
        <f t="shared" si="192"/>
        <v>0</v>
      </c>
      <c r="O219" s="2">
        <f t="shared" si="192"/>
        <v>0</v>
      </c>
      <c r="P219" s="2">
        <f t="shared" si="192"/>
        <v>1</v>
      </c>
      <c r="Q219" s="2">
        <f t="shared" si="192"/>
        <v>0</v>
      </c>
      <c r="R219" s="2">
        <f t="shared" si="192"/>
        <v>0</v>
      </c>
      <c r="S219" s="2">
        <f t="shared" si="192"/>
        <v>1</v>
      </c>
      <c r="T219" s="2">
        <f t="shared" si="192"/>
        <v>0</v>
      </c>
      <c r="U219" s="2">
        <f t="shared" si="192"/>
        <v>0</v>
      </c>
      <c r="V219" s="2">
        <f t="shared" si="192"/>
        <v>1</v>
      </c>
      <c r="W219" s="2">
        <f t="shared" si="192"/>
        <v>0</v>
      </c>
      <c r="X219" s="2">
        <f t="shared" si="192"/>
        <v>0</v>
      </c>
      <c r="Y219" s="2">
        <f t="shared" si="192"/>
        <v>1</v>
      </c>
      <c r="Z219" s="2">
        <f t="shared" si="192"/>
        <v>0</v>
      </c>
      <c r="AA219" s="2">
        <f t="shared" si="192"/>
        <v>0</v>
      </c>
      <c r="AB219" s="2">
        <f t="shared" si="192"/>
        <v>1</v>
      </c>
      <c r="AC219" s="2">
        <f t="shared" si="192"/>
        <v>0</v>
      </c>
      <c r="AD219" s="2">
        <f t="shared" si="192"/>
        <v>0</v>
      </c>
      <c r="AE219" s="2">
        <f t="shared" si="192"/>
        <v>1</v>
      </c>
      <c r="AF219" s="2">
        <f t="shared" si="192"/>
        <v>0</v>
      </c>
      <c r="AG219" s="2">
        <f t="shared" si="192"/>
        <v>0</v>
      </c>
      <c r="AH219" s="2">
        <f t="shared" si="192"/>
        <v>1</v>
      </c>
      <c r="AI219" s="2">
        <f t="shared" si="192"/>
        <v>0</v>
      </c>
      <c r="AJ219" s="2">
        <f t="shared" si="192"/>
        <v>0</v>
      </c>
      <c r="AK219" s="2">
        <f t="shared" ref="AK219:BQ219" si="193">AK$198</f>
        <v>1</v>
      </c>
      <c r="AL219" s="2">
        <f t="shared" si="193"/>
        <v>0</v>
      </c>
      <c r="AM219" s="2">
        <f t="shared" si="193"/>
        <v>0</v>
      </c>
      <c r="AN219" s="2">
        <f t="shared" si="193"/>
        <v>1</v>
      </c>
      <c r="AO219" s="2">
        <f t="shared" si="193"/>
        <v>0</v>
      </c>
      <c r="AP219" s="2">
        <f t="shared" si="193"/>
        <v>0</v>
      </c>
      <c r="AQ219" s="2">
        <f t="shared" si="193"/>
        <v>1</v>
      </c>
      <c r="AR219" s="2">
        <f t="shared" si="193"/>
        <v>0</v>
      </c>
      <c r="AS219" s="2">
        <f t="shared" si="193"/>
        <v>0</v>
      </c>
      <c r="AT219" s="2">
        <f t="shared" si="193"/>
        <v>1</v>
      </c>
      <c r="AU219" s="2">
        <f t="shared" si="193"/>
        <v>0</v>
      </c>
      <c r="AV219" s="2">
        <f t="shared" si="193"/>
        <v>0</v>
      </c>
      <c r="AW219" s="2">
        <f t="shared" si="193"/>
        <v>1</v>
      </c>
      <c r="AX219" s="2">
        <f t="shared" si="193"/>
        <v>0</v>
      </c>
      <c r="AY219" s="2">
        <f t="shared" si="193"/>
        <v>0</v>
      </c>
      <c r="AZ219" s="2">
        <f t="shared" si="193"/>
        <v>1</v>
      </c>
      <c r="BA219" s="2">
        <f t="shared" si="193"/>
        <v>0</v>
      </c>
      <c r="BB219" s="2">
        <f t="shared" si="193"/>
        <v>0</v>
      </c>
      <c r="BC219" s="2">
        <f t="shared" si="193"/>
        <v>1</v>
      </c>
      <c r="BD219" s="2">
        <f t="shared" si="193"/>
        <v>0</v>
      </c>
      <c r="BE219" s="2">
        <f t="shared" si="193"/>
        <v>0</v>
      </c>
      <c r="BF219" s="2">
        <f t="shared" si="193"/>
        <v>1</v>
      </c>
      <c r="BG219" s="2">
        <f t="shared" si="193"/>
        <v>0</v>
      </c>
      <c r="BH219" s="2">
        <f t="shared" si="193"/>
        <v>0</v>
      </c>
      <c r="BI219" s="2">
        <f t="shared" si="193"/>
        <v>1</v>
      </c>
      <c r="BJ219" s="2">
        <f t="shared" si="193"/>
        <v>0</v>
      </c>
      <c r="BK219" s="2">
        <f t="shared" si="193"/>
        <v>0</v>
      </c>
      <c r="BL219" s="2">
        <f t="shared" si="193"/>
        <v>1</v>
      </c>
      <c r="BM219" s="2">
        <f t="shared" si="193"/>
        <v>0</v>
      </c>
      <c r="BN219" s="2">
        <f t="shared" si="193"/>
        <v>0</v>
      </c>
      <c r="BO219" s="2">
        <f t="shared" si="193"/>
        <v>1</v>
      </c>
      <c r="BP219" s="2">
        <f t="shared" si="193"/>
        <v>0</v>
      </c>
      <c r="BQ219" s="2">
        <f t="shared" si="193"/>
        <v>0</v>
      </c>
    </row>
    <row r="220" spans="1:69">
      <c r="A220" s="31"/>
      <c r="B220" s="31"/>
      <c r="C220" s="51"/>
      <c r="D220" s="50"/>
      <c r="E220" s="3" t="s">
        <v>55</v>
      </c>
      <c r="F220" s="3"/>
      <c r="G220" s="3" t="s">
        <v>39</v>
      </c>
      <c r="H220" s="3"/>
      <c r="I220" s="3"/>
      <c r="J220" s="23">
        <f t="shared" ref="J220:AO220" si="194">IF(J218=0,1,IF(J219=1,(1+$F216)^J217,I220))</f>
        <v>1</v>
      </c>
      <c r="K220" s="23">
        <f t="shared" si="194"/>
        <v>1</v>
      </c>
      <c r="L220" s="23">
        <f t="shared" si="194"/>
        <v>1</v>
      </c>
      <c r="M220" s="23">
        <f t="shared" si="194"/>
        <v>1.0243142740538207</v>
      </c>
      <c r="N220" s="23">
        <f t="shared" si="194"/>
        <v>1.0243142740538207</v>
      </c>
      <c r="O220" s="23">
        <f t="shared" si="194"/>
        <v>1.0243142740538207</v>
      </c>
      <c r="P220" s="23">
        <f t="shared" si="194"/>
        <v>1.0492197320304057</v>
      </c>
      <c r="Q220" s="23">
        <f t="shared" si="194"/>
        <v>1.0492197320304057</v>
      </c>
      <c r="R220" s="23">
        <f t="shared" si="194"/>
        <v>1.0492197320304057</v>
      </c>
      <c r="S220" s="23">
        <f t="shared" si="194"/>
        <v>1.0747307481376693</v>
      </c>
      <c r="T220" s="23">
        <f t="shared" si="194"/>
        <v>1.0747307481376693</v>
      </c>
      <c r="U220" s="23">
        <f t="shared" si="194"/>
        <v>1.0747307481376693</v>
      </c>
      <c r="V220" s="23">
        <f t="shared" si="194"/>
        <v>1.1000000000000001</v>
      </c>
      <c r="W220" s="23">
        <f t="shared" si="194"/>
        <v>1.1000000000000001</v>
      </c>
      <c r="X220" s="23">
        <f t="shared" si="194"/>
        <v>1.1000000000000001</v>
      </c>
      <c r="Y220" s="23">
        <f t="shared" si="194"/>
        <v>1.1268555865523511</v>
      </c>
      <c r="Z220" s="23">
        <f t="shared" si="194"/>
        <v>1.1268555865523511</v>
      </c>
      <c r="AA220" s="23">
        <f t="shared" si="194"/>
        <v>1.1268555865523511</v>
      </c>
      <c r="AB220" s="23">
        <f t="shared" si="194"/>
        <v>1.1542163296239218</v>
      </c>
      <c r="AC220" s="23">
        <f t="shared" si="194"/>
        <v>1.1542163296239218</v>
      </c>
      <c r="AD220" s="23">
        <f t="shared" si="194"/>
        <v>1.1542163296239218</v>
      </c>
      <c r="AE220" s="23">
        <f t="shared" si="194"/>
        <v>1.1823317044069723</v>
      </c>
      <c r="AF220" s="23">
        <f t="shared" si="194"/>
        <v>1.1823317044069723</v>
      </c>
      <c r="AG220" s="23">
        <f t="shared" si="194"/>
        <v>1.1823317044069723</v>
      </c>
      <c r="AH220" s="23">
        <f t="shared" si="194"/>
        <v>1.2101052284052554</v>
      </c>
      <c r="AI220" s="23">
        <f t="shared" si="194"/>
        <v>1.2101052284052554</v>
      </c>
      <c r="AJ220" s="23">
        <f t="shared" si="194"/>
        <v>1.2101052284052554</v>
      </c>
      <c r="AK220" s="23">
        <f t="shared" si="194"/>
        <v>1.2395008894596742</v>
      </c>
      <c r="AL220" s="23">
        <f t="shared" si="194"/>
        <v>1.2395008894596742</v>
      </c>
      <c r="AM220" s="23">
        <f t="shared" si="194"/>
        <v>1.2395008894596742</v>
      </c>
      <c r="AN220" s="23">
        <f t="shared" si="194"/>
        <v>1.2696106246859442</v>
      </c>
      <c r="AO220" s="23">
        <f t="shared" si="194"/>
        <v>1.2696106246859442</v>
      </c>
      <c r="AP220" s="23">
        <f t="shared" ref="AP220:BU220" si="195">IF(AP218=0,1,IF(AP219=1,(1+$F216)^AP217,AO220))</f>
        <v>1.2696106246859442</v>
      </c>
      <c r="AQ220" s="23">
        <f t="shared" si="195"/>
        <v>1.3005297300923371</v>
      </c>
      <c r="AR220" s="23">
        <f t="shared" si="195"/>
        <v>1.3005297300923371</v>
      </c>
      <c r="AS220" s="23">
        <f t="shared" si="195"/>
        <v>1.3005297300923371</v>
      </c>
      <c r="AT220" s="23">
        <f t="shared" si="195"/>
        <v>1.3310868322979301</v>
      </c>
      <c r="AU220" s="23">
        <f t="shared" si="195"/>
        <v>1.3310868322979301</v>
      </c>
      <c r="AV220" s="23">
        <f t="shared" si="195"/>
        <v>1.3310868322979301</v>
      </c>
      <c r="AW220" s="23">
        <f t="shared" si="195"/>
        <v>1.3634288231296141</v>
      </c>
      <c r="AX220" s="23">
        <f t="shared" si="195"/>
        <v>1.3634288231296141</v>
      </c>
      <c r="AY220" s="23">
        <f t="shared" si="195"/>
        <v>1.3634288231296141</v>
      </c>
      <c r="AZ220" s="23">
        <f t="shared" si="195"/>
        <v>1.396556641260897</v>
      </c>
      <c r="BA220" s="23">
        <f t="shared" si="195"/>
        <v>1.396556641260897</v>
      </c>
      <c r="BB220" s="23">
        <f t="shared" si="195"/>
        <v>1.396556641260897</v>
      </c>
      <c r="BC220" s="23">
        <f t="shared" si="195"/>
        <v>1.4305594995961339</v>
      </c>
      <c r="BD220" s="23">
        <f t="shared" si="195"/>
        <v>1.4305594995961339</v>
      </c>
      <c r="BE220" s="23">
        <f t="shared" si="195"/>
        <v>1.4305594995961339</v>
      </c>
      <c r="BF220" s="23">
        <f t="shared" si="195"/>
        <v>1.4641764223856168</v>
      </c>
      <c r="BG220" s="23">
        <f t="shared" si="195"/>
        <v>1.4641764223856168</v>
      </c>
      <c r="BH220" s="23">
        <f t="shared" si="195"/>
        <v>1.4641764223856168</v>
      </c>
      <c r="BI220" s="23">
        <f t="shared" si="195"/>
        <v>1.4997570778119578</v>
      </c>
      <c r="BJ220" s="23">
        <f t="shared" si="195"/>
        <v>1.4997570778119578</v>
      </c>
      <c r="BK220" s="23">
        <f t="shared" si="195"/>
        <v>1.4997570778119578</v>
      </c>
      <c r="BL220" s="23">
        <f t="shared" si="195"/>
        <v>1.5362023715572966</v>
      </c>
      <c r="BM220" s="23">
        <f t="shared" si="195"/>
        <v>1.5362023715572966</v>
      </c>
      <c r="BN220" s="23">
        <f t="shared" si="195"/>
        <v>1.5362023715572966</v>
      </c>
      <c r="BO220" s="23">
        <f t="shared" si="195"/>
        <v>1.5732730008629947</v>
      </c>
      <c r="BP220" s="23">
        <f t="shared" si="195"/>
        <v>1.5732730008629947</v>
      </c>
      <c r="BQ220" s="23">
        <f t="shared" si="195"/>
        <v>1.5732730008629947</v>
      </c>
    </row>
    <row r="223" spans="1:69">
      <c r="A223" s="22" t="s">
        <v>56</v>
      </c>
    </row>
    <row r="224" spans="1:69" ht="14.5">
      <c r="A224"/>
      <c r="B224" s="22" t="s">
        <v>9</v>
      </c>
    </row>
    <row r="225" spans="1:69">
      <c r="A225" s="17"/>
      <c r="B225" s="17"/>
      <c r="C225" s="26"/>
      <c r="D225" s="27"/>
      <c r="E225" s="18" t="str">
        <f>InpC!E$67</f>
        <v>Supply Chain Finance enabled beginning date</v>
      </c>
      <c r="F225" s="18">
        <f>InpC!F$67</f>
        <v>0</v>
      </c>
      <c r="G225" s="18" t="str">
        <f>InpC!G$67</f>
        <v>date</v>
      </c>
      <c r="M225" s="8"/>
    </row>
    <row r="226" spans="1:69">
      <c r="A226" s="17"/>
      <c r="B226" s="17"/>
      <c r="C226" s="26"/>
      <c r="D226" s="27"/>
      <c r="E226" s="18" t="str">
        <f>InpC!E$66</f>
        <v>Supply Chain Finance enabled end date</v>
      </c>
      <c r="F226" s="18">
        <f>InpC!F$66</f>
        <v>0</v>
      </c>
      <c r="G226" s="18" t="str">
        <f>InpC!G$66</f>
        <v>date</v>
      </c>
      <c r="M226" s="8"/>
    </row>
    <row r="227" spans="1:69">
      <c r="E227" s="8" t="str">
        <f t="shared" ref="E227:AJ227" si="196">E$19</f>
        <v>Model period end</v>
      </c>
      <c r="F227" s="8">
        <f t="shared" si="196"/>
        <v>0</v>
      </c>
      <c r="G227" s="8" t="str">
        <f t="shared" si="196"/>
        <v>date</v>
      </c>
      <c r="H227" s="8">
        <f t="shared" si="196"/>
        <v>0</v>
      </c>
      <c r="I227" s="8">
        <f t="shared" si="196"/>
        <v>0</v>
      </c>
      <c r="J227" s="8">
        <f t="shared" si="196"/>
        <v>45077</v>
      </c>
      <c r="K227" s="8">
        <f t="shared" si="196"/>
        <v>45107</v>
      </c>
      <c r="L227" s="8">
        <f t="shared" si="196"/>
        <v>45138</v>
      </c>
      <c r="M227" s="8">
        <f t="shared" si="196"/>
        <v>45169</v>
      </c>
      <c r="N227" s="8">
        <f t="shared" si="196"/>
        <v>45199</v>
      </c>
      <c r="O227" s="8">
        <f t="shared" si="196"/>
        <v>45230</v>
      </c>
      <c r="P227" s="8">
        <f t="shared" si="196"/>
        <v>45260</v>
      </c>
      <c r="Q227" s="8">
        <f t="shared" si="196"/>
        <v>45291</v>
      </c>
      <c r="R227" s="8">
        <f t="shared" si="196"/>
        <v>45322</v>
      </c>
      <c r="S227" s="8">
        <f t="shared" si="196"/>
        <v>45351</v>
      </c>
      <c r="T227" s="8">
        <f t="shared" si="196"/>
        <v>45382</v>
      </c>
      <c r="U227" s="8">
        <f t="shared" si="196"/>
        <v>45412</v>
      </c>
      <c r="V227" s="8">
        <f t="shared" si="196"/>
        <v>45443</v>
      </c>
      <c r="W227" s="8">
        <f t="shared" si="196"/>
        <v>45473</v>
      </c>
      <c r="X227" s="8">
        <f t="shared" si="196"/>
        <v>45504</v>
      </c>
      <c r="Y227" s="8">
        <f t="shared" si="196"/>
        <v>45535</v>
      </c>
      <c r="Z227" s="8">
        <f t="shared" si="196"/>
        <v>45565</v>
      </c>
      <c r="AA227" s="8">
        <f t="shared" si="196"/>
        <v>45596</v>
      </c>
      <c r="AB227" s="8">
        <f t="shared" si="196"/>
        <v>45626</v>
      </c>
      <c r="AC227" s="8">
        <f t="shared" si="196"/>
        <v>45657</v>
      </c>
      <c r="AD227" s="8">
        <f t="shared" si="196"/>
        <v>45688</v>
      </c>
      <c r="AE227" s="8">
        <f t="shared" si="196"/>
        <v>45716</v>
      </c>
      <c r="AF227" s="8">
        <f t="shared" si="196"/>
        <v>45747</v>
      </c>
      <c r="AG227" s="8">
        <f t="shared" si="196"/>
        <v>45777</v>
      </c>
      <c r="AH227" s="8">
        <f t="shared" si="196"/>
        <v>45808</v>
      </c>
      <c r="AI227" s="8">
        <f t="shared" si="196"/>
        <v>45838</v>
      </c>
      <c r="AJ227" s="8">
        <f t="shared" si="196"/>
        <v>45869</v>
      </c>
      <c r="AK227" s="8">
        <f t="shared" ref="AK227:BQ227" si="197">AK$19</f>
        <v>45900</v>
      </c>
      <c r="AL227" s="8">
        <f t="shared" si="197"/>
        <v>45930</v>
      </c>
      <c r="AM227" s="8">
        <f t="shared" si="197"/>
        <v>45961</v>
      </c>
      <c r="AN227" s="8">
        <f t="shared" si="197"/>
        <v>45991</v>
      </c>
      <c r="AO227" s="8">
        <f t="shared" si="197"/>
        <v>46022</v>
      </c>
      <c r="AP227" s="8">
        <f t="shared" si="197"/>
        <v>46053</v>
      </c>
      <c r="AQ227" s="8">
        <f t="shared" si="197"/>
        <v>46081</v>
      </c>
      <c r="AR227" s="8">
        <f t="shared" si="197"/>
        <v>46112</v>
      </c>
      <c r="AS227" s="8">
        <f t="shared" si="197"/>
        <v>46142</v>
      </c>
      <c r="AT227" s="8">
        <f t="shared" si="197"/>
        <v>46173</v>
      </c>
      <c r="AU227" s="8">
        <f t="shared" si="197"/>
        <v>46203</v>
      </c>
      <c r="AV227" s="8">
        <f t="shared" si="197"/>
        <v>46234</v>
      </c>
      <c r="AW227" s="8">
        <f t="shared" si="197"/>
        <v>46265</v>
      </c>
      <c r="AX227" s="8">
        <f t="shared" si="197"/>
        <v>46295</v>
      </c>
      <c r="AY227" s="8">
        <f t="shared" si="197"/>
        <v>46326</v>
      </c>
      <c r="AZ227" s="8">
        <f t="shared" si="197"/>
        <v>46356</v>
      </c>
      <c r="BA227" s="8">
        <f t="shared" si="197"/>
        <v>46387</v>
      </c>
      <c r="BB227" s="8">
        <f t="shared" si="197"/>
        <v>46418</v>
      </c>
      <c r="BC227" s="8">
        <f t="shared" si="197"/>
        <v>46446</v>
      </c>
      <c r="BD227" s="8">
        <f t="shared" si="197"/>
        <v>46477</v>
      </c>
      <c r="BE227" s="8">
        <f t="shared" si="197"/>
        <v>46507</v>
      </c>
      <c r="BF227" s="8">
        <f t="shared" si="197"/>
        <v>46538</v>
      </c>
      <c r="BG227" s="8">
        <f t="shared" si="197"/>
        <v>46568</v>
      </c>
      <c r="BH227" s="8">
        <f t="shared" si="197"/>
        <v>46599</v>
      </c>
      <c r="BI227" s="8">
        <f t="shared" si="197"/>
        <v>46630</v>
      </c>
      <c r="BJ227" s="8">
        <f t="shared" si="197"/>
        <v>46660</v>
      </c>
      <c r="BK227" s="8">
        <f t="shared" si="197"/>
        <v>46691</v>
      </c>
      <c r="BL227" s="8">
        <f t="shared" si="197"/>
        <v>46721</v>
      </c>
      <c r="BM227" s="8">
        <f t="shared" si="197"/>
        <v>46752</v>
      </c>
      <c r="BN227" s="8">
        <f t="shared" si="197"/>
        <v>46783</v>
      </c>
      <c r="BO227" s="8">
        <f t="shared" si="197"/>
        <v>46812</v>
      </c>
      <c r="BP227" s="8">
        <f t="shared" si="197"/>
        <v>46843</v>
      </c>
      <c r="BQ227" s="8">
        <f t="shared" si="197"/>
        <v>46873</v>
      </c>
    </row>
    <row r="228" spans="1:69">
      <c r="E228" s="8" t="str">
        <f t="shared" ref="E228:AJ228" si="198">E$12</f>
        <v>Model period start</v>
      </c>
      <c r="F228" s="8">
        <f t="shared" si="198"/>
        <v>0</v>
      </c>
      <c r="G228" s="8" t="str">
        <f t="shared" si="198"/>
        <v>date</v>
      </c>
      <c r="H228" s="8">
        <f t="shared" si="198"/>
        <v>0</v>
      </c>
      <c r="I228" s="8">
        <f t="shared" si="198"/>
        <v>0</v>
      </c>
      <c r="J228" s="8">
        <f t="shared" si="198"/>
        <v>45047</v>
      </c>
      <c r="K228" s="8">
        <f t="shared" si="198"/>
        <v>45078</v>
      </c>
      <c r="L228" s="8">
        <f t="shared" si="198"/>
        <v>45108</v>
      </c>
      <c r="M228" s="8">
        <f t="shared" si="198"/>
        <v>45139</v>
      </c>
      <c r="N228" s="8">
        <f t="shared" si="198"/>
        <v>45170</v>
      </c>
      <c r="O228" s="8">
        <f t="shared" si="198"/>
        <v>45200</v>
      </c>
      <c r="P228" s="8">
        <f t="shared" si="198"/>
        <v>45231</v>
      </c>
      <c r="Q228" s="8">
        <f t="shared" si="198"/>
        <v>45261</v>
      </c>
      <c r="R228" s="8">
        <f t="shared" si="198"/>
        <v>45292</v>
      </c>
      <c r="S228" s="8">
        <f t="shared" si="198"/>
        <v>45323</v>
      </c>
      <c r="T228" s="8">
        <f t="shared" si="198"/>
        <v>45352</v>
      </c>
      <c r="U228" s="8">
        <f t="shared" si="198"/>
        <v>45383</v>
      </c>
      <c r="V228" s="8">
        <f t="shared" si="198"/>
        <v>45413</v>
      </c>
      <c r="W228" s="8">
        <f t="shared" si="198"/>
        <v>45444</v>
      </c>
      <c r="X228" s="8">
        <f t="shared" si="198"/>
        <v>45474</v>
      </c>
      <c r="Y228" s="8">
        <f t="shared" si="198"/>
        <v>45505</v>
      </c>
      <c r="Z228" s="8">
        <f t="shared" si="198"/>
        <v>45536</v>
      </c>
      <c r="AA228" s="8">
        <f t="shared" si="198"/>
        <v>45566</v>
      </c>
      <c r="AB228" s="8">
        <f t="shared" si="198"/>
        <v>45597</v>
      </c>
      <c r="AC228" s="8">
        <f t="shared" si="198"/>
        <v>45627</v>
      </c>
      <c r="AD228" s="8">
        <f t="shared" si="198"/>
        <v>45658</v>
      </c>
      <c r="AE228" s="8">
        <f t="shared" si="198"/>
        <v>45689</v>
      </c>
      <c r="AF228" s="8">
        <f t="shared" si="198"/>
        <v>45717</v>
      </c>
      <c r="AG228" s="8">
        <f t="shared" si="198"/>
        <v>45748</v>
      </c>
      <c r="AH228" s="8">
        <f t="shared" si="198"/>
        <v>45778</v>
      </c>
      <c r="AI228" s="8">
        <f t="shared" si="198"/>
        <v>45809</v>
      </c>
      <c r="AJ228" s="8">
        <f t="shared" si="198"/>
        <v>45839</v>
      </c>
      <c r="AK228" s="8">
        <f t="shared" ref="AK228:BQ228" si="199">AK$12</f>
        <v>45870</v>
      </c>
      <c r="AL228" s="8">
        <f t="shared" si="199"/>
        <v>45901</v>
      </c>
      <c r="AM228" s="8">
        <f t="shared" si="199"/>
        <v>45931</v>
      </c>
      <c r="AN228" s="8">
        <f t="shared" si="199"/>
        <v>45962</v>
      </c>
      <c r="AO228" s="8">
        <f t="shared" si="199"/>
        <v>45992</v>
      </c>
      <c r="AP228" s="8">
        <f t="shared" si="199"/>
        <v>46023</v>
      </c>
      <c r="AQ228" s="8">
        <f t="shared" si="199"/>
        <v>46054</v>
      </c>
      <c r="AR228" s="8">
        <f t="shared" si="199"/>
        <v>46082</v>
      </c>
      <c r="AS228" s="8">
        <f t="shared" si="199"/>
        <v>46113</v>
      </c>
      <c r="AT228" s="8">
        <f t="shared" si="199"/>
        <v>46143</v>
      </c>
      <c r="AU228" s="8">
        <f t="shared" si="199"/>
        <v>46174</v>
      </c>
      <c r="AV228" s="8">
        <f t="shared" si="199"/>
        <v>46204</v>
      </c>
      <c r="AW228" s="8">
        <f t="shared" si="199"/>
        <v>46235</v>
      </c>
      <c r="AX228" s="8">
        <f t="shared" si="199"/>
        <v>46266</v>
      </c>
      <c r="AY228" s="8">
        <f t="shared" si="199"/>
        <v>46296</v>
      </c>
      <c r="AZ228" s="8">
        <f t="shared" si="199"/>
        <v>46327</v>
      </c>
      <c r="BA228" s="8">
        <f t="shared" si="199"/>
        <v>46357</v>
      </c>
      <c r="BB228" s="8">
        <f t="shared" si="199"/>
        <v>46388</v>
      </c>
      <c r="BC228" s="8">
        <f t="shared" si="199"/>
        <v>46419</v>
      </c>
      <c r="BD228" s="8">
        <f t="shared" si="199"/>
        <v>46447</v>
      </c>
      <c r="BE228" s="8">
        <f t="shared" si="199"/>
        <v>46478</v>
      </c>
      <c r="BF228" s="8">
        <f t="shared" si="199"/>
        <v>46508</v>
      </c>
      <c r="BG228" s="8">
        <f t="shared" si="199"/>
        <v>46539</v>
      </c>
      <c r="BH228" s="8">
        <f t="shared" si="199"/>
        <v>46569</v>
      </c>
      <c r="BI228" s="8">
        <f t="shared" si="199"/>
        <v>46600</v>
      </c>
      <c r="BJ228" s="8">
        <f t="shared" si="199"/>
        <v>46631</v>
      </c>
      <c r="BK228" s="8">
        <f t="shared" si="199"/>
        <v>46661</v>
      </c>
      <c r="BL228" s="8">
        <f t="shared" si="199"/>
        <v>46692</v>
      </c>
      <c r="BM228" s="8">
        <f t="shared" si="199"/>
        <v>46722</v>
      </c>
      <c r="BN228" s="8">
        <f t="shared" si="199"/>
        <v>46753</v>
      </c>
      <c r="BO228" s="8">
        <f t="shared" si="199"/>
        <v>46784</v>
      </c>
      <c r="BP228" s="8">
        <f t="shared" si="199"/>
        <v>46813</v>
      </c>
      <c r="BQ228" s="8">
        <f t="shared" si="199"/>
        <v>46844</v>
      </c>
    </row>
    <row r="229" spans="1:69">
      <c r="A229" s="31"/>
      <c r="B229" s="31"/>
      <c r="C229" s="51"/>
      <c r="D229" s="50"/>
      <c r="E229" s="3" t="s">
        <v>9</v>
      </c>
      <c r="F229" s="3"/>
      <c r="G229" s="3" t="s">
        <v>21</v>
      </c>
      <c r="H229" s="3">
        <f>SUM(J229:BQ229)</f>
        <v>0</v>
      </c>
      <c r="I229" s="3"/>
      <c r="J229" s="3">
        <f t="shared" ref="J229:AO229" si="200">IF(AND(J227&gt;=$F225,J228&lt;=$F226),1,0)</f>
        <v>0</v>
      </c>
      <c r="K229" s="3">
        <f t="shared" si="200"/>
        <v>0</v>
      </c>
      <c r="L229" s="3">
        <f t="shared" si="200"/>
        <v>0</v>
      </c>
      <c r="M229" s="3">
        <f t="shared" si="200"/>
        <v>0</v>
      </c>
      <c r="N229" s="3">
        <f t="shared" si="200"/>
        <v>0</v>
      </c>
      <c r="O229" s="3">
        <f t="shared" si="200"/>
        <v>0</v>
      </c>
      <c r="P229" s="3">
        <f t="shared" si="200"/>
        <v>0</v>
      </c>
      <c r="Q229" s="3">
        <f t="shared" si="200"/>
        <v>0</v>
      </c>
      <c r="R229" s="3">
        <f t="shared" si="200"/>
        <v>0</v>
      </c>
      <c r="S229" s="3">
        <f t="shared" si="200"/>
        <v>0</v>
      </c>
      <c r="T229" s="3">
        <f t="shared" si="200"/>
        <v>0</v>
      </c>
      <c r="U229" s="3">
        <f t="shared" si="200"/>
        <v>0</v>
      </c>
      <c r="V229" s="3">
        <f t="shared" si="200"/>
        <v>0</v>
      </c>
      <c r="W229" s="3">
        <f t="shared" si="200"/>
        <v>0</v>
      </c>
      <c r="X229" s="3">
        <f t="shared" si="200"/>
        <v>0</v>
      </c>
      <c r="Y229" s="3">
        <f t="shared" si="200"/>
        <v>0</v>
      </c>
      <c r="Z229" s="3">
        <f t="shared" si="200"/>
        <v>0</v>
      </c>
      <c r="AA229" s="3">
        <f t="shared" si="200"/>
        <v>0</v>
      </c>
      <c r="AB229" s="3">
        <f t="shared" si="200"/>
        <v>0</v>
      </c>
      <c r="AC229" s="3">
        <f t="shared" si="200"/>
        <v>0</v>
      </c>
      <c r="AD229" s="3">
        <f t="shared" si="200"/>
        <v>0</v>
      </c>
      <c r="AE229" s="3">
        <f t="shared" si="200"/>
        <v>0</v>
      </c>
      <c r="AF229" s="3">
        <f t="shared" si="200"/>
        <v>0</v>
      </c>
      <c r="AG229" s="3">
        <f t="shared" si="200"/>
        <v>0</v>
      </c>
      <c r="AH229" s="3">
        <f t="shared" si="200"/>
        <v>0</v>
      </c>
      <c r="AI229" s="3">
        <f t="shared" si="200"/>
        <v>0</v>
      </c>
      <c r="AJ229" s="3">
        <f t="shared" si="200"/>
        <v>0</v>
      </c>
      <c r="AK229" s="3">
        <f t="shared" si="200"/>
        <v>0</v>
      </c>
      <c r="AL229" s="3">
        <f t="shared" si="200"/>
        <v>0</v>
      </c>
      <c r="AM229" s="3">
        <f t="shared" si="200"/>
        <v>0</v>
      </c>
      <c r="AN229" s="3">
        <f t="shared" si="200"/>
        <v>0</v>
      </c>
      <c r="AO229" s="3">
        <f t="shared" si="200"/>
        <v>0</v>
      </c>
      <c r="AP229" s="3">
        <f t="shared" ref="AP229:BU229" si="201">IF(AND(AP227&gt;=$F225,AP228&lt;=$F226),1,0)</f>
        <v>0</v>
      </c>
      <c r="AQ229" s="3">
        <f t="shared" si="201"/>
        <v>0</v>
      </c>
      <c r="AR229" s="3">
        <f t="shared" si="201"/>
        <v>0</v>
      </c>
      <c r="AS229" s="3">
        <f t="shared" si="201"/>
        <v>0</v>
      </c>
      <c r="AT229" s="3">
        <f t="shared" si="201"/>
        <v>0</v>
      </c>
      <c r="AU229" s="3">
        <f t="shared" si="201"/>
        <v>0</v>
      </c>
      <c r="AV229" s="3">
        <f t="shared" si="201"/>
        <v>0</v>
      </c>
      <c r="AW229" s="3">
        <f t="shared" si="201"/>
        <v>0</v>
      </c>
      <c r="AX229" s="3">
        <f t="shared" si="201"/>
        <v>0</v>
      </c>
      <c r="AY229" s="3">
        <f t="shared" si="201"/>
        <v>0</v>
      </c>
      <c r="AZ229" s="3">
        <f t="shared" si="201"/>
        <v>0</v>
      </c>
      <c r="BA229" s="3">
        <f t="shared" si="201"/>
        <v>0</v>
      </c>
      <c r="BB229" s="3">
        <f t="shared" si="201"/>
        <v>0</v>
      </c>
      <c r="BC229" s="3">
        <f t="shared" si="201"/>
        <v>0</v>
      </c>
      <c r="BD229" s="3">
        <f t="shared" si="201"/>
        <v>0</v>
      </c>
      <c r="BE229" s="3">
        <f t="shared" si="201"/>
        <v>0</v>
      </c>
      <c r="BF229" s="3">
        <f t="shared" si="201"/>
        <v>0</v>
      </c>
      <c r="BG229" s="3">
        <f t="shared" si="201"/>
        <v>0</v>
      </c>
      <c r="BH229" s="3">
        <f t="shared" si="201"/>
        <v>0</v>
      </c>
      <c r="BI229" s="3">
        <f t="shared" si="201"/>
        <v>0</v>
      </c>
      <c r="BJ229" s="3">
        <f t="shared" si="201"/>
        <v>0</v>
      </c>
      <c r="BK229" s="3">
        <f t="shared" si="201"/>
        <v>0</v>
      </c>
      <c r="BL229" s="3">
        <f t="shared" si="201"/>
        <v>0</v>
      </c>
      <c r="BM229" s="3">
        <f t="shared" si="201"/>
        <v>0</v>
      </c>
      <c r="BN229" s="3">
        <f t="shared" si="201"/>
        <v>0</v>
      </c>
      <c r="BO229" s="3">
        <f t="shared" si="201"/>
        <v>0</v>
      </c>
      <c r="BP229" s="3">
        <f t="shared" si="201"/>
        <v>0</v>
      </c>
      <c r="BQ229" s="3">
        <f t="shared" si="201"/>
        <v>0</v>
      </c>
    </row>
    <row r="232" spans="1:69">
      <c r="B232" s="22" t="s">
        <v>10</v>
      </c>
    </row>
    <row r="233" spans="1:69">
      <c r="A233" s="17"/>
      <c r="B233" s="17"/>
      <c r="C233" s="26"/>
      <c r="D233" s="27"/>
      <c r="E233" s="18" t="str">
        <f>InpC!E$59</f>
        <v>Invoice Finance Enabled beginning date</v>
      </c>
      <c r="F233" s="18">
        <f>InpC!F$59</f>
        <v>0</v>
      </c>
      <c r="G233" s="18" t="str">
        <f>InpC!G$59</f>
        <v>date</v>
      </c>
      <c r="M233" s="8"/>
    </row>
    <row r="234" spans="1:69">
      <c r="A234" s="17"/>
      <c r="B234" s="17"/>
      <c r="C234" s="26"/>
      <c r="D234" s="27"/>
      <c r="E234" s="18" t="str">
        <f>InpC!E$60</f>
        <v>Invoice Finance Enabled end date</v>
      </c>
      <c r="F234" s="18">
        <f>InpC!F$60</f>
        <v>0</v>
      </c>
      <c r="G234" s="18" t="str">
        <f>InpC!G$60</f>
        <v>date</v>
      </c>
      <c r="M234" s="8"/>
    </row>
    <row r="235" spans="1:69">
      <c r="E235" s="8" t="str">
        <f t="shared" ref="E235:AJ235" si="202">E$19</f>
        <v>Model period end</v>
      </c>
      <c r="F235" s="8">
        <f t="shared" si="202"/>
        <v>0</v>
      </c>
      <c r="G235" s="8" t="str">
        <f t="shared" si="202"/>
        <v>date</v>
      </c>
      <c r="H235" s="8">
        <f t="shared" si="202"/>
        <v>0</v>
      </c>
      <c r="I235" s="8">
        <f t="shared" si="202"/>
        <v>0</v>
      </c>
      <c r="J235" s="8">
        <f t="shared" si="202"/>
        <v>45077</v>
      </c>
      <c r="K235" s="8">
        <f t="shared" si="202"/>
        <v>45107</v>
      </c>
      <c r="L235" s="8">
        <f t="shared" si="202"/>
        <v>45138</v>
      </c>
      <c r="M235" s="8">
        <f t="shared" si="202"/>
        <v>45169</v>
      </c>
      <c r="N235" s="8">
        <f t="shared" si="202"/>
        <v>45199</v>
      </c>
      <c r="O235" s="8">
        <f t="shared" si="202"/>
        <v>45230</v>
      </c>
      <c r="P235" s="8">
        <f t="shared" si="202"/>
        <v>45260</v>
      </c>
      <c r="Q235" s="8">
        <f t="shared" si="202"/>
        <v>45291</v>
      </c>
      <c r="R235" s="8">
        <f t="shared" si="202"/>
        <v>45322</v>
      </c>
      <c r="S235" s="8">
        <f t="shared" si="202"/>
        <v>45351</v>
      </c>
      <c r="T235" s="8">
        <f t="shared" si="202"/>
        <v>45382</v>
      </c>
      <c r="U235" s="8">
        <f t="shared" si="202"/>
        <v>45412</v>
      </c>
      <c r="V235" s="8">
        <f t="shared" si="202"/>
        <v>45443</v>
      </c>
      <c r="W235" s="8">
        <f t="shared" si="202"/>
        <v>45473</v>
      </c>
      <c r="X235" s="8">
        <f t="shared" si="202"/>
        <v>45504</v>
      </c>
      <c r="Y235" s="8">
        <f t="shared" si="202"/>
        <v>45535</v>
      </c>
      <c r="Z235" s="8">
        <f t="shared" si="202"/>
        <v>45565</v>
      </c>
      <c r="AA235" s="8">
        <f t="shared" si="202"/>
        <v>45596</v>
      </c>
      <c r="AB235" s="8">
        <f t="shared" si="202"/>
        <v>45626</v>
      </c>
      <c r="AC235" s="8">
        <f t="shared" si="202"/>
        <v>45657</v>
      </c>
      <c r="AD235" s="8">
        <f t="shared" si="202"/>
        <v>45688</v>
      </c>
      <c r="AE235" s="8">
        <f t="shared" si="202"/>
        <v>45716</v>
      </c>
      <c r="AF235" s="8">
        <f t="shared" si="202"/>
        <v>45747</v>
      </c>
      <c r="AG235" s="8">
        <f t="shared" si="202"/>
        <v>45777</v>
      </c>
      <c r="AH235" s="8">
        <f t="shared" si="202"/>
        <v>45808</v>
      </c>
      <c r="AI235" s="8">
        <f t="shared" si="202"/>
        <v>45838</v>
      </c>
      <c r="AJ235" s="8">
        <f t="shared" si="202"/>
        <v>45869</v>
      </c>
      <c r="AK235" s="8">
        <f t="shared" ref="AK235:BQ235" si="203">AK$19</f>
        <v>45900</v>
      </c>
      <c r="AL235" s="8">
        <f t="shared" si="203"/>
        <v>45930</v>
      </c>
      <c r="AM235" s="8">
        <f t="shared" si="203"/>
        <v>45961</v>
      </c>
      <c r="AN235" s="8">
        <f t="shared" si="203"/>
        <v>45991</v>
      </c>
      <c r="AO235" s="8">
        <f t="shared" si="203"/>
        <v>46022</v>
      </c>
      <c r="AP235" s="8">
        <f t="shared" si="203"/>
        <v>46053</v>
      </c>
      <c r="AQ235" s="8">
        <f t="shared" si="203"/>
        <v>46081</v>
      </c>
      <c r="AR235" s="8">
        <f t="shared" si="203"/>
        <v>46112</v>
      </c>
      <c r="AS235" s="8">
        <f t="shared" si="203"/>
        <v>46142</v>
      </c>
      <c r="AT235" s="8">
        <f t="shared" si="203"/>
        <v>46173</v>
      </c>
      <c r="AU235" s="8">
        <f t="shared" si="203"/>
        <v>46203</v>
      </c>
      <c r="AV235" s="8">
        <f t="shared" si="203"/>
        <v>46234</v>
      </c>
      <c r="AW235" s="8">
        <f t="shared" si="203"/>
        <v>46265</v>
      </c>
      <c r="AX235" s="8">
        <f t="shared" si="203"/>
        <v>46295</v>
      </c>
      <c r="AY235" s="8">
        <f t="shared" si="203"/>
        <v>46326</v>
      </c>
      <c r="AZ235" s="8">
        <f t="shared" si="203"/>
        <v>46356</v>
      </c>
      <c r="BA235" s="8">
        <f t="shared" si="203"/>
        <v>46387</v>
      </c>
      <c r="BB235" s="8">
        <f t="shared" si="203"/>
        <v>46418</v>
      </c>
      <c r="BC235" s="8">
        <f t="shared" si="203"/>
        <v>46446</v>
      </c>
      <c r="BD235" s="8">
        <f t="shared" si="203"/>
        <v>46477</v>
      </c>
      <c r="BE235" s="8">
        <f t="shared" si="203"/>
        <v>46507</v>
      </c>
      <c r="BF235" s="8">
        <f t="shared" si="203"/>
        <v>46538</v>
      </c>
      <c r="BG235" s="8">
        <f t="shared" si="203"/>
        <v>46568</v>
      </c>
      <c r="BH235" s="8">
        <f t="shared" si="203"/>
        <v>46599</v>
      </c>
      <c r="BI235" s="8">
        <f t="shared" si="203"/>
        <v>46630</v>
      </c>
      <c r="BJ235" s="8">
        <f t="shared" si="203"/>
        <v>46660</v>
      </c>
      <c r="BK235" s="8">
        <f t="shared" si="203"/>
        <v>46691</v>
      </c>
      <c r="BL235" s="8">
        <f t="shared" si="203"/>
        <v>46721</v>
      </c>
      <c r="BM235" s="8">
        <f t="shared" si="203"/>
        <v>46752</v>
      </c>
      <c r="BN235" s="8">
        <f t="shared" si="203"/>
        <v>46783</v>
      </c>
      <c r="BO235" s="8">
        <f t="shared" si="203"/>
        <v>46812</v>
      </c>
      <c r="BP235" s="8">
        <f t="shared" si="203"/>
        <v>46843</v>
      </c>
      <c r="BQ235" s="8">
        <f t="shared" si="203"/>
        <v>46873</v>
      </c>
    </row>
    <row r="236" spans="1:69">
      <c r="E236" s="8" t="str">
        <f t="shared" ref="E236:AJ236" si="204">E$12</f>
        <v>Model period start</v>
      </c>
      <c r="F236" s="8">
        <f t="shared" si="204"/>
        <v>0</v>
      </c>
      <c r="G236" s="8" t="str">
        <f t="shared" si="204"/>
        <v>date</v>
      </c>
      <c r="H236" s="8">
        <f t="shared" si="204"/>
        <v>0</v>
      </c>
      <c r="I236" s="8">
        <f t="shared" si="204"/>
        <v>0</v>
      </c>
      <c r="J236" s="8">
        <f t="shared" si="204"/>
        <v>45047</v>
      </c>
      <c r="K236" s="8">
        <f t="shared" si="204"/>
        <v>45078</v>
      </c>
      <c r="L236" s="8">
        <f t="shared" si="204"/>
        <v>45108</v>
      </c>
      <c r="M236" s="8">
        <f t="shared" si="204"/>
        <v>45139</v>
      </c>
      <c r="N236" s="8">
        <f t="shared" si="204"/>
        <v>45170</v>
      </c>
      <c r="O236" s="8">
        <f t="shared" si="204"/>
        <v>45200</v>
      </c>
      <c r="P236" s="8">
        <f t="shared" si="204"/>
        <v>45231</v>
      </c>
      <c r="Q236" s="8">
        <f t="shared" si="204"/>
        <v>45261</v>
      </c>
      <c r="R236" s="8">
        <f t="shared" si="204"/>
        <v>45292</v>
      </c>
      <c r="S236" s="8">
        <f t="shared" si="204"/>
        <v>45323</v>
      </c>
      <c r="T236" s="8">
        <f t="shared" si="204"/>
        <v>45352</v>
      </c>
      <c r="U236" s="8">
        <f t="shared" si="204"/>
        <v>45383</v>
      </c>
      <c r="V236" s="8">
        <f t="shared" si="204"/>
        <v>45413</v>
      </c>
      <c r="W236" s="8">
        <f t="shared" si="204"/>
        <v>45444</v>
      </c>
      <c r="X236" s="8">
        <f t="shared" si="204"/>
        <v>45474</v>
      </c>
      <c r="Y236" s="8">
        <f t="shared" si="204"/>
        <v>45505</v>
      </c>
      <c r="Z236" s="8">
        <f t="shared" si="204"/>
        <v>45536</v>
      </c>
      <c r="AA236" s="8">
        <f t="shared" si="204"/>
        <v>45566</v>
      </c>
      <c r="AB236" s="8">
        <f t="shared" si="204"/>
        <v>45597</v>
      </c>
      <c r="AC236" s="8">
        <f t="shared" si="204"/>
        <v>45627</v>
      </c>
      <c r="AD236" s="8">
        <f t="shared" si="204"/>
        <v>45658</v>
      </c>
      <c r="AE236" s="8">
        <f t="shared" si="204"/>
        <v>45689</v>
      </c>
      <c r="AF236" s="8">
        <f t="shared" si="204"/>
        <v>45717</v>
      </c>
      <c r="AG236" s="8">
        <f t="shared" si="204"/>
        <v>45748</v>
      </c>
      <c r="AH236" s="8">
        <f t="shared" si="204"/>
        <v>45778</v>
      </c>
      <c r="AI236" s="8">
        <f t="shared" si="204"/>
        <v>45809</v>
      </c>
      <c r="AJ236" s="8">
        <f t="shared" si="204"/>
        <v>45839</v>
      </c>
      <c r="AK236" s="8">
        <f t="shared" ref="AK236:BQ236" si="205">AK$12</f>
        <v>45870</v>
      </c>
      <c r="AL236" s="8">
        <f t="shared" si="205"/>
        <v>45901</v>
      </c>
      <c r="AM236" s="8">
        <f t="shared" si="205"/>
        <v>45931</v>
      </c>
      <c r="AN236" s="8">
        <f t="shared" si="205"/>
        <v>45962</v>
      </c>
      <c r="AO236" s="8">
        <f t="shared" si="205"/>
        <v>45992</v>
      </c>
      <c r="AP236" s="8">
        <f t="shared" si="205"/>
        <v>46023</v>
      </c>
      <c r="AQ236" s="8">
        <f t="shared" si="205"/>
        <v>46054</v>
      </c>
      <c r="AR236" s="8">
        <f t="shared" si="205"/>
        <v>46082</v>
      </c>
      <c r="AS236" s="8">
        <f t="shared" si="205"/>
        <v>46113</v>
      </c>
      <c r="AT236" s="8">
        <f t="shared" si="205"/>
        <v>46143</v>
      </c>
      <c r="AU236" s="8">
        <f t="shared" si="205"/>
        <v>46174</v>
      </c>
      <c r="AV236" s="8">
        <f t="shared" si="205"/>
        <v>46204</v>
      </c>
      <c r="AW236" s="8">
        <f t="shared" si="205"/>
        <v>46235</v>
      </c>
      <c r="AX236" s="8">
        <f t="shared" si="205"/>
        <v>46266</v>
      </c>
      <c r="AY236" s="8">
        <f t="shared" si="205"/>
        <v>46296</v>
      </c>
      <c r="AZ236" s="8">
        <f t="shared" si="205"/>
        <v>46327</v>
      </c>
      <c r="BA236" s="8">
        <f t="shared" si="205"/>
        <v>46357</v>
      </c>
      <c r="BB236" s="8">
        <f t="shared" si="205"/>
        <v>46388</v>
      </c>
      <c r="BC236" s="8">
        <f t="shared" si="205"/>
        <v>46419</v>
      </c>
      <c r="BD236" s="8">
        <f t="shared" si="205"/>
        <v>46447</v>
      </c>
      <c r="BE236" s="8">
        <f t="shared" si="205"/>
        <v>46478</v>
      </c>
      <c r="BF236" s="8">
        <f t="shared" si="205"/>
        <v>46508</v>
      </c>
      <c r="BG236" s="8">
        <f t="shared" si="205"/>
        <v>46539</v>
      </c>
      <c r="BH236" s="8">
        <f t="shared" si="205"/>
        <v>46569</v>
      </c>
      <c r="BI236" s="8">
        <f t="shared" si="205"/>
        <v>46600</v>
      </c>
      <c r="BJ236" s="8">
        <f t="shared" si="205"/>
        <v>46631</v>
      </c>
      <c r="BK236" s="8">
        <f t="shared" si="205"/>
        <v>46661</v>
      </c>
      <c r="BL236" s="8">
        <f t="shared" si="205"/>
        <v>46692</v>
      </c>
      <c r="BM236" s="8">
        <f t="shared" si="205"/>
        <v>46722</v>
      </c>
      <c r="BN236" s="8">
        <f t="shared" si="205"/>
        <v>46753</v>
      </c>
      <c r="BO236" s="8">
        <f t="shared" si="205"/>
        <v>46784</v>
      </c>
      <c r="BP236" s="8">
        <f t="shared" si="205"/>
        <v>46813</v>
      </c>
      <c r="BQ236" s="8">
        <f t="shared" si="205"/>
        <v>46844</v>
      </c>
    </row>
    <row r="237" spans="1:69">
      <c r="A237" s="31"/>
      <c r="B237" s="31"/>
      <c r="C237" s="51"/>
      <c r="D237" s="50"/>
      <c r="E237" s="3" t="s">
        <v>10</v>
      </c>
      <c r="F237" s="3"/>
      <c r="G237" s="3" t="s">
        <v>21</v>
      </c>
      <c r="H237" s="3">
        <f>SUM(J237:BQ237)</f>
        <v>0</v>
      </c>
      <c r="I237" s="3"/>
      <c r="J237" s="3">
        <f t="shared" ref="J237:AO237" si="206">IF(AND(J235&gt;=$F233,J236&lt;=$F234),1,0)</f>
        <v>0</v>
      </c>
      <c r="K237" s="3">
        <f t="shared" si="206"/>
        <v>0</v>
      </c>
      <c r="L237" s="3">
        <f t="shared" si="206"/>
        <v>0</v>
      </c>
      <c r="M237" s="3">
        <f t="shared" si="206"/>
        <v>0</v>
      </c>
      <c r="N237" s="3">
        <f t="shared" si="206"/>
        <v>0</v>
      </c>
      <c r="O237" s="3">
        <f t="shared" si="206"/>
        <v>0</v>
      </c>
      <c r="P237" s="3">
        <f t="shared" si="206"/>
        <v>0</v>
      </c>
      <c r="Q237" s="3">
        <f t="shared" si="206"/>
        <v>0</v>
      </c>
      <c r="R237" s="3">
        <f t="shared" si="206"/>
        <v>0</v>
      </c>
      <c r="S237" s="3">
        <f t="shared" si="206"/>
        <v>0</v>
      </c>
      <c r="T237" s="3">
        <f t="shared" si="206"/>
        <v>0</v>
      </c>
      <c r="U237" s="3">
        <f t="shared" si="206"/>
        <v>0</v>
      </c>
      <c r="V237" s="3">
        <f t="shared" si="206"/>
        <v>0</v>
      </c>
      <c r="W237" s="3">
        <f t="shared" si="206"/>
        <v>0</v>
      </c>
      <c r="X237" s="3">
        <f t="shared" si="206"/>
        <v>0</v>
      </c>
      <c r="Y237" s="3">
        <f t="shared" si="206"/>
        <v>0</v>
      </c>
      <c r="Z237" s="3">
        <f t="shared" si="206"/>
        <v>0</v>
      </c>
      <c r="AA237" s="3">
        <f t="shared" si="206"/>
        <v>0</v>
      </c>
      <c r="AB237" s="3">
        <f t="shared" si="206"/>
        <v>0</v>
      </c>
      <c r="AC237" s="3">
        <f t="shared" si="206"/>
        <v>0</v>
      </c>
      <c r="AD237" s="3">
        <f t="shared" si="206"/>
        <v>0</v>
      </c>
      <c r="AE237" s="3">
        <f t="shared" si="206"/>
        <v>0</v>
      </c>
      <c r="AF237" s="3">
        <f t="shared" si="206"/>
        <v>0</v>
      </c>
      <c r="AG237" s="3">
        <f t="shared" si="206"/>
        <v>0</v>
      </c>
      <c r="AH237" s="3">
        <f t="shared" si="206"/>
        <v>0</v>
      </c>
      <c r="AI237" s="3">
        <f t="shared" si="206"/>
        <v>0</v>
      </c>
      <c r="AJ237" s="3">
        <f t="shared" si="206"/>
        <v>0</v>
      </c>
      <c r="AK237" s="3">
        <f t="shared" si="206"/>
        <v>0</v>
      </c>
      <c r="AL237" s="3">
        <f t="shared" si="206"/>
        <v>0</v>
      </c>
      <c r="AM237" s="3">
        <f t="shared" si="206"/>
        <v>0</v>
      </c>
      <c r="AN237" s="3">
        <f t="shared" si="206"/>
        <v>0</v>
      </c>
      <c r="AO237" s="3">
        <f t="shared" si="206"/>
        <v>0</v>
      </c>
      <c r="AP237" s="3">
        <f t="shared" ref="AP237:BU237" si="207">IF(AND(AP235&gt;=$F233,AP236&lt;=$F234),1,0)</f>
        <v>0</v>
      </c>
      <c r="AQ237" s="3">
        <f t="shared" si="207"/>
        <v>0</v>
      </c>
      <c r="AR237" s="3">
        <f t="shared" si="207"/>
        <v>0</v>
      </c>
      <c r="AS237" s="3">
        <f t="shared" si="207"/>
        <v>0</v>
      </c>
      <c r="AT237" s="3">
        <f t="shared" si="207"/>
        <v>0</v>
      </c>
      <c r="AU237" s="3">
        <f t="shared" si="207"/>
        <v>0</v>
      </c>
      <c r="AV237" s="3">
        <f t="shared" si="207"/>
        <v>0</v>
      </c>
      <c r="AW237" s="3">
        <f t="shared" si="207"/>
        <v>0</v>
      </c>
      <c r="AX237" s="3">
        <f t="shared" si="207"/>
        <v>0</v>
      </c>
      <c r="AY237" s="3">
        <f t="shared" si="207"/>
        <v>0</v>
      </c>
      <c r="AZ237" s="3">
        <f t="shared" si="207"/>
        <v>0</v>
      </c>
      <c r="BA237" s="3">
        <f t="shared" si="207"/>
        <v>0</v>
      </c>
      <c r="BB237" s="3">
        <f t="shared" si="207"/>
        <v>0</v>
      </c>
      <c r="BC237" s="3">
        <f t="shared" si="207"/>
        <v>0</v>
      </c>
      <c r="BD237" s="3">
        <f t="shared" si="207"/>
        <v>0</v>
      </c>
      <c r="BE237" s="3">
        <f t="shared" si="207"/>
        <v>0</v>
      </c>
      <c r="BF237" s="3">
        <f t="shared" si="207"/>
        <v>0</v>
      </c>
      <c r="BG237" s="3">
        <f t="shared" si="207"/>
        <v>0</v>
      </c>
      <c r="BH237" s="3">
        <f t="shared" si="207"/>
        <v>0</v>
      </c>
      <c r="BI237" s="3">
        <f t="shared" si="207"/>
        <v>0</v>
      </c>
      <c r="BJ237" s="3">
        <f t="shared" si="207"/>
        <v>0</v>
      </c>
      <c r="BK237" s="3">
        <f t="shared" si="207"/>
        <v>0</v>
      </c>
      <c r="BL237" s="3">
        <f t="shared" si="207"/>
        <v>0</v>
      </c>
      <c r="BM237" s="3">
        <f t="shared" si="207"/>
        <v>0</v>
      </c>
      <c r="BN237" s="3">
        <f t="shared" si="207"/>
        <v>0</v>
      </c>
      <c r="BO237" s="3">
        <f t="shared" si="207"/>
        <v>0</v>
      </c>
      <c r="BP237" s="3">
        <f t="shared" si="207"/>
        <v>0</v>
      </c>
      <c r="BQ237" s="3">
        <f t="shared" si="207"/>
        <v>0</v>
      </c>
    </row>
    <row r="240" spans="1:69">
      <c r="B240" s="22" t="s">
        <v>107</v>
      </c>
    </row>
    <row r="241" spans="1:69">
      <c r="A241" s="17"/>
      <c r="B241" s="17"/>
      <c r="C241" s="26"/>
      <c r="D241" s="27"/>
      <c r="E241" s="18" t="str">
        <f>InpC!E$74</f>
        <v>Asset Finance Enabled beginning date</v>
      </c>
      <c r="F241" s="18">
        <f>InpC!F$74</f>
        <v>0</v>
      </c>
      <c r="G241" s="18" t="str">
        <f>InpC!G$74</f>
        <v>date</v>
      </c>
      <c r="M241" s="8"/>
    </row>
    <row r="242" spans="1:69">
      <c r="A242" s="17"/>
      <c r="B242" s="17"/>
      <c r="C242" s="26"/>
      <c r="D242" s="27"/>
      <c r="E242" s="18" t="str">
        <f>InpC!E$73</f>
        <v>Asset Finance Enabled end date</v>
      </c>
      <c r="F242" s="18">
        <f>InpC!F$73</f>
        <v>0</v>
      </c>
      <c r="G242" s="18" t="str">
        <f>InpC!G$73</f>
        <v>date</v>
      </c>
      <c r="M242" s="8"/>
    </row>
    <row r="243" spans="1:69">
      <c r="E243" s="8" t="str">
        <f t="shared" ref="E243:AJ243" si="208">E$19</f>
        <v>Model period end</v>
      </c>
      <c r="F243" s="8">
        <f t="shared" si="208"/>
        <v>0</v>
      </c>
      <c r="G243" s="8" t="str">
        <f t="shared" si="208"/>
        <v>date</v>
      </c>
      <c r="H243" s="8">
        <f t="shared" si="208"/>
        <v>0</v>
      </c>
      <c r="I243" s="8">
        <f t="shared" si="208"/>
        <v>0</v>
      </c>
      <c r="J243" s="8">
        <f t="shared" si="208"/>
        <v>45077</v>
      </c>
      <c r="K243" s="8">
        <f t="shared" si="208"/>
        <v>45107</v>
      </c>
      <c r="L243" s="8">
        <f t="shared" si="208"/>
        <v>45138</v>
      </c>
      <c r="M243" s="8">
        <f t="shared" si="208"/>
        <v>45169</v>
      </c>
      <c r="N243" s="8">
        <f t="shared" si="208"/>
        <v>45199</v>
      </c>
      <c r="O243" s="8">
        <f t="shared" si="208"/>
        <v>45230</v>
      </c>
      <c r="P243" s="8">
        <f t="shared" si="208"/>
        <v>45260</v>
      </c>
      <c r="Q243" s="8">
        <f t="shared" si="208"/>
        <v>45291</v>
      </c>
      <c r="R243" s="8">
        <f t="shared" si="208"/>
        <v>45322</v>
      </c>
      <c r="S243" s="8">
        <f t="shared" si="208"/>
        <v>45351</v>
      </c>
      <c r="T243" s="8">
        <f t="shared" si="208"/>
        <v>45382</v>
      </c>
      <c r="U243" s="8">
        <f t="shared" si="208"/>
        <v>45412</v>
      </c>
      <c r="V243" s="8">
        <f t="shared" si="208"/>
        <v>45443</v>
      </c>
      <c r="W243" s="8">
        <f t="shared" si="208"/>
        <v>45473</v>
      </c>
      <c r="X243" s="8">
        <f t="shared" si="208"/>
        <v>45504</v>
      </c>
      <c r="Y243" s="8">
        <f t="shared" si="208"/>
        <v>45535</v>
      </c>
      <c r="Z243" s="8">
        <f t="shared" si="208"/>
        <v>45565</v>
      </c>
      <c r="AA243" s="8">
        <f t="shared" si="208"/>
        <v>45596</v>
      </c>
      <c r="AB243" s="8">
        <f t="shared" si="208"/>
        <v>45626</v>
      </c>
      <c r="AC243" s="8">
        <f t="shared" si="208"/>
        <v>45657</v>
      </c>
      <c r="AD243" s="8">
        <f t="shared" si="208"/>
        <v>45688</v>
      </c>
      <c r="AE243" s="8">
        <f t="shared" si="208"/>
        <v>45716</v>
      </c>
      <c r="AF243" s="8">
        <f t="shared" si="208"/>
        <v>45747</v>
      </c>
      <c r="AG243" s="8">
        <f t="shared" si="208"/>
        <v>45777</v>
      </c>
      <c r="AH243" s="8">
        <f t="shared" si="208"/>
        <v>45808</v>
      </c>
      <c r="AI243" s="8">
        <f t="shared" si="208"/>
        <v>45838</v>
      </c>
      <c r="AJ243" s="8">
        <f t="shared" si="208"/>
        <v>45869</v>
      </c>
      <c r="AK243" s="8">
        <f t="shared" ref="AK243:BQ243" si="209">AK$19</f>
        <v>45900</v>
      </c>
      <c r="AL243" s="8">
        <f t="shared" si="209"/>
        <v>45930</v>
      </c>
      <c r="AM243" s="8">
        <f t="shared" si="209"/>
        <v>45961</v>
      </c>
      <c r="AN243" s="8">
        <f t="shared" si="209"/>
        <v>45991</v>
      </c>
      <c r="AO243" s="8">
        <f t="shared" si="209"/>
        <v>46022</v>
      </c>
      <c r="AP243" s="8">
        <f t="shared" si="209"/>
        <v>46053</v>
      </c>
      <c r="AQ243" s="8">
        <f t="shared" si="209"/>
        <v>46081</v>
      </c>
      <c r="AR243" s="8">
        <f t="shared" si="209"/>
        <v>46112</v>
      </c>
      <c r="AS243" s="8">
        <f t="shared" si="209"/>
        <v>46142</v>
      </c>
      <c r="AT243" s="8">
        <f t="shared" si="209"/>
        <v>46173</v>
      </c>
      <c r="AU243" s="8">
        <f t="shared" si="209"/>
        <v>46203</v>
      </c>
      <c r="AV243" s="8">
        <f t="shared" si="209"/>
        <v>46234</v>
      </c>
      <c r="AW243" s="8">
        <f t="shared" si="209"/>
        <v>46265</v>
      </c>
      <c r="AX243" s="8">
        <f t="shared" si="209"/>
        <v>46295</v>
      </c>
      <c r="AY243" s="8">
        <f t="shared" si="209"/>
        <v>46326</v>
      </c>
      <c r="AZ243" s="8">
        <f t="shared" si="209"/>
        <v>46356</v>
      </c>
      <c r="BA243" s="8">
        <f t="shared" si="209"/>
        <v>46387</v>
      </c>
      <c r="BB243" s="8">
        <f t="shared" si="209"/>
        <v>46418</v>
      </c>
      <c r="BC243" s="8">
        <f t="shared" si="209"/>
        <v>46446</v>
      </c>
      <c r="BD243" s="8">
        <f t="shared" si="209"/>
        <v>46477</v>
      </c>
      <c r="BE243" s="8">
        <f t="shared" si="209"/>
        <v>46507</v>
      </c>
      <c r="BF243" s="8">
        <f t="shared" si="209"/>
        <v>46538</v>
      </c>
      <c r="BG243" s="8">
        <f t="shared" si="209"/>
        <v>46568</v>
      </c>
      <c r="BH243" s="8">
        <f t="shared" si="209"/>
        <v>46599</v>
      </c>
      <c r="BI243" s="8">
        <f t="shared" si="209"/>
        <v>46630</v>
      </c>
      <c r="BJ243" s="8">
        <f t="shared" si="209"/>
        <v>46660</v>
      </c>
      <c r="BK243" s="8">
        <f t="shared" si="209"/>
        <v>46691</v>
      </c>
      <c r="BL243" s="8">
        <f t="shared" si="209"/>
        <v>46721</v>
      </c>
      <c r="BM243" s="8">
        <f t="shared" si="209"/>
        <v>46752</v>
      </c>
      <c r="BN243" s="8">
        <f t="shared" si="209"/>
        <v>46783</v>
      </c>
      <c r="BO243" s="8">
        <f t="shared" si="209"/>
        <v>46812</v>
      </c>
      <c r="BP243" s="8">
        <f t="shared" si="209"/>
        <v>46843</v>
      </c>
      <c r="BQ243" s="8">
        <f t="shared" si="209"/>
        <v>46873</v>
      </c>
    </row>
    <row r="244" spans="1:69">
      <c r="E244" s="8" t="str">
        <f t="shared" ref="E244:AJ244" si="210">E$12</f>
        <v>Model period start</v>
      </c>
      <c r="F244" s="8">
        <f t="shared" si="210"/>
        <v>0</v>
      </c>
      <c r="G244" s="8" t="str">
        <f t="shared" si="210"/>
        <v>date</v>
      </c>
      <c r="H244" s="8">
        <f t="shared" si="210"/>
        <v>0</v>
      </c>
      <c r="I244" s="8">
        <f t="shared" si="210"/>
        <v>0</v>
      </c>
      <c r="J244" s="8">
        <f t="shared" si="210"/>
        <v>45047</v>
      </c>
      <c r="K244" s="8">
        <f t="shared" si="210"/>
        <v>45078</v>
      </c>
      <c r="L244" s="8">
        <f t="shared" si="210"/>
        <v>45108</v>
      </c>
      <c r="M244" s="8">
        <f t="shared" si="210"/>
        <v>45139</v>
      </c>
      <c r="N244" s="8">
        <f t="shared" si="210"/>
        <v>45170</v>
      </c>
      <c r="O244" s="8">
        <f t="shared" si="210"/>
        <v>45200</v>
      </c>
      <c r="P244" s="8">
        <f t="shared" si="210"/>
        <v>45231</v>
      </c>
      <c r="Q244" s="8">
        <f t="shared" si="210"/>
        <v>45261</v>
      </c>
      <c r="R244" s="8">
        <f t="shared" si="210"/>
        <v>45292</v>
      </c>
      <c r="S244" s="8">
        <f t="shared" si="210"/>
        <v>45323</v>
      </c>
      <c r="T244" s="8">
        <f t="shared" si="210"/>
        <v>45352</v>
      </c>
      <c r="U244" s="8">
        <f t="shared" si="210"/>
        <v>45383</v>
      </c>
      <c r="V244" s="8">
        <f t="shared" si="210"/>
        <v>45413</v>
      </c>
      <c r="W244" s="8">
        <f t="shared" si="210"/>
        <v>45444</v>
      </c>
      <c r="X244" s="8">
        <f t="shared" si="210"/>
        <v>45474</v>
      </c>
      <c r="Y244" s="8">
        <f t="shared" si="210"/>
        <v>45505</v>
      </c>
      <c r="Z244" s="8">
        <f t="shared" si="210"/>
        <v>45536</v>
      </c>
      <c r="AA244" s="8">
        <f t="shared" si="210"/>
        <v>45566</v>
      </c>
      <c r="AB244" s="8">
        <f t="shared" si="210"/>
        <v>45597</v>
      </c>
      <c r="AC244" s="8">
        <f t="shared" si="210"/>
        <v>45627</v>
      </c>
      <c r="AD244" s="8">
        <f t="shared" si="210"/>
        <v>45658</v>
      </c>
      <c r="AE244" s="8">
        <f t="shared" si="210"/>
        <v>45689</v>
      </c>
      <c r="AF244" s="8">
        <f t="shared" si="210"/>
        <v>45717</v>
      </c>
      <c r="AG244" s="8">
        <f t="shared" si="210"/>
        <v>45748</v>
      </c>
      <c r="AH244" s="8">
        <f t="shared" si="210"/>
        <v>45778</v>
      </c>
      <c r="AI244" s="8">
        <f t="shared" si="210"/>
        <v>45809</v>
      </c>
      <c r="AJ244" s="8">
        <f t="shared" si="210"/>
        <v>45839</v>
      </c>
      <c r="AK244" s="8">
        <f t="shared" ref="AK244:BQ244" si="211">AK$12</f>
        <v>45870</v>
      </c>
      <c r="AL244" s="8">
        <f t="shared" si="211"/>
        <v>45901</v>
      </c>
      <c r="AM244" s="8">
        <f t="shared" si="211"/>
        <v>45931</v>
      </c>
      <c r="AN244" s="8">
        <f t="shared" si="211"/>
        <v>45962</v>
      </c>
      <c r="AO244" s="8">
        <f t="shared" si="211"/>
        <v>45992</v>
      </c>
      <c r="AP244" s="8">
        <f t="shared" si="211"/>
        <v>46023</v>
      </c>
      <c r="AQ244" s="8">
        <f t="shared" si="211"/>
        <v>46054</v>
      </c>
      <c r="AR244" s="8">
        <f t="shared" si="211"/>
        <v>46082</v>
      </c>
      <c r="AS244" s="8">
        <f t="shared" si="211"/>
        <v>46113</v>
      </c>
      <c r="AT244" s="8">
        <f t="shared" si="211"/>
        <v>46143</v>
      </c>
      <c r="AU244" s="8">
        <f t="shared" si="211"/>
        <v>46174</v>
      </c>
      <c r="AV244" s="8">
        <f t="shared" si="211"/>
        <v>46204</v>
      </c>
      <c r="AW244" s="8">
        <f t="shared" si="211"/>
        <v>46235</v>
      </c>
      <c r="AX244" s="8">
        <f t="shared" si="211"/>
        <v>46266</v>
      </c>
      <c r="AY244" s="8">
        <f t="shared" si="211"/>
        <v>46296</v>
      </c>
      <c r="AZ244" s="8">
        <f t="shared" si="211"/>
        <v>46327</v>
      </c>
      <c r="BA244" s="8">
        <f t="shared" si="211"/>
        <v>46357</v>
      </c>
      <c r="BB244" s="8">
        <f t="shared" si="211"/>
        <v>46388</v>
      </c>
      <c r="BC244" s="8">
        <f t="shared" si="211"/>
        <v>46419</v>
      </c>
      <c r="BD244" s="8">
        <f t="shared" si="211"/>
        <v>46447</v>
      </c>
      <c r="BE244" s="8">
        <f t="shared" si="211"/>
        <v>46478</v>
      </c>
      <c r="BF244" s="8">
        <f t="shared" si="211"/>
        <v>46508</v>
      </c>
      <c r="BG244" s="8">
        <f t="shared" si="211"/>
        <v>46539</v>
      </c>
      <c r="BH244" s="8">
        <f t="shared" si="211"/>
        <v>46569</v>
      </c>
      <c r="BI244" s="8">
        <f t="shared" si="211"/>
        <v>46600</v>
      </c>
      <c r="BJ244" s="8">
        <f t="shared" si="211"/>
        <v>46631</v>
      </c>
      <c r="BK244" s="8">
        <f t="shared" si="211"/>
        <v>46661</v>
      </c>
      <c r="BL244" s="8">
        <f t="shared" si="211"/>
        <v>46692</v>
      </c>
      <c r="BM244" s="8">
        <f t="shared" si="211"/>
        <v>46722</v>
      </c>
      <c r="BN244" s="8">
        <f t="shared" si="211"/>
        <v>46753</v>
      </c>
      <c r="BO244" s="8">
        <f t="shared" si="211"/>
        <v>46784</v>
      </c>
      <c r="BP244" s="8">
        <f t="shared" si="211"/>
        <v>46813</v>
      </c>
      <c r="BQ244" s="8">
        <f t="shared" si="211"/>
        <v>46844</v>
      </c>
    </row>
    <row r="245" spans="1:69">
      <c r="A245" s="31"/>
      <c r="B245" s="31"/>
      <c r="C245" s="51"/>
      <c r="D245" s="50"/>
      <c r="E245" s="3" t="s">
        <v>107</v>
      </c>
      <c r="F245" s="3"/>
      <c r="G245" s="3" t="s">
        <v>21</v>
      </c>
      <c r="H245" s="3">
        <f>SUM(J245:BQ245)</f>
        <v>0</v>
      </c>
      <c r="I245" s="3"/>
      <c r="J245" s="3">
        <f t="shared" ref="J245:AO245" si="212">IF(AND(J243&gt;=$F241,J244&lt;=$F242),1,0)</f>
        <v>0</v>
      </c>
      <c r="K245" s="3">
        <f t="shared" si="212"/>
        <v>0</v>
      </c>
      <c r="L245" s="3">
        <f t="shared" si="212"/>
        <v>0</v>
      </c>
      <c r="M245" s="3">
        <f t="shared" si="212"/>
        <v>0</v>
      </c>
      <c r="N245" s="3">
        <f t="shared" si="212"/>
        <v>0</v>
      </c>
      <c r="O245" s="3">
        <f t="shared" si="212"/>
        <v>0</v>
      </c>
      <c r="P245" s="3">
        <f t="shared" si="212"/>
        <v>0</v>
      </c>
      <c r="Q245" s="3">
        <f t="shared" si="212"/>
        <v>0</v>
      </c>
      <c r="R245" s="3">
        <f t="shared" si="212"/>
        <v>0</v>
      </c>
      <c r="S245" s="3">
        <f t="shared" si="212"/>
        <v>0</v>
      </c>
      <c r="T245" s="3">
        <f t="shared" si="212"/>
        <v>0</v>
      </c>
      <c r="U245" s="3">
        <f t="shared" si="212"/>
        <v>0</v>
      </c>
      <c r="V245" s="3">
        <f t="shared" si="212"/>
        <v>0</v>
      </c>
      <c r="W245" s="3">
        <f t="shared" si="212"/>
        <v>0</v>
      </c>
      <c r="X245" s="3">
        <f t="shared" si="212"/>
        <v>0</v>
      </c>
      <c r="Y245" s="3">
        <f t="shared" si="212"/>
        <v>0</v>
      </c>
      <c r="Z245" s="3">
        <f t="shared" si="212"/>
        <v>0</v>
      </c>
      <c r="AA245" s="3">
        <f t="shared" si="212"/>
        <v>0</v>
      </c>
      <c r="AB245" s="3">
        <f t="shared" si="212"/>
        <v>0</v>
      </c>
      <c r="AC245" s="3">
        <f t="shared" si="212"/>
        <v>0</v>
      </c>
      <c r="AD245" s="3">
        <f t="shared" si="212"/>
        <v>0</v>
      </c>
      <c r="AE245" s="3">
        <f t="shared" si="212"/>
        <v>0</v>
      </c>
      <c r="AF245" s="3">
        <f t="shared" si="212"/>
        <v>0</v>
      </c>
      <c r="AG245" s="3">
        <f t="shared" si="212"/>
        <v>0</v>
      </c>
      <c r="AH245" s="3">
        <f t="shared" si="212"/>
        <v>0</v>
      </c>
      <c r="AI245" s="3">
        <f t="shared" si="212"/>
        <v>0</v>
      </c>
      <c r="AJ245" s="3">
        <f t="shared" si="212"/>
        <v>0</v>
      </c>
      <c r="AK245" s="3">
        <f t="shared" si="212"/>
        <v>0</v>
      </c>
      <c r="AL245" s="3">
        <f t="shared" si="212"/>
        <v>0</v>
      </c>
      <c r="AM245" s="3">
        <f t="shared" si="212"/>
        <v>0</v>
      </c>
      <c r="AN245" s="3">
        <f t="shared" si="212"/>
        <v>0</v>
      </c>
      <c r="AO245" s="3">
        <f t="shared" si="212"/>
        <v>0</v>
      </c>
      <c r="AP245" s="3">
        <f t="shared" ref="AP245:BU245" si="213">IF(AND(AP243&gt;=$F241,AP244&lt;=$F242),1,0)</f>
        <v>0</v>
      </c>
      <c r="AQ245" s="3">
        <f t="shared" si="213"/>
        <v>0</v>
      </c>
      <c r="AR245" s="3">
        <f t="shared" si="213"/>
        <v>0</v>
      </c>
      <c r="AS245" s="3">
        <f t="shared" si="213"/>
        <v>0</v>
      </c>
      <c r="AT245" s="3">
        <f t="shared" si="213"/>
        <v>0</v>
      </c>
      <c r="AU245" s="3">
        <f t="shared" si="213"/>
        <v>0</v>
      </c>
      <c r="AV245" s="3">
        <f t="shared" si="213"/>
        <v>0</v>
      </c>
      <c r="AW245" s="3">
        <f t="shared" si="213"/>
        <v>0</v>
      </c>
      <c r="AX245" s="3">
        <f t="shared" si="213"/>
        <v>0</v>
      </c>
      <c r="AY245" s="3">
        <f t="shared" si="213"/>
        <v>0</v>
      </c>
      <c r="AZ245" s="3">
        <f t="shared" si="213"/>
        <v>0</v>
      </c>
      <c r="BA245" s="3">
        <f t="shared" si="213"/>
        <v>0</v>
      </c>
      <c r="BB245" s="3">
        <f t="shared" si="213"/>
        <v>0</v>
      </c>
      <c r="BC245" s="3">
        <f t="shared" si="213"/>
        <v>0</v>
      </c>
      <c r="BD245" s="3">
        <f t="shared" si="213"/>
        <v>0</v>
      </c>
      <c r="BE245" s="3">
        <f t="shared" si="213"/>
        <v>0</v>
      </c>
      <c r="BF245" s="3">
        <f t="shared" si="213"/>
        <v>0</v>
      </c>
      <c r="BG245" s="3">
        <f t="shared" si="213"/>
        <v>0</v>
      </c>
      <c r="BH245" s="3">
        <f t="shared" si="213"/>
        <v>0</v>
      </c>
      <c r="BI245" s="3">
        <f t="shared" si="213"/>
        <v>0</v>
      </c>
      <c r="BJ245" s="3">
        <f t="shared" si="213"/>
        <v>0</v>
      </c>
      <c r="BK245" s="3">
        <f t="shared" si="213"/>
        <v>0</v>
      </c>
      <c r="BL245" s="3">
        <f t="shared" si="213"/>
        <v>0</v>
      </c>
      <c r="BM245" s="3">
        <f t="shared" si="213"/>
        <v>0</v>
      </c>
      <c r="BN245" s="3">
        <f t="shared" si="213"/>
        <v>0</v>
      </c>
      <c r="BO245" s="3">
        <f t="shared" si="213"/>
        <v>0</v>
      </c>
      <c r="BP245" s="3">
        <f t="shared" si="213"/>
        <v>0</v>
      </c>
      <c r="BQ245" s="3">
        <f t="shared" si="213"/>
        <v>0</v>
      </c>
    </row>
    <row r="248" spans="1:69">
      <c r="A248" s="22" t="s">
        <v>311</v>
      </c>
    </row>
    <row r="249" spans="1:69" ht="14.5">
      <c r="A249"/>
      <c r="B249" s="22" t="s">
        <v>311</v>
      </c>
    </row>
    <row r="250" spans="1:69">
      <c r="E250" s="2" t="str">
        <f>E$265</f>
        <v>VAT return this period first period number constant</v>
      </c>
      <c r="F250" s="2">
        <f>F$265</f>
        <v>2</v>
      </c>
      <c r="G250" s="2">
        <f>G$265</f>
        <v>0</v>
      </c>
    </row>
    <row r="251" spans="1:69">
      <c r="A251" s="17"/>
      <c r="B251" s="17"/>
      <c r="C251" s="26"/>
      <c r="D251" s="27"/>
      <c r="E251" s="4" t="str">
        <f>InpC!E$81</f>
        <v>VAT return this period every x periods</v>
      </c>
      <c r="F251" s="4">
        <f>InpC!F$81</f>
        <v>3</v>
      </c>
      <c r="G251" s="4" t="str">
        <f>InpC!G$81</f>
        <v>Months</v>
      </c>
    </row>
    <row r="252" spans="1:69">
      <c r="E252" s="2" t="str">
        <f>E$260</f>
        <v>VAT return this period mod of period number</v>
      </c>
      <c r="F252" s="2">
        <f>F$260</f>
        <v>2</v>
      </c>
      <c r="G252" s="2">
        <f>G$260</f>
        <v>0</v>
      </c>
    </row>
    <row r="253" spans="1:69">
      <c r="E253" s="5" t="str">
        <f t="shared" ref="E253:AJ253" si="214">E$28</f>
        <v>Period number</v>
      </c>
      <c r="F253" s="5">
        <f t="shared" si="214"/>
        <v>0</v>
      </c>
      <c r="G253" s="5" t="str">
        <f t="shared" si="214"/>
        <v>Counter</v>
      </c>
      <c r="H253" s="5">
        <f t="shared" si="214"/>
        <v>0</v>
      </c>
      <c r="I253" s="5">
        <f t="shared" si="214"/>
        <v>0</v>
      </c>
      <c r="J253" s="5">
        <f t="shared" si="214"/>
        <v>1</v>
      </c>
      <c r="K253" s="5">
        <f t="shared" si="214"/>
        <v>2</v>
      </c>
      <c r="L253" s="5">
        <f t="shared" si="214"/>
        <v>3</v>
      </c>
      <c r="M253" s="5">
        <f t="shared" si="214"/>
        <v>4</v>
      </c>
      <c r="N253" s="5">
        <f t="shared" si="214"/>
        <v>5</v>
      </c>
      <c r="O253" s="5">
        <f t="shared" si="214"/>
        <v>6</v>
      </c>
      <c r="P253" s="5">
        <f t="shared" si="214"/>
        <v>7</v>
      </c>
      <c r="Q253" s="5">
        <f t="shared" si="214"/>
        <v>8</v>
      </c>
      <c r="R253" s="5">
        <f t="shared" si="214"/>
        <v>9</v>
      </c>
      <c r="S253" s="5">
        <f t="shared" si="214"/>
        <v>10</v>
      </c>
      <c r="T253" s="5">
        <f t="shared" si="214"/>
        <v>11</v>
      </c>
      <c r="U253" s="5">
        <f t="shared" si="214"/>
        <v>12</v>
      </c>
      <c r="V253" s="5">
        <f t="shared" si="214"/>
        <v>13</v>
      </c>
      <c r="W253" s="5">
        <f t="shared" si="214"/>
        <v>14</v>
      </c>
      <c r="X253" s="5">
        <f t="shared" si="214"/>
        <v>15</v>
      </c>
      <c r="Y253" s="5">
        <f t="shared" si="214"/>
        <v>16</v>
      </c>
      <c r="Z253" s="5">
        <f t="shared" si="214"/>
        <v>17</v>
      </c>
      <c r="AA253" s="5">
        <f t="shared" si="214"/>
        <v>18</v>
      </c>
      <c r="AB253" s="5">
        <f t="shared" si="214"/>
        <v>19</v>
      </c>
      <c r="AC253" s="5">
        <f t="shared" si="214"/>
        <v>20</v>
      </c>
      <c r="AD253" s="5">
        <f t="shared" si="214"/>
        <v>21</v>
      </c>
      <c r="AE253" s="5">
        <f t="shared" si="214"/>
        <v>22</v>
      </c>
      <c r="AF253" s="5">
        <f t="shared" si="214"/>
        <v>23</v>
      </c>
      <c r="AG253" s="5">
        <f t="shared" si="214"/>
        <v>24</v>
      </c>
      <c r="AH253" s="5">
        <f t="shared" si="214"/>
        <v>25</v>
      </c>
      <c r="AI253" s="5">
        <f t="shared" si="214"/>
        <v>26</v>
      </c>
      <c r="AJ253" s="5">
        <f t="shared" si="214"/>
        <v>27</v>
      </c>
      <c r="AK253" s="5">
        <f t="shared" ref="AK253:BQ253" si="215">AK$28</f>
        <v>28</v>
      </c>
      <c r="AL253" s="5">
        <f t="shared" si="215"/>
        <v>29</v>
      </c>
      <c r="AM253" s="5">
        <f t="shared" si="215"/>
        <v>30</v>
      </c>
      <c r="AN253" s="5">
        <f t="shared" si="215"/>
        <v>31</v>
      </c>
      <c r="AO253" s="5">
        <f t="shared" si="215"/>
        <v>32</v>
      </c>
      <c r="AP253" s="5">
        <f t="shared" si="215"/>
        <v>33</v>
      </c>
      <c r="AQ253" s="5">
        <f t="shared" si="215"/>
        <v>34</v>
      </c>
      <c r="AR253" s="5">
        <f t="shared" si="215"/>
        <v>35</v>
      </c>
      <c r="AS253" s="5">
        <f t="shared" si="215"/>
        <v>36</v>
      </c>
      <c r="AT253" s="5">
        <f t="shared" si="215"/>
        <v>37</v>
      </c>
      <c r="AU253" s="5">
        <f t="shared" si="215"/>
        <v>38</v>
      </c>
      <c r="AV253" s="5">
        <f t="shared" si="215"/>
        <v>39</v>
      </c>
      <c r="AW253" s="5">
        <f t="shared" si="215"/>
        <v>40</v>
      </c>
      <c r="AX253" s="5">
        <f t="shared" si="215"/>
        <v>41</v>
      </c>
      <c r="AY253" s="5">
        <f t="shared" si="215"/>
        <v>42</v>
      </c>
      <c r="AZ253" s="5">
        <f t="shared" si="215"/>
        <v>43</v>
      </c>
      <c r="BA253" s="5">
        <f t="shared" si="215"/>
        <v>44</v>
      </c>
      <c r="BB253" s="5">
        <f t="shared" si="215"/>
        <v>45</v>
      </c>
      <c r="BC253" s="5">
        <f t="shared" si="215"/>
        <v>46</v>
      </c>
      <c r="BD253" s="5">
        <f t="shared" si="215"/>
        <v>47</v>
      </c>
      <c r="BE253" s="5">
        <f t="shared" si="215"/>
        <v>48</v>
      </c>
      <c r="BF253" s="5">
        <f t="shared" si="215"/>
        <v>49</v>
      </c>
      <c r="BG253" s="5">
        <f t="shared" si="215"/>
        <v>50</v>
      </c>
      <c r="BH253" s="5">
        <f t="shared" si="215"/>
        <v>51</v>
      </c>
      <c r="BI253" s="5">
        <f t="shared" si="215"/>
        <v>52</v>
      </c>
      <c r="BJ253" s="5">
        <f t="shared" si="215"/>
        <v>53</v>
      </c>
      <c r="BK253" s="5">
        <f t="shared" si="215"/>
        <v>54</v>
      </c>
      <c r="BL253" s="5">
        <f t="shared" si="215"/>
        <v>55</v>
      </c>
      <c r="BM253" s="5">
        <f t="shared" si="215"/>
        <v>56</v>
      </c>
      <c r="BN253" s="5">
        <f t="shared" si="215"/>
        <v>57</v>
      </c>
      <c r="BO253" s="5">
        <f t="shared" si="215"/>
        <v>58</v>
      </c>
      <c r="BP253" s="5">
        <f t="shared" si="215"/>
        <v>59</v>
      </c>
      <c r="BQ253" s="5">
        <f t="shared" si="215"/>
        <v>60</v>
      </c>
    </row>
    <row r="254" spans="1:69">
      <c r="A254" s="31"/>
      <c r="B254" s="31"/>
      <c r="C254" s="51"/>
      <c r="D254" s="50"/>
      <c r="E254" s="3" t="s">
        <v>311</v>
      </c>
      <c r="F254" s="3"/>
      <c r="G254" s="3" t="s">
        <v>21</v>
      </c>
      <c r="H254" s="3">
        <f>SUM(J254:BQ254)</f>
        <v>20</v>
      </c>
      <c r="I254" s="3"/>
      <c r="J254" s="3">
        <f t="shared" ref="J254:AO254" si="216">IF(AND(J253&gt;=$F250,MOD(J253,$F251)=$F252),1,0)</f>
        <v>0</v>
      </c>
      <c r="K254" s="3">
        <f t="shared" si="216"/>
        <v>1</v>
      </c>
      <c r="L254" s="3">
        <f t="shared" si="216"/>
        <v>0</v>
      </c>
      <c r="M254" s="3">
        <f t="shared" si="216"/>
        <v>0</v>
      </c>
      <c r="N254" s="3">
        <f t="shared" si="216"/>
        <v>1</v>
      </c>
      <c r="O254" s="3">
        <f t="shared" si="216"/>
        <v>0</v>
      </c>
      <c r="P254" s="3">
        <f t="shared" si="216"/>
        <v>0</v>
      </c>
      <c r="Q254" s="3">
        <f t="shared" si="216"/>
        <v>1</v>
      </c>
      <c r="R254" s="3">
        <f t="shared" si="216"/>
        <v>0</v>
      </c>
      <c r="S254" s="3">
        <f t="shared" si="216"/>
        <v>0</v>
      </c>
      <c r="T254" s="3">
        <f t="shared" si="216"/>
        <v>1</v>
      </c>
      <c r="U254" s="3">
        <f t="shared" si="216"/>
        <v>0</v>
      </c>
      <c r="V254" s="3">
        <f t="shared" si="216"/>
        <v>0</v>
      </c>
      <c r="W254" s="3">
        <f t="shared" si="216"/>
        <v>1</v>
      </c>
      <c r="X254" s="3">
        <f t="shared" si="216"/>
        <v>0</v>
      </c>
      <c r="Y254" s="3">
        <f t="shared" si="216"/>
        <v>0</v>
      </c>
      <c r="Z254" s="3">
        <f t="shared" si="216"/>
        <v>1</v>
      </c>
      <c r="AA254" s="3">
        <f t="shared" si="216"/>
        <v>0</v>
      </c>
      <c r="AB254" s="3">
        <f t="shared" si="216"/>
        <v>0</v>
      </c>
      <c r="AC254" s="3">
        <f t="shared" si="216"/>
        <v>1</v>
      </c>
      <c r="AD254" s="3">
        <f t="shared" si="216"/>
        <v>0</v>
      </c>
      <c r="AE254" s="3">
        <f t="shared" si="216"/>
        <v>0</v>
      </c>
      <c r="AF254" s="3">
        <f t="shared" si="216"/>
        <v>1</v>
      </c>
      <c r="AG254" s="3">
        <f t="shared" si="216"/>
        <v>0</v>
      </c>
      <c r="AH254" s="3">
        <f t="shared" si="216"/>
        <v>0</v>
      </c>
      <c r="AI254" s="3">
        <f t="shared" si="216"/>
        <v>1</v>
      </c>
      <c r="AJ254" s="3">
        <f t="shared" si="216"/>
        <v>0</v>
      </c>
      <c r="AK254" s="3">
        <f t="shared" si="216"/>
        <v>0</v>
      </c>
      <c r="AL254" s="3">
        <f t="shared" si="216"/>
        <v>1</v>
      </c>
      <c r="AM254" s="3">
        <f t="shared" si="216"/>
        <v>0</v>
      </c>
      <c r="AN254" s="3">
        <f t="shared" si="216"/>
        <v>0</v>
      </c>
      <c r="AO254" s="3">
        <f t="shared" si="216"/>
        <v>1</v>
      </c>
      <c r="AP254" s="3">
        <f t="shared" ref="AP254:BU254" si="217">IF(AND(AP253&gt;=$F250,MOD(AP253,$F251)=$F252),1,0)</f>
        <v>0</v>
      </c>
      <c r="AQ254" s="3">
        <f t="shared" si="217"/>
        <v>0</v>
      </c>
      <c r="AR254" s="3">
        <f t="shared" si="217"/>
        <v>1</v>
      </c>
      <c r="AS254" s="3">
        <f t="shared" si="217"/>
        <v>0</v>
      </c>
      <c r="AT254" s="3">
        <f t="shared" si="217"/>
        <v>0</v>
      </c>
      <c r="AU254" s="3">
        <f t="shared" si="217"/>
        <v>1</v>
      </c>
      <c r="AV254" s="3">
        <f t="shared" si="217"/>
        <v>0</v>
      </c>
      <c r="AW254" s="3">
        <f t="shared" si="217"/>
        <v>0</v>
      </c>
      <c r="AX254" s="3">
        <f t="shared" si="217"/>
        <v>1</v>
      </c>
      <c r="AY254" s="3">
        <f t="shared" si="217"/>
        <v>0</v>
      </c>
      <c r="AZ254" s="3">
        <f t="shared" si="217"/>
        <v>0</v>
      </c>
      <c r="BA254" s="3">
        <f t="shared" si="217"/>
        <v>1</v>
      </c>
      <c r="BB254" s="3">
        <f t="shared" si="217"/>
        <v>0</v>
      </c>
      <c r="BC254" s="3">
        <f t="shared" si="217"/>
        <v>0</v>
      </c>
      <c r="BD254" s="3">
        <f t="shared" si="217"/>
        <v>1</v>
      </c>
      <c r="BE254" s="3">
        <f t="shared" si="217"/>
        <v>0</v>
      </c>
      <c r="BF254" s="3">
        <f t="shared" si="217"/>
        <v>0</v>
      </c>
      <c r="BG254" s="3">
        <f t="shared" si="217"/>
        <v>1</v>
      </c>
      <c r="BH254" s="3">
        <f t="shared" si="217"/>
        <v>0</v>
      </c>
      <c r="BI254" s="3">
        <f t="shared" si="217"/>
        <v>0</v>
      </c>
      <c r="BJ254" s="3">
        <f t="shared" si="217"/>
        <v>1</v>
      </c>
      <c r="BK254" s="3">
        <f t="shared" si="217"/>
        <v>0</v>
      </c>
      <c r="BL254" s="3">
        <f t="shared" si="217"/>
        <v>0</v>
      </c>
      <c r="BM254" s="3">
        <f t="shared" si="217"/>
        <v>1</v>
      </c>
      <c r="BN254" s="3">
        <f t="shared" si="217"/>
        <v>0</v>
      </c>
      <c r="BO254" s="3">
        <f t="shared" si="217"/>
        <v>0</v>
      </c>
      <c r="BP254" s="3">
        <f t="shared" si="217"/>
        <v>1</v>
      </c>
      <c r="BQ254" s="3">
        <f t="shared" si="217"/>
        <v>0</v>
      </c>
    </row>
    <row r="257" spans="1:69">
      <c r="B257" s="22" t="s">
        <v>108</v>
      </c>
    </row>
    <row r="258" spans="1:69">
      <c r="E258" s="2" t="str">
        <f>E$265</f>
        <v>VAT return this period first period number constant</v>
      </c>
      <c r="F258" s="2">
        <f>F$265</f>
        <v>2</v>
      </c>
      <c r="G258" s="2">
        <f>G$265</f>
        <v>0</v>
      </c>
    </row>
    <row r="259" spans="1:69">
      <c r="A259" s="17"/>
      <c r="B259" s="17"/>
      <c r="C259" s="26"/>
      <c r="D259" s="27"/>
      <c r="E259" s="4" t="str">
        <f>InpC!E$81</f>
        <v>VAT return this period every x periods</v>
      </c>
      <c r="F259" s="4">
        <f>InpC!F$81</f>
        <v>3</v>
      </c>
      <c r="G259" s="4" t="str">
        <f>InpC!G$81</f>
        <v>Months</v>
      </c>
    </row>
    <row r="260" spans="1:69" ht="14.5">
      <c r="E260" s="2" t="s">
        <v>108</v>
      </c>
      <c r="F260" s="2">
        <f>MOD($F258,$F259)</f>
        <v>2</v>
      </c>
      <c r="G260"/>
    </row>
    <row r="263" spans="1:69">
      <c r="B263" s="22" t="s">
        <v>78</v>
      </c>
    </row>
    <row r="264" spans="1:69">
      <c r="E264" s="2" t="str">
        <f t="shared" ref="E264:AJ264" si="218">E$271</f>
        <v>VAT return this period first period number</v>
      </c>
      <c r="F264" s="2">
        <f t="shared" si="218"/>
        <v>0</v>
      </c>
      <c r="G264" s="2">
        <f t="shared" si="218"/>
        <v>0</v>
      </c>
      <c r="H264" s="2">
        <f t="shared" si="218"/>
        <v>2</v>
      </c>
      <c r="I264" s="2">
        <f t="shared" si="218"/>
        <v>0</v>
      </c>
      <c r="J264" s="2">
        <f t="shared" si="218"/>
        <v>0</v>
      </c>
      <c r="K264" s="2">
        <f t="shared" si="218"/>
        <v>2</v>
      </c>
      <c r="L264" s="2">
        <f t="shared" si="218"/>
        <v>0</v>
      </c>
      <c r="M264" s="2">
        <f t="shared" si="218"/>
        <v>0</v>
      </c>
      <c r="N264" s="2">
        <f t="shared" si="218"/>
        <v>0</v>
      </c>
      <c r="O264" s="2">
        <f t="shared" si="218"/>
        <v>0</v>
      </c>
      <c r="P264" s="2">
        <f t="shared" si="218"/>
        <v>0</v>
      </c>
      <c r="Q264" s="2">
        <f t="shared" si="218"/>
        <v>0</v>
      </c>
      <c r="R264" s="2">
        <f t="shared" si="218"/>
        <v>0</v>
      </c>
      <c r="S264" s="2">
        <f t="shared" si="218"/>
        <v>0</v>
      </c>
      <c r="T264" s="2">
        <f t="shared" si="218"/>
        <v>0</v>
      </c>
      <c r="U264" s="2">
        <f t="shared" si="218"/>
        <v>0</v>
      </c>
      <c r="V264" s="2">
        <f t="shared" si="218"/>
        <v>0</v>
      </c>
      <c r="W264" s="2">
        <f t="shared" si="218"/>
        <v>0</v>
      </c>
      <c r="X264" s="2">
        <f t="shared" si="218"/>
        <v>0</v>
      </c>
      <c r="Y264" s="2">
        <f t="shared" si="218"/>
        <v>0</v>
      </c>
      <c r="Z264" s="2">
        <f t="shared" si="218"/>
        <v>0</v>
      </c>
      <c r="AA264" s="2">
        <f t="shared" si="218"/>
        <v>0</v>
      </c>
      <c r="AB264" s="2">
        <f t="shared" si="218"/>
        <v>0</v>
      </c>
      <c r="AC264" s="2">
        <f t="shared" si="218"/>
        <v>0</v>
      </c>
      <c r="AD264" s="2">
        <f t="shared" si="218"/>
        <v>0</v>
      </c>
      <c r="AE264" s="2">
        <f t="shared" si="218"/>
        <v>0</v>
      </c>
      <c r="AF264" s="2">
        <f t="shared" si="218"/>
        <v>0</v>
      </c>
      <c r="AG264" s="2">
        <f t="shared" si="218"/>
        <v>0</v>
      </c>
      <c r="AH264" s="2">
        <f t="shared" si="218"/>
        <v>0</v>
      </c>
      <c r="AI264" s="2">
        <f t="shared" si="218"/>
        <v>0</v>
      </c>
      <c r="AJ264" s="2">
        <f t="shared" si="218"/>
        <v>0</v>
      </c>
      <c r="AK264" s="2">
        <f t="shared" ref="AK264:BQ264" si="219">AK$271</f>
        <v>0</v>
      </c>
      <c r="AL264" s="2">
        <f t="shared" si="219"/>
        <v>0</v>
      </c>
      <c r="AM264" s="2">
        <f t="shared" si="219"/>
        <v>0</v>
      </c>
      <c r="AN264" s="2">
        <f t="shared" si="219"/>
        <v>0</v>
      </c>
      <c r="AO264" s="2">
        <f t="shared" si="219"/>
        <v>0</v>
      </c>
      <c r="AP264" s="2">
        <f t="shared" si="219"/>
        <v>0</v>
      </c>
      <c r="AQ264" s="2">
        <f t="shared" si="219"/>
        <v>0</v>
      </c>
      <c r="AR264" s="2">
        <f t="shared" si="219"/>
        <v>0</v>
      </c>
      <c r="AS264" s="2">
        <f t="shared" si="219"/>
        <v>0</v>
      </c>
      <c r="AT264" s="2">
        <f t="shared" si="219"/>
        <v>0</v>
      </c>
      <c r="AU264" s="2">
        <f t="shared" si="219"/>
        <v>0</v>
      </c>
      <c r="AV264" s="2">
        <f t="shared" si="219"/>
        <v>0</v>
      </c>
      <c r="AW264" s="2">
        <f t="shared" si="219"/>
        <v>0</v>
      </c>
      <c r="AX264" s="2">
        <f t="shared" si="219"/>
        <v>0</v>
      </c>
      <c r="AY264" s="2">
        <f t="shared" si="219"/>
        <v>0</v>
      </c>
      <c r="AZ264" s="2">
        <f t="shared" si="219"/>
        <v>0</v>
      </c>
      <c r="BA264" s="2">
        <f t="shared" si="219"/>
        <v>0</v>
      </c>
      <c r="BB264" s="2">
        <f t="shared" si="219"/>
        <v>0</v>
      </c>
      <c r="BC264" s="2">
        <f t="shared" si="219"/>
        <v>0</v>
      </c>
      <c r="BD264" s="2">
        <f t="shared" si="219"/>
        <v>0</v>
      </c>
      <c r="BE264" s="2">
        <f t="shared" si="219"/>
        <v>0</v>
      </c>
      <c r="BF264" s="2">
        <f t="shared" si="219"/>
        <v>0</v>
      </c>
      <c r="BG264" s="2">
        <f t="shared" si="219"/>
        <v>0</v>
      </c>
      <c r="BH264" s="2">
        <f t="shared" si="219"/>
        <v>0</v>
      </c>
      <c r="BI264" s="2">
        <f t="shared" si="219"/>
        <v>0</v>
      </c>
      <c r="BJ264" s="2">
        <f t="shared" si="219"/>
        <v>0</v>
      </c>
      <c r="BK264" s="2">
        <f t="shared" si="219"/>
        <v>0</v>
      </c>
      <c r="BL264" s="2">
        <f t="shared" si="219"/>
        <v>0</v>
      </c>
      <c r="BM264" s="2">
        <f t="shared" si="219"/>
        <v>0</v>
      </c>
      <c r="BN264" s="2">
        <f t="shared" si="219"/>
        <v>0</v>
      </c>
      <c r="BO264" s="2">
        <f t="shared" si="219"/>
        <v>0</v>
      </c>
      <c r="BP264" s="2">
        <f t="shared" si="219"/>
        <v>0</v>
      </c>
      <c r="BQ264" s="2">
        <f t="shared" si="219"/>
        <v>0</v>
      </c>
    </row>
    <row r="265" spans="1:69" ht="14.5">
      <c r="E265" s="2" t="s">
        <v>78</v>
      </c>
      <c r="F265" s="2">
        <f>SUM($J264:$BQ264)</f>
        <v>2</v>
      </c>
      <c r="G265"/>
    </row>
    <row r="268" spans="1:69">
      <c r="B268" s="22" t="s">
        <v>33</v>
      </c>
    </row>
    <row r="269" spans="1:69">
      <c r="E269" s="5" t="str">
        <f t="shared" ref="E269:AJ269" si="220">E$28</f>
        <v>Period number</v>
      </c>
      <c r="F269" s="5">
        <f t="shared" si="220"/>
        <v>0</v>
      </c>
      <c r="G269" s="5" t="str">
        <f t="shared" si="220"/>
        <v>Counter</v>
      </c>
      <c r="H269" s="5">
        <f t="shared" si="220"/>
        <v>0</v>
      </c>
      <c r="I269" s="5">
        <f t="shared" si="220"/>
        <v>0</v>
      </c>
      <c r="J269" s="5">
        <f t="shared" si="220"/>
        <v>1</v>
      </c>
      <c r="K269" s="5">
        <f t="shared" si="220"/>
        <v>2</v>
      </c>
      <c r="L269" s="5">
        <f t="shared" si="220"/>
        <v>3</v>
      </c>
      <c r="M269" s="5">
        <f t="shared" si="220"/>
        <v>4</v>
      </c>
      <c r="N269" s="5">
        <f t="shared" si="220"/>
        <v>5</v>
      </c>
      <c r="O269" s="5">
        <f t="shared" si="220"/>
        <v>6</v>
      </c>
      <c r="P269" s="5">
        <f t="shared" si="220"/>
        <v>7</v>
      </c>
      <c r="Q269" s="5">
        <f t="shared" si="220"/>
        <v>8</v>
      </c>
      <c r="R269" s="5">
        <f t="shared" si="220"/>
        <v>9</v>
      </c>
      <c r="S269" s="5">
        <f t="shared" si="220"/>
        <v>10</v>
      </c>
      <c r="T269" s="5">
        <f t="shared" si="220"/>
        <v>11</v>
      </c>
      <c r="U269" s="5">
        <f t="shared" si="220"/>
        <v>12</v>
      </c>
      <c r="V269" s="5">
        <f t="shared" si="220"/>
        <v>13</v>
      </c>
      <c r="W269" s="5">
        <f t="shared" si="220"/>
        <v>14</v>
      </c>
      <c r="X269" s="5">
        <f t="shared" si="220"/>
        <v>15</v>
      </c>
      <c r="Y269" s="5">
        <f t="shared" si="220"/>
        <v>16</v>
      </c>
      <c r="Z269" s="5">
        <f t="shared" si="220"/>
        <v>17</v>
      </c>
      <c r="AA269" s="5">
        <f t="shared" si="220"/>
        <v>18</v>
      </c>
      <c r="AB269" s="5">
        <f t="shared" si="220"/>
        <v>19</v>
      </c>
      <c r="AC269" s="5">
        <f t="shared" si="220"/>
        <v>20</v>
      </c>
      <c r="AD269" s="5">
        <f t="shared" si="220"/>
        <v>21</v>
      </c>
      <c r="AE269" s="5">
        <f t="shared" si="220"/>
        <v>22</v>
      </c>
      <c r="AF269" s="5">
        <f t="shared" si="220"/>
        <v>23</v>
      </c>
      <c r="AG269" s="5">
        <f t="shared" si="220"/>
        <v>24</v>
      </c>
      <c r="AH269" s="5">
        <f t="shared" si="220"/>
        <v>25</v>
      </c>
      <c r="AI269" s="5">
        <f t="shared" si="220"/>
        <v>26</v>
      </c>
      <c r="AJ269" s="5">
        <f t="shared" si="220"/>
        <v>27</v>
      </c>
      <c r="AK269" s="5">
        <f t="shared" ref="AK269:BQ269" si="221">AK$28</f>
        <v>28</v>
      </c>
      <c r="AL269" s="5">
        <f t="shared" si="221"/>
        <v>29</v>
      </c>
      <c r="AM269" s="5">
        <f t="shared" si="221"/>
        <v>30</v>
      </c>
      <c r="AN269" s="5">
        <f t="shared" si="221"/>
        <v>31</v>
      </c>
      <c r="AO269" s="5">
        <f t="shared" si="221"/>
        <v>32</v>
      </c>
      <c r="AP269" s="5">
        <f t="shared" si="221"/>
        <v>33</v>
      </c>
      <c r="AQ269" s="5">
        <f t="shared" si="221"/>
        <v>34</v>
      </c>
      <c r="AR269" s="5">
        <f t="shared" si="221"/>
        <v>35</v>
      </c>
      <c r="AS269" s="5">
        <f t="shared" si="221"/>
        <v>36</v>
      </c>
      <c r="AT269" s="5">
        <f t="shared" si="221"/>
        <v>37</v>
      </c>
      <c r="AU269" s="5">
        <f t="shared" si="221"/>
        <v>38</v>
      </c>
      <c r="AV269" s="5">
        <f t="shared" si="221"/>
        <v>39</v>
      </c>
      <c r="AW269" s="5">
        <f t="shared" si="221"/>
        <v>40</v>
      </c>
      <c r="AX269" s="5">
        <f t="shared" si="221"/>
        <v>41</v>
      </c>
      <c r="AY269" s="5">
        <f t="shared" si="221"/>
        <v>42</v>
      </c>
      <c r="AZ269" s="5">
        <f t="shared" si="221"/>
        <v>43</v>
      </c>
      <c r="BA269" s="5">
        <f t="shared" si="221"/>
        <v>44</v>
      </c>
      <c r="BB269" s="5">
        <f t="shared" si="221"/>
        <v>45</v>
      </c>
      <c r="BC269" s="5">
        <f t="shared" si="221"/>
        <v>46</v>
      </c>
      <c r="BD269" s="5">
        <f t="shared" si="221"/>
        <v>47</v>
      </c>
      <c r="BE269" s="5">
        <f t="shared" si="221"/>
        <v>48</v>
      </c>
      <c r="BF269" s="5">
        <f t="shared" si="221"/>
        <v>49</v>
      </c>
      <c r="BG269" s="5">
        <f t="shared" si="221"/>
        <v>50</v>
      </c>
      <c r="BH269" s="5">
        <f t="shared" si="221"/>
        <v>51</v>
      </c>
      <c r="BI269" s="5">
        <f t="shared" si="221"/>
        <v>52</v>
      </c>
      <c r="BJ269" s="5">
        <f t="shared" si="221"/>
        <v>53</v>
      </c>
      <c r="BK269" s="5">
        <f t="shared" si="221"/>
        <v>54</v>
      </c>
      <c r="BL269" s="5">
        <f t="shared" si="221"/>
        <v>55</v>
      </c>
      <c r="BM269" s="5">
        <f t="shared" si="221"/>
        <v>56</v>
      </c>
      <c r="BN269" s="5">
        <f t="shared" si="221"/>
        <v>57</v>
      </c>
      <c r="BO269" s="5">
        <f t="shared" si="221"/>
        <v>58</v>
      </c>
      <c r="BP269" s="5">
        <f t="shared" si="221"/>
        <v>59</v>
      </c>
      <c r="BQ269" s="5">
        <f t="shared" si="221"/>
        <v>60</v>
      </c>
    </row>
    <row r="270" spans="1:69">
      <c r="E270" s="2" t="str">
        <f t="shared" ref="E270:AJ270" si="222">E$278</f>
        <v>VAT return this period first period flag</v>
      </c>
      <c r="F270" s="2">
        <f t="shared" si="222"/>
        <v>0</v>
      </c>
      <c r="G270" s="2" t="str">
        <f t="shared" si="222"/>
        <v>flag</v>
      </c>
      <c r="H270" s="2">
        <f t="shared" si="222"/>
        <v>1</v>
      </c>
      <c r="I270" s="2">
        <f t="shared" si="222"/>
        <v>0</v>
      </c>
      <c r="J270" s="2">
        <f t="shared" si="222"/>
        <v>0</v>
      </c>
      <c r="K270" s="2">
        <f t="shared" si="222"/>
        <v>1</v>
      </c>
      <c r="L270" s="2">
        <f t="shared" si="222"/>
        <v>0</v>
      </c>
      <c r="M270" s="2">
        <f t="shared" si="222"/>
        <v>0</v>
      </c>
      <c r="N270" s="2">
        <f t="shared" si="222"/>
        <v>0</v>
      </c>
      <c r="O270" s="2">
        <f t="shared" si="222"/>
        <v>0</v>
      </c>
      <c r="P270" s="2">
        <f t="shared" si="222"/>
        <v>0</v>
      </c>
      <c r="Q270" s="2">
        <f t="shared" si="222"/>
        <v>0</v>
      </c>
      <c r="R270" s="2">
        <f t="shared" si="222"/>
        <v>0</v>
      </c>
      <c r="S270" s="2">
        <f t="shared" si="222"/>
        <v>0</v>
      </c>
      <c r="T270" s="2">
        <f t="shared" si="222"/>
        <v>0</v>
      </c>
      <c r="U270" s="2">
        <f t="shared" si="222"/>
        <v>0</v>
      </c>
      <c r="V270" s="2">
        <f t="shared" si="222"/>
        <v>0</v>
      </c>
      <c r="W270" s="2">
        <f t="shared" si="222"/>
        <v>0</v>
      </c>
      <c r="X270" s="2">
        <f t="shared" si="222"/>
        <v>0</v>
      </c>
      <c r="Y270" s="2">
        <f t="shared" si="222"/>
        <v>0</v>
      </c>
      <c r="Z270" s="2">
        <f t="shared" si="222"/>
        <v>0</v>
      </c>
      <c r="AA270" s="2">
        <f t="shared" si="222"/>
        <v>0</v>
      </c>
      <c r="AB270" s="2">
        <f t="shared" si="222"/>
        <v>0</v>
      </c>
      <c r="AC270" s="2">
        <f t="shared" si="222"/>
        <v>0</v>
      </c>
      <c r="AD270" s="2">
        <f t="shared" si="222"/>
        <v>0</v>
      </c>
      <c r="AE270" s="2">
        <f t="shared" si="222"/>
        <v>0</v>
      </c>
      <c r="AF270" s="2">
        <f t="shared" si="222"/>
        <v>0</v>
      </c>
      <c r="AG270" s="2">
        <f t="shared" si="222"/>
        <v>0</v>
      </c>
      <c r="AH270" s="2">
        <f t="shared" si="222"/>
        <v>0</v>
      </c>
      <c r="AI270" s="2">
        <f t="shared" si="222"/>
        <v>0</v>
      </c>
      <c r="AJ270" s="2">
        <f t="shared" si="222"/>
        <v>0</v>
      </c>
      <c r="AK270" s="2">
        <f t="shared" ref="AK270:BQ270" si="223">AK$278</f>
        <v>0</v>
      </c>
      <c r="AL270" s="2">
        <f t="shared" si="223"/>
        <v>0</v>
      </c>
      <c r="AM270" s="2">
        <f t="shared" si="223"/>
        <v>0</v>
      </c>
      <c r="AN270" s="2">
        <f t="shared" si="223"/>
        <v>0</v>
      </c>
      <c r="AO270" s="2">
        <f t="shared" si="223"/>
        <v>0</v>
      </c>
      <c r="AP270" s="2">
        <f t="shared" si="223"/>
        <v>0</v>
      </c>
      <c r="AQ270" s="2">
        <f t="shared" si="223"/>
        <v>0</v>
      </c>
      <c r="AR270" s="2">
        <f t="shared" si="223"/>
        <v>0</v>
      </c>
      <c r="AS270" s="2">
        <f t="shared" si="223"/>
        <v>0</v>
      </c>
      <c r="AT270" s="2">
        <f t="shared" si="223"/>
        <v>0</v>
      </c>
      <c r="AU270" s="2">
        <f t="shared" si="223"/>
        <v>0</v>
      </c>
      <c r="AV270" s="2">
        <f t="shared" si="223"/>
        <v>0</v>
      </c>
      <c r="AW270" s="2">
        <f t="shared" si="223"/>
        <v>0</v>
      </c>
      <c r="AX270" s="2">
        <f t="shared" si="223"/>
        <v>0</v>
      </c>
      <c r="AY270" s="2">
        <f t="shared" si="223"/>
        <v>0</v>
      </c>
      <c r="AZ270" s="2">
        <f t="shared" si="223"/>
        <v>0</v>
      </c>
      <c r="BA270" s="2">
        <f t="shared" si="223"/>
        <v>0</v>
      </c>
      <c r="BB270" s="2">
        <f t="shared" si="223"/>
        <v>0</v>
      </c>
      <c r="BC270" s="2">
        <f t="shared" si="223"/>
        <v>0</v>
      </c>
      <c r="BD270" s="2">
        <f t="shared" si="223"/>
        <v>0</v>
      </c>
      <c r="BE270" s="2">
        <f t="shared" si="223"/>
        <v>0</v>
      </c>
      <c r="BF270" s="2">
        <f t="shared" si="223"/>
        <v>0</v>
      </c>
      <c r="BG270" s="2">
        <f t="shared" si="223"/>
        <v>0</v>
      </c>
      <c r="BH270" s="2">
        <f t="shared" si="223"/>
        <v>0</v>
      </c>
      <c r="BI270" s="2">
        <f t="shared" si="223"/>
        <v>0</v>
      </c>
      <c r="BJ270" s="2">
        <f t="shared" si="223"/>
        <v>0</v>
      </c>
      <c r="BK270" s="2">
        <f t="shared" si="223"/>
        <v>0</v>
      </c>
      <c r="BL270" s="2">
        <f t="shared" si="223"/>
        <v>0</v>
      </c>
      <c r="BM270" s="2">
        <f t="shared" si="223"/>
        <v>0</v>
      </c>
      <c r="BN270" s="2">
        <f t="shared" si="223"/>
        <v>0</v>
      </c>
      <c r="BO270" s="2">
        <f t="shared" si="223"/>
        <v>0</v>
      </c>
      <c r="BP270" s="2">
        <f t="shared" si="223"/>
        <v>0</v>
      </c>
      <c r="BQ270" s="2">
        <f t="shared" si="223"/>
        <v>0</v>
      </c>
    </row>
    <row r="271" spans="1:69" ht="14.5">
      <c r="E271" s="2" t="s">
        <v>33</v>
      </c>
      <c r="F271"/>
      <c r="G271"/>
      <c r="H271" s="2">
        <f>SUM(J271:BQ271)</f>
        <v>2</v>
      </c>
      <c r="I271"/>
      <c r="J271" s="2">
        <f t="shared" ref="J271:AO271" si="224">J269*J270</f>
        <v>0</v>
      </c>
      <c r="K271" s="2">
        <f t="shared" si="224"/>
        <v>2</v>
      </c>
      <c r="L271" s="2">
        <f t="shared" si="224"/>
        <v>0</v>
      </c>
      <c r="M271" s="2">
        <f t="shared" si="224"/>
        <v>0</v>
      </c>
      <c r="N271" s="2">
        <f t="shared" si="224"/>
        <v>0</v>
      </c>
      <c r="O271" s="2">
        <f t="shared" si="224"/>
        <v>0</v>
      </c>
      <c r="P271" s="2">
        <f t="shared" si="224"/>
        <v>0</v>
      </c>
      <c r="Q271" s="2">
        <f t="shared" si="224"/>
        <v>0</v>
      </c>
      <c r="R271" s="2">
        <f t="shared" si="224"/>
        <v>0</v>
      </c>
      <c r="S271" s="2">
        <f t="shared" si="224"/>
        <v>0</v>
      </c>
      <c r="T271" s="2">
        <f t="shared" si="224"/>
        <v>0</v>
      </c>
      <c r="U271" s="2">
        <f t="shared" si="224"/>
        <v>0</v>
      </c>
      <c r="V271" s="2">
        <f t="shared" si="224"/>
        <v>0</v>
      </c>
      <c r="W271" s="2">
        <f t="shared" si="224"/>
        <v>0</v>
      </c>
      <c r="X271" s="2">
        <f t="shared" si="224"/>
        <v>0</v>
      </c>
      <c r="Y271" s="2">
        <f t="shared" si="224"/>
        <v>0</v>
      </c>
      <c r="Z271" s="2">
        <f t="shared" si="224"/>
        <v>0</v>
      </c>
      <c r="AA271" s="2">
        <f t="shared" si="224"/>
        <v>0</v>
      </c>
      <c r="AB271" s="2">
        <f t="shared" si="224"/>
        <v>0</v>
      </c>
      <c r="AC271" s="2">
        <f t="shared" si="224"/>
        <v>0</v>
      </c>
      <c r="AD271" s="2">
        <f t="shared" si="224"/>
        <v>0</v>
      </c>
      <c r="AE271" s="2">
        <f t="shared" si="224"/>
        <v>0</v>
      </c>
      <c r="AF271" s="2">
        <f t="shared" si="224"/>
        <v>0</v>
      </c>
      <c r="AG271" s="2">
        <f t="shared" si="224"/>
        <v>0</v>
      </c>
      <c r="AH271" s="2">
        <f t="shared" si="224"/>
        <v>0</v>
      </c>
      <c r="AI271" s="2">
        <f t="shared" si="224"/>
        <v>0</v>
      </c>
      <c r="AJ271" s="2">
        <f t="shared" si="224"/>
        <v>0</v>
      </c>
      <c r="AK271" s="2">
        <f t="shared" si="224"/>
        <v>0</v>
      </c>
      <c r="AL271" s="2">
        <f t="shared" si="224"/>
        <v>0</v>
      </c>
      <c r="AM271" s="2">
        <f t="shared" si="224"/>
        <v>0</v>
      </c>
      <c r="AN271" s="2">
        <f t="shared" si="224"/>
        <v>0</v>
      </c>
      <c r="AO271" s="2">
        <f t="shared" si="224"/>
        <v>0</v>
      </c>
      <c r="AP271" s="2">
        <f t="shared" ref="AP271:BU271" si="225">AP269*AP270</f>
        <v>0</v>
      </c>
      <c r="AQ271" s="2">
        <f t="shared" si="225"/>
        <v>0</v>
      </c>
      <c r="AR271" s="2">
        <f t="shared" si="225"/>
        <v>0</v>
      </c>
      <c r="AS271" s="2">
        <f t="shared" si="225"/>
        <v>0</v>
      </c>
      <c r="AT271" s="2">
        <f t="shared" si="225"/>
        <v>0</v>
      </c>
      <c r="AU271" s="2">
        <f t="shared" si="225"/>
        <v>0</v>
      </c>
      <c r="AV271" s="2">
        <f t="shared" si="225"/>
        <v>0</v>
      </c>
      <c r="AW271" s="2">
        <f t="shared" si="225"/>
        <v>0</v>
      </c>
      <c r="AX271" s="2">
        <f t="shared" si="225"/>
        <v>0</v>
      </c>
      <c r="AY271" s="2">
        <f t="shared" si="225"/>
        <v>0</v>
      </c>
      <c r="AZ271" s="2">
        <f t="shared" si="225"/>
        <v>0</v>
      </c>
      <c r="BA271" s="2">
        <f t="shared" si="225"/>
        <v>0</v>
      </c>
      <c r="BB271" s="2">
        <f t="shared" si="225"/>
        <v>0</v>
      </c>
      <c r="BC271" s="2">
        <f t="shared" si="225"/>
        <v>0</v>
      </c>
      <c r="BD271" s="2">
        <f t="shared" si="225"/>
        <v>0</v>
      </c>
      <c r="BE271" s="2">
        <f t="shared" si="225"/>
        <v>0</v>
      </c>
      <c r="BF271" s="2">
        <f t="shared" si="225"/>
        <v>0</v>
      </c>
      <c r="BG271" s="2">
        <f t="shared" si="225"/>
        <v>0</v>
      </c>
      <c r="BH271" s="2">
        <f t="shared" si="225"/>
        <v>0</v>
      </c>
      <c r="BI271" s="2">
        <f t="shared" si="225"/>
        <v>0</v>
      </c>
      <c r="BJ271" s="2">
        <f t="shared" si="225"/>
        <v>0</v>
      </c>
      <c r="BK271" s="2">
        <f t="shared" si="225"/>
        <v>0</v>
      </c>
      <c r="BL271" s="2">
        <f t="shared" si="225"/>
        <v>0</v>
      </c>
      <c r="BM271" s="2">
        <f t="shared" si="225"/>
        <v>0</v>
      </c>
      <c r="BN271" s="2">
        <f t="shared" si="225"/>
        <v>0</v>
      </c>
      <c r="BO271" s="2">
        <f t="shared" si="225"/>
        <v>0</v>
      </c>
      <c r="BP271" s="2">
        <f t="shared" si="225"/>
        <v>0</v>
      </c>
      <c r="BQ271" s="2">
        <f t="shared" si="225"/>
        <v>0</v>
      </c>
    </row>
    <row r="274" spans="1:69">
      <c r="B274" s="22" t="s">
        <v>238</v>
      </c>
    </row>
    <row r="275" spans="1:69">
      <c r="A275" s="17"/>
      <c r="B275" s="17"/>
      <c r="C275" s="26"/>
      <c r="D275" s="27"/>
      <c r="E275" s="18" t="str">
        <f>InpC!E$82</f>
        <v>VAT return this period beginning date</v>
      </c>
      <c r="F275" s="18">
        <f>InpC!F$82</f>
        <v>45078</v>
      </c>
      <c r="G275" s="18" t="str">
        <f>InpC!G$82</f>
        <v>date</v>
      </c>
      <c r="M275" s="8"/>
    </row>
    <row r="276" spans="1:69">
      <c r="E276" s="8" t="str">
        <f t="shared" ref="E276:AJ276" si="226">E$19</f>
        <v>Model period end</v>
      </c>
      <c r="F276" s="8">
        <f t="shared" si="226"/>
        <v>0</v>
      </c>
      <c r="G276" s="8" t="str">
        <f t="shared" si="226"/>
        <v>date</v>
      </c>
      <c r="H276" s="8">
        <f t="shared" si="226"/>
        <v>0</v>
      </c>
      <c r="I276" s="8">
        <f t="shared" si="226"/>
        <v>0</v>
      </c>
      <c r="J276" s="8">
        <f t="shared" si="226"/>
        <v>45077</v>
      </c>
      <c r="K276" s="8">
        <f t="shared" si="226"/>
        <v>45107</v>
      </c>
      <c r="L276" s="8">
        <f t="shared" si="226"/>
        <v>45138</v>
      </c>
      <c r="M276" s="8">
        <f t="shared" si="226"/>
        <v>45169</v>
      </c>
      <c r="N276" s="8">
        <f t="shared" si="226"/>
        <v>45199</v>
      </c>
      <c r="O276" s="8">
        <f t="shared" si="226"/>
        <v>45230</v>
      </c>
      <c r="P276" s="8">
        <f t="shared" si="226"/>
        <v>45260</v>
      </c>
      <c r="Q276" s="8">
        <f t="shared" si="226"/>
        <v>45291</v>
      </c>
      <c r="R276" s="8">
        <f t="shared" si="226"/>
        <v>45322</v>
      </c>
      <c r="S276" s="8">
        <f t="shared" si="226"/>
        <v>45351</v>
      </c>
      <c r="T276" s="8">
        <f t="shared" si="226"/>
        <v>45382</v>
      </c>
      <c r="U276" s="8">
        <f t="shared" si="226"/>
        <v>45412</v>
      </c>
      <c r="V276" s="8">
        <f t="shared" si="226"/>
        <v>45443</v>
      </c>
      <c r="W276" s="8">
        <f t="shared" si="226"/>
        <v>45473</v>
      </c>
      <c r="X276" s="8">
        <f t="shared" si="226"/>
        <v>45504</v>
      </c>
      <c r="Y276" s="8">
        <f t="shared" si="226"/>
        <v>45535</v>
      </c>
      <c r="Z276" s="8">
        <f t="shared" si="226"/>
        <v>45565</v>
      </c>
      <c r="AA276" s="8">
        <f t="shared" si="226"/>
        <v>45596</v>
      </c>
      <c r="AB276" s="8">
        <f t="shared" si="226"/>
        <v>45626</v>
      </c>
      <c r="AC276" s="8">
        <f t="shared" si="226"/>
        <v>45657</v>
      </c>
      <c r="AD276" s="8">
        <f t="shared" si="226"/>
        <v>45688</v>
      </c>
      <c r="AE276" s="8">
        <f t="shared" si="226"/>
        <v>45716</v>
      </c>
      <c r="AF276" s="8">
        <f t="shared" si="226"/>
        <v>45747</v>
      </c>
      <c r="AG276" s="8">
        <f t="shared" si="226"/>
        <v>45777</v>
      </c>
      <c r="AH276" s="8">
        <f t="shared" si="226"/>
        <v>45808</v>
      </c>
      <c r="AI276" s="8">
        <f t="shared" si="226"/>
        <v>45838</v>
      </c>
      <c r="AJ276" s="8">
        <f t="shared" si="226"/>
        <v>45869</v>
      </c>
      <c r="AK276" s="8">
        <f t="shared" ref="AK276:BQ276" si="227">AK$19</f>
        <v>45900</v>
      </c>
      <c r="AL276" s="8">
        <f t="shared" si="227"/>
        <v>45930</v>
      </c>
      <c r="AM276" s="8">
        <f t="shared" si="227"/>
        <v>45961</v>
      </c>
      <c r="AN276" s="8">
        <f t="shared" si="227"/>
        <v>45991</v>
      </c>
      <c r="AO276" s="8">
        <f t="shared" si="227"/>
        <v>46022</v>
      </c>
      <c r="AP276" s="8">
        <f t="shared" si="227"/>
        <v>46053</v>
      </c>
      <c r="AQ276" s="8">
        <f t="shared" si="227"/>
        <v>46081</v>
      </c>
      <c r="AR276" s="8">
        <f t="shared" si="227"/>
        <v>46112</v>
      </c>
      <c r="AS276" s="8">
        <f t="shared" si="227"/>
        <v>46142</v>
      </c>
      <c r="AT276" s="8">
        <f t="shared" si="227"/>
        <v>46173</v>
      </c>
      <c r="AU276" s="8">
        <f t="shared" si="227"/>
        <v>46203</v>
      </c>
      <c r="AV276" s="8">
        <f t="shared" si="227"/>
        <v>46234</v>
      </c>
      <c r="AW276" s="8">
        <f t="shared" si="227"/>
        <v>46265</v>
      </c>
      <c r="AX276" s="8">
        <f t="shared" si="227"/>
        <v>46295</v>
      </c>
      <c r="AY276" s="8">
        <f t="shared" si="227"/>
        <v>46326</v>
      </c>
      <c r="AZ276" s="8">
        <f t="shared" si="227"/>
        <v>46356</v>
      </c>
      <c r="BA276" s="8">
        <f t="shared" si="227"/>
        <v>46387</v>
      </c>
      <c r="BB276" s="8">
        <f t="shared" si="227"/>
        <v>46418</v>
      </c>
      <c r="BC276" s="8">
        <f t="shared" si="227"/>
        <v>46446</v>
      </c>
      <c r="BD276" s="8">
        <f t="shared" si="227"/>
        <v>46477</v>
      </c>
      <c r="BE276" s="8">
        <f t="shared" si="227"/>
        <v>46507</v>
      </c>
      <c r="BF276" s="8">
        <f t="shared" si="227"/>
        <v>46538</v>
      </c>
      <c r="BG276" s="8">
        <f t="shared" si="227"/>
        <v>46568</v>
      </c>
      <c r="BH276" s="8">
        <f t="shared" si="227"/>
        <v>46599</v>
      </c>
      <c r="BI276" s="8">
        <f t="shared" si="227"/>
        <v>46630</v>
      </c>
      <c r="BJ276" s="8">
        <f t="shared" si="227"/>
        <v>46660</v>
      </c>
      <c r="BK276" s="8">
        <f t="shared" si="227"/>
        <v>46691</v>
      </c>
      <c r="BL276" s="8">
        <f t="shared" si="227"/>
        <v>46721</v>
      </c>
      <c r="BM276" s="8">
        <f t="shared" si="227"/>
        <v>46752</v>
      </c>
      <c r="BN276" s="8">
        <f t="shared" si="227"/>
        <v>46783</v>
      </c>
      <c r="BO276" s="8">
        <f t="shared" si="227"/>
        <v>46812</v>
      </c>
      <c r="BP276" s="8">
        <f t="shared" si="227"/>
        <v>46843</v>
      </c>
      <c r="BQ276" s="8">
        <f t="shared" si="227"/>
        <v>46873</v>
      </c>
    </row>
    <row r="277" spans="1:69">
      <c r="E277" s="8" t="str">
        <f t="shared" ref="E277:AJ277" si="228">E$12</f>
        <v>Model period start</v>
      </c>
      <c r="F277" s="8">
        <f t="shared" si="228"/>
        <v>0</v>
      </c>
      <c r="G277" s="8" t="str">
        <f t="shared" si="228"/>
        <v>date</v>
      </c>
      <c r="H277" s="8">
        <f t="shared" si="228"/>
        <v>0</v>
      </c>
      <c r="I277" s="8">
        <f t="shared" si="228"/>
        <v>0</v>
      </c>
      <c r="J277" s="8">
        <f t="shared" si="228"/>
        <v>45047</v>
      </c>
      <c r="K277" s="8">
        <f t="shared" si="228"/>
        <v>45078</v>
      </c>
      <c r="L277" s="8">
        <f t="shared" si="228"/>
        <v>45108</v>
      </c>
      <c r="M277" s="8">
        <f t="shared" si="228"/>
        <v>45139</v>
      </c>
      <c r="N277" s="8">
        <f t="shared" si="228"/>
        <v>45170</v>
      </c>
      <c r="O277" s="8">
        <f t="shared" si="228"/>
        <v>45200</v>
      </c>
      <c r="P277" s="8">
        <f t="shared" si="228"/>
        <v>45231</v>
      </c>
      <c r="Q277" s="8">
        <f t="shared" si="228"/>
        <v>45261</v>
      </c>
      <c r="R277" s="8">
        <f t="shared" si="228"/>
        <v>45292</v>
      </c>
      <c r="S277" s="8">
        <f t="shared" si="228"/>
        <v>45323</v>
      </c>
      <c r="T277" s="8">
        <f t="shared" si="228"/>
        <v>45352</v>
      </c>
      <c r="U277" s="8">
        <f t="shared" si="228"/>
        <v>45383</v>
      </c>
      <c r="V277" s="8">
        <f t="shared" si="228"/>
        <v>45413</v>
      </c>
      <c r="W277" s="8">
        <f t="shared" si="228"/>
        <v>45444</v>
      </c>
      <c r="X277" s="8">
        <f t="shared" si="228"/>
        <v>45474</v>
      </c>
      <c r="Y277" s="8">
        <f t="shared" si="228"/>
        <v>45505</v>
      </c>
      <c r="Z277" s="8">
        <f t="shared" si="228"/>
        <v>45536</v>
      </c>
      <c r="AA277" s="8">
        <f t="shared" si="228"/>
        <v>45566</v>
      </c>
      <c r="AB277" s="8">
        <f t="shared" si="228"/>
        <v>45597</v>
      </c>
      <c r="AC277" s="8">
        <f t="shared" si="228"/>
        <v>45627</v>
      </c>
      <c r="AD277" s="8">
        <f t="shared" si="228"/>
        <v>45658</v>
      </c>
      <c r="AE277" s="8">
        <f t="shared" si="228"/>
        <v>45689</v>
      </c>
      <c r="AF277" s="8">
        <f t="shared" si="228"/>
        <v>45717</v>
      </c>
      <c r="AG277" s="8">
        <f t="shared" si="228"/>
        <v>45748</v>
      </c>
      <c r="AH277" s="8">
        <f t="shared" si="228"/>
        <v>45778</v>
      </c>
      <c r="AI277" s="8">
        <f t="shared" si="228"/>
        <v>45809</v>
      </c>
      <c r="AJ277" s="8">
        <f t="shared" si="228"/>
        <v>45839</v>
      </c>
      <c r="AK277" s="8">
        <f t="shared" ref="AK277:BQ277" si="229">AK$12</f>
        <v>45870</v>
      </c>
      <c r="AL277" s="8">
        <f t="shared" si="229"/>
        <v>45901</v>
      </c>
      <c r="AM277" s="8">
        <f t="shared" si="229"/>
        <v>45931</v>
      </c>
      <c r="AN277" s="8">
        <f t="shared" si="229"/>
        <v>45962</v>
      </c>
      <c r="AO277" s="8">
        <f t="shared" si="229"/>
        <v>45992</v>
      </c>
      <c r="AP277" s="8">
        <f t="shared" si="229"/>
        <v>46023</v>
      </c>
      <c r="AQ277" s="8">
        <f t="shared" si="229"/>
        <v>46054</v>
      </c>
      <c r="AR277" s="8">
        <f t="shared" si="229"/>
        <v>46082</v>
      </c>
      <c r="AS277" s="8">
        <f t="shared" si="229"/>
        <v>46113</v>
      </c>
      <c r="AT277" s="8">
        <f t="shared" si="229"/>
        <v>46143</v>
      </c>
      <c r="AU277" s="8">
        <f t="shared" si="229"/>
        <v>46174</v>
      </c>
      <c r="AV277" s="8">
        <f t="shared" si="229"/>
        <v>46204</v>
      </c>
      <c r="AW277" s="8">
        <f t="shared" si="229"/>
        <v>46235</v>
      </c>
      <c r="AX277" s="8">
        <f t="shared" si="229"/>
        <v>46266</v>
      </c>
      <c r="AY277" s="8">
        <f t="shared" si="229"/>
        <v>46296</v>
      </c>
      <c r="AZ277" s="8">
        <f t="shared" si="229"/>
        <v>46327</v>
      </c>
      <c r="BA277" s="8">
        <f t="shared" si="229"/>
        <v>46357</v>
      </c>
      <c r="BB277" s="8">
        <f t="shared" si="229"/>
        <v>46388</v>
      </c>
      <c r="BC277" s="8">
        <f t="shared" si="229"/>
        <v>46419</v>
      </c>
      <c r="BD277" s="8">
        <f t="shared" si="229"/>
        <v>46447</v>
      </c>
      <c r="BE277" s="8">
        <f t="shared" si="229"/>
        <v>46478</v>
      </c>
      <c r="BF277" s="8">
        <f t="shared" si="229"/>
        <v>46508</v>
      </c>
      <c r="BG277" s="8">
        <f t="shared" si="229"/>
        <v>46539</v>
      </c>
      <c r="BH277" s="8">
        <f t="shared" si="229"/>
        <v>46569</v>
      </c>
      <c r="BI277" s="8">
        <f t="shared" si="229"/>
        <v>46600</v>
      </c>
      <c r="BJ277" s="8">
        <f t="shared" si="229"/>
        <v>46631</v>
      </c>
      <c r="BK277" s="8">
        <f t="shared" si="229"/>
        <v>46661</v>
      </c>
      <c r="BL277" s="8">
        <f t="shared" si="229"/>
        <v>46692</v>
      </c>
      <c r="BM277" s="8">
        <f t="shared" si="229"/>
        <v>46722</v>
      </c>
      <c r="BN277" s="8">
        <f t="shared" si="229"/>
        <v>46753</v>
      </c>
      <c r="BO277" s="8">
        <f t="shared" si="229"/>
        <v>46784</v>
      </c>
      <c r="BP277" s="8">
        <f t="shared" si="229"/>
        <v>46813</v>
      </c>
      <c r="BQ277" s="8">
        <f t="shared" si="229"/>
        <v>46844</v>
      </c>
    </row>
    <row r="278" spans="1:69" ht="14.5">
      <c r="E278" s="2" t="s">
        <v>238</v>
      </c>
      <c r="F278"/>
      <c r="G278" s="2" t="s">
        <v>21</v>
      </c>
      <c r="H278" s="2">
        <f>SUM(J278:BQ278)</f>
        <v>1</v>
      </c>
      <c r="I278"/>
      <c r="J278" s="2">
        <f t="shared" ref="J278:AO278" si="230">IF(AND(J276&gt;=$F275,J277&lt;=$F275),1,0)</f>
        <v>0</v>
      </c>
      <c r="K278" s="2">
        <f t="shared" si="230"/>
        <v>1</v>
      </c>
      <c r="L278" s="2">
        <f t="shared" si="230"/>
        <v>0</v>
      </c>
      <c r="M278" s="2">
        <f t="shared" si="230"/>
        <v>0</v>
      </c>
      <c r="N278" s="2">
        <f t="shared" si="230"/>
        <v>0</v>
      </c>
      <c r="O278" s="2">
        <f t="shared" si="230"/>
        <v>0</v>
      </c>
      <c r="P278" s="2">
        <f t="shared" si="230"/>
        <v>0</v>
      </c>
      <c r="Q278" s="2">
        <f t="shared" si="230"/>
        <v>0</v>
      </c>
      <c r="R278" s="2">
        <f t="shared" si="230"/>
        <v>0</v>
      </c>
      <c r="S278" s="2">
        <f t="shared" si="230"/>
        <v>0</v>
      </c>
      <c r="T278" s="2">
        <f t="shared" si="230"/>
        <v>0</v>
      </c>
      <c r="U278" s="2">
        <f t="shared" si="230"/>
        <v>0</v>
      </c>
      <c r="V278" s="2">
        <f t="shared" si="230"/>
        <v>0</v>
      </c>
      <c r="W278" s="2">
        <f t="shared" si="230"/>
        <v>0</v>
      </c>
      <c r="X278" s="2">
        <f t="shared" si="230"/>
        <v>0</v>
      </c>
      <c r="Y278" s="2">
        <f t="shared" si="230"/>
        <v>0</v>
      </c>
      <c r="Z278" s="2">
        <f t="shared" si="230"/>
        <v>0</v>
      </c>
      <c r="AA278" s="2">
        <f t="shared" si="230"/>
        <v>0</v>
      </c>
      <c r="AB278" s="2">
        <f t="shared" si="230"/>
        <v>0</v>
      </c>
      <c r="AC278" s="2">
        <f t="shared" si="230"/>
        <v>0</v>
      </c>
      <c r="AD278" s="2">
        <f t="shared" si="230"/>
        <v>0</v>
      </c>
      <c r="AE278" s="2">
        <f t="shared" si="230"/>
        <v>0</v>
      </c>
      <c r="AF278" s="2">
        <f t="shared" si="230"/>
        <v>0</v>
      </c>
      <c r="AG278" s="2">
        <f t="shared" si="230"/>
        <v>0</v>
      </c>
      <c r="AH278" s="2">
        <f t="shared" si="230"/>
        <v>0</v>
      </c>
      <c r="AI278" s="2">
        <f t="shared" si="230"/>
        <v>0</v>
      </c>
      <c r="AJ278" s="2">
        <f t="shared" si="230"/>
        <v>0</v>
      </c>
      <c r="AK278" s="2">
        <f t="shared" si="230"/>
        <v>0</v>
      </c>
      <c r="AL278" s="2">
        <f t="shared" si="230"/>
        <v>0</v>
      </c>
      <c r="AM278" s="2">
        <f t="shared" si="230"/>
        <v>0</v>
      </c>
      <c r="AN278" s="2">
        <f t="shared" si="230"/>
        <v>0</v>
      </c>
      <c r="AO278" s="2">
        <f t="shared" si="230"/>
        <v>0</v>
      </c>
      <c r="AP278" s="2">
        <f t="shared" ref="AP278:BU278" si="231">IF(AND(AP276&gt;=$F275,AP277&lt;=$F275),1,0)</f>
        <v>0</v>
      </c>
      <c r="AQ278" s="2">
        <f t="shared" si="231"/>
        <v>0</v>
      </c>
      <c r="AR278" s="2">
        <f t="shared" si="231"/>
        <v>0</v>
      </c>
      <c r="AS278" s="2">
        <f t="shared" si="231"/>
        <v>0</v>
      </c>
      <c r="AT278" s="2">
        <f t="shared" si="231"/>
        <v>0</v>
      </c>
      <c r="AU278" s="2">
        <f t="shared" si="231"/>
        <v>0</v>
      </c>
      <c r="AV278" s="2">
        <f t="shared" si="231"/>
        <v>0</v>
      </c>
      <c r="AW278" s="2">
        <f t="shared" si="231"/>
        <v>0</v>
      </c>
      <c r="AX278" s="2">
        <f t="shared" si="231"/>
        <v>0</v>
      </c>
      <c r="AY278" s="2">
        <f t="shared" si="231"/>
        <v>0</v>
      </c>
      <c r="AZ278" s="2">
        <f t="shared" si="231"/>
        <v>0</v>
      </c>
      <c r="BA278" s="2">
        <f t="shared" si="231"/>
        <v>0</v>
      </c>
      <c r="BB278" s="2">
        <f t="shared" si="231"/>
        <v>0</v>
      </c>
      <c r="BC278" s="2">
        <f t="shared" si="231"/>
        <v>0</v>
      </c>
      <c r="BD278" s="2">
        <f t="shared" si="231"/>
        <v>0</v>
      </c>
      <c r="BE278" s="2">
        <f t="shared" si="231"/>
        <v>0</v>
      </c>
      <c r="BF278" s="2">
        <f t="shared" si="231"/>
        <v>0</v>
      </c>
      <c r="BG278" s="2">
        <f t="shared" si="231"/>
        <v>0</v>
      </c>
      <c r="BH278" s="2">
        <f t="shared" si="231"/>
        <v>0</v>
      </c>
      <c r="BI278" s="2">
        <f t="shared" si="231"/>
        <v>0</v>
      </c>
      <c r="BJ278" s="2">
        <f t="shared" si="231"/>
        <v>0</v>
      </c>
      <c r="BK278" s="2">
        <f t="shared" si="231"/>
        <v>0</v>
      </c>
      <c r="BL278" s="2">
        <f t="shared" si="231"/>
        <v>0</v>
      </c>
      <c r="BM278" s="2">
        <f t="shared" si="231"/>
        <v>0</v>
      </c>
      <c r="BN278" s="2">
        <f t="shared" si="231"/>
        <v>0</v>
      </c>
      <c r="BO278" s="2">
        <f t="shared" si="231"/>
        <v>0</v>
      </c>
      <c r="BP278" s="2">
        <f t="shared" si="231"/>
        <v>0</v>
      </c>
      <c r="BQ278" s="2">
        <f t="shared" si="231"/>
        <v>0</v>
      </c>
    </row>
    <row r="281" spans="1:69">
      <c r="A281" s="22" t="s">
        <v>57</v>
      </c>
    </row>
    <row r="282" spans="1:69" ht="14.5">
      <c r="A282"/>
      <c r="B282" s="22" t="s">
        <v>57</v>
      </c>
    </row>
    <row r="283" spans="1:69">
      <c r="A283" s="17"/>
      <c r="B283" s="17"/>
      <c r="C283" s="26"/>
      <c r="D283" s="27"/>
      <c r="E283" s="18" t="str">
        <f>InpC!E$94</f>
        <v>Use short term forecast flag end date</v>
      </c>
      <c r="F283" s="18">
        <f>InpC!F$94</f>
        <v>0</v>
      </c>
      <c r="G283" s="18" t="str">
        <f>InpC!G$94</f>
        <v>date</v>
      </c>
      <c r="M283" s="8"/>
    </row>
    <row r="284" spans="1:69">
      <c r="E284" s="8" t="str">
        <f t="shared" ref="E284:AJ284" si="232">E$12</f>
        <v>Model period start</v>
      </c>
      <c r="F284" s="8">
        <f t="shared" si="232"/>
        <v>0</v>
      </c>
      <c r="G284" s="8" t="str">
        <f t="shared" si="232"/>
        <v>date</v>
      </c>
      <c r="H284" s="8">
        <f t="shared" si="232"/>
        <v>0</v>
      </c>
      <c r="I284" s="8">
        <f t="shared" si="232"/>
        <v>0</v>
      </c>
      <c r="J284" s="8">
        <f t="shared" si="232"/>
        <v>45047</v>
      </c>
      <c r="K284" s="8">
        <f t="shared" si="232"/>
        <v>45078</v>
      </c>
      <c r="L284" s="8">
        <f t="shared" si="232"/>
        <v>45108</v>
      </c>
      <c r="M284" s="8">
        <f t="shared" si="232"/>
        <v>45139</v>
      </c>
      <c r="N284" s="8">
        <f t="shared" si="232"/>
        <v>45170</v>
      </c>
      <c r="O284" s="8">
        <f t="shared" si="232"/>
        <v>45200</v>
      </c>
      <c r="P284" s="8">
        <f t="shared" si="232"/>
        <v>45231</v>
      </c>
      <c r="Q284" s="8">
        <f t="shared" si="232"/>
        <v>45261</v>
      </c>
      <c r="R284" s="8">
        <f t="shared" si="232"/>
        <v>45292</v>
      </c>
      <c r="S284" s="8">
        <f t="shared" si="232"/>
        <v>45323</v>
      </c>
      <c r="T284" s="8">
        <f t="shared" si="232"/>
        <v>45352</v>
      </c>
      <c r="U284" s="8">
        <f t="shared" si="232"/>
        <v>45383</v>
      </c>
      <c r="V284" s="8">
        <f t="shared" si="232"/>
        <v>45413</v>
      </c>
      <c r="W284" s="8">
        <f t="shared" si="232"/>
        <v>45444</v>
      </c>
      <c r="X284" s="8">
        <f t="shared" si="232"/>
        <v>45474</v>
      </c>
      <c r="Y284" s="8">
        <f t="shared" si="232"/>
        <v>45505</v>
      </c>
      <c r="Z284" s="8">
        <f t="shared" si="232"/>
        <v>45536</v>
      </c>
      <c r="AA284" s="8">
        <f t="shared" si="232"/>
        <v>45566</v>
      </c>
      <c r="AB284" s="8">
        <f t="shared" si="232"/>
        <v>45597</v>
      </c>
      <c r="AC284" s="8">
        <f t="shared" si="232"/>
        <v>45627</v>
      </c>
      <c r="AD284" s="8">
        <f t="shared" si="232"/>
        <v>45658</v>
      </c>
      <c r="AE284" s="8">
        <f t="shared" si="232"/>
        <v>45689</v>
      </c>
      <c r="AF284" s="8">
        <f t="shared" si="232"/>
        <v>45717</v>
      </c>
      <c r="AG284" s="8">
        <f t="shared" si="232"/>
        <v>45748</v>
      </c>
      <c r="AH284" s="8">
        <f t="shared" si="232"/>
        <v>45778</v>
      </c>
      <c r="AI284" s="8">
        <f t="shared" si="232"/>
        <v>45809</v>
      </c>
      <c r="AJ284" s="8">
        <f t="shared" si="232"/>
        <v>45839</v>
      </c>
      <c r="AK284" s="8">
        <f t="shared" ref="AK284:BQ284" si="233">AK$12</f>
        <v>45870</v>
      </c>
      <c r="AL284" s="8">
        <f t="shared" si="233"/>
        <v>45901</v>
      </c>
      <c r="AM284" s="8">
        <f t="shared" si="233"/>
        <v>45931</v>
      </c>
      <c r="AN284" s="8">
        <f t="shared" si="233"/>
        <v>45962</v>
      </c>
      <c r="AO284" s="8">
        <f t="shared" si="233"/>
        <v>45992</v>
      </c>
      <c r="AP284" s="8">
        <f t="shared" si="233"/>
        <v>46023</v>
      </c>
      <c r="AQ284" s="8">
        <f t="shared" si="233"/>
        <v>46054</v>
      </c>
      <c r="AR284" s="8">
        <f t="shared" si="233"/>
        <v>46082</v>
      </c>
      <c r="AS284" s="8">
        <f t="shared" si="233"/>
        <v>46113</v>
      </c>
      <c r="AT284" s="8">
        <f t="shared" si="233"/>
        <v>46143</v>
      </c>
      <c r="AU284" s="8">
        <f t="shared" si="233"/>
        <v>46174</v>
      </c>
      <c r="AV284" s="8">
        <f t="shared" si="233"/>
        <v>46204</v>
      </c>
      <c r="AW284" s="8">
        <f t="shared" si="233"/>
        <v>46235</v>
      </c>
      <c r="AX284" s="8">
        <f t="shared" si="233"/>
        <v>46266</v>
      </c>
      <c r="AY284" s="8">
        <f t="shared" si="233"/>
        <v>46296</v>
      </c>
      <c r="AZ284" s="8">
        <f t="shared" si="233"/>
        <v>46327</v>
      </c>
      <c r="BA284" s="8">
        <f t="shared" si="233"/>
        <v>46357</v>
      </c>
      <c r="BB284" s="8">
        <f t="shared" si="233"/>
        <v>46388</v>
      </c>
      <c r="BC284" s="8">
        <f t="shared" si="233"/>
        <v>46419</v>
      </c>
      <c r="BD284" s="8">
        <f t="shared" si="233"/>
        <v>46447</v>
      </c>
      <c r="BE284" s="8">
        <f t="shared" si="233"/>
        <v>46478</v>
      </c>
      <c r="BF284" s="8">
        <f t="shared" si="233"/>
        <v>46508</v>
      </c>
      <c r="BG284" s="8">
        <f t="shared" si="233"/>
        <v>46539</v>
      </c>
      <c r="BH284" s="8">
        <f t="shared" si="233"/>
        <v>46569</v>
      </c>
      <c r="BI284" s="8">
        <f t="shared" si="233"/>
        <v>46600</v>
      </c>
      <c r="BJ284" s="8">
        <f t="shared" si="233"/>
        <v>46631</v>
      </c>
      <c r="BK284" s="8">
        <f t="shared" si="233"/>
        <v>46661</v>
      </c>
      <c r="BL284" s="8">
        <f t="shared" si="233"/>
        <v>46692</v>
      </c>
      <c r="BM284" s="8">
        <f t="shared" si="233"/>
        <v>46722</v>
      </c>
      <c r="BN284" s="8">
        <f t="shared" si="233"/>
        <v>46753</v>
      </c>
      <c r="BO284" s="8">
        <f t="shared" si="233"/>
        <v>46784</v>
      </c>
      <c r="BP284" s="8">
        <f t="shared" si="233"/>
        <v>46813</v>
      </c>
      <c r="BQ284" s="8">
        <f t="shared" si="233"/>
        <v>46844</v>
      </c>
    </row>
    <row r="285" spans="1:69">
      <c r="E285" s="2" t="s">
        <v>57</v>
      </c>
      <c r="G285" s="2" t="s">
        <v>21</v>
      </c>
      <c r="H285" s="2">
        <f>SUM(J285:BQ285)</f>
        <v>0</v>
      </c>
      <c r="J285" s="2">
        <f t="shared" ref="J285:AO285" si="234">IF(J284&gt;=$F283,0,1)</f>
        <v>0</v>
      </c>
      <c r="K285" s="2">
        <f t="shared" si="234"/>
        <v>0</v>
      </c>
      <c r="L285" s="2">
        <f t="shared" si="234"/>
        <v>0</v>
      </c>
      <c r="M285" s="2">
        <f t="shared" si="234"/>
        <v>0</v>
      </c>
      <c r="N285" s="2">
        <f t="shared" si="234"/>
        <v>0</v>
      </c>
      <c r="O285" s="2">
        <f t="shared" si="234"/>
        <v>0</v>
      </c>
      <c r="P285" s="2">
        <f t="shared" si="234"/>
        <v>0</v>
      </c>
      <c r="Q285" s="2">
        <f t="shared" si="234"/>
        <v>0</v>
      </c>
      <c r="R285" s="2">
        <f t="shared" si="234"/>
        <v>0</v>
      </c>
      <c r="S285" s="2">
        <f t="shared" si="234"/>
        <v>0</v>
      </c>
      <c r="T285" s="2">
        <f t="shared" si="234"/>
        <v>0</v>
      </c>
      <c r="U285" s="2">
        <f t="shared" si="234"/>
        <v>0</v>
      </c>
      <c r="V285" s="2">
        <f t="shared" si="234"/>
        <v>0</v>
      </c>
      <c r="W285" s="2">
        <f t="shared" si="234"/>
        <v>0</v>
      </c>
      <c r="X285" s="2">
        <f t="shared" si="234"/>
        <v>0</v>
      </c>
      <c r="Y285" s="2">
        <f t="shared" si="234"/>
        <v>0</v>
      </c>
      <c r="Z285" s="2">
        <f t="shared" si="234"/>
        <v>0</v>
      </c>
      <c r="AA285" s="2">
        <f t="shared" si="234"/>
        <v>0</v>
      </c>
      <c r="AB285" s="2">
        <f t="shared" si="234"/>
        <v>0</v>
      </c>
      <c r="AC285" s="2">
        <f t="shared" si="234"/>
        <v>0</v>
      </c>
      <c r="AD285" s="2">
        <f t="shared" si="234"/>
        <v>0</v>
      </c>
      <c r="AE285" s="2">
        <f t="shared" si="234"/>
        <v>0</v>
      </c>
      <c r="AF285" s="2">
        <f t="shared" si="234"/>
        <v>0</v>
      </c>
      <c r="AG285" s="2">
        <f t="shared" si="234"/>
        <v>0</v>
      </c>
      <c r="AH285" s="2">
        <f t="shared" si="234"/>
        <v>0</v>
      </c>
      <c r="AI285" s="2">
        <f t="shared" si="234"/>
        <v>0</v>
      </c>
      <c r="AJ285" s="2">
        <f t="shared" si="234"/>
        <v>0</v>
      </c>
      <c r="AK285" s="2">
        <f t="shared" si="234"/>
        <v>0</v>
      </c>
      <c r="AL285" s="2">
        <f t="shared" si="234"/>
        <v>0</v>
      </c>
      <c r="AM285" s="2">
        <f t="shared" si="234"/>
        <v>0</v>
      </c>
      <c r="AN285" s="2">
        <f t="shared" si="234"/>
        <v>0</v>
      </c>
      <c r="AO285" s="2">
        <f t="shared" si="234"/>
        <v>0</v>
      </c>
      <c r="AP285" s="2">
        <f t="shared" ref="AP285:BU285" si="235">IF(AP284&gt;=$F283,0,1)</f>
        <v>0</v>
      </c>
      <c r="AQ285" s="2">
        <f t="shared" si="235"/>
        <v>0</v>
      </c>
      <c r="AR285" s="2">
        <f t="shared" si="235"/>
        <v>0</v>
      </c>
      <c r="AS285" s="2">
        <f t="shared" si="235"/>
        <v>0</v>
      </c>
      <c r="AT285" s="2">
        <f t="shared" si="235"/>
        <v>0</v>
      </c>
      <c r="AU285" s="2">
        <f t="shared" si="235"/>
        <v>0</v>
      </c>
      <c r="AV285" s="2">
        <f t="shared" si="235"/>
        <v>0</v>
      </c>
      <c r="AW285" s="2">
        <f t="shared" si="235"/>
        <v>0</v>
      </c>
      <c r="AX285" s="2">
        <f t="shared" si="235"/>
        <v>0</v>
      </c>
      <c r="AY285" s="2">
        <f t="shared" si="235"/>
        <v>0</v>
      </c>
      <c r="AZ285" s="2">
        <f t="shared" si="235"/>
        <v>0</v>
      </c>
      <c r="BA285" s="2">
        <f t="shared" si="235"/>
        <v>0</v>
      </c>
      <c r="BB285" s="2">
        <f t="shared" si="235"/>
        <v>0</v>
      </c>
      <c r="BC285" s="2">
        <f t="shared" si="235"/>
        <v>0</v>
      </c>
      <c r="BD285" s="2">
        <f t="shared" si="235"/>
        <v>0</v>
      </c>
      <c r="BE285" s="2">
        <f t="shared" si="235"/>
        <v>0</v>
      </c>
      <c r="BF285" s="2">
        <f t="shared" si="235"/>
        <v>0</v>
      </c>
      <c r="BG285" s="2">
        <f t="shared" si="235"/>
        <v>0</v>
      </c>
      <c r="BH285" s="2">
        <f t="shared" si="235"/>
        <v>0</v>
      </c>
      <c r="BI285" s="2">
        <f t="shared" si="235"/>
        <v>0</v>
      </c>
      <c r="BJ285" s="2">
        <f t="shared" si="235"/>
        <v>0</v>
      </c>
      <c r="BK285" s="2">
        <f t="shared" si="235"/>
        <v>0</v>
      </c>
      <c r="BL285" s="2">
        <f t="shared" si="235"/>
        <v>0</v>
      </c>
      <c r="BM285" s="2">
        <f t="shared" si="235"/>
        <v>0</v>
      </c>
      <c r="BN285" s="2">
        <f t="shared" si="235"/>
        <v>0</v>
      </c>
      <c r="BO285" s="2">
        <f t="shared" si="235"/>
        <v>0</v>
      </c>
      <c r="BP285" s="2">
        <f t="shared" si="235"/>
        <v>0</v>
      </c>
      <c r="BQ285" s="2">
        <f t="shared" si="235"/>
        <v>0</v>
      </c>
    </row>
    <row r="288" spans="1:69">
      <c r="A288" s="22" t="s">
        <v>214</v>
      </c>
    </row>
    <row r="289" spans="1:69" ht="14.5">
      <c r="A289"/>
      <c r="B289" s="22" t="s">
        <v>58</v>
      </c>
    </row>
    <row r="290" spans="1:69">
      <c r="E290" s="5" t="str">
        <f t="shared" ref="E290:AJ290" si="236">E$28</f>
        <v>Period number</v>
      </c>
      <c r="F290" s="5">
        <f t="shared" si="236"/>
        <v>0</v>
      </c>
      <c r="G290" s="5" t="str">
        <f t="shared" si="236"/>
        <v>Counter</v>
      </c>
      <c r="H290" s="5">
        <f t="shared" si="236"/>
        <v>0</v>
      </c>
      <c r="I290" s="5">
        <f t="shared" si="236"/>
        <v>0</v>
      </c>
      <c r="J290" s="5">
        <f t="shared" si="236"/>
        <v>1</v>
      </c>
      <c r="K290" s="5">
        <f t="shared" si="236"/>
        <v>2</v>
      </c>
      <c r="L290" s="5">
        <f t="shared" si="236"/>
        <v>3</v>
      </c>
      <c r="M290" s="5">
        <f t="shared" si="236"/>
        <v>4</v>
      </c>
      <c r="N290" s="5">
        <f t="shared" si="236"/>
        <v>5</v>
      </c>
      <c r="O290" s="5">
        <f t="shared" si="236"/>
        <v>6</v>
      </c>
      <c r="P290" s="5">
        <f t="shared" si="236"/>
        <v>7</v>
      </c>
      <c r="Q290" s="5">
        <f t="shared" si="236"/>
        <v>8</v>
      </c>
      <c r="R290" s="5">
        <f t="shared" si="236"/>
        <v>9</v>
      </c>
      <c r="S290" s="5">
        <f t="shared" si="236"/>
        <v>10</v>
      </c>
      <c r="T290" s="5">
        <f t="shared" si="236"/>
        <v>11</v>
      </c>
      <c r="U290" s="5">
        <f t="shared" si="236"/>
        <v>12</v>
      </c>
      <c r="V290" s="5">
        <f t="shared" si="236"/>
        <v>13</v>
      </c>
      <c r="W290" s="5">
        <f t="shared" si="236"/>
        <v>14</v>
      </c>
      <c r="X290" s="5">
        <f t="shared" si="236"/>
        <v>15</v>
      </c>
      <c r="Y290" s="5">
        <f t="shared" si="236"/>
        <v>16</v>
      </c>
      <c r="Z290" s="5">
        <f t="shared" si="236"/>
        <v>17</v>
      </c>
      <c r="AA290" s="5">
        <f t="shared" si="236"/>
        <v>18</v>
      </c>
      <c r="AB290" s="5">
        <f t="shared" si="236"/>
        <v>19</v>
      </c>
      <c r="AC290" s="5">
        <f t="shared" si="236"/>
        <v>20</v>
      </c>
      <c r="AD290" s="5">
        <f t="shared" si="236"/>
        <v>21</v>
      </c>
      <c r="AE290" s="5">
        <f t="shared" si="236"/>
        <v>22</v>
      </c>
      <c r="AF290" s="5">
        <f t="shared" si="236"/>
        <v>23</v>
      </c>
      <c r="AG290" s="5">
        <f t="shared" si="236"/>
        <v>24</v>
      </c>
      <c r="AH290" s="5">
        <f t="shared" si="236"/>
        <v>25</v>
      </c>
      <c r="AI290" s="5">
        <f t="shared" si="236"/>
        <v>26</v>
      </c>
      <c r="AJ290" s="5">
        <f t="shared" si="236"/>
        <v>27</v>
      </c>
      <c r="AK290" s="5">
        <f t="shared" ref="AK290:BQ290" si="237">AK$28</f>
        <v>28</v>
      </c>
      <c r="AL290" s="5">
        <f t="shared" si="237"/>
        <v>29</v>
      </c>
      <c r="AM290" s="5">
        <f t="shared" si="237"/>
        <v>30</v>
      </c>
      <c r="AN290" s="5">
        <f t="shared" si="237"/>
        <v>31</v>
      </c>
      <c r="AO290" s="5">
        <f t="shared" si="237"/>
        <v>32</v>
      </c>
      <c r="AP290" s="5">
        <f t="shared" si="237"/>
        <v>33</v>
      </c>
      <c r="AQ290" s="5">
        <f t="shared" si="237"/>
        <v>34</v>
      </c>
      <c r="AR290" s="5">
        <f t="shared" si="237"/>
        <v>35</v>
      </c>
      <c r="AS290" s="5">
        <f t="shared" si="237"/>
        <v>36</v>
      </c>
      <c r="AT290" s="5">
        <f t="shared" si="237"/>
        <v>37</v>
      </c>
      <c r="AU290" s="5">
        <f t="shared" si="237"/>
        <v>38</v>
      </c>
      <c r="AV290" s="5">
        <f t="shared" si="237"/>
        <v>39</v>
      </c>
      <c r="AW290" s="5">
        <f t="shared" si="237"/>
        <v>40</v>
      </c>
      <c r="AX290" s="5">
        <f t="shared" si="237"/>
        <v>41</v>
      </c>
      <c r="AY290" s="5">
        <f t="shared" si="237"/>
        <v>42</v>
      </c>
      <c r="AZ290" s="5">
        <f t="shared" si="237"/>
        <v>43</v>
      </c>
      <c r="BA290" s="5">
        <f t="shared" si="237"/>
        <v>44</v>
      </c>
      <c r="BB290" s="5">
        <f t="shared" si="237"/>
        <v>45</v>
      </c>
      <c r="BC290" s="5">
        <f t="shared" si="237"/>
        <v>46</v>
      </c>
      <c r="BD290" s="5">
        <f t="shared" si="237"/>
        <v>47</v>
      </c>
      <c r="BE290" s="5">
        <f t="shared" si="237"/>
        <v>48</v>
      </c>
      <c r="BF290" s="5">
        <f t="shared" si="237"/>
        <v>49</v>
      </c>
      <c r="BG290" s="5">
        <f t="shared" si="237"/>
        <v>50</v>
      </c>
      <c r="BH290" s="5">
        <f t="shared" si="237"/>
        <v>51</v>
      </c>
      <c r="BI290" s="5">
        <f t="shared" si="237"/>
        <v>52</v>
      </c>
      <c r="BJ290" s="5">
        <f t="shared" si="237"/>
        <v>53</v>
      </c>
      <c r="BK290" s="5">
        <f t="shared" si="237"/>
        <v>54</v>
      </c>
      <c r="BL290" s="5">
        <f t="shared" si="237"/>
        <v>55</v>
      </c>
      <c r="BM290" s="5">
        <f t="shared" si="237"/>
        <v>56</v>
      </c>
      <c r="BN290" s="5">
        <f t="shared" si="237"/>
        <v>57</v>
      </c>
      <c r="BO290" s="5">
        <f t="shared" si="237"/>
        <v>58</v>
      </c>
      <c r="BP290" s="5">
        <f t="shared" si="237"/>
        <v>59</v>
      </c>
      <c r="BQ290" s="5">
        <f t="shared" si="237"/>
        <v>60</v>
      </c>
    </row>
    <row r="291" spans="1:69" ht="14.5">
      <c r="E291" s="2" t="s">
        <v>58</v>
      </c>
      <c r="G291" s="2" t="s">
        <v>90</v>
      </c>
      <c r="I291"/>
      <c r="J291" s="5">
        <f t="shared" ref="J291:AO291" si="238">IF(J290=1,1,I291+IF(MOD(J290,12)=1,1,0))</f>
        <v>1</v>
      </c>
      <c r="K291" s="5">
        <f t="shared" si="238"/>
        <v>1</v>
      </c>
      <c r="L291" s="5">
        <f t="shared" si="238"/>
        <v>1</v>
      </c>
      <c r="M291" s="5">
        <f t="shared" si="238"/>
        <v>1</v>
      </c>
      <c r="N291" s="5">
        <f t="shared" si="238"/>
        <v>1</v>
      </c>
      <c r="O291" s="5">
        <f t="shared" si="238"/>
        <v>1</v>
      </c>
      <c r="P291" s="5">
        <f t="shared" si="238"/>
        <v>1</v>
      </c>
      <c r="Q291" s="5">
        <f t="shared" si="238"/>
        <v>1</v>
      </c>
      <c r="R291" s="5">
        <f t="shared" si="238"/>
        <v>1</v>
      </c>
      <c r="S291" s="5">
        <f t="shared" si="238"/>
        <v>1</v>
      </c>
      <c r="T291" s="5">
        <f t="shared" si="238"/>
        <v>1</v>
      </c>
      <c r="U291" s="5">
        <f t="shared" si="238"/>
        <v>1</v>
      </c>
      <c r="V291" s="5">
        <f t="shared" si="238"/>
        <v>2</v>
      </c>
      <c r="W291" s="5">
        <f t="shared" si="238"/>
        <v>2</v>
      </c>
      <c r="X291" s="5">
        <f t="shared" si="238"/>
        <v>2</v>
      </c>
      <c r="Y291" s="5">
        <f t="shared" si="238"/>
        <v>2</v>
      </c>
      <c r="Z291" s="5">
        <f t="shared" si="238"/>
        <v>2</v>
      </c>
      <c r="AA291" s="5">
        <f t="shared" si="238"/>
        <v>2</v>
      </c>
      <c r="AB291" s="5">
        <f t="shared" si="238"/>
        <v>2</v>
      </c>
      <c r="AC291" s="5">
        <f t="shared" si="238"/>
        <v>2</v>
      </c>
      <c r="AD291" s="5">
        <f t="shared" si="238"/>
        <v>2</v>
      </c>
      <c r="AE291" s="5">
        <f t="shared" si="238"/>
        <v>2</v>
      </c>
      <c r="AF291" s="5">
        <f t="shared" si="238"/>
        <v>2</v>
      </c>
      <c r="AG291" s="5">
        <f t="shared" si="238"/>
        <v>2</v>
      </c>
      <c r="AH291" s="5">
        <f t="shared" si="238"/>
        <v>3</v>
      </c>
      <c r="AI291" s="5">
        <f t="shared" si="238"/>
        <v>3</v>
      </c>
      <c r="AJ291" s="5">
        <f t="shared" si="238"/>
        <v>3</v>
      </c>
      <c r="AK291" s="5">
        <f t="shared" si="238"/>
        <v>3</v>
      </c>
      <c r="AL291" s="5">
        <f t="shared" si="238"/>
        <v>3</v>
      </c>
      <c r="AM291" s="5">
        <f t="shared" si="238"/>
        <v>3</v>
      </c>
      <c r="AN291" s="5">
        <f t="shared" si="238"/>
        <v>3</v>
      </c>
      <c r="AO291" s="5">
        <f t="shared" si="238"/>
        <v>3</v>
      </c>
      <c r="AP291" s="5">
        <f t="shared" ref="AP291:BU291" si="239">IF(AP290=1,1,AO291+IF(MOD(AP290,12)=1,1,0))</f>
        <v>3</v>
      </c>
      <c r="AQ291" s="5">
        <f t="shared" si="239"/>
        <v>3</v>
      </c>
      <c r="AR291" s="5">
        <f t="shared" si="239"/>
        <v>3</v>
      </c>
      <c r="AS291" s="5">
        <f t="shared" si="239"/>
        <v>3</v>
      </c>
      <c r="AT291" s="5">
        <f t="shared" si="239"/>
        <v>4</v>
      </c>
      <c r="AU291" s="5">
        <f t="shared" si="239"/>
        <v>4</v>
      </c>
      <c r="AV291" s="5">
        <f t="shared" si="239"/>
        <v>4</v>
      </c>
      <c r="AW291" s="5">
        <f t="shared" si="239"/>
        <v>4</v>
      </c>
      <c r="AX291" s="5">
        <f t="shared" si="239"/>
        <v>4</v>
      </c>
      <c r="AY291" s="5">
        <f t="shared" si="239"/>
        <v>4</v>
      </c>
      <c r="AZ291" s="5">
        <f t="shared" si="239"/>
        <v>4</v>
      </c>
      <c r="BA291" s="5">
        <f t="shared" si="239"/>
        <v>4</v>
      </c>
      <c r="BB291" s="5">
        <f t="shared" si="239"/>
        <v>4</v>
      </c>
      <c r="BC291" s="5">
        <f t="shared" si="239"/>
        <v>4</v>
      </c>
      <c r="BD291" s="5">
        <f t="shared" si="239"/>
        <v>4</v>
      </c>
      <c r="BE291" s="5">
        <f t="shared" si="239"/>
        <v>4</v>
      </c>
      <c r="BF291" s="5">
        <f t="shared" si="239"/>
        <v>5</v>
      </c>
      <c r="BG291" s="5">
        <f t="shared" si="239"/>
        <v>5</v>
      </c>
      <c r="BH291" s="5">
        <f t="shared" si="239"/>
        <v>5</v>
      </c>
      <c r="BI291" s="5">
        <f t="shared" si="239"/>
        <v>5</v>
      </c>
      <c r="BJ291" s="5">
        <f t="shared" si="239"/>
        <v>5</v>
      </c>
      <c r="BK291" s="5">
        <f t="shared" si="239"/>
        <v>5</v>
      </c>
      <c r="BL291" s="5">
        <f t="shared" si="239"/>
        <v>5</v>
      </c>
      <c r="BM291" s="5">
        <f t="shared" si="239"/>
        <v>5</v>
      </c>
      <c r="BN291" s="5">
        <f t="shared" si="239"/>
        <v>5</v>
      </c>
      <c r="BO291" s="5">
        <f t="shared" si="239"/>
        <v>5</v>
      </c>
      <c r="BP291" s="5">
        <f t="shared" si="239"/>
        <v>5</v>
      </c>
      <c r="BQ291" s="5">
        <f t="shared" si="239"/>
        <v>5</v>
      </c>
    </row>
    <row r="294" spans="1:69">
      <c r="B294" s="22" t="s">
        <v>335</v>
      </c>
    </row>
    <row r="295" spans="1:69">
      <c r="E295" s="5" t="str">
        <f t="shared" ref="E295:AJ295" si="240">E$28</f>
        <v>Period number</v>
      </c>
      <c r="F295" s="5">
        <f t="shared" si="240"/>
        <v>0</v>
      </c>
      <c r="G295" s="5" t="str">
        <f t="shared" si="240"/>
        <v>Counter</v>
      </c>
      <c r="H295" s="5">
        <f t="shared" si="240"/>
        <v>0</v>
      </c>
      <c r="I295" s="5">
        <f t="shared" si="240"/>
        <v>0</v>
      </c>
      <c r="J295" s="5">
        <f t="shared" si="240"/>
        <v>1</v>
      </c>
      <c r="K295" s="5">
        <f t="shared" si="240"/>
        <v>2</v>
      </c>
      <c r="L295" s="5">
        <f t="shared" si="240"/>
        <v>3</v>
      </c>
      <c r="M295" s="5">
        <f t="shared" si="240"/>
        <v>4</v>
      </c>
      <c r="N295" s="5">
        <f t="shared" si="240"/>
        <v>5</v>
      </c>
      <c r="O295" s="5">
        <f t="shared" si="240"/>
        <v>6</v>
      </c>
      <c r="P295" s="5">
        <f t="shared" si="240"/>
        <v>7</v>
      </c>
      <c r="Q295" s="5">
        <f t="shared" si="240"/>
        <v>8</v>
      </c>
      <c r="R295" s="5">
        <f t="shared" si="240"/>
        <v>9</v>
      </c>
      <c r="S295" s="5">
        <f t="shared" si="240"/>
        <v>10</v>
      </c>
      <c r="T295" s="5">
        <f t="shared" si="240"/>
        <v>11</v>
      </c>
      <c r="U295" s="5">
        <f t="shared" si="240"/>
        <v>12</v>
      </c>
      <c r="V295" s="5">
        <f t="shared" si="240"/>
        <v>13</v>
      </c>
      <c r="W295" s="5">
        <f t="shared" si="240"/>
        <v>14</v>
      </c>
      <c r="X295" s="5">
        <f t="shared" si="240"/>
        <v>15</v>
      </c>
      <c r="Y295" s="5">
        <f t="shared" si="240"/>
        <v>16</v>
      </c>
      <c r="Z295" s="5">
        <f t="shared" si="240"/>
        <v>17</v>
      </c>
      <c r="AA295" s="5">
        <f t="shared" si="240"/>
        <v>18</v>
      </c>
      <c r="AB295" s="5">
        <f t="shared" si="240"/>
        <v>19</v>
      </c>
      <c r="AC295" s="5">
        <f t="shared" si="240"/>
        <v>20</v>
      </c>
      <c r="AD295" s="5">
        <f t="shared" si="240"/>
        <v>21</v>
      </c>
      <c r="AE295" s="5">
        <f t="shared" si="240"/>
        <v>22</v>
      </c>
      <c r="AF295" s="5">
        <f t="shared" si="240"/>
        <v>23</v>
      </c>
      <c r="AG295" s="5">
        <f t="shared" si="240"/>
        <v>24</v>
      </c>
      <c r="AH295" s="5">
        <f t="shared" si="240"/>
        <v>25</v>
      </c>
      <c r="AI295" s="5">
        <f t="shared" si="240"/>
        <v>26</v>
      </c>
      <c r="AJ295" s="5">
        <f t="shared" si="240"/>
        <v>27</v>
      </c>
      <c r="AK295" s="5">
        <f t="shared" ref="AK295:BQ295" si="241">AK$28</f>
        <v>28</v>
      </c>
      <c r="AL295" s="5">
        <f t="shared" si="241"/>
        <v>29</v>
      </c>
      <c r="AM295" s="5">
        <f t="shared" si="241"/>
        <v>30</v>
      </c>
      <c r="AN295" s="5">
        <f t="shared" si="241"/>
        <v>31</v>
      </c>
      <c r="AO295" s="5">
        <f t="shared" si="241"/>
        <v>32</v>
      </c>
      <c r="AP295" s="5">
        <f t="shared" si="241"/>
        <v>33</v>
      </c>
      <c r="AQ295" s="5">
        <f t="shared" si="241"/>
        <v>34</v>
      </c>
      <c r="AR295" s="5">
        <f t="shared" si="241"/>
        <v>35</v>
      </c>
      <c r="AS295" s="5">
        <f t="shared" si="241"/>
        <v>36</v>
      </c>
      <c r="AT295" s="5">
        <f t="shared" si="241"/>
        <v>37</v>
      </c>
      <c r="AU295" s="5">
        <f t="shared" si="241"/>
        <v>38</v>
      </c>
      <c r="AV295" s="5">
        <f t="shared" si="241"/>
        <v>39</v>
      </c>
      <c r="AW295" s="5">
        <f t="shared" si="241"/>
        <v>40</v>
      </c>
      <c r="AX295" s="5">
        <f t="shared" si="241"/>
        <v>41</v>
      </c>
      <c r="AY295" s="5">
        <f t="shared" si="241"/>
        <v>42</v>
      </c>
      <c r="AZ295" s="5">
        <f t="shared" si="241"/>
        <v>43</v>
      </c>
      <c r="BA295" s="5">
        <f t="shared" si="241"/>
        <v>44</v>
      </c>
      <c r="BB295" s="5">
        <f t="shared" si="241"/>
        <v>45</v>
      </c>
      <c r="BC295" s="5">
        <f t="shared" si="241"/>
        <v>46</v>
      </c>
      <c r="BD295" s="5">
        <f t="shared" si="241"/>
        <v>47</v>
      </c>
      <c r="BE295" s="5">
        <f t="shared" si="241"/>
        <v>48</v>
      </c>
      <c r="BF295" s="5">
        <f t="shared" si="241"/>
        <v>49</v>
      </c>
      <c r="BG295" s="5">
        <f t="shared" si="241"/>
        <v>50</v>
      </c>
      <c r="BH295" s="5">
        <f t="shared" si="241"/>
        <v>51</v>
      </c>
      <c r="BI295" s="5">
        <f t="shared" si="241"/>
        <v>52</v>
      </c>
      <c r="BJ295" s="5">
        <f t="shared" si="241"/>
        <v>53</v>
      </c>
      <c r="BK295" s="5">
        <f t="shared" si="241"/>
        <v>54</v>
      </c>
      <c r="BL295" s="5">
        <f t="shared" si="241"/>
        <v>55</v>
      </c>
      <c r="BM295" s="5">
        <f t="shared" si="241"/>
        <v>56</v>
      </c>
      <c r="BN295" s="5">
        <f t="shared" si="241"/>
        <v>57</v>
      </c>
      <c r="BO295" s="5">
        <f t="shared" si="241"/>
        <v>58</v>
      </c>
      <c r="BP295" s="5">
        <f t="shared" si="241"/>
        <v>59</v>
      </c>
      <c r="BQ295" s="5">
        <f t="shared" si="241"/>
        <v>60</v>
      </c>
    </row>
    <row r="296" spans="1:69" ht="14.5">
      <c r="E296" s="2" t="s">
        <v>335</v>
      </c>
      <c r="F296"/>
      <c r="G296" s="2" t="s">
        <v>90</v>
      </c>
      <c r="H296"/>
      <c r="I296" s="5">
        <f t="shared" ref="I296:AN296" si="242">IF(MOD(I295,12)=0,(I295/12),0)</f>
        <v>0</v>
      </c>
      <c r="J296" s="5">
        <f t="shared" si="242"/>
        <v>0</v>
      </c>
      <c r="K296" s="5">
        <f t="shared" si="242"/>
        <v>0</v>
      </c>
      <c r="L296" s="5">
        <f t="shared" si="242"/>
        <v>0</v>
      </c>
      <c r="M296" s="5">
        <f t="shared" si="242"/>
        <v>0</v>
      </c>
      <c r="N296" s="5">
        <f t="shared" si="242"/>
        <v>0</v>
      </c>
      <c r="O296" s="5">
        <f t="shared" si="242"/>
        <v>0</v>
      </c>
      <c r="P296" s="5">
        <f t="shared" si="242"/>
        <v>0</v>
      </c>
      <c r="Q296" s="5">
        <f t="shared" si="242"/>
        <v>0</v>
      </c>
      <c r="R296" s="5">
        <f t="shared" si="242"/>
        <v>0</v>
      </c>
      <c r="S296" s="5">
        <f t="shared" si="242"/>
        <v>0</v>
      </c>
      <c r="T296" s="5">
        <f t="shared" si="242"/>
        <v>0</v>
      </c>
      <c r="U296" s="5">
        <f t="shared" si="242"/>
        <v>1</v>
      </c>
      <c r="V296" s="5">
        <f t="shared" si="242"/>
        <v>0</v>
      </c>
      <c r="W296" s="5">
        <f t="shared" si="242"/>
        <v>0</v>
      </c>
      <c r="X296" s="5">
        <f t="shared" si="242"/>
        <v>0</v>
      </c>
      <c r="Y296" s="5">
        <f t="shared" si="242"/>
        <v>0</v>
      </c>
      <c r="Z296" s="5">
        <f t="shared" si="242"/>
        <v>0</v>
      </c>
      <c r="AA296" s="5">
        <f t="shared" si="242"/>
        <v>0</v>
      </c>
      <c r="AB296" s="5">
        <f t="shared" si="242"/>
        <v>0</v>
      </c>
      <c r="AC296" s="5">
        <f t="shared" si="242"/>
        <v>0</v>
      </c>
      <c r="AD296" s="5">
        <f t="shared" si="242"/>
        <v>0</v>
      </c>
      <c r="AE296" s="5">
        <f t="shared" si="242"/>
        <v>0</v>
      </c>
      <c r="AF296" s="5">
        <f t="shared" si="242"/>
        <v>0</v>
      </c>
      <c r="AG296" s="5">
        <f t="shared" si="242"/>
        <v>2</v>
      </c>
      <c r="AH296" s="5">
        <f t="shared" si="242"/>
        <v>0</v>
      </c>
      <c r="AI296" s="5">
        <f t="shared" si="242"/>
        <v>0</v>
      </c>
      <c r="AJ296" s="5">
        <f t="shared" si="242"/>
        <v>0</v>
      </c>
      <c r="AK296" s="5">
        <f t="shared" si="242"/>
        <v>0</v>
      </c>
      <c r="AL296" s="5">
        <f t="shared" si="242"/>
        <v>0</v>
      </c>
      <c r="AM296" s="5">
        <f t="shared" si="242"/>
        <v>0</v>
      </c>
      <c r="AN296" s="5">
        <f t="shared" si="242"/>
        <v>0</v>
      </c>
      <c r="AO296" s="5">
        <f t="shared" ref="AO296:BT296" si="243">IF(MOD(AO295,12)=0,(AO295/12),0)</f>
        <v>0</v>
      </c>
      <c r="AP296" s="5">
        <f t="shared" si="243"/>
        <v>0</v>
      </c>
      <c r="AQ296" s="5">
        <f t="shared" si="243"/>
        <v>0</v>
      </c>
      <c r="AR296" s="5">
        <f t="shared" si="243"/>
        <v>0</v>
      </c>
      <c r="AS296" s="5">
        <f t="shared" si="243"/>
        <v>3</v>
      </c>
      <c r="AT296" s="5">
        <f t="shared" si="243"/>
        <v>0</v>
      </c>
      <c r="AU296" s="5">
        <f t="shared" si="243"/>
        <v>0</v>
      </c>
      <c r="AV296" s="5">
        <f t="shared" si="243"/>
        <v>0</v>
      </c>
      <c r="AW296" s="5">
        <f t="shared" si="243"/>
        <v>0</v>
      </c>
      <c r="AX296" s="5">
        <f t="shared" si="243"/>
        <v>0</v>
      </c>
      <c r="AY296" s="5">
        <f t="shared" si="243"/>
        <v>0</v>
      </c>
      <c r="AZ296" s="5">
        <f t="shared" si="243"/>
        <v>0</v>
      </c>
      <c r="BA296" s="5">
        <f t="shared" si="243"/>
        <v>0</v>
      </c>
      <c r="BB296" s="5">
        <f t="shared" si="243"/>
        <v>0</v>
      </c>
      <c r="BC296" s="5">
        <f t="shared" si="243"/>
        <v>0</v>
      </c>
      <c r="BD296" s="5">
        <f t="shared" si="243"/>
        <v>0</v>
      </c>
      <c r="BE296" s="5">
        <f t="shared" si="243"/>
        <v>4</v>
      </c>
      <c r="BF296" s="5">
        <f t="shared" si="243"/>
        <v>0</v>
      </c>
      <c r="BG296" s="5">
        <f t="shared" si="243"/>
        <v>0</v>
      </c>
      <c r="BH296" s="5">
        <f t="shared" si="243"/>
        <v>0</v>
      </c>
      <c r="BI296" s="5">
        <f t="shared" si="243"/>
        <v>0</v>
      </c>
      <c r="BJ296" s="5">
        <f t="shared" si="243"/>
        <v>0</v>
      </c>
      <c r="BK296" s="5">
        <f t="shared" si="243"/>
        <v>0</v>
      </c>
      <c r="BL296" s="5">
        <f t="shared" si="243"/>
        <v>0</v>
      </c>
      <c r="BM296" s="5">
        <f t="shared" si="243"/>
        <v>0</v>
      </c>
      <c r="BN296" s="5">
        <f t="shared" si="243"/>
        <v>0</v>
      </c>
      <c r="BO296" s="5">
        <f t="shared" si="243"/>
        <v>0</v>
      </c>
      <c r="BP296" s="5">
        <f t="shared" si="243"/>
        <v>0</v>
      </c>
      <c r="BQ296" s="5">
        <f t="shared" si="243"/>
        <v>5</v>
      </c>
    </row>
    <row r="299" spans="1:69">
      <c r="B299" s="22" t="s">
        <v>11</v>
      </c>
    </row>
    <row r="300" spans="1:69">
      <c r="A300" s="17"/>
      <c r="B300" s="17"/>
      <c r="C300" s="26"/>
      <c r="D300" s="27"/>
      <c r="E300" s="18" t="str">
        <f>InpC!E$100</f>
        <v>Start date</v>
      </c>
      <c r="F300" s="18">
        <f>InpC!F$100</f>
        <v>45047</v>
      </c>
      <c r="G300" s="18" t="str">
        <f>InpC!G$100</f>
        <v>date</v>
      </c>
      <c r="M300" s="8"/>
    </row>
    <row r="301" spans="1:69">
      <c r="E301" s="2" t="s">
        <v>11</v>
      </c>
      <c r="F301" s="2">
        <f>$F300-1</f>
        <v>45046</v>
      </c>
      <c r="G301" s="2" t="s">
        <v>210</v>
      </c>
    </row>
    <row r="304" spans="1:69">
      <c r="B304" s="22" t="s">
        <v>277</v>
      </c>
    </row>
    <row r="305" spans="1:69">
      <c r="A305" s="17"/>
      <c r="B305" s="17"/>
      <c r="C305" s="26"/>
      <c r="D305" s="27"/>
      <c r="E305" s="4" t="str">
        <f>InpC!E$99</f>
        <v>Financial year end month</v>
      </c>
      <c r="F305" s="4">
        <f>InpC!F$99</f>
        <v>4</v>
      </c>
      <c r="G305" s="4" t="str">
        <f>InpC!G$99</f>
        <v>Months</v>
      </c>
    </row>
    <row r="306" spans="1:69">
      <c r="E306" s="5" t="str">
        <f t="shared" ref="E306:AJ306" si="244">E$28</f>
        <v>Period number</v>
      </c>
      <c r="F306" s="5">
        <f t="shared" si="244"/>
        <v>0</v>
      </c>
      <c r="G306" s="5" t="str">
        <f t="shared" si="244"/>
        <v>Counter</v>
      </c>
      <c r="H306" s="5">
        <f t="shared" si="244"/>
        <v>0</v>
      </c>
      <c r="I306" s="5">
        <f t="shared" si="244"/>
        <v>0</v>
      </c>
      <c r="J306" s="5">
        <f t="shared" si="244"/>
        <v>1</v>
      </c>
      <c r="K306" s="5">
        <f t="shared" si="244"/>
        <v>2</v>
      </c>
      <c r="L306" s="5">
        <f t="shared" si="244"/>
        <v>3</v>
      </c>
      <c r="M306" s="5">
        <f t="shared" si="244"/>
        <v>4</v>
      </c>
      <c r="N306" s="5">
        <f t="shared" si="244"/>
        <v>5</v>
      </c>
      <c r="O306" s="5">
        <f t="shared" si="244"/>
        <v>6</v>
      </c>
      <c r="P306" s="5">
        <f t="shared" si="244"/>
        <v>7</v>
      </c>
      <c r="Q306" s="5">
        <f t="shared" si="244"/>
        <v>8</v>
      </c>
      <c r="R306" s="5">
        <f t="shared" si="244"/>
        <v>9</v>
      </c>
      <c r="S306" s="5">
        <f t="shared" si="244"/>
        <v>10</v>
      </c>
      <c r="T306" s="5">
        <f t="shared" si="244"/>
        <v>11</v>
      </c>
      <c r="U306" s="5">
        <f t="shared" si="244"/>
        <v>12</v>
      </c>
      <c r="V306" s="5">
        <f t="shared" si="244"/>
        <v>13</v>
      </c>
      <c r="W306" s="5">
        <f t="shared" si="244"/>
        <v>14</v>
      </c>
      <c r="X306" s="5">
        <f t="shared" si="244"/>
        <v>15</v>
      </c>
      <c r="Y306" s="5">
        <f t="shared" si="244"/>
        <v>16</v>
      </c>
      <c r="Z306" s="5">
        <f t="shared" si="244"/>
        <v>17</v>
      </c>
      <c r="AA306" s="5">
        <f t="shared" si="244"/>
        <v>18</v>
      </c>
      <c r="AB306" s="5">
        <f t="shared" si="244"/>
        <v>19</v>
      </c>
      <c r="AC306" s="5">
        <f t="shared" si="244"/>
        <v>20</v>
      </c>
      <c r="AD306" s="5">
        <f t="shared" si="244"/>
        <v>21</v>
      </c>
      <c r="AE306" s="5">
        <f t="shared" si="244"/>
        <v>22</v>
      </c>
      <c r="AF306" s="5">
        <f t="shared" si="244"/>
        <v>23</v>
      </c>
      <c r="AG306" s="5">
        <f t="shared" si="244"/>
        <v>24</v>
      </c>
      <c r="AH306" s="5">
        <f t="shared" si="244"/>
        <v>25</v>
      </c>
      <c r="AI306" s="5">
        <f t="shared" si="244"/>
        <v>26</v>
      </c>
      <c r="AJ306" s="5">
        <f t="shared" si="244"/>
        <v>27</v>
      </c>
      <c r="AK306" s="5">
        <f t="shared" ref="AK306:BQ306" si="245">AK$28</f>
        <v>28</v>
      </c>
      <c r="AL306" s="5">
        <f t="shared" si="245"/>
        <v>29</v>
      </c>
      <c r="AM306" s="5">
        <f t="shared" si="245"/>
        <v>30</v>
      </c>
      <c r="AN306" s="5">
        <f t="shared" si="245"/>
        <v>31</v>
      </c>
      <c r="AO306" s="5">
        <f t="shared" si="245"/>
        <v>32</v>
      </c>
      <c r="AP306" s="5">
        <f t="shared" si="245"/>
        <v>33</v>
      </c>
      <c r="AQ306" s="5">
        <f t="shared" si="245"/>
        <v>34</v>
      </c>
      <c r="AR306" s="5">
        <f t="shared" si="245"/>
        <v>35</v>
      </c>
      <c r="AS306" s="5">
        <f t="shared" si="245"/>
        <v>36</v>
      </c>
      <c r="AT306" s="5">
        <f t="shared" si="245"/>
        <v>37</v>
      </c>
      <c r="AU306" s="5">
        <f t="shared" si="245"/>
        <v>38</v>
      </c>
      <c r="AV306" s="5">
        <f t="shared" si="245"/>
        <v>39</v>
      </c>
      <c r="AW306" s="5">
        <f t="shared" si="245"/>
        <v>40</v>
      </c>
      <c r="AX306" s="5">
        <f t="shared" si="245"/>
        <v>41</v>
      </c>
      <c r="AY306" s="5">
        <f t="shared" si="245"/>
        <v>42</v>
      </c>
      <c r="AZ306" s="5">
        <f t="shared" si="245"/>
        <v>43</v>
      </c>
      <c r="BA306" s="5">
        <f t="shared" si="245"/>
        <v>44</v>
      </c>
      <c r="BB306" s="5">
        <f t="shared" si="245"/>
        <v>45</v>
      </c>
      <c r="BC306" s="5">
        <f t="shared" si="245"/>
        <v>46</v>
      </c>
      <c r="BD306" s="5">
        <f t="shared" si="245"/>
        <v>47</v>
      </c>
      <c r="BE306" s="5">
        <f t="shared" si="245"/>
        <v>48</v>
      </c>
      <c r="BF306" s="5">
        <f t="shared" si="245"/>
        <v>49</v>
      </c>
      <c r="BG306" s="5">
        <f t="shared" si="245"/>
        <v>50</v>
      </c>
      <c r="BH306" s="5">
        <f t="shared" si="245"/>
        <v>51</v>
      </c>
      <c r="BI306" s="5">
        <f t="shared" si="245"/>
        <v>52</v>
      </c>
      <c r="BJ306" s="5">
        <f t="shared" si="245"/>
        <v>53</v>
      </c>
      <c r="BK306" s="5">
        <f t="shared" si="245"/>
        <v>54</v>
      </c>
      <c r="BL306" s="5">
        <f t="shared" si="245"/>
        <v>55</v>
      </c>
      <c r="BM306" s="5">
        <f t="shared" si="245"/>
        <v>56</v>
      </c>
      <c r="BN306" s="5">
        <f t="shared" si="245"/>
        <v>57</v>
      </c>
      <c r="BO306" s="5">
        <f t="shared" si="245"/>
        <v>58</v>
      </c>
      <c r="BP306" s="5">
        <f t="shared" si="245"/>
        <v>59</v>
      </c>
      <c r="BQ306" s="5">
        <f t="shared" si="245"/>
        <v>60</v>
      </c>
    </row>
    <row r="307" spans="1:69">
      <c r="E307" s="8" t="str">
        <f t="shared" ref="E307:AJ307" si="246">E$19</f>
        <v>Model period end</v>
      </c>
      <c r="F307" s="8">
        <f t="shared" si="246"/>
        <v>0</v>
      </c>
      <c r="G307" s="8" t="str">
        <f t="shared" si="246"/>
        <v>date</v>
      </c>
      <c r="H307" s="8">
        <f t="shared" si="246"/>
        <v>0</v>
      </c>
      <c r="I307" s="8">
        <f t="shared" si="246"/>
        <v>0</v>
      </c>
      <c r="J307" s="8">
        <f t="shared" si="246"/>
        <v>45077</v>
      </c>
      <c r="K307" s="8">
        <f t="shared" si="246"/>
        <v>45107</v>
      </c>
      <c r="L307" s="8">
        <f t="shared" si="246"/>
        <v>45138</v>
      </c>
      <c r="M307" s="8">
        <f t="shared" si="246"/>
        <v>45169</v>
      </c>
      <c r="N307" s="8">
        <f t="shared" si="246"/>
        <v>45199</v>
      </c>
      <c r="O307" s="8">
        <f t="shared" si="246"/>
        <v>45230</v>
      </c>
      <c r="P307" s="8">
        <f t="shared" si="246"/>
        <v>45260</v>
      </c>
      <c r="Q307" s="8">
        <f t="shared" si="246"/>
        <v>45291</v>
      </c>
      <c r="R307" s="8">
        <f t="shared" si="246"/>
        <v>45322</v>
      </c>
      <c r="S307" s="8">
        <f t="shared" si="246"/>
        <v>45351</v>
      </c>
      <c r="T307" s="8">
        <f t="shared" si="246"/>
        <v>45382</v>
      </c>
      <c r="U307" s="8">
        <f t="shared" si="246"/>
        <v>45412</v>
      </c>
      <c r="V307" s="8">
        <f t="shared" si="246"/>
        <v>45443</v>
      </c>
      <c r="W307" s="8">
        <f t="shared" si="246"/>
        <v>45473</v>
      </c>
      <c r="X307" s="8">
        <f t="shared" si="246"/>
        <v>45504</v>
      </c>
      <c r="Y307" s="8">
        <f t="shared" si="246"/>
        <v>45535</v>
      </c>
      <c r="Z307" s="8">
        <f t="shared" si="246"/>
        <v>45565</v>
      </c>
      <c r="AA307" s="8">
        <f t="shared" si="246"/>
        <v>45596</v>
      </c>
      <c r="AB307" s="8">
        <f t="shared" si="246"/>
        <v>45626</v>
      </c>
      <c r="AC307" s="8">
        <f t="shared" si="246"/>
        <v>45657</v>
      </c>
      <c r="AD307" s="8">
        <f t="shared" si="246"/>
        <v>45688</v>
      </c>
      <c r="AE307" s="8">
        <f t="shared" si="246"/>
        <v>45716</v>
      </c>
      <c r="AF307" s="8">
        <f t="shared" si="246"/>
        <v>45747</v>
      </c>
      <c r="AG307" s="8">
        <f t="shared" si="246"/>
        <v>45777</v>
      </c>
      <c r="AH307" s="8">
        <f t="shared" si="246"/>
        <v>45808</v>
      </c>
      <c r="AI307" s="8">
        <f t="shared" si="246"/>
        <v>45838</v>
      </c>
      <c r="AJ307" s="8">
        <f t="shared" si="246"/>
        <v>45869</v>
      </c>
      <c r="AK307" s="8">
        <f t="shared" ref="AK307:BQ307" si="247">AK$19</f>
        <v>45900</v>
      </c>
      <c r="AL307" s="8">
        <f t="shared" si="247"/>
        <v>45930</v>
      </c>
      <c r="AM307" s="8">
        <f t="shared" si="247"/>
        <v>45961</v>
      </c>
      <c r="AN307" s="8">
        <f t="shared" si="247"/>
        <v>45991</v>
      </c>
      <c r="AO307" s="8">
        <f t="shared" si="247"/>
        <v>46022</v>
      </c>
      <c r="AP307" s="8">
        <f t="shared" si="247"/>
        <v>46053</v>
      </c>
      <c r="AQ307" s="8">
        <f t="shared" si="247"/>
        <v>46081</v>
      </c>
      <c r="AR307" s="8">
        <f t="shared" si="247"/>
        <v>46112</v>
      </c>
      <c r="AS307" s="8">
        <f t="shared" si="247"/>
        <v>46142</v>
      </c>
      <c r="AT307" s="8">
        <f t="shared" si="247"/>
        <v>46173</v>
      </c>
      <c r="AU307" s="8">
        <f t="shared" si="247"/>
        <v>46203</v>
      </c>
      <c r="AV307" s="8">
        <f t="shared" si="247"/>
        <v>46234</v>
      </c>
      <c r="AW307" s="8">
        <f t="shared" si="247"/>
        <v>46265</v>
      </c>
      <c r="AX307" s="8">
        <f t="shared" si="247"/>
        <v>46295</v>
      </c>
      <c r="AY307" s="8">
        <f t="shared" si="247"/>
        <v>46326</v>
      </c>
      <c r="AZ307" s="8">
        <f t="shared" si="247"/>
        <v>46356</v>
      </c>
      <c r="BA307" s="8">
        <f t="shared" si="247"/>
        <v>46387</v>
      </c>
      <c r="BB307" s="8">
        <f t="shared" si="247"/>
        <v>46418</v>
      </c>
      <c r="BC307" s="8">
        <f t="shared" si="247"/>
        <v>46446</v>
      </c>
      <c r="BD307" s="8">
        <f t="shared" si="247"/>
        <v>46477</v>
      </c>
      <c r="BE307" s="8">
        <f t="shared" si="247"/>
        <v>46507</v>
      </c>
      <c r="BF307" s="8">
        <f t="shared" si="247"/>
        <v>46538</v>
      </c>
      <c r="BG307" s="8">
        <f t="shared" si="247"/>
        <v>46568</v>
      </c>
      <c r="BH307" s="8">
        <f t="shared" si="247"/>
        <v>46599</v>
      </c>
      <c r="BI307" s="8">
        <f t="shared" si="247"/>
        <v>46630</v>
      </c>
      <c r="BJ307" s="8">
        <f t="shared" si="247"/>
        <v>46660</v>
      </c>
      <c r="BK307" s="8">
        <f t="shared" si="247"/>
        <v>46691</v>
      </c>
      <c r="BL307" s="8">
        <f t="shared" si="247"/>
        <v>46721</v>
      </c>
      <c r="BM307" s="8">
        <f t="shared" si="247"/>
        <v>46752</v>
      </c>
      <c r="BN307" s="8">
        <f t="shared" si="247"/>
        <v>46783</v>
      </c>
      <c r="BO307" s="8">
        <f t="shared" si="247"/>
        <v>46812</v>
      </c>
      <c r="BP307" s="8">
        <f t="shared" si="247"/>
        <v>46843</v>
      </c>
      <c r="BQ307" s="8">
        <f t="shared" si="247"/>
        <v>46873</v>
      </c>
    </row>
    <row r="308" spans="1:69" ht="14.5">
      <c r="E308" s="2" t="s">
        <v>277</v>
      </c>
      <c r="G308" s="2" t="s">
        <v>90</v>
      </c>
      <c r="I308"/>
      <c r="J308" s="5">
        <f t="shared" ref="J308:AO308" si="248">IF(J306=1,1,I308+IF(MONTH(I307)=$F305,1,0))</f>
        <v>1</v>
      </c>
      <c r="K308" s="5">
        <f t="shared" si="248"/>
        <v>1</v>
      </c>
      <c r="L308" s="5">
        <f t="shared" si="248"/>
        <v>1</v>
      </c>
      <c r="M308" s="5">
        <f t="shared" si="248"/>
        <v>1</v>
      </c>
      <c r="N308" s="5">
        <f t="shared" si="248"/>
        <v>1</v>
      </c>
      <c r="O308" s="5">
        <f t="shared" si="248"/>
        <v>1</v>
      </c>
      <c r="P308" s="5">
        <f t="shared" si="248"/>
        <v>1</v>
      </c>
      <c r="Q308" s="5">
        <f t="shared" si="248"/>
        <v>1</v>
      </c>
      <c r="R308" s="5">
        <f t="shared" si="248"/>
        <v>1</v>
      </c>
      <c r="S308" s="5">
        <f t="shared" si="248"/>
        <v>1</v>
      </c>
      <c r="T308" s="5">
        <f t="shared" si="248"/>
        <v>1</v>
      </c>
      <c r="U308" s="5">
        <f t="shared" si="248"/>
        <v>1</v>
      </c>
      <c r="V308" s="5">
        <f t="shared" si="248"/>
        <v>2</v>
      </c>
      <c r="W308" s="5">
        <f t="shared" si="248"/>
        <v>2</v>
      </c>
      <c r="X308" s="5">
        <f t="shared" si="248"/>
        <v>2</v>
      </c>
      <c r="Y308" s="5">
        <f t="shared" si="248"/>
        <v>2</v>
      </c>
      <c r="Z308" s="5">
        <f t="shared" si="248"/>
        <v>2</v>
      </c>
      <c r="AA308" s="5">
        <f t="shared" si="248"/>
        <v>2</v>
      </c>
      <c r="AB308" s="5">
        <f t="shared" si="248"/>
        <v>2</v>
      </c>
      <c r="AC308" s="5">
        <f t="shared" si="248"/>
        <v>2</v>
      </c>
      <c r="AD308" s="5">
        <f t="shared" si="248"/>
        <v>2</v>
      </c>
      <c r="AE308" s="5">
        <f t="shared" si="248"/>
        <v>2</v>
      </c>
      <c r="AF308" s="5">
        <f t="shared" si="248"/>
        <v>2</v>
      </c>
      <c r="AG308" s="5">
        <f t="shared" si="248"/>
        <v>2</v>
      </c>
      <c r="AH308" s="5">
        <f t="shared" si="248"/>
        <v>3</v>
      </c>
      <c r="AI308" s="5">
        <f t="shared" si="248"/>
        <v>3</v>
      </c>
      <c r="AJ308" s="5">
        <f t="shared" si="248"/>
        <v>3</v>
      </c>
      <c r="AK308" s="5">
        <f t="shared" si="248"/>
        <v>3</v>
      </c>
      <c r="AL308" s="5">
        <f t="shared" si="248"/>
        <v>3</v>
      </c>
      <c r="AM308" s="5">
        <f t="shared" si="248"/>
        <v>3</v>
      </c>
      <c r="AN308" s="5">
        <f t="shared" si="248"/>
        <v>3</v>
      </c>
      <c r="AO308" s="5">
        <f t="shared" si="248"/>
        <v>3</v>
      </c>
      <c r="AP308" s="5">
        <f t="shared" ref="AP308:BQ308" si="249">IF(AP306=1,1,AO308+IF(MONTH(AO307)=$F305,1,0))</f>
        <v>3</v>
      </c>
      <c r="AQ308" s="5">
        <f t="shared" si="249"/>
        <v>3</v>
      </c>
      <c r="AR308" s="5">
        <f t="shared" si="249"/>
        <v>3</v>
      </c>
      <c r="AS308" s="5">
        <f t="shared" si="249"/>
        <v>3</v>
      </c>
      <c r="AT308" s="5">
        <f t="shared" si="249"/>
        <v>4</v>
      </c>
      <c r="AU308" s="5">
        <f t="shared" si="249"/>
        <v>4</v>
      </c>
      <c r="AV308" s="5">
        <f t="shared" si="249"/>
        <v>4</v>
      </c>
      <c r="AW308" s="5">
        <f t="shared" si="249"/>
        <v>4</v>
      </c>
      <c r="AX308" s="5">
        <f t="shared" si="249"/>
        <v>4</v>
      </c>
      <c r="AY308" s="5">
        <f t="shared" si="249"/>
        <v>4</v>
      </c>
      <c r="AZ308" s="5">
        <f t="shared" si="249"/>
        <v>4</v>
      </c>
      <c r="BA308" s="5">
        <f t="shared" si="249"/>
        <v>4</v>
      </c>
      <c r="BB308" s="5">
        <f t="shared" si="249"/>
        <v>4</v>
      </c>
      <c r="BC308" s="5">
        <f t="shared" si="249"/>
        <v>4</v>
      </c>
      <c r="BD308" s="5">
        <f t="shared" si="249"/>
        <v>4</v>
      </c>
      <c r="BE308" s="5">
        <f t="shared" si="249"/>
        <v>4</v>
      </c>
      <c r="BF308" s="5">
        <f t="shared" si="249"/>
        <v>5</v>
      </c>
      <c r="BG308" s="5">
        <f t="shared" si="249"/>
        <v>5</v>
      </c>
      <c r="BH308" s="5">
        <f t="shared" si="249"/>
        <v>5</v>
      </c>
      <c r="BI308" s="5">
        <f t="shared" si="249"/>
        <v>5</v>
      </c>
      <c r="BJ308" s="5">
        <f t="shared" si="249"/>
        <v>5</v>
      </c>
      <c r="BK308" s="5">
        <f t="shared" si="249"/>
        <v>5</v>
      </c>
      <c r="BL308" s="5">
        <f t="shared" si="249"/>
        <v>5</v>
      </c>
      <c r="BM308" s="5">
        <f t="shared" si="249"/>
        <v>5</v>
      </c>
      <c r="BN308" s="5">
        <f t="shared" si="249"/>
        <v>5</v>
      </c>
      <c r="BO308" s="5">
        <f t="shared" si="249"/>
        <v>5</v>
      </c>
      <c r="BP308" s="5">
        <f t="shared" si="249"/>
        <v>5</v>
      </c>
      <c r="BQ308" s="5">
        <f t="shared" si="249"/>
        <v>5</v>
      </c>
    </row>
    <row r="311" spans="1:69">
      <c r="B311" s="22" t="s">
        <v>168</v>
      </c>
    </row>
    <row r="312" spans="1:69">
      <c r="A312" s="17"/>
      <c r="B312" s="17"/>
      <c r="C312" s="26"/>
      <c r="D312" s="27"/>
      <c r="E312" s="4" t="str">
        <f>InpC!E$99</f>
        <v>Financial year end month</v>
      </c>
      <c r="F312" s="4">
        <f>InpC!F$99</f>
        <v>4</v>
      </c>
      <c r="G312" s="4" t="str">
        <f>InpC!G$99</f>
        <v>Months</v>
      </c>
    </row>
    <row r="313" spans="1:69">
      <c r="E313" s="8" t="str">
        <f t="shared" ref="E313:AJ313" si="250">E$19</f>
        <v>Model period end</v>
      </c>
      <c r="F313" s="8">
        <f t="shared" si="250"/>
        <v>0</v>
      </c>
      <c r="G313" s="8" t="str">
        <f t="shared" si="250"/>
        <v>date</v>
      </c>
      <c r="H313" s="8">
        <f t="shared" si="250"/>
        <v>0</v>
      </c>
      <c r="I313" s="8">
        <f t="shared" si="250"/>
        <v>0</v>
      </c>
      <c r="J313" s="8">
        <f t="shared" si="250"/>
        <v>45077</v>
      </c>
      <c r="K313" s="8">
        <f t="shared" si="250"/>
        <v>45107</v>
      </c>
      <c r="L313" s="8">
        <f t="shared" si="250"/>
        <v>45138</v>
      </c>
      <c r="M313" s="8">
        <f t="shared" si="250"/>
        <v>45169</v>
      </c>
      <c r="N313" s="8">
        <f t="shared" si="250"/>
        <v>45199</v>
      </c>
      <c r="O313" s="8">
        <f t="shared" si="250"/>
        <v>45230</v>
      </c>
      <c r="P313" s="8">
        <f t="shared" si="250"/>
        <v>45260</v>
      </c>
      <c r="Q313" s="8">
        <f t="shared" si="250"/>
        <v>45291</v>
      </c>
      <c r="R313" s="8">
        <f t="shared" si="250"/>
        <v>45322</v>
      </c>
      <c r="S313" s="8">
        <f t="shared" si="250"/>
        <v>45351</v>
      </c>
      <c r="T313" s="8">
        <f t="shared" si="250"/>
        <v>45382</v>
      </c>
      <c r="U313" s="8">
        <f t="shared" si="250"/>
        <v>45412</v>
      </c>
      <c r="V313" s="8">
        <f t="shared" si="250"/>
        <v>45443</v>
      </c>
      <c r="W313" s="8">
        <f t="shared" si="250"/>
        <v>45473</v>
      </c>
      <c r="X313" s="8">
        <f t="shared" si="250"/>
        <v>45504</v>
      </c>
      <c r="Y313" s="8">
        <f t="shared" si="250"/>
        <v>45535</v>
      </c>
      <c r="Z313" s="8">
        <f t="shared" si="250"/>
        <v>45565</v>
      </c>
      <c r="AA313" s="8">
        <f t="shared" si="250"/>
        <v>45596</v>
      </c>
      <c r="AB313" s="8">
        <f t="shared" si="250"/>
        <v>45626</v>
      </c>
      <c r="AC313" s="8">
        <f t="shared" si="250"/>
        <v>45657</v>
      </c>
      <c r="AD313" s="8">
        <f t="shared" si="250"/>
        <v>45688</v>
      </c>
      <c r="AE313" s="8">
        <f t="shared" si="250"/>
        <v>45716</v>
      </c>
      <c r="AF313" s="8">
        <f t="shared" si="250"/>
        <v>45747</v>
      </c>
      <c r="AG313" s="8">
        <f t="shared" si="250"/>
        <v>45777</v>
      </c>
      <c r="AH313" s="8">
        <f t="shared" si="250"/>
        <v>45808</v>
      </c>
      <c r="AI313" s="8">
        <f t="shared" si="250"/>
        <v>45838</v>
      </c>
      <c r="AJ313" s="8">
        <f t="shared" si="250"/>
        <v>45869</v>
      </c>
      <c r="AK313" s="8">
        <f t="shared" ref="AK313:BQ313" si="251">AK$19</f>
        <v>45900</v>
      </c>
      <c r="AL313" s="8">
        <f t="shared" si="251"/>
        <v>45930</v>
      </c>
      <c r="AM313" s="8">
        <f t="shared" si="251"/>
        <v>45961</v>
      </c>
      <c r="AN313" s="8">
        <f t="shared" si="251"/>
        <v>45991</v>
      </c>
      <c r="AO313" s="8">
        <f t="shared" si="251"/>
        <v>46022</v>
      </c>
      <c r="AP313" s="8">
        <f t="shared" si="251"/>
        <v>46053</v>
      </c>
      <c r="AQ313" s="8">
        <f t="shared" si="251"/>
        <v>46081</v>
      </c>
      <c r="AR313" s="8">
        <f t="shared" si="251"/>
        <v>46112</v>
      </c>
      <c r="AS313" s="8">
        <f t="shared" si="251"/>
        <v>46142</v>
      </c>
      <c r="AT313" s="8">
        <f t="shared" si="251"/>
        <v>46173</v>
      </c>
      <c r="AU313" s="8">
        <f t="shared" si="251"/>
        <v>46203</v>
      </c>
      <c r="AV313" s="8">
        <f t="shared" si="251"/>
        <v>46234</v>
      </c>
      <c r="AW313" s="8">
        <f t="shared" si="251"/>
        <v>46265</v>
      </c>
      <c r="AX313" s="8">
        <f t="shared" si="251"/>
        <v>46295</v>
      </c>
      <c r="AY313" s="8">
        <f t="shared" si="251"/>
        <v>46326</v>
      </c>
      <c r="AZ313" s="8">
        <f t="shared" si="251"/>
        <v>46356</v>
      </c>
      <c r="BA313" s="8">
        <f t="shared" si="251"/>
        <v>46387</v>
      </c>
      <c r="BB313" s="8">
        <f t="shared" si="251"/>
        <v>46418</v>
      </c>
      <c r="BC313" s="8">
        <f t="shared" si="251"/>
        <v>46446</v>
      </c>
      <c r="BD313" s="8">
        <f t="shared" si="251"/>
        <v>46477</v>
      </c>
      <c r="BE313" s="8">
        <f t="shared" si="251"/>
        <v>46507</v>
      </c>
      <c r="BF313" s="8">
        <f t="shared" si="251"/>
        <v>46538</v>
      </c>
      <c r="BG313" s="8">
        <f t="shared" si="251"/>
        <v>46568</v>
      </c>
      <c r="BH313" s="8">
        <f t="shared" si="251"/>
        <v>46599</v>
      </c>
      <c r="BI313" s="8">
        <f t="shared" si="251"/>
        <v>46630</v>
      </c>
      <c r="BJ313" s="8">
        <f t="shared" si="251"/>
        <v>46660</v>
      </c>
      <c r="BK313" s="8">
        <f t="shared" si="251"/>
        <v>46691</v>
      </c>
      <c r="BL313" s="8">
        <f t="shared" si="251"/>
        <v>46721</v>
      </c>
      <c r="BM313" s="8">
        <f t="shared" si="251"/>
        <v>46752</v>
      </c>
      <c r="BN313" s="8">
        <f t="shared" si="251"/>
        <v>46783</v>
      </c>
      <c r="BO313" s="8">
        <f t="shared" si="251"/>
        <v>46812</v>
      </c>
      <c r="BP313" s="8">
        <f t="shared" si="251"/>
        <v>46843</v>
      </c>
      <c r="BQ313" s="8">
        <f t="shared" si="251"/>
        <v>46873</v>
      </c>
    </row>
    <row r="314" spans="1:69">
      <c r="E314" s="5" t="str">
        <f t="shared" ref="E314:AJ314" si="252">E$28</f>
        <v>Period number</v>
      </c>
      <c r="F314" s="5">
        <f t="shared" si="252"/>
        <v>0</v>
      </c>
      <c r="G314" s="5" t="str">
        <f t="shared" si="252"/>
        <v>Counter</v>
      </c>
      <c r="H314" s="5">
        <f t="shared" si="252"/>
        <v>0</v>
      </c>
      <c r="I314" s="5">
        <f t="shared" si="252"/>
        <v>0</v>
      </c>
      <c r="J314" s="5">
        <f t="shared" si="252"/>
        <v>1</v>
      </c>
      <c r="K314" s="5">
        <f t="shared" si="252"/>
        <v>2</v>
      </c>
      <c r="L314" s="5">
        <f t="shared" si="252"/>
        <v>3</v>
      </c>
      <c r="M314" s="5">
        <f t="shared" si="252"/>
        <v>4</v>
      </c>
      <c r="N314" s="5">
        <f t="shared" si="252"/>
        <v>5</v>
      </c>
      <c r="O314" s="5">
        <f t="shared" si="252"/>
        <v>6</v>
      </c>
      <c r="P314" s="5">
        <f t="shared" si="252"/>
        <v>7</v>
      </c>
      <c r="Q314" s="5">
        <f t="shared" si="252"/>
        <v>8</v>
      </c>
      <c r="R314" s="5">
        <f t="shared" si="252"/>
        <v>9</v>
      </c>
      <c r="S314" s="5">
        <f t="shared" si="252"/>
        <v>10</v>
      </c>
      <c r="T314" s="5">
        <f t="shared" si="252"/>
        <v>11</v>
      </c>
      <c r="U314" s="5">
        <f t="shared" si="252"/>
        <v>12</v>
      </c>
      <c r="V314" s="5">
        <f t="shared" si="252"/>
        <v>13</v>
      </c>
      <c r="W314" s="5">
        <f t="shared" si="252"/>
        <v>14</v>
      </c>
      <c r="X314" s="5">
        <f t="shared" si="252"/>
        <v>15</v>
      </c>
      <c r="Y314" s="5">
        <f t="shared" si="252"/>
        <v>16</v>
      </c>
      <c r="Z314" s="5">
        <f t="shared" si="252"/>
        <v>17</v>
      </c>
      <c r="AA314" s="5">
        <f t="shared" si="252"/>
        <v>18</v>
      </c>
      <c r="AB314" s="5">
        <f t="shared" si="252"/>
        <v>19</v>
      </c>
      <c r="AC314" s="5">
        <f t="shared" si="252"/>
        <v>20</v>
      </c>
      <c r="AD314" s="5">
        <f t="shared" si="252"/>
        <v>21</v>
      </c>
      <c r="AE314" s="5">
        <f t="shared" si="252"/>
        <v>22</v>
      </c>
      <c r="AF314" s="5">
        <f t="shared" si="252"/>
        <v>23</v>
      </c>
      <c r="AG314" s="5">
        <f t="shared" si="252"/>
        <v>24</v>
      </c>
      <c r="AH314" s="5">
        <f t="shared" si="252"/>
        <v>25</v>
      </c>
      <c r="AI314" s="5">
        <f t="shared" si="252"/>
        <v>26</v>
      </c>
      <c r="AJ314" s="5">
        <f t="shared" si="252"/>
        <v>27</v>
      </c>
      <c r="AK314" s="5">
        <f t="shared" ref="AK314:BQ314" si="253">AK$28</f>
        <v>28</v>
      </c>
      <c r="AL314" s="5">
        <f t="shared" si="253"/>
        <v>29</v>
      </c>
      <c r="AM314" s="5">
        <f t="shared" si="253"/>
        <v>30</v>
      </c>
      <c r="AN314" s="5">
        <f t="shared" si="253"/>
        <v>31</v>
      </c>
      <c r="AO314" s="5">
        <f t="shared" si="253"/>
        <v>32</v>
      </c>
      <c r="AP314" s="5">
        <f t="shared" si="253"/>
        <v>33</v>
      </c>
      <c r="AQ314" s="5">
        <f t="shared" si="253"/>
        <v>34</v>
      </c>
      <c r="AR314" s="5">
        <f t="shared" si="253"/>
        <v>35</v>
      </c>
      <c r="AS314" s="5">
        <f t="shared" si="253"/>
        <v>36</v>
      </c>
      <c r="AT314" s="5">
        <f t="shared" si="253"/>
        <v>37</v>
      </c>
      <c r="AU314" s="5">
        <f t="shared" si="253"/>
        <v>38</v>
      </c>
      <c r="AV314" s="5">
        <f t="shared" si="253"/>
        <v>39</v>
      </c>
      <c r="AW314" s="5">
        <f t="shared" si="253"/>
        <v>40</v>
      </c>
      <c r="AX314" s="5">
        <f t="shared" si="253"/>
        <v>41</v>
      </c>
      <c r="AY314" s="5">
        <f t="shared" si="253"/>
        <v>42</v>
      </c>
      <c r="AZ314" s="5">
        <f t="shared" si="253"/>
        <v>43</v>
      </c>
      <c r="BA314" s="5">
        <f t="shared" si="253"/>
        <v>44</v>
      </c>
      <c r="BB314" s="5">
        <f t="shared" si="253"/>
        <v>45</v>
      </c>
      <c r="BC314" s="5">
        <f t="shared" si="253"/>
        <v>46</v>
      </c>
      <c r="BD314" s="5">
        <f t="shared" si="253"/>
        <v>47</v>
      </c>
      <c r="BE314" s="5">
        <f t="shared" si="253"/>
        <v>48</v>
      </c>
      <c r="BF314" s="5">
        <f t="shared" si="253"/>
        <v>49</v>
      </c>
      <c r="BG314" s="5">
        <f t="shared" si="253"/>
        <v>50</v>
      </c>
      <c r="BH314" s="5">
        <f t="shared" si="253"/>
        <v>51</v>
      </c>
      <c r="BI314" s="5">
        <f t="shared" si="253"/>
        <v>52</v>
      </c>
      <c r="BJ314" s="5">
        <f t="shared" si="253"/>
        <v>53</v>
      </c>
      <c r="BK314" s="5">
        <f t="shared" si="253"/>
        <v>54</v>
      </c>
      <c r="BL314" s="5">
        <f t="shared" si="253"/>
        <v>55</v>
      </c>
      <c r="BM314" s="5">
        <f t="shared" si="253"/>
        <v>56</v>
      </c>
      <c r="BN314" s="5">
        <f t="shared" si="253"/>
        <v>57</v>
      </c>
      <c r="BO314" s="5">
        <f t="shared" si="253"/>
        <v>58</v>
      </c>
      <c r="BP314" s="5">
        <f t="shared" si="253"/>
        <v>59</v>
      </c>
      <c r="BQ314" s="5">
        <f t="shared" si="253"/>
        <v>60</v>
      </c>
    </row>
    <row r="315" spans="1:69" ht="14.5">
      <c r="E315" s="2" t="s">
        <v>168</v>
      </c>
      <c r="F315"/>
      <c r="G315" s="2" t="s">
        <v>90</v>
      </c>
      <c r="H315"/>
      <c r="I315" s="5">
        <f t="shared" ref="I315:AN315" si="254">IF(MONTH(I313)=$F312,ROUNDUP(I314/12,0),0)</f>
        <v>0</v>
      </c>
      <c r="J315" s="5">
        <f t="shared" si="254"/>
        <v>0</v>
      </c>
      <c r="K315" s="5">
        <f t="shared" si="254"/>
        <v>0</v>
      </c>
      <c r="L315" s="5">
        <f t="shared" si="254"/>
        <v>0</v>
      </c>
      <c r="M315" s="5">
        <f t="shared" si="254"/>
        <v>0</v>
      </c>
      <c r="N315" s="5">
        <f t="shared" si="254"/>
        <v>0</v>
      </c>
      <c r="O315" s="5">
        <f t="shared" si="254"/>
        <v>0</v>
      </c>
      <c r="P315" s="5">
        <f t="shared" si="254"/>
        <v>0</v>
      </c>
      <c r="Q315" s="5">
        <f t="shared" si="254"/>
        <v>0</v>
      </c>
      <c r="R315" s="5">
        <f t="shared" si="254"/>
        <v>0</v>
      </c>
      <c r="S315" s="5">
        <f t="shared" si="254"/>
        <v>0</v>
      </c>
      <c r="T315" s="5">
        <f t="shared" si="254"/>
        <v>0</v>
      </c>
      <c r="U315" s="5">
        <f t="shared" si="254"/>
        <v>1</v>
      </c>
      <c r="V315" s="5">
        <f t="shared" si="254"/>
        <v>0</v>
      </c>
      <c r="W315" s="5">
        <f t="shared" si="254"/>
        <v>0</v>
      </c>
      <c r="X315" s="5">
        <f t="shared" si="254"/>
        <v>0</v>
      </c>
      <c r="Y315" s="5">
        <f t="shared" si="254"/>
        <v>0</v>
      </c>
      <c r="Z315" s="5">
        <f t="shared" si="254"/>
        <v>0</v>
      </c>
      <c r="AA315" s="5">
        <f t="shared" si="254"/>
        <v>0</v>
      </c>
      <c r="AB315" s="5">
        <f t="shared" si="254"/>
        <v>0</v>
      </c>
      <c r="AC315" s="5">
        <f t="shared" si="254"/>
        <v>0</v>
      </c>
      <c r="AD315" s="5">
        <f t="shared" si="254"/>
        <v>0</v>
      </c>
      <c r="AE315" s="5">
        <f t="shared" si="254"/>
        <v>0</v>
      </c>
      <c r="AF315" s="5">
        <f t="shared" si="254"/>
        <v>0</v>
      </c>
      <c r="AG315" s="5">
        <f t="shared" si="254"/>
        <v>2</v>
      </c>
      <c r="AH315" s="5">
        <f t="shared" si="254"/>
        <v>0</v>
      </c>
      <c r="AI315" s="5">
        <f t="shared" si="254"/>
        <v>0</v>
      </c>
      <c r="AJ315" s="5">
        <f t="shared" si="254"/>
        <v>0</v>
      </c>
      <c r="AK315" s="5">
        <f t="shared" si="254"/>
        <v>0</v>
      </c>
      <c r="AL315" s="5">
        <f t="shared" si="254"/>
        <v>0</v>
      </c>
      <c r="AM315" s="5">
        <f t="shared" si="254"/>
        <v>0</v>
      </c>
      <c r="AN315" s="5">
        <f t="shared" si="254"/>
        <v>0</v>
      </c>
      <c r="AO315" s="5">
        <f t="shared" ref="AO315:BT315" si="255">IF(MONTH(AO313)=$F312,ROUNDUP(AO314/12,0),0)</f>
        <v>0</v>
      </c>
      <c r="AP315" s="5">
        <f t="shared" si="255"/>
        <v>0</v>
      </c>
      <c r="AQ315" s="5">
        <f t="shared" si="255"/>
        <v>0</v>
      </c>
      <c r="AR315" s="5">
        <f t="shared" si="255"/>
        <v>0</v>
      </c>
      <c r="AS315" s="5">
        <f t="shared" si="255"/>
        <v>3</v>
      </c>
      <c r="AT315" s="5">
        <f t="shared" si="255"/>
        <v>0</v>
      </c>
      <c r="AU315" s="5">
        <f t="shared" si="255"/>
        <v>0</v>
      </c>
      <c r="AV315" s="5">
        <f t="shared" si="255"/>
        <v>0</v>
      </c>
      <c r="AW315" s="5">
        <f t="shared" si="255"/>
        <v>0</v>
      </c>
      <c r="AX315" s="5">
        <f t="shared" si="255"/>
        <v>0</v>
      </c>
      <c r="AY315" s="5">
        <f t="shared" si="255"/>
        <v>0</v>
      </c>
      <c r="AZ315" s="5">
        <f t="shared" si="255"/>
        <v>0</v>
      </c>
      <c r="BA315" s="5">
        <f t="shared" si="255"/>
        <v>0</v>
      </c>
      <c r="BB315" s="5">
        <f t="shared" si="255"/>
        <v>0</v>
      </c>
      <c r="BC315" s="5">
        <f t="shared" si="255"/>
        <v>0</v>
      </c>
      <c r="BD315" s="5">
        <f t="shared" si="255"/>
        <v>0</v>
      </c>
      <c r="BE315" s="5">
        <f t="shared" si="255"/>
        <v>4</v>
      </c>
      <c r="BF315" s="5">
        <f t="shared" si="255"/>
        <v>0</v>
      </c>
      <c r="BG315" s="5">
        <f t="shared" si="255"/>
        <v>0</v>
      </c>
      <c r="BH315" s="5">
        <f t="shared" si="255"/>
        <v>0</v>
      </c>
      <c r="BI315" s="5">
        <f t="shared" si="255"/>
        <v>0</v>
      </c>
      <c r="BJ315" s="5">
        <f t="shared" si="255"/>
        <v>0</v>
      </c>
      <c r="BK315" s="5">
        <f t="shared" si="255"/>
        <v>0</v>
      </c>
      <c r="BL315" s="5">
        <f t="shared" si="255"/>
        <v>0</v>
      </c>
      <c r="BM315" s="5">
        <f t="shared" si="255"/>
        <v>0</v>
      </c>
      <c r="BN315" s="5">
        <f t="shared" si="255"/>
        <v>0</v>
      </c>
      <c r="BO315" s="5">
        <f t="shared" si="255"/>
        <v>0</v>
      </c>
      <c r="BP315" s="5">
        <f t="shared" si="255"/>
        <v>0</v>
      </c>
      <c r="BQ315" s="5">
        <f t="shared" si="255"/>
        <v>5</v>
      </c>
    </row>
    <row r="318" spans="1:69">
      <c r="B318" s="22" t="s">
        <v>215</v>
      </c>
    </row>
    <row r="319" spans="1:69">
      <c r="A319" s="17"/>
      <c r="B319" s="17"/>
      <c r="C319" s="26"/>
      <c r="D319" s="27"/>
      <c r="E319" s="18" t="str">
        <f>InpC!E$100</f>
        <v>Start date</v>
      </c>
      <c r="F319" s="18">
        <f>InpC!F$100</f>
        <v>45047</v>
      </c>
      <c r="G319" s="18" t="str">
        <f>InpC!G$100</f>
        <v>date</v>
      </c>
      <c r="M319" s="8"/>
    </row>
    <row r="320" spans="1:69">
      <c r="A320" s="17"/>
      <c r="B320" s="17"/>
      <c r="C320" s="26"/>
      <c r="D320" s="27"/>
      <c r="E320" s="4" t="str">
        <f>InpC!E$99</f>
        <v>Financial year end month</v>
      </c>
      <c r="F320" s="4">
        <f>InpC!F$99</f>
        <v>4</v>
      </c>
      <c r="G320" s="4" t="str">
        <f>InpC!G$99</f>
        <v>Months</v>
      </c>
    </row>
    <row r="321" spans="1:69">
      <c r="E321" s="2" t="s">
        <v>215</v>
      </c>
      <c r="F321" s="2">
        <f>EOMONTH(DATE(YEAR($F319)+IF(MONTH($F319)&gt;MONTH($F320),0,-1),$F320,1),0)</f>
        <v>45046</v>
      </c>
      <c r="G321" s="2" t="s">
        <v>210</v>
      </c>
    </row>
    <row r="324" spans="1:69">
      <c r="B324" s="22" t="s">
        <v>149</v>
      </c>
    </row>
    <row r="325" spans="1:69">
      <c r="E325" s="5" t="str">
        <f t="shared" ref="E325:AJ325" si="256">E$28</f>
        <v>Period number</v>
      </c>
      <c r="F325" s="5">
        <f t="shared" si="256"/>
        <v>0</v>
      </c>
      <c r="G325" s="5" t="str">
        <f t="shared" si="256"/>
        <v>Counter</v>
      </c>
      <c r="H325" s="5">
        <f t="shared" si="256"/>
        <v>0</v>
      </c>
      <c r="I325" s="5">
        <f t="shared" si="256"/>
        <v>0</v>
      </c>
      <c r="J325" s="5">
        <f t="shared" si="256"/>
        <v>1</v>
      </c>
      <c r="K325" s="5">
        <f t="shared" si="256"/>
        <v>2</v>
      </c>
      <c r="L325" s="5">
        <f t="shared" si="256"/>
        <v>3</v>
      </c>
      <c r="M325" s="5">
        <f t="shared" si="256"/>
        <v>4</v>
      </c>
      <c r="N325" s="5">
        <f t="shared" si="256"/>
        <v>5</v>
      </c>
      <c r="O325" s="5">
        <f t="shared" si="256"/>
        <v>6</v>
      </c>
      <c r="P325" s="5">
        <f t="shared" si="256"/>
        <v>7</v>
      </c>
      <c r="Q325" s="5">
        <f t="shared" si="256"/>
        <v>8</v>
      </c>
      <c r="R325" s="5">
        <f t="shared" si="256"/>
        <v>9</v>
      </c>
      <c r="S325" s="5">
        <f t="shared" si="256"/>
        <v>10</v>
      </c>
      <c r="T325" s="5">
        <f t="shared" si="256"/>
        <v>11</v>
      </c>
      <c r="U325" s="5">
        <f t="shared" si="256"/>
        <v>12</v>
      </c>
      <c r="V325" s="5">
        <f t="shared" si="256"/>
        <v>13</v>
      </c>
      <c r="W325" s="5">
        <f t="shared" si="256"/>
        <v>14</v>
      </c>
      <c r="X325" s="5">
        <f t="shared" si="256"/>
        <v>15</v>
      </c>
      <c r="Y325" s="5">
        <f t="shared" si="256"/>
        <v>16</v>
      </c>
      <c r="Z325" s="5">
        <f t="shared" si="256"/>
        <v>17</v>
      </c>
      <c r="AA325" s="5">
        <f t="shared" si="256"/>
        <v>18</v>
      </c>
      <c r="AB325" s="5">
        <f t="shared" si="256"/>
        <v>19</v>
      </c>
      <c r="AC325" s="5">
        <f t="shared" si="256"/>
        <v>20</v>
      </c>
      <c r="AD325" s="5">
        <f t="shared" si="256"/>
        <v>21</v>
      </c>
      <c r="AE325" s="5">
        <f t="shared" si="256"/>
        <v>22</v>
      </c>
      <c r="AF325" s="5">
        <f t="shared" si="256"/>
        <v>23</v>
      </c>
      <c r="AG325" s="5">
        <f t="shared" si="256"/>
        <v>24</v>
      </c>
      <c r="AH325" s="5">
        <f t="shared" si="256"/>
        <v>25</v>
      </c>
      <c r="AI325" s="5">
        <f t="shared" si="256"/>
        <v>26</v>
      </c>
      <c r="AJ325" s="5">
        <f t="shared" si="256"/>
        <v>27</v>
      </c>
      <c r="AK325" s="5">
        <f t="shared" ref="AK325:BQ325" si="257">AK$28</f>
        <v>28</v>
      </c>
      <c r="AL325" s="5">
        <f t="shared" si="257"/>
        <v>29</v>
      </c>
      <c r="AM325" s="5">
        <f t="shared" si="257"/>
        <v>30</v>
      </c>
      <c r="AN325" s="5">
        <f t="shared" si="257"/>
        <v>31</v>
      </c>
      <c r="AO325" s="5">
        <f t="shared" si="257"/>
        <v>32</v>
      </c>
      <c r="AP325" s="5">
        <f t="shared" si="257"/>
        <v>33</v>
      </c>
      <c r="AQ325" s="5">
        <f t="shared" si="257"/>
        <v>34</v>
      </c>
      <c r="AR325" s="5">
        <f t="shared" si="257"/>
        <v>35</v>
      </c>
      <c r="AS325" s="5">
        <f t="shared" si="257"/>
        <v>36</v>
      </c>
      <c r="AT325" s="5">
        <f t="shared" si="257"/>
        <v>37</v>
      </c>
      <c r="AU325" s="5">
        <f t="shared" si="257"/>
        <v>38</v>
      </c>
      <c r="AV325" s="5">
        <f t="shared" si="257"/>
        <v>39</v>
      </c>
      <c r="AW325" s="5">
        <f t="shared" si="257"/>
        <v>40</v>
      </c>
      <c r="AX325" s="5">
        <f t="shared" si="257"/>
        <v>41</v>
      </c>
      <c r="AY325" s="5">
        <f t="shared" si="257"/>
        <v>42</v>
      </c>
      <c r="AZ325" s="5">
        <f t="shared" si="257"/>
        <v>43</v>
      </c>
      <c r="BA325" s="5">
        <f t="shared" si="257"/>
        <v>44</v>
      </c>
      <c r="BB325" s="5">
        <f t="shared" si="257"/>
        <v>45</v>
      </c>
      <c r="BC325" s="5">
        <f t="shared" si="257"/>
        <v>46</v>
      </c>
      <c r="BD325" s="5">
        <f t="shared" si="257"/>
        <v>47</v>
      </c>
      <c r="BE325" s="5">
        <f t="shared" si="257"/>
        <v>48</v>
      </c>
      <c r="BF325" s="5">
        <f t="shared" si="257"/>
        <v>49</v>
      </c>
      <c r="BG325" s="5">
        <f t="shared" si="257"/>
        <v>50</v>
      </c>
      <c r="BH325" s="5">
        <f t="shared" si="257"/>
        <v>51</v>
      </c>
      <c r="BI325" s="5">
        <f t="shared" si="257"/>
        <v>52</v>
      </c>
      <c r="BJ325" s="5">
        <f t="shared" si="257"/>
        <v>53</v>
      </c>
      <c r="BK325" s="5">
        <f t="shared" si="257"/>
        <v>54</v>
      </c>
      <c r="BL325" s="5">
        <f t="shared" si="257"/>
        <v>55</v>
      </c>
      <c r="BM325" s="5">
        <f t="shared" si="257"/>
        <v>56</v>
      </c>
      <c r="BN325" s="5">
        <f t="shared" si="257"/>
        <v>57</v>
      </c>
      <c r="BO325" s="5">
        <f t="shared" si="257"/>
        <v>58</v>
      </c>
      <c r="BP325" s="5">
        <f t="shared" si="257"/>
        <v>59</v>
      </c>
      <c r="BQ325" s="5">
        <f t="shared" si="257"/>
        <v>60</v>
      </c>
    </row>
    <row r="326" spans="1:69" ht="14.5">
      <c r="E326" s="2" t="s">
        <v>149</v>
      </c>
      <c r="G326" s="2" t="s">
        <v>90</v>
      </c>
      <c r="I326"/>
      <c r="J326" s="5">
        <f t="shared" ref="J326:AO326" si="258">IF(J325=1,1,I326+IF(MOD(J325,3)=1,1,0))</f>
        <v>1</v>
      </c>
      <c r="K326" s="5">
        <f t="shared" si="258"/>
        <v>1</v>
      </c>
      <c r="L326" s="5">
        <f t="shared" si="258"/>
        <v>1</v>
      </c>
      <c r="M326" s="5">
        <f t="shared" si="258"/>
        <v>2</v>
      </c>
      <c r="N326" s="5">
        <f t="shared" si="258"/>
        <v>2</v>
      </c>
      <c r="O326" s="5">
        <f t="shared" si="258"/>
        <v>2</v>
      </c>
      <c r="P326" s="5">
        <f t="shared" si="258"/>
        <v>3</v>
      </c>
      <c r="Q326" s="5">
        <f t="shared" si="258"/>
        <v>3</v>
      </c>
      <c r="R326" s="5">
        <f t="shared" si="258"/>
        <v>3</v>
      </c>
      <c r="S326" s="5">
        <f t="shared" si="258"/>
        <v>4</v>
      </c>
      <c r="T326" s="5">
        <f t="shared" si="258"/>
        <v>4</v>
      </c>
      <c r="U326" s="5">
        <f t="shared" si="258"/>
        <v>4</v>
      </c>
      <c r="V326" s="5">
        <f t="shared" si="258"/>
        <v>5</v>
      </c>
      <c r="W326" s="5">
        <f t="shared" si="258"/>
        <v>5</v>
      </c>
      <c r="X326" s="5">
        <f t="shared" si="258"/>
        <v>5</v>
      </c>
      <c r="Y326" s="5">
        <f t="shared" si="258"/>
        <v>6</v>
      </c>
      <c r="Z326" s="5">
        <f t="shared" si="258"/>
        <v>6</v>
      </c>
      <c r="AA326" s="5">
        <f t="shared" si="258"/>
        <v>6</v>
      </c>
      <c r="AB326" s="5">
        <f t="shared" si="258"/>
        <v>7</v>
      </c>
      <c r="AC326" s="5">
        <f t="shared" si="258"/>
        <v>7</v>
      </c>
      <c r="AD326" s="5">
        <f t="shared" si="258"/>
        <v>7</v>
      </c>
      <c r="AE326" s="5">
        <f t="shared" si="258"/>
        <v>8</v>
      </c>
      <c r="AF326" s="5">
        <f t="shared" si="258"/>
        <v>8</v>
      </c>
      <c r="AG326" s="5">
        <f t="shared" si="258"/>
        <v>8</v>
      </c>
      <c r="AH326" s="5">
        <f t="shared" si="258"/>
        <v>9</v>
      </c>
      <c r="AI326" s="5">
        <f t="shared" si="258"/>
        <v>9</v>
      </c>
      <c r="AJ326" s="5">
        <f t="shared" si="258"/>
        <v>9</v>
      </c>
      <c r="AK326" s="5">
        <f t="shared" si="258"/>
        <v>10</v>
      </c>
      <c r="AL326" s="5">
        <f t="shared" si="258"/>
        <v>10</v>
      </c>
      <c r="AM326" s="5">
        <f t="shared" si="258"/>
        <v>10</v>
      </c>
      <c r="AN326" s="5">
        <f t="shared" si="258"/>
        <v>11</v>
      </c>
      <c r="AO326" s="5">
        <f t="shared" si="258"/>
        <v>11</v>
      </c>
      <c r="AP326" s="5">
        <f t="shared" ref="AP326:BU326" si="259">IF(AP325=1,1,AO326+IF(MOD(AP325,3)=1,1,0))</f>
        <v>11</v>
      </c>
      <c r="AQ326" s="5">
        <f t="shared" si="259"/>
        <v>12</v>
      </c>
      <c r="AR326" s="5">
        <f t="shared" si="259"/>
        <v>12</v>
      </c>
      <c r="AS326" s="5">
        <f t="shared" si="259"/>
        <v>12</v>
      </c>
      <c r="AT326" s="5">
        <f t="shared" si="259"/>
        <v>13</v>
      </c>
      <c r="AU326" s="5">
        <f t="shared" si="259"/>
        <v>13</v>
      </c>
      <c r="AV326" s="5">
        <f t="shared" si="259"/>
        <v>13</v>
      </c>
      <c r="AW326" s="5">
        <f t="shared" si="259"/>
        <v>14</v>
      </c>
      <c r="AX326" s="5">
        <f t="shared" si="259"/>
        <v>14</v>
      </c>
      <c r="AY326" s="5">
        <f t="shared" si="259"/>
        <v>14</v>
      </c>
      <c r="AZ326" s="5">
        <f t="shared" si="259"/>
        <v>15</v>
      </c>
      <c r="BA326" s="5">
        <f t="shared" si="259"/>
        <v>15</v>
      </c>
      <c r="BB326" s="5">
        <f t="shared" si="259"/>
        <v>15</v>
      </c>
      <c r="BC326" s="5">
        <f t="shared" si="259"/>
        <v>16</v>
      </c>
      <c r="BD326" s="5">
        <f t="shared" si="259"/>
        <v>16</v>
      </c>
      <c r="BE326" s="5">
        <f t="shared" si="259"/>
        <v>16</v>
      </c>
      <c r="BF326" s="5">
        <f t="shared" si="259"/>
        <v>17</v>
      </c>
      <c r="BG326" s="5">
        <f t="shared" si="259"/>
        <v>17</v>
      </c>
      <c r="BH326" s="5">
        <f t="shared" si="259"/>
        <v>17</v>
      </c>
      <c r="BI326" s="5">
        <f t="shared" si="259"/>
        <v>18</v>
      </c>
      <c r="BJ326" s="5">
        <f t="shared" si="259"/>
        <v>18</v>
      </c>
      <c r="BK326" s="5">
        <f t="shared" si="259"/>
        <v>18</v>
      </c>
      <c r="BL326" s="5">
        <f t="shared" si="259"/>
        <v>19</v>
      </c>
      <c r="BM326" s="5">
        <f t="shared" si="259"/>
        <v>19</v>
      </c>
      <c r="BN326" s="5">
        <f t="shared" si="259"/>
        <v>19</v>
      </c>
      <c r="BO326" s="5">
        <f t="shared" si="259"/>
        <v>20</v>
      </c>
      <c r="BP326" s="5">
        <f t="shared" si="259"/>
        <v>20</v>
      </c>
      <c r="BQ326" s="5">
        <f t="shared" si="259"/>
        <v>20</v>
      </c>
    </row>
    <row r="329" spans="1:69">
      <c r="B329" s="22" t="s">
        <v>34</v>
      </c>
    </row>
    <row r="330" spans="1:69">
      <c r="E330" s="5" t="str">
        <f t="shared" ref="E330:AJ330" si="260">E$28</f>
        <v>Period number</v>
      </c>
      <c r="F330" s="5">
        <f t="shared" si="260"/>
        <v>0</v>
      </c>
      <c r="G330" s="5" t="str">
        <f t="shared" si="260"/>
        <v>Counter</v>
      </c>
      <c r="H330" s="5">
        <f t="shared" si="260"/>
        <v>0</v>
      </c>
      <c r="I330" s="5">
        <f t="shared" si="260"/>
        <v>0</v>
      </c>
      <c r="J330" s="5">
        <f t="shared" si="260"/>
        <v>1</v>
      </c>
      <c r="K330" s="5">
        <f t="shared" si="260"/>
        <v>2</v>
      </c>
      <c r="L330" s="5">
        <f t="shared" si="260"/>
        <v>3</v>
      </c>
      <c r="M330" s="5">
        <f t="shared" si="260"/>
        <v>4</v>
      </c>
      <c r="N330" s="5">
        <f t="shared" si="260"/>
        <v>5</v>
      </c>
      <c r="O330" s="5">
        <f t="shared" si="260"/>
        <v>6</v>
      </c>
      <c r="P330" s="5">
        <f t="shared" si="260"/>
        <v>7</v>
      </c>
      <c r="Q330" s="5">
        <f t="shared" si="260"/>
        <v>8</v>
      </c>
      <c r="R330" s="5">
        <f t="shared" si="260"/>
        <v>9</v>
      </c>
      <c r="S330" s="5">
        <f t="shared" si="260"/>
        <v>10</v>
      </c>
      <c r="T330" s="5">
        <f t="shared" si="260"/>
        <v>11</v>
      </c>
      <c r="U330" s="5">
        <f t="shared" si="260"/>
        <v>12</v>
      </c>
      <c r="V330" s="5">
        <f t="shared" si="260"/>
        <v>13</v>
      </c>
      <c r="W330" s="5">
        <f t="shared" si="260"/>
        <v>14</v>
      </c>
      <c r="X330" s="5">
        <f t="shared" si="260"/>
        <v>15</v>
      </c>
      <c r="Y330" s="5">
        <f t="shared" si="260"/>
        <v>16</v>
      </c>
      <c r="Z330" s="5">
        <f t="shared" si="260"/>
        <v>17</v>
      </c>
      <c r="AA330" s="5">
        <f t="shared" si="260"/>
        <v>18</v>
      </c>
      <c r="AB330" s="5">
        <f t="shared" si="260"/>
        <v>19</v>
      </c>
      <c r="AC330" s="5">
        <f t="shared" si="260"/>
        <v>20</v>
      </c>
      <c r="AD330" s="5">
        <f t="shared" si="260"/>
        <v>21</v>
      </c>
      <c r="AE330" s="5">
        <f t="shared" si="260"/>
        <v>22</v>
      </c>
      <c r="AF330" s="5">
        <f t="shared" si="260"/>
        <v>23</v>
      </c>
      <c r="AG330" s="5">
        <f t="shared" si="260"/>
        <v>24</v>
      </c>
      <c r="AH330" s="5">
        <f t="shared" si="260"/>
        <v>25</v>
      </c>
      <c r="AI330" s="5">
        <f t="shared" si="260"/>
        <v>26</v>
      </c>
      <c r="AJ330" s="5">
        <f t="shared" si="260"/>
        <v>27</v>
      </c>
      <c r="AK330" s="5">
        <f t="shared" ref="AK330:BQ330" si="261">AK$28</f>
        <v>28</v>
      </c>
      <c r="AL330" s="5">
        <f t="shared" si="261"/>
        <v>29</v>
      </c>
      <c r="AM330" s="5">
        <f t="shared" si="261"/>
        <v>30</v>
      </c>
      <c r="AN330" s="5">
        <f t="shared" si="261"/>
        <v>31</v>
      </c>
      <c r="AO330" s="5">
        <f t="shared" si="261"/>
        <v>32</v>
      </c>
      <c r="AP330" s="5">
        <f t="shared" si="261"/>
        <v>33</v>
      </c>
      <c r="AQ330" s="5">
        <f t="shared" si="261"/>
        <v>34</v>
      </c>
      <c r="AR330" s="5">
        <f t="shared" si="261"/>
        <v>35</v>
      </c>
      <c r="AS330" s="5">
        <f t="shared" si="261"/>
        <v>36</v>
      </c>
      <c r="AT330" s="5">
        <f t="shared" si="261"/>
        <v>37</v>
      </c>
      <c r="AU330" s="5">
        <f t="shared" si="261"/>
        <v>38</v>
      </c>
      <c r="AV330" s="5">
        <f t="shared" si="261"/>
        <v>39</v>
      </c>
      <c r="AW330" s="5">
        <f t="shared" si="261"/>
        <v>40</v>
      </c>
      <c r="AX330" s="5">
        <f t="shared" si="261"/>
        <v>41</v>
      </c>
      <c r="AY330" s="5">
        <f t="shared" si="261"/>
        <v>42</v>
      </c>
      <c r="AZ330" s="5">
        <f t="shared" si="261"/>
        <v>43</v>
      </c>
      <c r="BA330" s="5">
        <f t="shared" si="261"/>
        <v>44</v>
      </c>
      <c r="BB330" s="5">
        <f t="shared" si="261"/>
        <v>45</v>
      </c>
      <c r="BC330" s="5">
        <f t="shared" si="261"/>
        <v>46</v>
      </c>
      <c r="BD330" s="5">
        <f t="shared" si="261"/>
        <v>47</v>
      </c>
      <c r="BE330" s="5">
        <f t="shared" si="261"/>
        <v>48</v>
      </c>
      <c r="BF330" s="5">
        <f t="shared" si="261"/>
        <v>49</v>
      </c>
      <c r="BG330" s="5">
        <f t="shared" si="261"/>
        <v>50</v>
      </c>
      <c r="BH330" s="5">
        <f t="shared" si="261"/>
        <v>51</v>
      </c>
      <c r="BI330" s="5">
        <f t="shared" si="261"/>
        <v>52</v>
      </c>
      <c r="BJ330" s="5">
        <f t="shared" si="261"/>
        <v>53</v>
      </c>
      <c r="BK330" s="5">
        <f t="shared" si="261"/>
        <v>54</v>
      </c>
      <c r="BL330" s="5">
        <f t="shared" si="261"/>
        <v>55</v>
      </c>
      <c r="BM330" s="5">
        <f t="shared" si="261"/>
        <v>56</v>
      </c>
      <c r="BN330" s="5">
        <f t="shared" si="261"/>
        <v>57</v>
      </c>
      <c r="BO330" s="5">
        <f t="shared" si="261"/>
        <v>58</v>
      </c>
      <c r="BP330" s="5">
        <f t="shared" si="261"/>
        <v>59</v>
      </c>
      <c r="BQ330" s="5">
        <f t="shared" si="261"/>
        <v>60</v>
      </c>
    </row>
    <row r="331" spans="1:69" ht="14.5">
      <c r="E331" s="2" t="s">
        <v>34</v>
      </c>
      <c r="F331"/>
      <c r="G331" s="2" t="s">
        <v>90</v>
      </c>
      <c r="H331"/>
      <c r="I331" s="5">
        <f t="shared" ref="I331:AN331" si="262">IF(MOD(I330,3)=0,(I330/3),0)</f>
        <v>0</v>
      </c>
      <c r="J331" s="5">
        <f t="shared" si="262"/>
        <v>0</v>
      </c>
      <c r="K331" s="5">
        <f t="shared" si="262"/>
        <v>0</v>
      </c>
      <c r="L331" s="5">
        <f t="shared" si="262"/>
        <v>1</v>
      </c>
      <c r="M331" s="5">
        <f t="shared" si="262"/>
        <v>0</v>
      </c>
      <c r="N331" s="5">
        <f t="shared" si="262"/>
        <v>0</v>
      </c>
      <c r="O331" s="5">
        <f t="shared" si="262"/>
        <v>2</v>
      </c>
      <c r="P331" s="5">
        <f t="shared" si="262"/>
        <v>0</v>
      </c>
      <c r="Q331" s="5">
        <f t="shared" si="262"/>
        <v>0</v>
      </c>
      <c r="R331" s="5">
        <f t="shared" si="262"/>
        <v>3</v>
      </c>
      <c r="S331" s="5">
        <f t="shared" si="262"/>
        <v>0</v>
      </c>
      <c r="T331" s="5">
        <f t="shared" si="262"/>
        <v>0</v>
      </c>
      <c r="U331" s="5">
        <f t="shared" si="262"/>
        <v>4</v>
      </c>
      <c r="V331" s="5">
        <f t="shared" si="262"/>
        <v>0</v>
      </c>
      <c r="W331" s="5">
        <f t="shared" si="262"/>
        <v>0</v>
      </c>
      <c r="X331" s="5">
        <f t="shared" si="262"/>
        <v>5</v>
      </c>
      <c r="Y331" s="5">
        <f t="shared" si="262"/>
        <v>0</v>
      </c>
      <c r="Z331" s="5">
        <f t="shared" si="262"/>
        <v>0</v>
      </c>
      <c r="AA331" s="5">
        <f t="shared" si="262"/>
        <v>6</v>
      </c>
      <c r="AB331" s="5">
        <f t="shared" si="262"/>
        <v>0</v>
      </c>
      <c r="AC331" s="5">
        <f t="shared" si="262"/>
        <v>0</v>
      </c>
      <c r="AD331" s="5">
        <f t="shared" si="262"/>
        <v>7</v>
      </c>
      <c r="AE331" s="5">
        <f t="shared" si="262"/>
        <v>0</v>
      </c>
      <c r="AF331" s="5">
        <f t="shared" si="262"/>
        <v>0</v>
      </c>
      <c r="AG331" s="5">
        <f t="shared" si="262"/>
        <v>8</v>
      </c>
      <c r="AH331" s="5">
        <f t="shared" si="262"/>
        <v>0</v>
      </c>
      <c r="AI331" s="5">
        <f t="shared" si="262"/>
        <v>0</v>
      </c>
      <c r="AJ331" s="5">
        <f t="shared" si="262"/>
        <v>9</v>
      </c>
      <c r="AK331" s="5">
        <f t="shared" si="262"/>
        <v>0</v>
      </c>
      <c r="AL331" s="5">
        <f t="shared" si="262"/>
        <v>0</v>
      </c>
      <c r="AM331" s="5">
        <f t="shared" si="262"/>
        <v>10</v>
      </c>
      <c r="AN331" s="5">
        <f t="shared" si="262"/>
        <v>0</v>
      </c>
      <c r="AO331" s="5">
        <f t="shared" ref="AO331:BT331" si="263">IF(MOD(AO330,3)=0,(AO330/3),0)</f>
        <v>0</v>
      </c>
      <c r="AP331" s="5">
        <f t="shared" si="263"/>
        <v>11</v>
      </c>
      <c r="AQ331" s="5">
        <f t="shared" si="263"/>
        <v>0</v>
      </c>
      <c r="AR331" s="5">
        <f t="shared" si="263"/>
        <v>0</v>
      </c>
      <c r="AS331" s="5">
        <f t="shared" si="263"/>
        <v>12</v>
      </c>
      <c r="AT331" s="5">
        <f t="shared" si="263"/>
        <v>0</v>
      </c>
      <c r="AU331" s="5">
        <f t="shared" si="263"/>
        <v>0</v>
      </c>
      <c r="AV331" s="5">
        <f t="shared" si="263"/>
        <v>13</v>
      </c>
      <c r="AW331" s="5">
        <f t="shared" si="263"/>
        <v>0</v>
      </c>
      <c r="AX331" s="5">
        <f t="shared" si="263"/>
        <v>0</v>
      </c>
      <c r="AY331" s="5">
        <f t="shared" si="263"/>
        <v>14</v>
      </c>
      <c r="AZ331" s="5">
        <f t="shared" si="263"/>
        <v>0</v>
      </c>
      <c r="BA331" s="5">
        <f t="shared" si="263"/>
        <v>0</v>
      </c>
      <c r="BB331" s="5">
        <f t="shared" si="263"/>
        <v>15</v>
      </c>
      <c r="BC331" s="5">
        <f t="shared" si="263"/>
        <v>0</v>
      </c>
      <c r="BD331" s="5">
        <f t="shared" si="263"/>
        <v>0</v>
      </c>
      <c r="BE331" s="5">
        <f t="shared" si="263"/>
        <v>16</v>
      </c>
      <c r="BF331" s="5">
        <f t="shared" si="263"/>
        <v>0</v>
      </c>
      <c r="BG331" s="5">
        <f t="shared" si="263"/>
        <v>0</v>
      </c>
      <c r="BH331" s="5">
        <f t="shared" si="263"/>
        <v>17</v>
      </c>
      <c r="BI331" s="5">
        <f t="shared" si="263"/>
        <v>0</v>
      </c>
      <c r="BJ331" s="5">
        <f t="shared" si="263"/>
        <v>0</v>
      </c>
      <c r="BK331" s="5">
        <f t="shared" si="263"/>
        <v>18</v>
      </c>
      <c r="BL331" s="5">
        <f t="shared" si="263"/>
        <v>0</v>
      </c>
      <c r="BM331" s="5">
        <f t="shared" si="263"/>
        <v>0</v>
      </c>
      <c r="BN331" s="5">
        <f t="shared" si="263"/>
        <v>19</v>
      </c>
      <c r="BO331" s="5">
        <f t="shared" si="263"/>
        <v>0</v>
      </c>
      <c r="BP331" s="5">
        <f t="shared" si="263"/>
        <v>0</v>
      </c>
      <c r="BQ331" s="5">
        <f t="shared" si="263"/>
        <v>20</v>
      </c>
    </row>
    <row r="334" spans="1:69">
      <c r="B334" s="22" t="s">
        <v>79</v>
      </c>
    </row>
    <row r="335" spans="1:69">
      <c r="A335" s="17"/>
      <c r="B335" s="17"/>
      <c r="C335" s="26"/>
      <c r="D335" s="27"/>
      <c r="E335" s="18" t="str">
        <f>InpC!E$100</f>
        <v>Start date</v>
      </c>
      <c r="F335" s="18">
        <f>InpC!F$100</f>
        <v>45047</v>
      </c>
      <c r="G335" s="18" t="str">
        <f>InpC!G$100</f>
        <v>date</v>
      </c>
      <c r="M335" s="8"/>
    </row>
    <row r="336" spans="1:69">
      <c r="E336" s="2" t="s">
        <v>79</v>
      </c>
      <c r="F336" s="2">
        <f>$F335-1</f>
        <v>45046</v>
      </c>
      <c r="G336" s="2" t="s">
        <v>210</v>
      </c>
    </row>
    <row r="339" spans="1:69">
      <c r="B339" s="22" t="s">
        <v>312</v>
      </c>
    </row>
    <row r="340" spans="1:69">
      <c r="E340" s="5" t="str">
        <f t="shared" ref="E340:AJ340" si="264">E$28</f>
        <v>Period number</v>
      </c>
      <c r="F340" s="5">
        <f t="shared" si="264"/>
        <v>0</v>
      </c>
      <c r="G340" s="5" t="str">
        <f t="shared" si="264"/>
        <v>Counter</v>
      </c>
      <c r="H340" s="5">
        <f t="shared" si="264"/>
        <v>0</v>
      </c>
      <c r="I340" s="5">
        <f t="shared" si="264"/>
        <v>0</v>
      </c>
      <c r="J340" s="5">
        <f t="shared" si="264"/>
        <v>1</v>
      </c>
      <c r="K340" s="5">
        <f t="shared" si="264"/>
        <v>2</v>
      </c>
      <c r="L340" s="5">
        <f t="shared" si="264"/>
        <v>3</v>
      </c>
      <c r="M340" s="5">
        <f t="shared" si="264"/>
        <v>4</v>
      </c>
      <c r="N340" s="5">
        <f t="shared" si="264"/>
        <v>5</v>
      </c>
      <c r="O340" s="5">
        <f t="shared" si="264"/>
        <v>6</v>
      </c>
      <c r="P340" s="5">
        <f t="shared" si="264"/>
        <v>7</v>
      </c>
      <c r="Q340" s="5">
        <f t="shared" si="264"/>
        <v>8</v>
      </c>
      <c r="R340" s="5">
        <f t="shared" si="264"/>
        <v>9</v>
      </c>
      <c r="S340" s="5">
        <f t="shared" si="264"/>
        <v>10</v>
      </c>
      <c r="T340" s="5">
        <f t="shared" si="264"/>
        <v>11</v>
      </c>
      <c r="U340" s="5">
        <f t="shared" si="264"/>
        <v>12</v>
      </c>
      <c r="V340" s="5">
        <f t="shared" si="264"/>
        <v>13</v>
      </c>
      <c r="W340" s="5">
        <f t="shared" si="264"/>
        <v>14</v>
      </c>
      <c r="X340" s="5">
        <f t="shared" si="264"/>
        <v>15</v>
      </c>
      <c r="Y340" s="5">
        <f t="shared" si="264"/>
        <v>16</v>
      </c>
      <c r="Z340" s="5">
        <f t="shared" si="264"/>
        <v>17</v>
      </c>
      <c r="AA340" s="5">
        <f t="shared" si="264"/>
        <v>18</v>
      </c>
      <c r="AB340" s="5">
        <f t="shared" si="264"/>
        <v>19</v>
      </c>
      <c r="AC340" s="5">
        <f t="shared" si="264"/>
        <v>20</v>
      </c>
      <c r="AD340" s="5">
        <f t="shared" si="264"/>
        <v>21</v>
      </c>
      <c r="AE340" s="5">
        <f t="shared" si="264"/>
        <v>22</v>
      </c>
      <c r="AF340" s="5">
        <f t="shared" si="264"/>
        <v>23</v>
      </c>
      <c r="AG340" s="5">
        <f t="shared" si="264"/>
        <v>24</v>
      </c>
      <c r="AH340" s="5">
        <f t="shared" si="264"/>
        <v>25</v>
      </c>
      <c r="AI340" s="5">
        <f t="shared" si="264"/>
        <v>26</v>
      </c>
      <c r="AJ340" s="5">
        <f t="shared" si="264"/>
        <v>27</v>
      </c>
      <c r="AK340" s="5">
        <f t="shared" ref="AK340:BQ340" si="265">AK$28</f>
        <v>28</v>
      </c>
      <c r="AL340" s="5">
        <f t="shared" si="265"/>
        <v>29</v>
      </c>
      <c r="AM340" s="5">
        <f t="shared" si="265"/>
        <v>30</v>
      </c>
      <c r="AN340" s="5">
        <f t="shared" si="265"/>
        <v>31</v>
      </c>
      <c r="AO340" s="5">
        <f t="shared" si="265"/>
        <v>32</v>
      </c>
      <c r="AP340" s="5">
        <f t="shared" si="265"/>
        <v>33</v>
      </c>
      <c r="AQ340" s="5">
        <f t="shared" si="265"/>
        <v>34</v>
      </c>
      <c r="AR340" s="5">
        <f t="shared" si="265"/>
        <v>35</v>
      </c>
      <c r="AS340" s="5">
        <f t="shared" si="265"/>
        <v>36</v>
      </c>
      <c r="AT340" s="5">
        <f t="shared" si="265"/>
        <v>37</v>
      </c>
      <c r="AU340" s="5">
        <f t="shared" si="265"/>
        <v>38</v>
      </c>
      <c r="AV340" s="5">
        <f t="shared" si="265"/>
        <v>39</v>
      </c>
      <c r="AW340" s="5">
        <f t="shared" si="265"/>
        <v>40</v>
      </c>
      <c r="AX340" s="5">
        <f t="shared" si="265"/>
        <v>41</v>
      </c>
      <c r="AY340" s="5">
        <f t="shared" si="265"/>
        <v>42</v>
      </c>
      <c r="AZ340" s="5">
        <f t="shared" si="265"/>
        <v>43</v>
      </c>
      <c r="BA340" s="5">
        <f t="shared" si="265"/>
        <v>44</v>
      </c>
      <c r="BB340" s="5">
        <f t="shared" si="265"/>
        <v>45</v>
      </c>
      <c r="BC340" s="5">
        <f t="shared" si="265"/>
        <v>46</v>
      </c>
      <c r="BD340" s="5">
        <f t="shared" si="265"/>
        <v>47</v>
      </c>
      <c r="BE340" s="5">
        <f t="shared" si="265"/>
        <v>48</v>
      </c>
      <c r="BF340" s="5">
        <f t="shared" si="265"/>
        <v>49</v>
      </c>
      <c r="BG340" s="5">
        <f t="shared" si="265"/>
        <v>50</v>
      </c>
      <c r="BH340" s="5">
        <f t="shared" si="265"/>
        <v>51</v>
      </c>
      <c r="BI340" s="5">
        <f t="shared" si="265"/>
        <v>52</v>
      </c>
      <c r="BJ340" s="5">
        <f t="shared" si="265"/>
        <v>53</v>
      </c>
      <c r="BK340" s="5">
        <f t="shared" si="265"/>
        <v>54</v>
      </c>
      <c r="BL340" s="5">
        <f t="shared" si="265"/>
        <v>55</v>
      </c>
      <c r="BM340" s="5">
        <f t="shared" si="265"/>
        <v>56</v>
      </c>
      <c r="BN340" s="5">
        <f t="shared" si="265"/>
        <v>57</v>
      </c>
      <c r="BO340" s="5">
        <f t="shared" si="265"/>
        <v>58</v>
      </c>
      <c r="BP340" s="5">
        <f t="shared" si="265"/>
        <v>59</v>
      </c>
      <c r="BQ340" s="5">
        <f t="shared" si="265"/>
        <v>60</v>
      </c>
    </row>
    <row r="341" spans="1:69" ht="14.5">
      <c r="E341" s="2" t="s">
        <v>312</v>
      </c>
      <c r="G341" s="2" t="s">
        <v>90</v>
      </c>
      <c r="I341"/>
      <c r="J341" s="5">
        <f t="shared" ref="J341:AO341" si="266">IF(J340=1,1,I341+IF(MOD(J340,6)=1,1,0))</f>
        <v>1</v>
      </c>
      <c r="K341" s="5">
        <f t="shared" si="266"/>
        <v>1</v>
      </c>
      <c r="L341" s="5">
        <f t="shared" si="266"/>
        <v>1</v>
      </c>
      <c r="M341" s="5">
        <f t="shared" si="266"/>
        <v>1</v>
      </c>
      <c r="N341" s="5">
        <f t="shared" si="266"/>
        <v>1</v>
      </c>
      <c r="O341" s="5">
        <f t="shared" si="266"/>
        <v>1</v>
      </c>
      <c r="P341" s="5">
        <f t="shared" si="266"/>
        <v>2</v>
      </c>
      <c r="Q341" s="5">
        <f t="shared" si="266"/>
        <v>2</v>
      </c>
      <c r="R341" s="5">
        <f t="shared" si="266"/>
        <v>2</v>
      </c>
      <c r="S341" s="5">
        <f t="shared" si="266"/>
        <v>2</v>
      </c>
      <c r="T341" s="5">
        <f t="shared" si="266"/>
        <v>2</v>
      </c>
      <c r="U341" s="5">
        <f t="shared" si="266"/>
        <v>2</v>
      </c>
      <c r="V341" s="5">
        <f t="shared" si="266"/>
        <v>3</v>
      </c>
      <c r="W341" s="5">
        <f t="shared" si="266"/>
        <v>3</v>
      </c>
      <c r="X341" s="5">
        <f t="shared" si="266"/>
        <v>3</v>
      </c>
      <c r="Y341" s="5">
        <f t="shared" si="266"/>
        <v>3</v>
      </c>
      <c r="Z341" s="5">
        <f t="shared" si="266"/>
        <v>3</v>
      </c>
      <c r="AA341" s="5">
        <f t="shared" si="266"/>
        <v>3</v>
      </c>
      <c r="AB341" s="5">
        <f t="shared" si="266"/>
        <v>4</v>
      </c>
      <c r="AC341" s="5">
        <f t="shared" si="266"/>
        <v>4</v>
      </c>
      <c r="AD341" s="5">
        <f t="shared" si="266"/>
        <v>4</v>
      </c>
      <c r="AE341" s="5">
        <f t="shared" si="266"/>
        <v>4</v>
      </c>
      <c r="AF341" s="5">
        <f t="shared" si="266"/>
        <v>4</v>
      </c>
      <c r="AG341" s="5">
        <f t="shared" si="266"/>
        <v>4</v>
      </c>
      <c r="AH341" s="5">
        <f t="shared" si="266"/>
        <v>5</v>
      </c>
      <c r="AI341" s="5">
        <f t="shared" si="266"/>
        <v>5</v>
      </c>
      <c r="AJ341" s="5">
        <f t="shared" si="266"/>
        <v>5</v>
      </c>
      <c r="AK341" s="5">
        <f t="shared" si="266"/>
        <v>5</v>
      </c>
      <c r="AL341" s="5">
        <f t="shared" si="266"/>
        <v>5</v>
      </c>
      <c r="AM341" s="5">
        <f t="shared" si="266"/>
        <v>5</v>
      </c>
      <c r="AN341" s="5">
        <f t="shared" si="266"/>
        <v>6</v>
      </c>
      <c r="AO341" s="5">
        <f t="shared" si="266"/>
        <v>6</v>
      </c>
      <c r="AP341" s="5">
        <f t="shared" ref="AP341:BU341" si="267">IF(AP340=1,1,AO341+IF(MOD(AP340,6)=1,1,0))</f>
        <v>6</v>
      </c>
      <c r="AQ341" s="5">
        <f t="shared" si="267"/>
        <v>6</v>
      </c>
      <c r="AR341" s="5">
        <f t="shared" si="267"/>
        <v>6</v>
      </c>
      <c r="AS341" s="5">
        <f t="shared" si="267"/>
        <v>6</v>
      </c>
      <c r="AT341" s="5">
        <f t="shared" si="267"/>
        <v>7</v>
      </c>
      <c r="AU341" s="5">
        <f t="shared" si="267"/>
        <v>7</v>
      </c>
      <c r="AV341" s="5">
        <f t="shared" si="267"/>
        <v>7</v>
      </c>
      <c r="AW341" s="5">
        <f t="shared" si="267"/>
        <v>7</v>
      </c>
      <c r="AX341" s="5">
        <f t="shared" si="267"/>
        <v>7</v>
      </c>
      <c r="AY341" s="5">
        <f t="shared" si="267"/>
        <v>7</v>
      </c>
      <c r="AZ341" s="5">
        <f t="shared" si="267"/>
        <v>8</v>
      </c>
      <c r="BA341" s="5">
        <f t="shared" si="267"/>
        <v>8</v>
      </c>
      <c r="BB341" s="5">
        <f t="shared" si="267"/>
        <v>8</v>
      </c>
      <c r="BC341" s="5">
        <f t="shared" si="267"/>
        <v>8</v>
      </c>
      <c r="BD341" s="5">
        <f t="shared" si="267"/>
        <v>8</v>
      </c>
      <c r="BE341" s="5">
        <f t="shared" si="267"/>
        <v>8</v>
      </c>
      <c r="BF341" s="5">
        <f t="shared" si="267"/>
        <v>9</v>
      </c>
      <c r="BG341" s="5">
        <f t="shared" si="267"/>
        <v>9</v>
      </c>
      <c r="BH341" s="5">
        <f t="shared" si="267"/>
        <v>9</v>
      </c>
      <c r="BI341" s="5">
        <f t="shared" si="267"/>
        <v>9</v>
      </c>
      <c r="BJ341" s="5">
        <f t="shared" si="267"/>
        <v>9</v>
      </c>
      <c r="BK341" s="5">
        <f t="shared" si="267"/>
        <v>9</v>
      </c>
      <c r="BL341" s="5">
        <f t="shared" si="267"/>
        <v>10</v>
      </c>
      <c r="BM341" s="5">
        <f t="shared" si="267"/>
        <v>10</v>
      </c>
      <c r="BN341" s="5">
        <f t="shared" si="267"/>
        <v>10</v>
      </c>
      <c r="BO341" s="5">
        <f t="shared" si="267"/>
        <v>10</v>
      </c>
      <c r="BP341" s="5">
        <f t="shared" si="267"/>
        <v>10</v>
      </c>
      <c r="BQ341" s="5">
        <f t="shared" si="267"/>
        <v>10</v>
      </c>
    </row>
    <row r="344" spans="1:69">
      <c r="B344" s="22" t="s">
        <v>255</v>
      </c>
    </row>
    <row r="345" spans="1:69">
      <c r="E345" s="5" t="str">
        <f t="shared" ref="E345:AJ345" si="268">E$28</f>
        <v>Period number</v>
      </c>
      <c r="F345" s="5">
        <f t="shared" si="268"/>
        <v>0</v>
      </c>
      <c r="G345" s="5" t="str">
        <f t="shared" si="268"/>
        <v>Counter</v>
      </c>
      <c r="H345" s="5">
        <f t="shared" si="268"/>
        <v>0</v>
      </c>
      <c r="I345" s="5">
        <f t="shared" si="268"/>
        <v>0</v>
      </c>
      <c r="J345" s="5">
        <f t="shared" si="268"/>
        <v>1</v>
      </c>
      <c r="K345" s="5">
        <f t="shared" si="268"/>
        <v>2</v>
      </c>
      <c r="L345" s="5">
        <f t="shared" si="268"/>
        <v>3</v>
      </c>
      <c r="M345" s="5">
        <f t="shared" si="268"/>
        <v>4</v>
      </c>
      <c r="N345" s="5">
        <f t="shared" si="268"/>
        <v>5</v>
      </c>
      <c r="O345" s="5">
        <f t="shared" si="268"/>
        <v>6</v>
      </c>
      <c r="P345" s="5">
        <f t="shared" si="268"/>
        <v>7</v>
      </c>
      <c r="Q345" s="5">
        <f t="shared" si="268"/>
        <v>8</v>
      </c>
      <c r="R345" s="5">
        <f t="shared" si="268"/>
        <v>9</v>
      </c>
      <c r="S345" s="5">
        <f t="shared" si="268"/>
        <v>10</v>
      </c>
      <c r="T345" s="5">
        <f t="shared" si="268"/>
        <v>11</v>
      </c>
      <c r="U345" s="5">
        <f t="shared" si="268"/>
        <v>12</v>
      </c>
      <c r="V345" s="5">
        <f t="shared" si="268"/>
        <v>13</v>
      </c>
      <c r="W345" s="5">
        <f t="shared" si="268"/>
        <v>14</v>
      </c>
      <c r="X345" s="5">
        <f t="shared" si="268"/>
        <v>15</v>
      </c>
      <c r="Y345" s="5">
        <f t="shared" si="268"/>
        <v>16</v>
      </c>
      <c r="Z345" s="5">
        <f t="shared" si="268"/>
        <v>17</v>
      </c>
      <c r="AA345" s="5">
        <f t="shared" si="268"/>
        <v>18</v>
      </c>
      <c r="AB345" s="5">
        <f t="shared" si="268"/>
        <v>19</v>
      </c>
      <c r="AC345" s="5">
        <f t="shared" si="268"/>
        <v>20</v>
      </c>
      <c r="AD345" s="5">
        <f t="shared" si="268"/>
        <v>21</v>
      </c>
      <c r="AE345" s="5">
        <f t="shared" si="268"/>
        <v>22</v>
      </c>
      <c r="AF345" s="5">
        <f t="shared" si="268"/>
        <v>23</v>
      </c>
      <c r="AG345" s="5">
        <f t="shared" si="268"/>
        <v>24</v>
      </c>
      <c r="AH345" s="5">
        <f t="shared" si="268"/>
        <v>25</v>
      </c>
      <c r="AI345" s="5">
        <f t="shared" si="268"/>
        <v>26</v>
      </c>
      <c r="AJ345" s="5">
        <f t="shared" si="268"/>
        <v>27</v>
      </c>
      <c r="AK345" s="5">
        <f t="shared" ref="AK345:BQ345" si="269">AK$28</f>
        <v>28</v>
      </c>
      <c r="AL345" s="5">
        <f t="shared" si="269"/>
        <v>29</v>
      </c>
      <c r="AM345" s="5">
        <f t="shared" si="269"/>
        <v>30</v>
      </c>
      <c r="AN345" s="5">
        <f t="shared" si="269"/>
        <v>31</v>
      </c>
      <c r="AO345" s="5">
        <f t="shared" si="269"/>
        <v>32</v>
      </c>
      <c r="AP345" s="5">
        <f t="shared" si="269"/>
        <v>33</v>
      </c>
      <c r="AQ345" s="5">
        <f t="shared" si="269"/>
        <v>34</v>
      </c>
      <c r="AR345" s="5">
        <f t="shared" si="269"/>
        <v>35</v>
      </c>
      <c r="AS345" s="5">
        <f t="shared" si="269"/>
        <v>36</v>
      </c>
      <c r="AT345" s="5">
        <f t="shared" si="269"/>
        <v>37</v>
      </c>
      <c r="AU345" s="5">
        <f t="shared" si="269"/>
        <v>38</v>
      </c>
      <c r="AV345" s="5">
        <f t="shared" si="269"/>
        <v>39</v>
      </c>
      <c r="AW345" s="5">
        <f t="shared" si="269"/>
        <v>40</v>
      </c>
      <c r="AX345" s="5">
        <f t="shared" si="269"/>
        <v>41</v>
      </c>
      <c r="AY345" s="5">
        <f t="shared" si="269"/>
        <v>42</v>
      </c>
      <c r="AZ345" s="5">
        <f t="shared" si="269"/>
        <v>43</v>
      </c>
      <c r="BA345" s="5">
        <f t="shared" si="269"/>
        <v>44</v>
      </c>
      <c r="BB345" s="5">
        <f t="shared" si="269"/>
        <v>45</v>
      </c>
      <c r="BC345" s="5">
        <f t="shared" si="269"/>
        <v>46</v>
      </c>
      <c r="BD345" s="5">
        <f t="shared" si="269"/>
        <v>47</v>
      </c>
      <c r="BE345" s="5">
        <f t="shared" si="269"/>
        <v>48</v>
      </c>
      <c r="BF345" s="5">
        <f t="shared" si="269"/>
        <v>49</v>
      </c>
      <c r="BG345" s="5">
        <f t="shared" si="269"/>
        <v>50</v>
      </c>
      <c r="BH345" s="5">
        <f t="shared" si="269"/>
        <v>51</v>
      </c>
      <c r="BI345" s="5">
        <f t="shared" si="269"/>
        <v>52</v>
      </c>
      <c r="BJ345" s="5">
        <f t="shared" si="269"/>
        <v>53</v>
      </c>
      <c r="BK345" s="5">
        <f t="shared" si="269"/>
        <v>54</v>
      </c>
      <c r="BL345" s="5">
        <f t="shared" si="269"/>
        <v>55</v>
      </c>
      <c r="BM345" s="5">
        <f t="shared" si="269"/>
        <v>56</v>
      </c>
      <c r="BN345" s="5">
        <f t="shared" si="269"/>
        <v>57</v>
      </c>
      <c r="BO345" s="5">
        <f t="shared" si="269"/>
        <v>58</v>
      </c>
      <c r="BP345" s="5">
        <f t="shared" si="269"/>
        <v>59</v>
      </c>
      <c r="BQ345" s="5">
        <f t="shared" si="269"/>
        <v>60</v>
      </c>
    </row>
    <row r="346" spans="1:69" ht="14.5">
      <c r="E346" s="2" t="s">
        <v>255</v>
      </c>
      <c r="F346"/>
      <c r="G346" s="2" t="s">
        <v>90</v>
      </c>
      <c r="H346"/>
      <c r="I346" s="5">
        <f t="shared" ref="I346:AN346" si="270">IF(MOD(I345,6)=0,(I345/6),0)</f>
        <v>0</v>
      </c>
      <c r="J346" s="5">
        <f t="shared" si="270"/>
        <v>0</v>
      </c>
      <c r="K346" s="5">
        <f t="shared" si="270"/>
        <v>0</v>
      </c>
      <c r="L346" s="5">
        <f t="shared" si="270"/>
        <v>0</v>
      </c>
      <c r="M346" s="5">
        <f t="shared" si="270"/>
        <v>0</v>
      </c>
      <c r="N346" s="5">
        <f t="shared" si="270"/>
        <v>0</v>
      </c>
      <c r="O346" s="5">
        <f t="shared" si="270"/>
        <v>1</v>
      </c>
      <c r="P346" s="5">
        <f t="shared" si="270"/>
        <v>0</v>
      </c>
      <c r="Q346" s="5">
        <f t="shared" si="270"/>
        <v>0</v>
      </c>
      <c r="R346" s="5">
        <f t="shared" si="270"/>
        <v>0</v>
      </c>
      <c r="S346" s="5">
        <f t="shared" si="270"/>
        <v>0</v>
      </c>
      <c r="T346" s="5">
        <f t="shared" si="270"/>
        <v>0</v>
      </c>
      <c r="U346" s="5">
        <f t="shared" si="270"/>
        <v>2</v>
      </c>
      <c r="V346" s="5">
        <f t="shared" si="270"/>
        <v>0</v>
      </c>
      <c r="W346" s="5">
        <f t="shared" si="270"/>
        <v>0</v>
      </c>
      <c r="X346" s="5">
        <f t="shared" si="270"/>
        <v>0</v>
      </c>
      <c r="Y346" s="5">
        <f t="shared" si="270"/>
        <v>0</v>
      </c>
      <c r="Z346" s="5">
        <f t="shared" si="270"/>
        <v>0</v>
      </c>
      <c r="AA346" s="5">
        <f t="shared" si="270"/>
        <v>3</v>
      </c>
      <c r="AB346" s="5">
        <f t="shared" si="270"/>
        <v>0</v>
      </c>
      <c r="AC346" s="5">
        <f t="shared" si="270"/>
        <v>0</v>
      </c>
      <c r="AD346" s="5">
        <f t="shared" si="270"/>
        <v>0</v>
      </c>
      <c r="AE346" s="5">
        <f t="shared" si="270"/>
        <v>0</v>
      </c>
      <c r="AF346" s="5">
        <f t="shared" si="270"/>
        <v>0</v>
      </c>
      <c r="AG346" s="5">
        <f t="shared" si="270"/>
        <v>4</v>
      </c>
      <c r="AH346" s="5">
        <f t="shared" si="270"/>
        <v>0</v>
      </c>
      <c r="AI346" s="5">
        <f t="shared" si="270"/>
        <v>0</v>
      </c>
      <c r="AJ346" s="5">
        <f t="shared" si="270"/>
        <v>0</v>
      </c>
      <c r="AK346" s="5">
        <f t="shared" si="270"/>
        <v>0</v>
      </c>
      <c r="AL346" s="5">
        <f t="shared" si="270"/>
        <v>0</v>
      </c>
      <c r="AM346" s="5">
        <f t="shared" si="270"/>
        <v>5</v>
      </c>
      <c r="AN346" s="5">
        <f t="shared" si="270"/>
        <v>0</v>
      </c>
      <c r="AO346" s="5">
        <f t="shared" ref="AO346:BT346" si="271">IF(MOD(AO345,6)=0,(AO345/6),0)</f>
        <v>0</v>
      </c>
      <c r="AP346" s="5">
        <f t="shared" si="271"/>
        <v>0</v>
      </c>
      <c r="AQ346" s="5">
        <f t="shared" si="271"/>
        <v>0</v>
      </c>
      <c r="AR346" s="5">
        <f t="shared" si="271"/>
        <v>0</v>
      </c>
      <c r="AS346" s="5">
        <f t="shared" si="271"/>
        <v>6</v>
      </c>
      <c r="AT346" s="5">
        <f t="shared" si="271"/>
        <v>0</v>
      </c>
      <c r="AU346" s="5">
        <f t="shared" si="271"/>
        <v>0</v>
      </c>
      <c r="AV346" s="5">
        <f t="shared" si="271"/>
        <v>0</v>
      </c>
      <c r="AW346" s="5">
        <f t="shared" si="271"/>
        <v>0</v>
      </c>
      <c r="AX346" s="5">
        <f t="shared" si="271"/>
        <v>0</v>
      </c>
      <c r="AY346" s="5">
        <f t="shared" si="271"/>
        <v>7</v>
      </c>
      <c r="AZ346" s="5">
        <f t="shared" si="271"/>
        <v>0</v>
      </c>
      <c r="BA346" s="5">
        <f t="shared" si="271"/>
        <v>0</v>
      </c>
      <c r="BB346" s="5">
        <f t="shared" si="271"/>
        <v>0</v>
      </c>
      <c r="BC346" s="5">
        <f t="shared" si="271"/>
        <v>0</v>
      </c>
      <c r="BD346" s="5">
        <f t="shared" si="271"/>
        <v>0</v>
      </c>
      <c r="BE346" s="5">
        <f t="shared" si="271"/>
        <v>8</v>
      </c>
      <c r="BF346" s="5">
        <f t="shared" si="271"/>
        <v>0</v>
      </c>
      <c r="BG346" s="5">
        <f t="shared" si="271"/>
        <v>0</v>
      </c>
      <c r="BH346" s="5">
        <f t="shared" si="271"/>
        <v>0</v>
      </c>
      <c r="BI346" s="5">
        <f t="shared" si="271"/>
        <v>0</v>
      </c>
      <c r="BJ346" s="5">
        <f t="shared" si="271"/>
        <v>0</v>
      </c>
      <c r="BK346" s="5">
        <f t="shared" si="271"/>
        <v>9</v>
      </c>
      <c r="BL346" s="5">
        <f t="shared" si="271"/>
        <v>0</v>
      </c>
      <c r="BM346" s="5">
        <f t="shared" si="271"/>
        <v>0</v>
      </c>
      <c r="BN346" s="5">
        <f t="shared" si="271"/>
        <v>0</v>
      </c>
      <c r="BO346" s="5">
        <f t="shared" si="271"/>
        <v>0</v>
      </c>
      <c r="BP346" s="5">
        <f t="shared" si="271"/>
        <v>0</v>
      </c>
      <c r="BQ346" s="5">
        <f t="shared" si="271"/>
        <v>10</v>
      </c>
    </row>
    <row r="349" spans="1:69">
      <c r="B349" s="22" t="s">
        <v>256</v>
      </c>
    </row>
    <row r="350" spans="1:69">
      <c r="A350" s="17"/>
      <c r="B350" s="17"/>
      <c r="C350" s="26"/>
      <c r="D350" s="27"/>
      <c r="E350" s="18" t="str">
        <f>InpC!E$100</f>
        <v>Start date</v>
      </c>
      <c r="F350" s="18">
        <f>InpC!F$100</f>
        <v>45047</v>
      </c>
      <c r="G350" s="18" t="str">
        <f>InpC!G$100</f>
        <v>date</v>
      </c>
      <c r="M350" s="8"/>
    </row>
    <row r="351" spans="1:69">
      <c r="E351" s="2" t="s">
        <v>256</v>
      </c>
      <c r="F351" s="2">
        <f>$F350-1</f>
        <v>45046</v>
      </c>
      <c r="G351" s="2" t="s">
        <v>210</v>
      </c>
    </row>
    <row r="355" spans="2:2">
      <c r="B355" s="22" t="s">
        <v>265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Q9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23.7265625" style="2" customWidth="1"/>
    <col min="6" max="6" width="20.7265625" style="2" customWidth="1"/>
    <col min="7" max="7" width="13.7265625" style="2" customWidth="1"/>
    <col min="8" max="8" width="7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48" width="11.7265625" style="2" customWidth="1"/>
    <col min="49" max="50" width="12.7265625" style="2" customWidth="1"/>
    <col min="51" max="51" width="11.7265625" style="2" customWidth="1"/>
    <col min="52" max="53" width="12.7265625" style="2" customWidth="1"/>
    <col min="54" max="54" width="11.7265625" style="2" customWidth="1"/>
    <col min="55" max="55" width="12.7265625" style="2" customWidth="1"/>
    <col min="56" max="57" width="11.7265625" style="2" customWidth="1"/>
    <col min="58" max="59" width="12.7265625" style="2" customWidth="1"/>
    <col min="60" max="60" width="11.7265625" style="2" customWidth="1"/>
    <col min="61" max="62" width="12.7265625" style="2" customWidth="1"/>
    <col min="63" max="63" width="11.7265625" style="2" customWidth="1"/>
    <col min="64" max="65" width="12.7265625" style="2" customWidth="1"/>
    <col min="66" max="66" width="11.7265625" style="2" customWidth="1"/>
    <col min="67" max="67" width="12.7265625" style="2" customWidth="1"/>
    <col min="68" max="69" width="11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Unallocated</v>
      </c>
      <c r="B1" s="37"/>
      <c r="C1" s="58"/>
      <c r="D1" s="67"/>
      <c r="F1" s="42" t="str">
        <f>HYPERLINK("#Contents!A1","Go to contents")</f>
        <v>Go to contents</v>
      </c>
      <c r="H1" s="38"/>
      <c r="J1" s="38"/>
    </row>
    <row r="2" spans="1:69" s="43" customFormat="1">
      <c r="A2" s="39"/>
      <c r="B2" s="39"/>
      <c r="C2" s="56"/>
      <c r="D2" s="62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>
      <c r="A3" s="39"/>
      <c r="B3" s="39"/>
      <c r="C3" s="56"/>
      <c r="D3" s="62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62"/>
      <c r="E4" s="20" t="s">
        <v>325</v>
      </c>
      <c r="F4" s="22"/>
      <c r="G4" s="20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>
      <c r="A5" s="39"/>
      <c r="B5" s="39"/>
      <c r="C5" s="56"/>
      <c r="D5" s="62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6" spans="1:69">
      <c r="F6" s="22"/>
      <c r="G6" s="22"/>
      <c r="H6" s="22"/>
    </row>
    <row r="9" spans="1:69">
      <c r="B9" s="22" t="s">
        <v>265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Q13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23.7265625" style="2" customWidth="1"/>
    <col min="6" max="6" width="20.7265625" style="2" customWidth="1"/>
    <col min="7" max="7" width="13.7265625" style="2" customWidth="1"/>
    <col min="8" max="8" width="7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48" width="11.7265625" style="2" customWidth="1"/>
    <col min="49" max="50" width="12.7265625" style="2" customWidth="1"/>
    <col min="51" max="51" width="11.7265625" style="2" customWidth="1"/>
    <col min="52" max="52" width="12.7265625" style="2" customWidth="1"/>
    <col min="53" max="69" width="13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Metrics</v>
      </c>
      <c r="B1" s="37"/>
      <c r="C1" s="58"/>
      <c r="D1" s="67"/>
      <c r="F1" s="42" t="str">
        <f>HYPERLINK("#Contents!A1","Go to contents")</f>
        <v>Go to contents</v>
      </c>
      <c r="H1" s="38"/>
      <c r="J1" s="38"/>
    </row>
    <row r="2" spans="1:69" s="43" customFormat="1">
      <c r="A2" s="39"/>
      <c r="B2" s="39"/>
      <c r="C2" s="56"/>
      <c r="D2" s="62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>
      <c r="A3" s="39"/>
      <c r="B3" s="39"/>
      <c r="C3" s="56"/>
      <c r="D3" s="62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62"/>
      <c r="E4" s="20" t="s">
        <v>325</v>
      </c>
      <c r="F4" s="22"/>
      <c r="G4" s="20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>
      <c r="A5" s="39"/>
      <c r="B5" s="39"/>
      <c r="C5" s="56"/>
      <c r="D5" s="62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6" spans="1:69">
      <c r="F6" s="22"/>
      <c r="G6" s="22"/>
      <c r="H6" s="22"/>
    </row>
    <row r="8" spans="1:69">
      <c r="B8" s="22" t="s">
        <v>59</v>
      </c>
    </row>
    <row r="9" spans="1:69">
      <c r="A9" s="17"/>
      <c r="B9" s="17"/>
      <c r="C9" s="26"/>
      <c r="D9" s="27"/>
      <c r="E9" s="4" t="str">
        <f>Financials!E$13</f>
        <v>Cash</v>
      </c>
      <c r="F9" s="4">
        <f>Financials!F$13</f>
        <v>0</v>
      </c>
      <c r="G9" s="4" t="str">
        <f>Financials!G$13</f>
        <v>GBP</v>
      </c>
      <c r="H9" s="4">
        <f>Financials!H$13</f>
        <v>0</v>
      </c>
      <c r="I9" s="4">
        <f>Financials!I$13</f>
        <v>0</v>
      </c>
      <c r="J9" s="4">
        <f ca="1">Financials!J$13</f>
        <v>-103100</v>
      </c>
      <c r="K9" s="4">
        <f ca="1">Financials!K$13</f>
        <v>-155100.72360569984</v>
      </c>
      <c r="L9" s="4">
        <f ca="1">Financials!L$13</f>
        <v>-164210.46634351503</v>
      </c>
      <c r="M9" s="4">
        <f ca="1">Financials!M$13</f>
        <v>-219888.94692249392</v>
      </c>
      <c r="N9" s="4">
        <f ca="1">Financials!N$13</f>
        <v>-277235.55215667229</v>
      </c>
      <c r="O9" s="4">
        <f ca="1">Financials!O$13</f>
        <v>-321159.79441542737</v>
      </c>
      <c r="P9" s="4">
        <f ca="1">Financials!P$13</f>
        <v>-582274.86038498709</v>
      </c>
      <c r="Q9" s="4">
        <f ca="1">Financials!Q$13</f>
        <v>-645810.57429782476</v>
      </c>
      <c r="R9" s="4">
        <f ca="1">Financials!R$13</f>
        <v>-1012204.3346045238</v>
      </c>
      <c r="S9" s="4">
        <f ca="1">Financials!S$13</f>
        <v>1034231.926442032</v>
      </c>
      <c r="T9" s="4">
        <f ca="1">Financials!T$13</f>
        <v>1341868.269530179</v>
      </c>
      <c r="U9" s="4">
        <f ca="1">Financials!U$13</f>
        <v>1246437.4488265985</v>
      </c>
      <c r="V9" s="4">
        <f ca="1">Financials!V$13</f>
        <v>970487.44882659847</v>
      </c>
      <c r="W9" s="4">
        <f ca="1">Financials!W$13</f>
        <v>891193.4653826151</v>
      </c>
      <c r="X9" s="4">
        <f ca="1">Financials!X$13</f>
        <v>493266.0377593562</v>
      </c>
      <c r="Y9" s="4">
        <f ca="1">Financials!Y$13</f>
        <v>2463740.9106869777</v>
      </c>
      <c r="Z9" s="4">
        <f ca="1">Financials!Z$13</f>
        <v>2612405.6779962811</v>
      </c>
      <c r="AA9" s="4">
        <f ca="1">Financials!AA$13</f>
        <v>2529599.3429272231</v>
      </c>
      <c r="AB9" s="4">
        <f ca="1">Financials!AB$13</f>
        <v>2285304.5302114896</v>
      </c>
      <c r="AC9" s="4">
        <f ca="1">Financials!AC$13</f>
        <v>2184172.023251507</v>
      </c>
      <c r="AD9" s="4">
        <f ca="1">Financials!AD$13</f>
        <v>1280272.796072864</v>
      </c>
      <c r="AE9" s="4">
        <f ca="1">Financials!AE$13</f>
        <v>5804672.8574032113</v>
      </c>
      <c r="AF9" s="4">
        <f ca="1">Financials!AF$13</f>
        <v>5921155.9385484895</v>
      </c>
      <c r="AG9" s="4">
        <f ca="1">Financials!AG$13</f>
        <v>5773019.245225206</v>
      </c>
      <c r="AH9" s="4">
        <f ca="1">Financials!AH$13</f>
        <v>5626492.8961006068</v>
      </c>
      <c r="AI9" s="4">
        <f ca="1">Financials!AI$13</f>
        <v>7940604.7239995655</v>
      </c>
      <c r="AJ9" s="4">
        <f ca="1">Financials!AJ$13</f>
        <v>6865765.8280084711</v>
      </c>
      <c r="AK9" s="4">
        <f ca="1">Financials!AK$13</f>
        <v>8421203.9795869365</v>
      </c>
      <c r="AL9" s="4">
        <f ca="1">Financials!AL$13</f>
        <v>9016703.9014120456</v>
      </c>
      <c r="AM9" s="4">
        <f ca="1">Financials!AM$13</f>
        <v>11099290.675104339</v>
      </c>
      <c r="AN9" s="4">
        <f ca="1">Financials!AN$13</f>
        <v>11504018.461941142</v>
      </c>
      <c r="AO9" s="4">
        <f ca="1">Financials!AO$13</f>
        <v>11736235.32441161</v>
      </c>
      <c r="AP9" s="4">
        <f ca="1">Financials!AP$13</f>
        <v>13625616.262414103</v>
      </c>
      <c r="AQ9" s="4">
        <f ca="1">Financials!AQ$13</f>
        <v>16580879.190238677</v>
      </c>
      <c r="AR9" s="4">
        <f ca="1">Financials!AR$13</f>
        <v>19473095.830194138</v>
      </c>
      <c r="AS9" s="4">
        <f ca="1">Financials!AS$13</f>
        <v>19248519.165587541</v>
      </c>
      <c r="AT9" s="4">
        <f ca="1">Financials!AT$13</f>
        <v>19784199.664086059</v>
      </c>
      <c r="AU9" s="4">
        <f ca="1">Financials!AU$13</f>
        <v>25298390.197898049</v>
      </c>
      <c r="AV9" s="4">
        <f ca="1">Financials!AV$13</f>
        <v>24648700.46775192</v>
      </c>
      <c r="AW9" s="4">
        <f ca="1">Financials!AW$13</f>
        <v>22907012.839985117</v>
      </c>
      <c r="AX9" s="4">
        <f ca="1">Financials!AX$13</f>
        <v>26708079.837814037</v>
      </c>
      <c r="AY9" s="4">
        <f ca="1">Financials!AY$13</f>
        <v>28429876.657227986</v>
      </c>
      <c r="AZ9" s="4">
        <f ca="1">Financials!AZ$13</f>
        <v>32192314.625653937</v>
      </c>
      <c r="BA9" s="4">
        <f ca="1">Financials!BA$13</f>
        <v>33672076.070215121</v>
      </c>
      <c r="BB9" s="4">
        <f ca="1">Financials!BB$13</f>
        <v>38065990.658675916</v>
      </c>
      <c r="BC9" s="4">
        <f ca="1">Financials!BC$13</f>
        <v>42109656.077577792</v>
      </c>
      <c r="BD9" s="4">
        <f ca="1">Financials!BD$13</f>
        <v>46405079.02311863</v>
      </c>
      <c r="BE9" s="4">
        <f ca="1">Financials!BE$13</f>
        <v>48421534.225866169</v>
      </c>
      <c r="BF9" s="4">
        <f ca="1">Financials!BF$13</f>
        <v>52803915.477687538</v>
      </c>
      <c r="BG9" s="4">
        <f ca="1">Financials!BG$13</f>
        <v>57298584.330639355</v>
      </c>
      <c r="BH9" s="4">
        <f ca="1">Financials!BH$13</f>
        <v>59402622.857509606</v>
      </c>
      <c r="BI9" s="4">
        <f ca="1">Financials!BI$13</f>
        <v>58665342.381563403</v>
      </c>
      <c r="BJ9" s="4">
        <f ca="1">Financials!BJ$13</f>
        <v>66583187.866943121</v>
      </c>
      <c r="BK9" s="4">
        <f ca="1">Financials!BK$13</f>
        <v>68370287.347026542</v>
      </c>
      <c r="BL9" s="4">
        <f ca="1">Financials!BL$13</f>
        <v>76669748.921876788</v>
      </c>
      <c r="BM9" s="4">
        <f ca="1">Financials!BM$13</f>
        <v>82662591.313714907</v>
      </c>
      <c r="BN9" s="4">
        <f ca="1">Financials!BN$13</f>
        <v>87253930.171257392</v>
      </c>
      <c r="BO9" s="4">
        <f ca="1">Financials!BO$13</f>
        <v>96220733.8051783</v>
      </c>
      <c r="BP9" s="4">
        <f ca="1">Financials!BP$13</f>
        <v>102913558.3753787</v>
      </c>
      <c r="BQ9" s="4">
        <f ca="1">Financials!BQ$13</f>
        <v>107847639.85822076</v>
      </c>
    </row>
    <row r="10" spans="1:69">
      <c r="A10" s="31"/>
      <c r="B10" s="31"/>
      <c r="C10" s="51"/>
      <c r="D10" s="50"/>
      <c r="E10" s="3" t="s">
        <v>59</v>
      </c>
      <c r="F10" s="3">
        <f ca="1">MIN($J9:$BQ9)</f>
        <v>-1012204.3346045238</v>
      </c>
      <c r="G10" s="3" t="s">
        <v>252</v>
      </c>
    </row>
    <row r="13" spans="1:69">
      <c r="B13" s="22" t="s">
        <v>265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Q41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31.7265625" style="2" customWidth="1"/>
    <col min="6" max="6" width="20.7265625" style="2" customWidth="1"/>
    <col min="7" max="8" width="13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69" width="13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Financials</v>
      </c>
      <c r="B1" s="37"/>
      <c r="C1" s="58"/>
      <c r="D1" s="67"/>
      <c r="F1" s="42" t="str">
        <f>HYPERLINK("#Contents!A1","Go to contents")</f>
        <v>Go to contents</v>
      </c>
      <c r="H1" s="38"/>
      <c r="J1" s="38"/>
    </row>
    <row r="2" spans="1:69" s="43" customFormat="1">
      <c r="A2" s="39"/>
      <c r="B2" s="39"/>
      <c r="C2" s="56"/>
      <c r="D2" s="62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>
      <c r="A3" s="39"/>
      <c r="B3" s="39"/>
      <c r="C3" s="56"/>
      <c r="D3" s="62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62"/>
      <c r="E4" s="20" t="s">
        <v>325</v>
      </c>
      <c r="F4" s="22"/>
      <c r="G4" s="20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>
      <c r="A5" s="39"/>
      <c r="B5" s="39"/>
      <c r="C5" s="56"/>
      <c r="D5" s="62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6" spans="1:69">
      <c r="F6" s="22"/>
      <c r="G6" s="22"/>
      <c r="H6" s="22"/>
    </row>
    <row r="8" spans="1:69">
      <c r="B8" s="22" t="s">
        <v>313</v>
      </c>
    </row>
    <row r="9" spans="1:69" s="64" customFormat="1">
      <c r="A9" s="46"/>
      <c r="B9" s="46"/>
      <c r="C9" s="65"/>
      <c r="D9" s="63"/>
      <c r="E9" s="34" t="str">
        <f>InpC!E$47</f>
        <v>Opening Cash</v>
      </c>
      <c r="F9" s="34">
        <f>InpC!F$47</f>
        <v>0</v>
      </c>
      <c r="G9" s="34" t="str">
        <f>InpC!G$47</f>
        <v>GBP</v>
      </c>
    </row>
    <row r="10" spans="1:69">
      <c r="A10" s="17"/>
      <c r="B10" s="17"/>
      <c r="C10" s="26"/>
      <c r="D10" s="27"/>
      <c r="E10" s="10" t="str">
        <f>Time!E$28</f>
        <v>Period number</v>
      </c>
      <c r="F10" s="10">
        <f>Time!F$28</f>
        <v>0</v>
      </c>
      <c r="G10" s="10" t="str">
        <f>Time!G$28</f>
        <v>Counter</v>
      </c>
      <c r="H10" s="10">
        <f>Time!H$28</f>
        <v>0</v>
      </c>
      <c r="I10" s="10">
        <f>Time!I$28</f>
        <v>0</v>
      </c>
      <c r="J10" s="10">
        <f>Time!J$28</f>
        <v>1</v>
      </c>
      <c r="K10" s="10">
        <f>Time!K$28</f>
        <v>2</v>
      </c>
      <c r="L10" s="10">
        <f>Time!L$28</f>
        <v>3</v>
      </c>
      <c r="M10" s="10">
        <f>Time!M$28</f>
        <v>4</v>
      </c>
      <c r="N10" s="10">
        <f>Time!N$28</f>
        <v>5</v>
      </c>
      <c r="O10" s="10">
        <f>Time!O$28</f>
        <v>6</v>
      </c>
      <c r="P10" s="10">
        <f>Time!P$28</f>
        <v>7</v>
      </c>
      <c r="Q10" s="10">
        <f>Time!Q$28</f>
        <v>8</v>
      </c>
      <c r="R10" s="10">
        <f>Time!R$28</f>
        <v>9</v>
      </c>
      <c r="S10" s="10">
        <f>Time!S$28</f>
        <v>10</v>
      </c>
      <c r="T10" s="10">
        <f>Time!T$28</f>
        <v>11</v>
      </c>
      <c r="U10" s="10">
        <f>Time!U$28</f>
        <v>12</v>
      </c>
      <c r="V10" s="10">
        <f>Time!V$28</f>
        <v>13</v>
      </c>
      <c r="W10" s="10">
        <f>Time!W$28</f>
        <v>14</v>
      </c>
      <c r="X10" s="10">
        <f>Time!X$28</f>
        <v>15</v>
      </c>
      <c r="Y10" s="10">
        <f>Time!Y$28</f>
        <v>16</v>
      </c>
      <c r="Z10" s="10">
        <f>Time!Z$28</f>
        <v>17</v>
      </c>
      <c r="AA10" s="10">
        <f>Time!AA$28</f>
        <v>18</v>
      </c>
      <c r="AB10" s="10">
        <f>Time!AB$28</f>
        <v>19</v>
      </c>
      <c r="AC10" s="10">
        <f>Time!AC$28</f>
        <v>20</v>
      </c>
      <c r="AD10" s="10">
        <f>Time!AD$28</f>
        <v>21</v>
      </c>
      <c r="AE10" s="10">
        <f>Time!AE$28</f>
        <v>22</v>
      </c>
      <c r="AF10" s="10">
        <f>Time!AF$28</f>
        <v>23</v>
      </c>
      <c r="AG10" s="10">
        <f>Time!AG$28</f>
        <v>24</v>
      </c>
      <c r="AH10" s="10">
        <f>Time!AH$28</f>
        <v>25</v>
      </c>
      <c r="AI10" s="10">
        <f>Time!AI$28</f>
        <v>26</v>
      </c>
      <c r="AJ10" s="10">
        <f>Time!AJ$28</f>
        <v>27</v>
      </c>
      <c r="AK10" s="10">
        <f>Time!AK$28</f>
        <v>28</v>
      </c>
      <c r="AL10" s="10">
        <f>Time!AL$28</f>
        <v>29</v>
      </c>
      <c r="AM10" s="10">
        <f>Time!AM$28</f>
        <v>30</v>
      </c>
      <c r="AN10" s="10">
        <f>Time!AN$28</f>
        <v>31</v>
      </c>
      <c r="AO10" s="10">
        <f>Time!AO$28</f>
        <v>32</v>
      </c>
      <c r="AP10" s="10">
        <f>Time!AP$28</f>
        <v>33</v>
      </c>
      <c r="AQ10" s="10">
        <f>Time!AQ$28</f>
        <v>34</v>
      </c>
      <c r="AR10" s="10">
        <f>Time!AR$28</f>
        <v>35</v>
      </c>
      <c r="AS10" s="10">
        <f>Time!AS$28</f>
        <v>36</v>
      </c>
      <c r="AT10" s="10">
        <f>Time!AT$28</f>
        <v>37</v>
      </c>
      <c r="AU10" s="10">
        <f>Time!AU$28</f>
        <v>38</v>
      </c>
      <c r="AV10" s="10">
        <f>Time!AV$28</f>
        <v>39</v>
      </c>
      <c r="AW10" s="10">
        <f>Time!AW$28</f>
        <v>40</v>
      </c>
      <c r="AX10" s="10">
        <f>Time!AX$28</f>
        <v>41</v>
      </c>
      <c r="AY10" s="10">
        <f>Time!AY$28</f>
        <v>42</v>
      </c>
      <c r="AZ10" s="10">
        <f>Time!AZ$28</f>
        <v>43</v>
      </c>
      <c r="BA10" s="10">
        <f>Time!BA$28</f>
        <v>44</v>
      </c>
      <c r="BB10" s="10">
        <f>Time!BB$28</f>
        <v>45</v>
      </c>
      <c r="BC10" s="10">
        <f>Time!BC$28</f>
        <v>46</v>
      </c>
      <c r="BD10" s="10">
        <f>Time!BD$28</f>
        <v>47</v>
      </c>
      <c r="BE10" s="10">
        <f>Time!BE$28</f>
        <v>48</v>
      </c>
      <c r="BF10" s="10">
        <f>Time!BF$28</f>
        <v>49</v>
      </c>
      <c r="BG10" s="10">
        <f>Time!BG$28</f>
        <v>50</v>
      </c>
      <c r="BH10" s="10">
        <f>Time!BH$28</f>
        <v>51</v>
      </c>
      <c r="BI10" s="10">
        <f>Time!BI$28</f>
        <v>52</v>
      </c>
      <c r="BJ10" s="10">
        <f>Time!BJ$28</f>
        <v>53</v>
      </c>
      <c r="BK10" s="10">
        <f>Time!BK$28</f>
        <v>54</v>
      </c>
      <c r="BL10" s="10">
        <f>Time!BL$28</f>
        <v>55</v>
      </c>
      <c r="BM10" s="10">
        <f>Time!BM$28</f>
        <v>56</v>
      </c>
      <c r="BN10" s="10">
        <f>Time!BN$28</f>
        <v>57</v>
      </c>
      <c r="BO10" s="10">
        <f>Time!BO$28</f>
        <v>58</v>
      </c>
      <c r="BP10" s="10">
        <f>Time!BP$28</f>
        <v>59</v>
      </c>
      <c r="BQ10" s="10">
        <f>Time!BQ$28</f>
        <v>60</v>
      </c>
    </row>
    <row r="11" spans="1:69" ht="14.5">
      <c r="E11" s="2" t="s">
        <v>300</v>
      </c>
      <c r="G11" s="2" t="s">
        <v>252</v>
      </c>
      <c r="I11"/>
      <c r="J11" s="2">
        <f t="shared" ref="J11:AO11" si="0">I13</f>
        <v>0</v>
      </c>
      <c r="K11" s="2">
        <f t="shared" ca="1" si="0"/>
        <v>-103100</v>
      </c>
      <c r="L11" s="2">
        <f t="shared" ca="1" si="0"/>
        <v>-155100.72360569984</v>
      </c>
      <c r="M11" s="2">
        <f t="shared" ca="1" si="0"/>
        <v>-164210.46634351503</v>
      </c>
      <c r="N11" s="2">
        <f t="shared" ca="1" si="0"/>
        <v>-219888.94692249392</v>
      </c>
      <c r="O11" s="2">
        <f t="shared" ca="1" si="0"/>
        <v>-277235.55215667229</v>
      </c>
      <c r="P11" s="2">
        <f t="shared" ca="1" si="0"/>
        <v>-321159.79441542737</v>
      </c>
      <c r="Q11" s="2">
        <f t="shared" ca="1" si="0"/>
        <v>-582274.86038498709</v>
      </c>
      <c r="R11" s="2">
        <f t="shared" ca="1" si="0"/>
        <v>-645810.57429782476</v>
      </c>
      <c r="S11" s="2">
        <f t="shared" ca="1" si="0"/>
        <v>-1012204.3346045238</v>
      </c>
      <c r="T11" s="2">
        <f t="shared" ca="1" si="0"/>
        <v>1034231.926442032</v>
      </c>
      <c r="U11" s="2">
        <f t="shared" ca="1" si="0"/>
        <v>1341868.269530179</v>
      </c>
      <c r="V11" s="2">
        <f t="shared" ca="1" si="0"/>
        <v>1246437.4488265985</v>
      </c>
      <c r="W11" s="2">
        <f t="shared" ca="1" si="0"/>
        <v>970487.44882659847</v>
      </c>
      <c r="X11" s="2">
        <f t="shared" ca="1" si="0"/>
        <v>891193.4653826151</v>
      </c>
      <c r="Y11" s="2">
        <f t="shared" ca="1" si="0"/>
        <v>493266.0377593562</v>
      </c>
      <c r="Z11" s="2">
        <f t="shared" ca="1" si="0"/>
        <v>2463740.9106869777</v>
      </c>
      <c r="AA11" s="2">
        <f t="shared" ca="1" si="0"/>
        <v>2612405.6779962811</v>
      </c>
      <c r="AB11" s="2">
        <f t="shared" ca="1" si="0"/>
        <v>2529599.3429272231</v>
      </c>
      <c r="AC11" s="2">
        <f t="shared" ca="1" si="0"/>
        <v>2285304.5302114896</v>
      </c>
      <c r="AD11" s="2">
        <f t="shared" ca="1" si="0"/>
        <v>2184172.023251507</v>
      </c>
      <c r="AE11" s="2">
        <f t="shared" ca="1" si="0"/>
        <v>1280272.796072864</v>
      </c>
      <c r="AF11" s="2">
        <f t="shared" ca="1" si="0"/>
        <v>5804672.8574032113</v>
      </c>
      <c r="AG11" s="2">
        <f t="shared" ca="1" si="0"/>
        <v>5921155.9385484895</v>
      </c>
      <c r="AH11" s="2">
        <f t="shared" ca="1" si="0"/>
        <v>5773019.245225206</v>
      </c>
      <c r="AI11" s="2">
        <f t="shared" ca="1" si="0"/>
        <v>5626492.8961006068</v>
      </c>
      <c r="AJ11" s="2">
        <f t="shared" ca="1" si="0"/>
        <v>7940604.7239995655</v>
      </c>
      <c r="AK11" s="2">
        <f t="shared" ca="1" si="0"/>
        <v>6865765.8280084711</v>
      </c>
      <c r="AL11" s="2">
        <f t="shared" ca="1" si="0"/>
        <v>8421203.9795869365</v>
      </c>
      <c r="AM11" s="2">
        <f t="shared" ca="1" si="0"/>
        <v>9016703.9014120456</v>
      </c>
      <c r="AN11" s="2">
        <f t="shared" ca="1" si="0"/>
        <v>11099290.675104339</v>
      </c>
      <c r="AO11" s="2">
        <f t="shared" ca="1" si="0"/>
        <v>11504018.461941142</v>
      </c>
      <c r="AP11" s="2">
        <f t="shared" ref="AP11:BQ11" ca="1" si="1">AO13</f>
        <v>11736235.32441161</v>
      </c>
      <c r="AQ11" s="2">
        <f t="shared" ca="1" si="1"/>
        <v>13625616.262414103</v>
      </c>
      <c r="AR11" s="2">
        <f t="shared" ca="1" si="1"/>
        <v>16580879.190238677</v>
      </c>
      <c r="AS11" s="2">
        <f t="shared" ca="1" si="1"/>
        <v>19473095.830194138</v>
      </c>
      <c r="AT11" s="2">
        <f t="shared" ca="1" si="1"/>
        <v>19248519.165587541</v>
      </c>
      <c r="AU11" s="2">
        <f t="shared" ca="1" si="1"/>
        <v>19784199.664086059</v>
      </c>
      <c r="AV11" s="2">
        <f t="shared" ca="1" si="1"/>
        <v>25298390.197898049</v>
      </c>
      <c r="AW11" s="2">
        <f t="shared" ca="1" si="1"/>
        <v>24648700.46775192</v>
      </c>
      <c r="AX11" s="2">
        <f t="shared" ca="1" si="1"/>
        <v>22907012.839985117</v>
      </c>
      <c r="AY11" s="2">
        <f t="shared" ca="1" si="1"/>
        <v>26708079.837814037</v>
      </c>
      <c r="AZ11" s="2">
        <f t="shared" ca="1" si="1"/>
        <v>28429876.657227986</v>
      </c>
      <c r="BA11" s="2">
        <f t="shared" ca="1" si="1"/>
        <v>32192314.625653937</v>
      </c>
      <c r="BB11" s="2">
        <f t="shared" ca="1" si="1"/>
        <v>33672076.070215121</v>
      </c>
      <c r="BC11" s="2">
        <f t="shared" ca="1" si="1"/>
        <v>38065990.658675916</v>
      </c>
      <c r="BD11" s="2">
        <f t="shared" ca="1" si="1"/>
        <v>42109656.077577792</v>
      </c>
      <c r="BE11" s="2">
        <f t="shared" ca="1" si="1"/>
        <v>46405079.02311863</v>
      </c>
      <c r="BF11" s="2">
        <f t="shared" ca="1" si="1"/>
        <v>48421534.225866169</v>
      </c>
      <c r="BG11" s="2">
        <f t="shared" ca="1" si="1"/>
        <v>52803915.477687538</v>
      </c>
      <c r="BH11" s="2">
        <f t="shared" ca="1" si="1"/>
        <v>57298584.330639355</v>
      </c>
      <c r="BI11" s="2">
        <f t="shared" ca="1" si="1"/>
        <v>59402622.857509606</v>
      </c>
      <c r="BJ11" s="2">
        <f t="shared" ca="1" si="1"/>
        <v>58665342.381563403</v>
      </c>
      <c r="BK11" s="2">
        <f t="shared" ca="1" si="1"/>
        <v>66583187.866943121</v>
      </c>
      <c r="BL11" s="2">
        <f t="shared" ca="1" si="1"/>
        <v>68370287.347026542</v>
      </c>
      <c r="BM11" s="2">
        <f t="shared" ca="1" si="1"/>
        <v>76669748.921876788</v>
      </c>
      <c r="BN11" s="2">
        <f t="shared" ca="1" si="1"/>
        <v>82662591.313714907</v>
      </c>
      <c r="BO11" s="2">
        <f t="shared" ca="1" si="1"/>
        <v>87253930.171257392</v>
      </c>
      <c r="BP11" s="2">
        <f t="shared" ca="1" si="1"/>
        <v>96220733.8051783</v>
      </c>
      <c r="BQ11" s="2">
        <f t="shared" ca="1" si="1"/>
        <v>102913558.3753787</v>
      </c>
    </row>
    <row r="12" spans="1:69">
      <c r="A12" s="17"/>
      <c r="B12" s="17"/>
      <c r="C12" s="26"/>
      <c r="D12" s="27" t="s">
        <v>216</v>
      </c>
      <c r="E12" s="4" t="str">
        <f>Cashflow!E$29</f>
        <v>Net Cashflow</v>
      </c>
      <c r="F12" s="4">
        <f>Cashflow!F$29</f>
        <v>0</v>
      </c>
      <c r="G12" s="4" t="str">
        <f>Cashflow!G$29</f>
        <v>GBP</v>
      </c>
      <c r="H12" s="4">
        <f ca="1">Cashflow!H$29</f>
        <v>107847639.85822076</v>
      </c>
      <c r="I12" s="4">
        <f>Cashflow!I$29</f>
        <v>0</v>
      </c>
      <c r="J12" s="4">
        <f ca="1">Cashflow!J$29</f>
        <v>-103100</v>
      </c>
      <c r="K12" s="4">
        <f ca="1">Cashflow!K$29</f>
        <v>-52000.723605699852</v>
      </c>
      <c r="L12" s="4">
        <f ca="1">Cashflow!L$29</f>
        <v>-9109.7427378151842</v>
      </c>
      <c r="M12" s="4">
        <f ca="1">Cashflow!M$29</f>
        <v>-55678.480578978881</v>
      </c>
      <c r="N12" s="4">
        <f ca="1">Cashflow!N$29</f>
        <v>-57346.605234178351</v>
      </c>
      <c r="O12" s="4">
        <f ca="1">Cashflow!O$29</f>
        <v>-43924.242258755097</v>
      </c>
      <c r="P12" s="4">
        <f ca="1">Cashflow!P$29</f>
        <v>-261115.06596955971</v>
      </c>
      <c r="Q12" s="4">
        <f ca="1">Cashflow!Q$29</f>
        <v>-63535.713912837666</v>
      </c>
      <c r="R12" s="4">
        <f ca="1">Cashflow!R$29</f>
        <v>-366393.76030669909</v>
      </c>
      <c r="S12" s="4">
        <f ca="1">Cashflow!S$29</f>
        <v>2046436.2610465558</v>
      </c>
      <c r="T12" s="4">
        <f ca="1">Cashflow!T$29</f>
        <v>307636.34308814694</v>
      </c>
      <c r="U12" s="4">
        <f ca="1">Cashflow!U$29</f>
        <v>-95430.820703580452</v>
      </c>
      <c r="V12" s="4">
        <f ca="1">Cashflow!V$29</f>
        <v>-275950</v>
      </c>
      <c r="W12" s="4">
        <f ca="1">Cashflow!W$29</f>
        <v>-79293.983443983379</v>
      </c>
      <c r="X12" s="4">
        <f ca="1">Cashflow!X$29</f>
        <v>-397927.4276232589</v>
      </c>
      <c r="Y12" s="4">
        <f ca="1">Cashflow!Y$29</f>
        <v>1970474.8729276215</v>
      </c>
      <c r="Z12" s="4">
        <f ca="1">Cashflow!Z$29</f>
        <v>148664.76730930342</v>
      </c>
      <c r="AA12" s="4">
        <f ca="1">Cashflow!AA$29</f>
        <v>-82806.335069057794</v>
      </c>
      <c r="AB12" s="4">
        <f ca="1">Cashflow!AB$29</f>
        <v>-244294.81271573345</v>
      </c>
      <c r="AC12" s="4">
        <f ca="1">Cashflow!AC$29</f>
        <v>-101132.50695998287</v>
      </c>
      <c r="AD12" s="4">
        <f ca="1">Cashflow!AD$29</f>
        <v>-903899.22717864288</v>
      </c>
      <c r="AE12" s="4">
        <f ca="1">Cashflow!AE$29</f>
        <v>4524400.0613303473</v>
      </c>
      <c r="AF12" s="4">
        <f ca="1">Cashflow!AF$29</f>
        <v>116483.08114527797</v>
      </c>
      <c r="AG12" s="4">
        <f ca="1">Cashflow!AG$29</f>
        <v>-148136.69332328337</v>
      </c>
      <c r="AH12" s="4">
        <f ca="1">Cashflow!AH$29</f>
        <v>-146526.34912459942</v>
      </c>
      <c r="AI12" s="4">
        <f ca="1">Cashflow!AI$29</f>
        <v>2314111.8278989592</v>
      </c>
      <c r="AJ12" s="4">
        <f ca="1">Cashflow!AJ$29</f>
        <v>-1074838.8959910942</v>
      </c>
      <c r="AK12" s="4">
        <f ca="1">Cashflow!AK$29</f>
        <v>1555438.1515784648</v>
      </c>
      <c r="AL12" s="4">
        <f ca="1">Cashflow!AL$29</f>
        <v>595499.92182510882</v>
      </c>
      <c r="AM12" s="4">
        <f ca="1">Cashflow!AM$29</f>
        <v>2082586.7736922931</v>
      </c>
      <c r="AN12" s="4">
        <f ca="1">Cashflow!AN$29</f>
        <v>404727.78683680389</v>
      </c>
      <c r="AO12" s="4">
        <f ca="1">Cashflow!AO$29</f>
        <v>232216.8624704676</v>
      </c>
      <c r="AP12" s="4">
        <f ca="1">Cashflow!AP$29</f>
        <v>1889380.9380024928</v>
      </c>
      <c r="AQ12" s="4">
        <f ca="1">Cashflow!AQ$29</f>
        <v>2955262.9278245741</v>
      </c>
      <c r="AR12" s="4">
        <f ca="1">Cashflow!AR$29</f>
        <v>2892216.6399554592</v>
      </c>
      <c r="AS12" s="4">
        <f ca="1">Cashflow!AS$29</f>
        <v>-224576.66460659611</v>
      </c>
      <c r="AT12" s="4">
        <f ca="1">Cashflow!AT$29</f>
        <v>535680.4984985193</v>
      </c>
      <c r="AU12" s="4">
        <f ca="1">Cashflow!AU$29</f>
        <v>5514190.5338119892</v>
      </c>
      <c r="AV12" s="4">
        <f ca="1">Cashflow!AV$29</f>
        <v>-649689.73014612717</v>
      </c>
      <c r="AW12" s="4">
        <f ca="1">Cashflow!AW$29</f>
        <v>-1741687.6277668041</v>
      </c>
      <c r="AX12" s="4">
        <f ca="1">Cashflow!AX$29</f>
        <v>3801066.9978289194</v>
      </c>
      <c r="AY12" s="4">
        <f ca="1">Cashflow!AY$29</f>
        <v>1721796.8194139488</v>
      </c>
      <c r="AZ12" s="4">
        <f ca="1">Cashflow!AZ$29</f>
        <v>3762437.9684259538</v>
      </c>
      <c r="BA12" s="4">
        <f ca="1">Cashflow!BA$29</f>
        <v>1479761.44456118</v>
      </c>
      <c r="BB12" s="4">
        <f ca="1">Cashflow!BB$29</f>
        <v>4393914.5884607965</v>
      </c>
      <c r="BC12" s="4">
        <f ca="1">Cashflow!BC$29</f>
        <v>4043665.4189018747</v>
      </c>
      <c r="BD12" s="4">
        <f ca="1">Cashflow!BD$29</f>
        <v>4295422.9455408389</v>
      </c>
      <c r="BE12" s="4">
        <f ca="1">Cashflow!BE$29</f>
        <v>2016455.2027475424</v>
      </c>
      <c r="BF12" s="4">
        <f ca="1">Cashflow!BF$29</f>
        <v>4382381.2518213661</v>
      </c>
      <c r="BG12" s="4">
        <f ca="1">Cashflow!BG$29</f>
        <v>4494668.8529518163</v>
      </c>
      <c r="BH12" s="4">
        <f ca="1">Cashflow!BH$29</f>
        <v>2104038.5268702526</v>
      </c>
      <c r="BI12" s="4">
        <f ca="1">Cashflow!BI$29</f>
        <v>-737280.47594620381</v>
      </c>
      <c r="BJ12" s="4">
        <f ca="1">Cashflow!BJ$29</f>
        <v>7917845.4853797201</v>
      </c>
      <c r="BK12" s="4">
        <f ca="1">Cashflow!BK$29</f>
        <v>1787099.4800834223</v>
      </c>
      <c r="BL12" s="4">
        <f ca="1">Cashflow!BL$29</f>
        <v>8299461.5748502538</v>
      </c>
      <c r="BM12" s="4">
        <f ca="1">Cashflow!BM$29</f>
        <v>5992842.3918381222</v>
      </c>
      <c r="BN12" s="4">
        <f ca="1">Cashflow!BN$29</f>
        <v>4591338.8575424813</v>
      </c>
      <c r="BO12" s="4">
        <f ca="1">Cashflow!BO$29</f>
        <v>8966803.6339209136</v>
      </c>
      <c r="BP12" s="4">
        <f ca="1">Cashflow!BP$29</f>
        <v>6692824.5702003958</v>
      </c>
      <c r="BQ12" s="4">
        <f ca="1">Cashflow!BQ$29</f>
        <v>4934081.4828420617</v>
      </c>
    </row>
    <row r="13" spans="1:69" s="32" customFormat="1">
      <c r="A13" s="48"/>
      <c r="B13" s="48"/>
      <c r="C13" s="68"/>
      <c r="D13" s="69"/>
      <c r="E13" s="11" t="s">
        <v>313</v>
      </c>
      <c r="F13" s="11"/>
      <c r="G13" s="11" t="s">
        <v>252</v>
      </c>
      <c r="H13" s="11"/>
      <c r="I13" s="11">
        <f t="shared" ref="I13:AN13" si="2">IF(I10=0,$F9,I11+I12)</f>
        <v>0</v>
      </c>
      <c r="J13" s="11">
        <f t="shared" ca="1" si="2"/>
        <v>-103100</v>
      </c>
      <c r="K13" s="11">
        <f t="shared" ca="1" si="2"/>
        <v>-155100.72360569984</v>
      </c>
      <c r="L13" s="11">
        <f t="shared" ca="1" si="2"/>
        <v>-164210.46634351503</v>
      </c>
      <c r="M13" s="11">
        <f t="shared" ca="1" si="2"/>
        <v>-219888.94692249392</v>
      </c>
      <c r="N13" s="11">
        <f t="shared" ca="1" si="2"/>
        <v>-277235.55215667229</v>
      </c>
      <c r="O13" s="11">
        <f t="shared" ca="1" si="2"/>
        <v>-321159.79441542737</v>
      </c>
      <c r="P13" s="11">
        <f t="shared" ca="1" si="2"/>
        <v>-582274.86038498709</v>
      </c>
      <c r="Q13" s="11">
        <f t="shared" ca="1" si="2"/>
        <v>-645810.57429782476</v>
      </c>
      <c r="R13" s="11">
        <f t="shared" ca="1" si="2"/>
        <v>-1012204.3346045238</v>
      </c>
      <c r="S13" s="11">
        <f t="shared" ca="1" si="2"/>
        <v>1034231.926442032</v>
      </c>
      <c r="T13" s="11">
        <f t="shared" ca="1" si="2"/>
        <v>1341868.269530179</v>
      </c>
      <c r="U13" s="11">
        <f t="shared" ca="1" si="2"/>
        <v>1246437.4488265985</v>
      </c>
      <c r="V13" s="11">
        <f t="shared" ca="1" si="2"/>
        <v>970487.44882659847</v>
      </c>
      <c r="W13" s="11">
        <f t="shared" ca="1" si="2"/>
        <v>891193.4653826151</v>
      </c>
      <c r="X13" s="11">
        <f t="shared" ca="1" si="2"/>
        <v>493266.0377593562</v>
      </c>
      <c r="Y13" s="11">
        <f t="shared" ca="1" si="2"/>
        <v>2463740.9106869777</v>
      </c>
      <c r="Z13" s="11">
        <f t="shared" ca="1" si="2"/>
        <v>2612405.6779962811</v>
      </c>
      <c r="AA13" s="11">
        <f t="shared" ca="1" si="2"/>
        <v>2529599.3429272231</v>
      </c>
      <c r="AB13" s="11">
        <f t="shared" ca="1" si="2"/>
        <v>2285304.5302114896</v>
      </c>
      <c r="AC13" s="11">
        <f t="shared" ca="1" si="2"/>
        <v>2184172.023251507</v>
      </c>
      <c r="AD13" s="11">
        <f t="shared" ca="1" si="2"/>
        <v>1280272.796072864</v>
      </c>
      <c r="AE13" s="11">
        <f t="shared" ca="1" si="2"/>
        <v>5804672.8574032113</v>
      </c>
      <c r="AF13" s="11">
        <f t="shared" ca="1" si="2"/>
        <v>5921155.9385484895</v>
      </c>
      <c r="AG13" s="11">
        <f t="shared" ca="1" si="2"/>
        <v>5773019.245225206</v>
      </c>
      <c r="AH13" s="11">
        <f t="shared" ca="1" si="2"/>
        <v>5626492.8961006068</v>
      </c>
      <c r="AI13" s="11">
        <f t="shared" ca="1" si="2"/>
        <v>7940604.7239995655</v>
      </c>
      <c r="AJ13" s="11">
        <f t="shared" ca="1" si="2"/>
        <v>6865765.8280084711</v>
      </c>
      <c r="AK13" s="11">
        <f t="shared" ca="1" si="2"/>
        <v>8421203.9795869365</v>
      </c>
      <c r="AL13" s="11">
        <f t="shared" ca="1" si="2"/>
        <v>9016703.9014120456</v>
      </c>
      <c r="AM13" s="11">
        <f t="shared" ca="1" si="2"/>
        <v>11099290.675104339</v>
      </c>
      <c r="AN13" s="11">
        <f t="shared" ca="1" si="2"/>
        <v>11504018.461941142</v>
      </c>
      <c r="AO13" s="11">
        <f t="shared" ref="AO13:BT13" ca="1" si="3">IF(AO10=0,$F9,AO11+AO12)</f>
        <v>11736235.32441161</v>
      </c>
      <c r="AP13" s="11">
        <f t="shared" ca="1" si="3"/>
        <v>13625616.262414103</v>
      </c>
      <c r="AQ13" s="11">
        <f t="shared" ca="1" si="3"/>
        <v>16580879.190238677</v>
      </c>
      <c r="AR13" s="11">
        <f t="shared" ca="1" si="3"/>
        <v>19473095.830194138</v>
      </c>
      <c r="AS13" s="11">
        <f t="shared" ca="1" si="3"/>
        <v>19248519.165587541</v>
      </c>
      <c r="AT13" s="11">
        <f t="shared" ca="1" si="3"/>
        <v>19784199.664086059</v>
      </c>
      <c r="AU13" s="11">
        <f t="shared" ca="1" si="3"/>
        <v>25298390.197898049</v>
      </c>
      <c r="AV13" s="11">
        <f t="shared" ca="1" si="3"/>
        <v>24648700.46775192</v>
      </c>
      <c r="AW13" s="11">
        <f t="shared" ca="1" si="3"/>
        <v>22907012.839985117</v>
      </c>
      <c r="AX13" s="11">
        <f t="shared" ca="1" si="3"/>
        <v>26708079.837814037</v>
      </c>
      <c r="AY13" s="11">
        <f t="shared" ca="1" si="3"/>
        <v>28429876.657227986</v>
      </c>
      <c r="AZ13" s="11">
        <f t="shared" ca="1" si="3"/>
        <v>32192314.625653937</v>
      </c>
      <c r="BA13" s="11">
        <f t="shared" ca="1" si="3"/>
        <v>33672076.070215121</v>
      </c>
      <c r="BB13" s="11">
        <f t="shared" ca="1" si="3"/>
        <v>38065990.658675916</v>
      </c>
      <c r="BC13" s="11">
        <f t="shared" ca="1" si="3"/>
        <v>42109656.077577792</v>
      </c>
      <c r="BD13" s="11">
        <f t="shared" ca="1" si="3"/>
        <v>46405079.02311863</v>
      </c>
      <c r="BE13" s="11">
        <f t="shared" ca="1" si="3"/>
        <v>48421534.225866169</v>
      </c>
      <c r="BF13" s="11">
        <f t="shared" ca="1" si="3"/>
        <v>52803915.477687538</v>
      </c>
      <c r="BG13" s="11">
        <f t="shared" ca="1" si="3"/>
        <v>57298584.330639355</v>
      </c>
      <c r="BH13" s="11">
        <f t="shared" ca="1" si="3"/>
        <v>59402622.857509606</v>
      </c>
      <c r="BI13" s="11">
        <f t="shared" ca="1" si="3"/>
        <v>58665342.381563403</v>
      </c>
      <c r="BJ13" s="11">
        <f t="shared" ca="1" si="3"/>
        <v>66583187.866943121</v>
      </c>
      <c r="BK13" s="11">
        <f t="shared" ca="1" si="3"/>
        <v>68370287.347026542</v>
      </c>
      <c r="BL13" s="11">
        <f t="shared" ca="1" si="3"/>
        <v>76669748.921876788</v>
      </c>
      <c r="BM13" s="11">
        <f t="shared" ca="1" si="3"/>
        <v>82662591.313714907</v>
      </c>
      <c r="BN13" s="11">
        <f t="shared" ca="1" si="3"/>
        <v>87253930.171257392</v>
      </c>
      <c r="BO13" s="11">
        <f t="shared" ca="1" si="3"/>
        <v>96220733.8051783</v>
      </c>
      <c r="BP13" s="11">
        <f t="shared" ca="1" si="3"/>
        <v>102913558.3753787</v>
      </c>
      <c r="BQ13" s="11">
        <f t="shared" ca="1" si="3"/>
        <v>107847639.85822076</v>
      </c>
    </row>
    <row r="15" spans="1:69">
      <c r="B15" s="22" t="s">
        <v>314</v>
      </c>
    </row>
    <row r="16" spans="1:69">
      <c r="A16" s="17"/>
      <c r="B16" s="17"/>
      <c r="C16" s="26"/>
      <c r="D16" s="27"/>
      <c r="E16" s="4" t="str">
        <f>InpC!E$34</f>
        <v>Supplier price per unit</v>
      </c>
      <c r="F16" s="4">
        <f>InpC!F$34</f>
        <v>35</v>
      </c>
      <c r="G16" s="4" t="str">
        <f>InpC!G$34</f>
        <v>GBP</v>
      </c>
    </row>
    <row r="17" spans="1:69">
      <c r="A17" s="17"/>
      <c r="B17" s="17"/>
      <c r="C17" s="26"/>
      <c r="D17" s="27"/>
      <c r="E17" s="4" t="str">
        <f>Inventory!E$26</f>
        <v>Units ordered</v>
      </c>
      <c r="F17" s="4">
        <f>Inventory!F$26</f>
        <v>0</v>
      </c>
      <c r="G17" s="4" t="str">
        <f>Inventory!G$26</f>
        <v>Units</v>
      </c>
      <c r="H17" s="4">
        <f ca="1">Inventory!H$26</f>
        <v>165000</v>
      </c>
      <c r="I17" s="4">
        <f>Inventory!I$26</f>
        <v>0</v>
      </c>
      <c r="J17" s="4">
        <f ca="1">Inventory!J$26</f>
        <v>5000</v>
      </c>
      <c r="K17" s="4">
        <f ca="1">Inventory!K$26</f>
        <v>0</v>
      </c>
      <c r="L17" s="4">
        <f ca="1">Inventory!L$26</f>
        <v>0</v>
      </c>
      <c r="M17" s="4">
        <f ca="1">Inventory!M$26</f>
        <v>0</v>
      </c>
      <c r="N17" s="4">
        <f ca="1">Inventory!N$26</f>
        <v>0</v>
      </c>
      <c r="O17" s="4">
        <f ca="1">Inventory!O$26</f>
        <v>0</v>
      </c>
      <c r="P17" s="4">
        <f ca="1">Inventory!P$26</f>
        <v>5000</v>
      </c>
      <c r="Q17" s="4">
        <f ca="1">Inventory!Q$26</f>
        <v>0</v>
      </c>
      <c r="R17" s="4">
        <f ca="1">Inventory!R$26</f>
        <v>0</v>
      </c>
      <c r="S17" s="4">
        <f ca="1">Inventory!S$26</f>
        <v>0</v>
      </c>
      <c r="T17" s="4">
        <f ca="1">Inventory!T$26</f>
        <v>0</v>
      </c>
      <c r="U17" s="4">
        <f ca="1">Inventory!U$26</f>
        <v>0</v>
      </c>
      <c r="V17" s="4">
        <f ca="1">Inventory!V$26</f>
        <v>5000</v>
      </c>
      <c r="W17" s="4">
        <f ca="1">Inventory!W$26</f>
        <v>0</v>
      </c>
      <c r="X17" s="4">
        <f ca="1">Inventory!X$26</f>
        <v>0</v>
      </c>
      <c r="Y17" s="4">
        <f ca="1">Inventory!Y$26</f>
        <v>0</v>
      </c>
      <c r="Z17" s="4">
        <f ca="1">Inventory!Z$26</f>
        <v>5000</v>
      </c>
      <c r="AA17" s="4">
        <f ca="1">Inventory!AA$26</f>
        <v>0</v>
      </c>
      <c r="AB17" s="4">
        <f ca="1">Inventory!AB$26</f>
        <v>0</v>
      </c>
      <c r="AC17" s="4">
        <f ca="1">Inventory!AC$26</f>
        <v>0</v>
      </c>
      <c r="AD17" s="4">
        <f ca="1">Inventory!AD$26</f>
        <v>5000</v>
      </c>
      <c r="AE17" s="4">
        <f ca="1">Inventory!AE$26</f>
        <v>0</v>
      </c>
      <c r="AF17" s="4">
        <f ca="1">Inventory!AF$26</f>
        <v>0</v>
      </c>
      <c r="AG17" s="4">
        <f ca="1">Inventory!AG$26</f>
        <v>5000</v>
      </c>
      <c r="AH17" s="4">
        <f ca="1">Inventory!AH$26</f>
        <v>0</v>
      </c>
      <c r="AI17" s="4">
        <f ca="1">Inventory!AI$26</f>
        <v>5000</v>
      </c>
      <c r="AJ17" s="4">
        <f ca="1">Inventory!AJ$26</f>
        <v>0</v>
      </c>
      <c r="AK17" s="4">
        <f ca="1">Inventory!AK$26</f>
        <v>0</v>
      </c>
      <c r="AL17" s="4">
        <f ca="1">Inventory!AL$26</f>
        <v>5000</v>
      </c>
      <c r="AM17" s="4">
        <f ca="1">Inventory!AM$26</f>
        <v>0</v>
      </c>
      <c r="AN17" s="4">
        <f ca="1">Inventory!AN$26</f>
        <v>0</v>
      </c>
      <c r="AO17" s="4">
        <f ca="1">Inventory!AO$26</f>
        <v>5000</v>
      </c>
      <c r="AP17" s="4">
        <f ca="1">Inventory!AP$26</f>
        <v>0</v>
      </c>
      <c r="AQ17" s="4">
        <f ca="1">Inventory!AQ$26</f>
        <v>5000</v>
      </c>
      <c r="AR17" s="4">
        <f ca="1">Inventory!AR$26</f>
        <v>0</v>
      </c>
      <c r="AS17" s="4">
        <f ca="1">Inventory!AS$26</f>
        <v>5000</v>
      </c>
      <c r="AT17" s="4">
        <f ca="1">Inventory!AT$26</f>
        <v>5000</v>
      </c>
      <c r="AU17" s="4">
        <f ca="1">Inventory!AU$26</f>
        <v>0</v>
      </c>
      <c r="AV17" s="4">
        <f ca="1">Inventory!AV$26</f>
        <v>5000</v>
      </c>
      <c r="AW17" s="4">
        <f ca="1">Inventory!AW$26</f>
        <v>5000</v>
      </c>
      <c r="AX17" s="4">
        <f ca="1">Inventory!AX$26</f>
        <v>0</v>
      </c>
      <c r="AY17" s="4">
        <f ca="1">Inventory!AY$26</f>
        <v>5000</v>
      </c>
      <c r="AZ17" s="4">
        <f ca="1">Inventory!AZ$26</f>
        <v>5000</v>
      </c>
      <c r="BA17" s="4">
        <f ca="1">Inventory!BA$26</f>
        <v>5000</v>
      </c>
      <c r="BB17" s="4">
        <f ca="1">Inventory!BB$26</f>
        <v>5000</v>
      </c>
      <c r="BC17" s="4">
        <f ca="1">Inventory!BC$26</f>
        <v>5000</v>
      </c>
      <c r="BD17" s="4">
        <f ca="1">Inventory!BD$26</f>
        <v>5000</v>
      </c>
      <c r="BE17" s="4">
        <f ca="1">Inventory!BE$26</f>
        <v>5000</v>
      </c>
      <c r="BF17" s="4">
        <f ca="1">Inventory!BF$26</f>
        <v>5000</v>
      </c>
      <c r="BG17" s="4">
        <f ca="1">Inventory!BG$26</f>
        <v>5000</v>
      </c>
      <c r="BH17" s="4">
        <f ca="1">Inventory!BH$26</f>
        <v>5000</v>
      </c>
      <c r="BI17" s="4">
        <f ca="1">Inventory!BI$26</f>
        <v>5000</v>
      </c>
      <c r="BJ17" s="4">
        <f ca="1">Inventory!BJ$26</f>
        <v>5000</v>
      </c>
      <c r="BK17" s="4">
        <f ca="1">Inventory!BK$26</f>
        <v>5000</v>
      </c>
      <c r="BL17" s="4">
        <f ca="1">Inventory!BL$26</f>
        <v>5000</v>
      </c>
      <c r="BM17" s="4">
        <f ca="1">Inventory!BM$26</f>
        <v>5000</v>
      </c>
      <c r="BN17" s="4">
        <f ca="1">Inventory!BN$26</f>
        <v>5000</v>
      </c>
      <c r="BO17" s="4">
        <f ca="1">Inventory!BO$26</f>
        <v>5000</v>
      </c>
      <c r="BP17" s="4">
        <f ca="1">Inventory!BP$26</f>
        <v>5000</v>
      </c>
      <c r="BQ17" s="4">
        <f ca="1">Inventory!BQ$26</f>
        <v>5000</v>
      </c>
    </row>
    <row r="18" spans="1:69">
      <c r="A18" s="31"/>
      <c r="B18" s="31"/>
      <c r="C18" s="51"/>
      <c r="D18" s="50"/>
      <c r="E18" s="3" t="s">
        <v>314</v>
      </c>
      <c r="F18" s="3"/>
      <c r="G18" s="3" t="s">
        <v>252</v>
      </c>
      <c r="H18" s="3">
        <f ca="1">SUM(J18:BQ18)</f>
        <v>5775000</v>
      </c>
      <c r="I18" s="3"/>
      <c r="J18" s="3">
        <f t="shared" ref="J18:AO18" ca="1" si="4">J17*$F16</f>
        <v>175000</v>
      </c>
      <c r="K18" s="3">
        <f t="shared" ca="1" si="4"/>
        <v>0</v>
      </c>
      <c r="L18" s="3">
        <f t="shared" ca="1" si="4"/>
        <v>0</v>
      </c>
      <c r="M18" s="3">
        <f t="shared" ca="1" si="4"/>
        <v>0</v>
      </c>
      <c r="N18" s="3">
        <f t="shared" ca="1" si="4"/>
        <v>0</v>
      </c>
      <c r="O18" s="3">
        <f t="shared" ca="1" si="4"/>
        <v>0</v>
      </c>
      <c r="P18" s="3">
        <f t="shared" ca="1" si="4"/>
        <v>175000</v>
      </c>
      <c r="Q18" s="3">
        <f t="shared" ca="1" si="4"/>
        <v>0</v>
      </c>
      <c r="R18" s="3">
        <f t="shared" ca="1" si="4"/>
        <v>0</v>
      </c>
      <c r="S18" s="3">
        <f t="shared" ca="1" si="4"/>
        <v>0</v>
      </c>
      <c r="T18" s="3">
        <f t="shared" ca="1" si="4"/>
        <v>0</v>
      </c>
      <c r="U18" s="3">
        <f t="shared" ca="1" si="4"/>
        <v>0</v>
      </c>
      <c r="V18" s="3">
        <f t="shared" ca="1" si="4"/>
        <v>175000</v>
      </c>
      <c r="W18" s="3">
        <f t="shared" ca="1" si="4"/>
        <v>0</v>
      </c>
      <c r="X18" s="3">
        <f t="shared" ca="1" si="4"/>
        <v>0</v>
      </c>
      <c r="Y18" s="3">
        <f t="shared" ca="1" si="4"/>
        <v>0</v>
      </c>
      <c r="Z18" s="3">
        <f t="shared" ca="1" si="4"/>
        <v>175000</v>
      </c>
      <c r="AA18" s="3">
        <f t="shared" ca="1" si="4"/>
        <v>0</v>
      </c>
      <c r="AB18" s="3">
        <f t="shared" ca="1" si="4"/>
        <v>0</v>
      </c>
      <c r="AC18" s="3">
        <f t="shared" ca="1" si="4"/>
        <v>0</v>
      </c>
      <c r="AD18" s="3">
        <f t="shared" ca="1" si="4"/>
        <v>175000</v>
      </c>
      <c r="AE18" s="3">
        <f t="shared" ca="1" si="4"/>
        <v>0</v>
      </c>
      <c r="AF18" s="3">
        <f t="shared" ca="1" si="4"/>
        <v>0</v>
      </c>
      <c r="AG18" s="3">
        <f t="shared" ca="1" si="4"/>
        <v>175000</v>
      </c>
      <c r="AH18" s="3">
        <f t="shared" ca="1" si="4"/>
        <v>0</v>
      </c>
      <c r="AI18" s="3">
        <f t="shared" ca="1" si="4"/>
        <v>175000</v>
      </c>
      <c r="AJ18" s="3">
        <f t="shared" ca="1" si="4"/>
        <v>0</v>
      </c>
      <c r="AK18" s="3">
        <f t="shared" ca="1" si="4"/>
        <v>0</v>
      </c>
      <c r="AL18" s="3">
        <f t="shared" ca="1" si="4"/>
        <v>175000</v>
      </c>
      <c r="AM18" s="3">
        <f t="shared" ca="1" si="4"/>
        <v>0</v>
      </c>
      <c r="AN18" s="3">
        <f t="shared" ca="1" si="4"/>
        <v>0</v>
      </c>
      <c r="AO18" s="3">
        <f t="shared" ca="1" si="4"/>
        <v>175000</v>
      </c>
      <c r="AP18" s="3">
        <f t="shared" ref="AP18:BU18" ca="1" si="5">AP17*$F16</f>
        <v>0</v>
      </c>
      <c r="AQ18" s="3">
        <f t="shared" ca="1" si="5"/>
        <v>175000</v>
      </c>
      <c r="AR18" s="3">
        <f t="shared" ca="1" si="5"/>
        <v>0</v>
      </c>
      <c r="AS18" s="3">
        <f t="shared" ca="1" si="5"/>
        <v>175000</v>
      </c>
      <c r="AT18" s="3">
        <f t="shared" ca="1" si="5"/>
        <v>175000</v>
      </c>
      <c r="AU18" s="3">
        <f t="shared" ca="1" si="5"/>
        <v>0</v>
      </c>
      <c r="AV18" s="3">
        <f t="shared" ca="1" si="5"/>
        <v>175000</v>
      </c>
      <c r="AW18" s="3">
        <f t="shared" ca="1" si="5"/>
        <v>175000</v>
      </c>
      <c r="AX18" s="3">
        <f t="shared" ca="1" si="5"/>
        <v>0</v>
      </c>
      <c r="AY18" s="3">
        <f t="shared" ca="1" si="5"/>
        <v>175000</v>
      </c>
      <c r="AZ18" s="3">
        <f t="shared" ca="1" si="5"/>
        <v>175000</v>
      </c>
      <c r="BA18" s="3">
        <f t="shared" ca="1" si="5"/>
        <v>175000</v>
      </c>
      <c r="BB18" s="3">
        <f t="shared" ca="1" si="5"/>
        <v>175000</v>
      </c>
      <c r="BC18" s="3">
        <f t="shared" ca="1" si="5"/>
        <v>175000</v>
      </c>
      <c r="BD18" s="3">
        <f t="shared" ca="1" si="5"/>
        <v>175000</v>
      </c>
      <c r="BE18" s="3">
        <f t="shared" ca="1" si="5"/>
        <v>175000</v>
      </c>
      <c r="BF18" s="3">
        <f t="shared" ca="1" si="5"/>
        <v>175000</v>
      </c>
      <c r="BG18" s="3">
        <f t="shared" ca="1" si="5"/>
        <v>175000</v>
      </c>
      <c r="BH18" s="3">
        <f t="shared" ca="1" si="5"/>
        <v>175000</v>
      </c>
      <c r="BI18" s="3">
        <f t="shared" ca="1" si="5"/>
        <v>175000</v>
      </c>
      <c r="BJ18" s="3">
        <f t="shared" ca="1" si="5"/>
        <v>175000</v>
      </c>
      <c r="BK18" s="3">
        <f t="shared" ca="1" si="5"/>
        <v>175000</v>
      </c>
      <c r="BL18" s="3">
        <f t="shared" ca="1" si="5"/>
        <v>175000</v>
      </c>
      <c r="BM18" s="3">
        <f t="shared" ca="1" si="5"/>
        <v>175000</v>
      </c>
      <c r="BN18" s="3">
        <f t="shared" ca="1" si="5"/>
        <v>175000</v>
      </c>
      <c r="BO18" s="3">
        <f t="shared" ca="1" si="5"/>
        <v>175000</v>
      </c>
      <c r="BP18" s="3">
        <f t="shared" ca="1" si="5"/>
        <v>175000</v>
      </c>
      <c r="BQ18" s="3">
        <f t="shared" ca="1" si="5"/>
        <v>175000</v>
      </c>
    </row>
    <row r="21" spans="1:69">
      <c r="B21" s="22" t="s">
        <v>278</v>
      </c>
    </row>
    <row r="22" spans="1:69">
      <c r="A22" s="17"/>
      <c r="B22" s="17"/>
      <c r="C22" s="26"/>
      <c r="D22" s="27"/>
      <c r="E22" s="4" t="str">
        <f>'Balance Sheet'!E$12</f>
        <v>Assets</v>
      </c>
      <c r="F22" s="4">
        <f>'Balance Sheet'!F$12</f>
        <v>0</v>
      </c>
      <c r="G22" s="4" t="str">
        <f>'Balance Sheet'!G$12</f>
        <v>GBP</v>
      </c>
      <c r="H22" s="4">
        <f>'Balance Sheet'!H$12</f>
        <v>0</v>
      </c>
      <c r="I22" s="4">
        <f>'Balance Sheet'!I$12</f>
        <v>0</v>
      </c>
      <c r="J22" s="4">
        <f ca="1">'Balance Sheet'!J$12</f>
        <v>71900</v>
      </c>
      <c r="K22" s="4">
        <f ca="1">'Balance Sheet'!K$12</f>
        <v>12607.609727633506</v>
      </c>
      <c r="L22" s="4">
        <f ca="1">'Balance Sheet'!L$12</f>
        <v>-3793.7996768483717</v>
      </c>
      <c r="M22" s="4">
        <f ca="1">'Balance Sheet'!M$12</f>
        <v>-66763.946922493924</v>
      </c>
      <c r="N22" s="4">
        <f ca="1">'Balance Sheet'!N$12</f>
        <v>-131402.21882333895</v>
      </c>
      <c r="O22" s="4">
        <f ca="1">'Balance Sheet'!O$12</f>
        <v>-182618.12774876071</v>
      </c>
      <c r="P22" s="4">
        <f ca="1">'Balance Sheet'!P$12</f>
        <v>-276024.86038498709</v>
      </c>
      <c r="Q22" s="4">
        <f ca="1">'Balance Sheet'!Q$12</f>
        <v>1760863.2152694357</v>
      </c>
      <c r="R22" s="4">
        <f ca="1">'Balance Sheet'!R$12</f>
        <v>1758237.0810694199</v>
      </c>
      <c r="S22" s="4">
        <f ca="1">'Balance Sheet'!S$12</f>
        <v>1701724.8035414375</v>
      </c>
      <c r="T22" s="4">
        <f ca="1">'Balance Sheet'!T$12</f>
        <v>1616426.8538562346</v>
      </c>
      <c r="U22" s="4">
        <f ca="1">'Balance Sheet'!U$12</f>
        <v>1479770.7821599315</v>
      </c>
      <c r="V22" s="4">
        <f ca="1">'Balance Sheet'!V$12</f>
        <v>1364237.448826598</v>
      </c>
      <c r="W22" s="4">
        <f ca="1">'Balance Sheet'!W$12</f>
        <v>3492522.5452303239</v>
      </c>
      <c r="X22" s="4">
        <f ca="1">'Balance Sheet'!X$12</f>
        <v>3363266.0377593557</v>
      </c>
      <c r="Y22" s="4">
        <f ca="1">'Balance Sheet'!Y$12</f>
        <v>3082411.8308392679</v>
      </c>
      <c r="Z22" s="4">
        <f ca="1">'Balance Sheet'!Z$12</f>
        <v>3093655.6779962806</v>
      </c>
      <c r="AA22" s="4">
        <f ca="1">'Balance Sheet'!AA$12</f>
        <v>2981682.6762605556</v>
      </c>
      <c r="AB22" s="4">
        <f ca="1">'Balance Sheet'!AB$12</f>
        <v>2708221.1968781557</v>
      </c>
      <c r="AC22" s="4">
        <f ca="1">'Balance Sheet'!AC$12</f>
        <v>7212929.1461520996</v>
      </c>
      <c r="AD22" s="4">
        <f ca="1">'Balance Sheet'!AD$12</f>
        <v>6833214.2117468063</v>
      </c>
      <c r="AE22" s="4">
        <f ca="1">'Balance Sheet'!AE$12</f>
        <v>6712790.7345026154</v>
      </c>
      <c r="AF22" s="4">
        <f ca="1">'Balance Sheet'!AF$12</f>
        <v>6414464.5228745434</v>
      </c>
      <c r="AG22" s="4">
        <f ca="1">'Balance Sheet'!AG$12</f>
        <v>8898227.5785585381</v>
      </c>
      <c r="AH22" s="4">
        <f ca="1">'Balance Sheet'!AH$12</f>
        <v>8707951.2294339389</v>
      </c>
      <c r="AI22" s="4">
        <f ca="1">'Balance Sheet'!AI$12</f>
        <v>11367496.303847272</v>
      </c>
      <c r="AJ22" s="4">
        <f ca="1">'Balance Sheet'!AJ$12</f>
        <v>11068225.451741595</v>
      </c>
      <c r="AK22" s="4">
        <f ca="1">'Balance Sheet'!AK$12</f>
        <v>12927389.080387529</v>
      </c>
      <c r="AL22" s="4">
        <f ca="1">'Balance Sheet'!AL$12</f>
        <v>13425144.456479887</v>
      </c>
      <c r="AM22" s="4">
        <f ca="1">'Balance Sheet'!AM$12</f>
        <v>13004218.69431431</v>
      </c>
      <c r="AN22" s="4">
        <f ca="1">'Balance Sheet'!AN$12</f>
        <v>15949415.605638832</v>
      </c>
      <c r="AO22" s="4">
        <f ca="1">'Balance Sheet'!AO$12</f>
        <v>18902605.724675249</v>
      </c>
      <c r="AP22" s="4">
        <f ca="1">'Balance Sheet'!AP$12</f>
        <v>20816346.726603933</v>
      </c>
      <c r="AQ22" s="4">
        <f ca="1">'Balance Sheet'!AQ$12</f>
        <v>21457149.853459004</v>
      </c>
      <c r="AR22" s="4">
        <f ca="1">'Balance Sheet'!AR$12</f>
        <v>21860608.275635388</v>
      </c>
      <c r="AS22" s="4">
        <f ca="1">'Balance Sheet'!AS$12</f>
        <v>26884461.019969221</v>
      </c>
      <c r="AT22" s="4">
        <f ca="1">'Balance Sheet'!AT$12</f>
        <v>27628291.062441193</v>
      </c>
      <c r="AU22" s="4">
        <f ca="1">'Balance Sheet'!AU$12</f>
        <v>28642698.321700614</v>
      </c>
      <c r="AV22" s="4">
        <f ca="1">'Balance Sheet'!AV$12</f>
        <v>31268084.460814826</v>
      </c>
      <c r="AW22" s="4">
        <f ca="1">'Balance Sheet'!AW$12</f>
        <v>32330128.694709439</v>
      </c>
      <c r="AX22" s="4">
        <f ca="1">'Balance Sheet'!AX$12</f>
        <v>36244663.616874531</v>
      </c>
      <c r="AY22" s="4">
        <f ca="1">'Balance Sheet'!AY$12</f>
        <v>35751924.676733866</v>
      </c>
      <c r="AZ22" s="4">
        <f ca="1">'Balance Sheet'!AZ$12</f>
        <v>42343490.616274469</v>
      </c>
      <c r="BA22" s="4">
        <f ca="1">'Balance Sheet'!BA$12</f>
        <v>46660548.394416437</v>
      </c>
      <c r="BB22" s="4">
        <f ca="1">'Balance Sheet'!BB$12</f>
        <v>48860388.751544774</v>
      </c>
      <c r="BC22" s="4">
        <f ca="1">'Balance Sheet'!BC$12</f>
        <v>53240895.340530954</v>
      </c>
      <c r="BD22" s="4">
        <f ca="1">'Balance Sheet'!BD$12</f>
        <v>57888686.80761493</v>
      </c>
      <c r="BE22" s="4">
        <f ca="1">'Balance Sheet'!BE$12</f>
        <v>60254145.541195378</v>
      </c>
      <c r="BF22" s="4">
        <f ca="1">'Balance Sheet'!BF$12</f>
        <v>64998157.372834124</v>
      </c>
      <c r="BG22" s="4">
        <f ca="1">'Balance Sheet'!BG$12</f>
        <v>70331891.848312452</v>
      </c>
      <c r="BH22" s="4">
        <f ca="1">'Balance Sheet'!BH$12</f>
        <v>75840106.536567777</v>
      </c>
      <c r="BI22" s="4">
        <f ca="1">'Balance Sheet'!BI$12</f>
        <v>75578994.045376867</v>
      </c>
      <c r="BJ22" s="4">
        <f ca="1">'Balance Sheet'!BJ$12</f>
        <v>83994881.593160242</v>
      </c>
      <c r="BK22" s="4">
        <f ca="1">'Balance Sheet'!BK$12</f>
        <v>86312097.603514925</v>
      </c>
      <c r="BL22" s="4">
        <f ca="1">'Balance Sheet'!BL$12</f>
        <v>95159872.390253946</v>
      </c>
      <c r="BM22" s="4">
        <f ca="1">'Balance Sheet'!BM$12</f>
        <v>104249603.04272602</v>
      </c>
      <c r="BN22" s="4">
        <f ca="1">'Balance Sheet'!BN$12</f>
        <v>106927483.93256362</v>
      </c>
      <c r="BO22" s="4">
        <f ca="1">'Balance Sheet'!BO$12</f>
        <v>116536013.37664232</v>
      </c>
      <c r="BP22" s="4">
        <f ca="1">'Balance Sheet'!BP$12</f>
        <v>126436124.47102289</v>
      </c>
      <c r="BQ22" s="4">
        <f ca="1">'Balance Sheet'!BQ$12</f>
        <v>129538969.95176193</v>
      </c>
    </row>
    <row r="23" spans="1:69">
      <c r="A23" s="17"/>
      <c r="B23" s="17"/>
      <c r="C23" s="26"/>
      <c r="D23" s="27"/>
      <c r="E23" s="4" t="str">
        <f>'Balance Sheet'!E$21</f>
        <v>Liabilities</v>
      </c>
      <c r="F23" s="4">
        <f>'Balance Sheet'!F$21</f>
        <v>0</v>
      </c>
      <c r="G23" s="4" t="str">
        <f>'Balance Sheet'!G$21</f>
        <v>GBP</v>
      </c>
      <c r="H23" s="4">
        <f>'Balance Sheet'!H$21</f>
        <v>0</v>
      </c>
      <c r="I23" s="4">
        <f>'Balance Sheet'!I$21</f>
        <v>0</v>
      </c>
      <c r="J23" s="4">
        <f ca="1">'Balance Sheet'!J$21</f>
        <v>117900</v>
      </c>
      <c r="K23" s="4">
        <f ca="1">'Balance Sheet'!K$21</f>
        <v>113172.66149039092</v>
      </c>
      <c r="L23" s="4">
        <f ca="1">'Balance Sheet'!L$21</f>
        <v>152642.08352296142</v>
      </c>
      <c r="M23" s="4">
        <f ca="1">'Balance Sheet'!M$21</f>
        <v>147580.40347032697</v>
      </c>
      <c r="N23" s="4">
        <f ca="1">'Balance Sheet'!N$21</f>
        <v>142367.07572176532</v>
      </c>
      <c r="O23" s="4">
        <f ca="1">'Balance Sheet'!O$21</f>
        <v>152131.16667845548</v>
      </c>
      <c r="P23" s="4">
        <f ca="1">'Balance Sheet'!P$21</f>
        <v>122029.79704485914</v>
      </c>
      <c r="Q23" s="4">
        <f ca="1">'Balance Sheet'!Q$21</f>
        <v>2084385.4513075021</v>
      </c>
      <c r="R23" s="4">
        <f ca="1">'Balance Sheet'!R$21</f>
        <v>1982864.3746150807</v>
      </c>
      <c r="S23" s="4">
        <f ca="1">'Balance Sheet'!S$21</f>
        <v>1829663.0227566606</v>
      </c>
      <c r="T23" s="4">
        <f ca="1">'Balance Sheet'!T$21</f>
        <v>1670377.2182970599</v>
      </c>
      <c r="U23" s="4">
        <f ca="1">'Balance Sheet'!U$21</f>
        <v>1461543.3168896923</v>
      </c>
      <c r="V23" s="4">
        <f ca="1">'Balance Sheet'!V$21</f>
        <v>1276193.3168896923</v>
      </c>
      <c r="W23" s="4">
        <f ca="1">'Balance Sheet'!W$21</f>
        <v>3220163.2048975029</v>
      </c>
      <c r="X23" s="4">
        <f ca="1">'Balance Sheet'!X$21</f>
        <v>2892538.1674029306</v>
      </c>
      <c r="Y23" s="4">
        <f ca="1">'Balance Sheet'!Y$21</f>
        <v>2416138.7709053745</v>
      </c>
      <c r="Z23" s="4">
        <f ca="1">'Balance Sheet'!Z$21</f>
        <v>2234262.0928572873</v>
      </c>
      <c r="AA23" s="4">
        <f ca="1">'Balance Sheet'!AA$21</f>
        <v>1938946.3828376145</v>
      </c>
      <c r="AB23" s="4">
        <f ca="1">'Balance Sheet'!AB$21</f>
        <v>1485411.4339151417</v>
      </c>
      <c r="AC23" s="4">
        <f ca="1">'Balance Sheet'!AC$21</f>
        <v>5672836.9640084673</v>
      </c>
      <c r="AD23" s="4">
        <f ca="1">'Balance Sheet'!AD$21</f>
        <v>4978923.7620174512</v>
      </c>
      <c r="AE23" s="4">
        <f ca="1">'Balance Sheet'!AE$21</f>
        <v>4555400.1174304094</v>
      </c>
      <c r="AF23" s="4">
        <f ca="1">'Balance Sheet'!AF$21</f>
        <v>3957072.5142591167</v>
      </c>
      <c r="AG23" s="4">
        <f ca="1">'Balance Sheet'!AG$21</f>
        <v>6004462.5601179944</v>
      </c>
      <c r="AH23" s="4">
        <f ca="1">'Balance Sheet'!AH$21</f>
        <v>5418500.8285385575</v>
      </c>
      <c r="AI23" s="4">
        <f ca="1">'Balance Sheet'!AI$21</f>
        <v>7673470.6939379219</v>
      </c>
      <c r="AJ23" s="4">
        <f ca="1">'Balance Sheet'!AJ$21</f>
        <v>6967281.6653494174</v>
      </c>
      <c r="AK23" s="4">
        <f ca="1">'Balance Sheet'!AK$21</f>
        <v>8270132.8956481125</v>
      </c>
      <c r="AL23" s="4">
        <f ca="1">'Balance Sheet'!AL$21</f>
        <v>8200988.1871917602</v>
      </c>
      <c r="AM23" s="4">
        <f ca="1">'Balance Sheet'!AM$21</f>
        <v>7208979.3084211955</v>
      </c>
      <c r="AN23" s="4">
        <f ca="1">'Balance Sheet'!AN$21</f>
        <v>9431806.684269568</v>
      </c>
      <c r="AO23" s="4">
        <f ca="1">'Balance Sheet'!AO$21</f>
        <v>11649742.686575675</v>
      </c>
      <c r="AP23" s="4">
        <f ca="1">'Balance Sheet'!AP$21</f>
        <v>12682217.080435583</v>
      </c>
      <c r="AQ23" s="4">
        <f ca="1">'Balance Sheet'!AQ$21</f>
        <v>12428217.037017941</v>
      </c>
      <c r="AR23" s="4">
        <f ca="1">'Balance Sheet'!AR$21</f>
        <v>11928186.693613892</v>
      </c>
      <c r="AS23" s="4">
        <f ca="1">'Balance Sheet'!AS$21</f>
        <v>15892700.787635323</v>
      </c>
      <c r="AT23" s="4">
        <f ca="1">'Balance Sheet'!AT$21</f>
        <v>15567921.81907114</v>
      </c>
      <c r="AU23" s="4">
        <f ca="1">'Balance Sheet'!AU$21</f>
        <v>15503286.328843795</v>
      </c>
      <c r="AV23" s="4">
        <f ca="1">'Balance Sheet'!AV$21</f>
        <v>16890332.123621866</v>
      </c>
      <c r="AW23" s="4">
        <f ca="1">'Balance Sheet'!AW$21</f>
        <v>16701982.605134048</v>
      </c>
      <c r="AX23" s="4">
        <f ca="1">'Balance Sheet'!AX$21</f>
        <v>19212213.367599025</v>
      </c>
      <c r="AY23" s="4">
        <f ca="1">'Balance Sheet'!AY$21</f>
        <v>17292195.401888452</v>
      </c>
      <c r="AZ23" s="4">
        <f ca="1">'Balance Sheet'!AZ$21</f>
        <v>22300635.116627801</v>
      </c>
      <c r="BA23" s="4">
        <f ca="1">'Balance Sheet'!BA$21</f>
        <v>24876066.730169337</v>
      </c>
      <c r="BB23" s="4">
        <f ca="1">'Balance Sheet'!BB$21</f>
        <v>25314976.790257048</v>
      </c>
      <c r="BC23" s="4">
        <f ca="1">'Balance Sheet'!BC$21</f>
        <v>27774175.113385469</v>
      </c>
      <c r="BD23" s="4">
        <f ca="1">'Balance Sheet'!BD$21</f>
        <v>30335922.934388585</v>
      </c>
      <c r="BE23" s="4">
        <f ca="1">'Balance Sheet'!BE$21</f>
        <v>30590922.664973333</v>
      </c>
      <c r="BF23" s="4">
        <f ca="1">'Balance Sheet'!BF$21</f>
        <v>33070679.774754506</v>
      </c>
      <c r="BG23" s="4">
        <f ca="1">'Balance Sheet'!BG$21</f>
        <v>35959362.230498098</v>
      </c>
      <c r="BH23" s="4">
        <f ca="1">'Balance Sheet'!BH$21</f>
        <v>38837965.047745585</v>
      </c>
      <c r="BI23" s="4">
        <f ca="1">'Balance Sheet'!BI$21</f>
        <v>35761253.837964207</v>
      </c>
      <c r="BJ23" s="4">
        <f ca="1">'Balance Sheet'!BJ$21</f>
        <v>41171573.079691499</v>
      </c>
      <c r="BK23" s="4">
        <f ca="1">'Balance Sheet'!BK$21</f>
        <v>40288770.960607134</v>
      </c>
      <c r="BL23" s="4">
        <f ca="1">'Balance Sheet'!BL$21</f>
        <v>45740260.209983692</v>
      </c>
      <c r="BM23" s="4">
        <f ca="1">'Balance Sheet'!BM$21</f>
        <v>51231678.968788743</v>
      </c>
      <c r="BN23" s="4">
        <f ca="1">'Balance Sheet'!BN$21</f>
        <v>50105935.44467327</v>
      </c>
      <c r="BO23" s="4">
        <f ca="1">'Balance Sheet'!BO$21</f>
        <v>55702250.906832524</v>
      </c>
      <c r="BP23" s="4">
        <f ca="1">'Balance Sheet'!BP$21</f>
        <v>61373044.90085648</v>
      </c>
      <c r="BQ23" s="4">
        <f ca="1">'Balance Sheet'!BQ$21</f>
        <v>60028206.12233185</v>
      </c>
    </row>
    <row r="24" spans="1:69">
      <c r="A24" s="31"/>
      <c r="B24" s="31"/>
      <c r="C24" s="51"/>
      <c r="D24" s="50"/>
      <c r="E24" s="3" t="s">
        <v>278</v>
      </c>
      <c r="F24" s="3"/>
      <c r="G24" s="3" t="s">
        <v>252</v>
      </c>
      <c r="H24" s="3"/>
      <c r="I24" s="3"/>
      <c r="J24" s="3">
        <f t="shared" ref="J24:AO24" ca="1" si="6">J22-J23</f>
        <v>-46000</v>
      </c>
      <c r="K24" s="3">
        <f t="shared" ca="1" si="6"/>
        <v>-100565.05176275742</v>
      </c>
      <c r="L24" s="3">
        <f t="shared" ca="1" si="6"/>
        <v>-156435.88319980979</v>
      </c>
      <c r="M24" s="3">
        <f t="shared" ca="1" si="6"/>
        <v>-214344.3503928209</v>
      </c>
      <c r="N24" s="3">
        <f t="shared" ca="1" si="6"/>
        <v>-273769.29454510426</v>
      </c>
      <c r="O24" s="3">
        <f t="shared" ca="1" si="6"/>
        <v>-334749.29442721617</v>
      </c>
      <c r="P24" s="3">
        <f t="shared" ca="1" si="6"/>
        <v>-398054.65742984624</v>
      </c>
      <c r="Q24" s="3">
        <f t="shared" ca="1" si="6"/>
        <v>-323522.23603806645</v>
      </c>
      <c r="R24" s="3">
        <f t="shared" ca="1" si="6"/>
        <v>-224627.2935456608</v>
      </c>
      <c r="S24" s="3">
        <f t="shared" ca="1" si="6"/>
        <v>-127938.2192152231</v>
      </c>
      <c r="T24" s="3">
        <f t="shared" ca="1" si="6"/>
        <v>-53950.364440825302</v>
      </c>
      <c r="U24" s="3">
        <f t="shared" ca="1" si="6"/>
        <v>18227.465270239161</v>
      </c>
      <c r="V24" s="3">
        <f t="shared" ca="1" si="6"/>
        <v>88044.131936905673</v>
      </c>
      <c r="W24" s="3">
        <f t="shared" ca="1" si="6"/>
        <v>272359.34033282101</v>
      </c>
      <c r="X24" s="3">
        <f t="shared" ca="1" si="6"/>
        <v>470727.87035642518</v>
      </c>
      <c r="Y24" s="3">
        <f t="shared" ca="1" si="6"/>
        <v>666273.05993389338</v>
      </c>
      <c r="Z24" s="3">
        <f t="shared" ca="1" si="6"/>
        <v>859393.58513899334</v>
      </c>
      <c r="AA24" s="3">
        <f t="shared" ca="1" si="6"/>
        <v>1042736.2934229411</v>
      </c>
      <c r="AB24" s="3">
        <f t="shared" ca="1" si="6"/>
        <v>1222809.762963014</v>
      </c>
      <c r="AC24" s="3">
        <f t="shared" ca="1" si="6"/>
        <v>1540092.1821436323</v>
      </c>
      <c r="AD24" s="3">
        <f t="shared" ca="1" si="6"/>
        <v>1854290.4497293551</v>
      </c>
      <c r="AE24" s="3">
        <f t="shared" ca="1" si="6"/>
        <v>2157390.617072206</v>
      </c>
      <c r="AF24" s="3">
        <f t="shared" ca="1" si="6"/>
        <v>2457392.0086154267</v>
      </c>
      <c r="AG24" s="3">
        <f t="shared" ca="1" si="6"/>
        <v>2893765.0184405437</v>
      </c>
      <c r="AH24" s="3">
        <f t="shared" ca="1" si="6"/>
        <v>3289450.4008953813</v>
      </c>
      <c r="AI24" s="3">
        <f t="shared" ca="1" si="6"/>
        <v>3694025.6099093501</v>
      </c>
      <c r="AJ24" s="3">
        <f t="shared" ca="1" si="6"/>
        <v>4100943.7863921775</v>
      </c>
      <c r="AK24" s="3">
        <f t="shared" ca="1" si="6"/>
        <v>4657256.1847394165</v>
      </c>
      <c r="AL24" s="3">
        <f t="shared" ca="1" si="6"/>
        <v>5224156.2692881264</v>
      </c>
      <c r="AM24" s="3">
        <f t="shared" ca="1" si="6"/>
        <v>5795239.3858931148</v>
      </c>
      <c r="AN24" s="3">
        <f t="shared" ca="1" si="6"/>
        <v>6517608.9213692639</v>
      </c>
      <c r="AO24" s="3">
        <f t="shared" ca="1" si="6"/>
        <v>7252863.0380995739</v>
      </c>
      <c r="AP24" s="3">
        <f t="shared" ref="AP24:BU24" ca="1" si="7">AP22-AP23</f>
        <v>8134129.6461683493</v>
      </c>
      <c r="AQ24" s="3">
        <f t="shared" ca="1" si="7"/>
        <v>9028932.8164410628</v>
      </c>
      <c r="AR24" s="3">
        <f t="shared" ca="1" si="7"/>
        <v>9932421.5820214953</v>
      </c>
      <c r="AS24" s="3">
        <f t="shared" ca="1" si="7"/>
        <v>10991760.232333899</v>
      </c>
      <c r="AT24" s="3">
        <f t="shared" ca="1" si="7"/>
        <v>12060369.243370052</v>
      </c>
      <c r="AU24" s="3">
        <f t="shared" ca="1" si="7"/>
        <v>13139411.992856819</v>
      </c>
      <c r="AV24" s="3">
        <f t="shared" ca="1" si="7"/>
        <v>14377752.33719296</v>
      </c>
      <c r="AW24" s="3">
        <f t="shared" ca="1" si="7"/>
        <v>15628146.089575391</v>
      </c>
      <c r="AX24" s="3">
        <f t="shared" ca="1" si="7"/>
        <v>17032450.249275506</v>
      </c>
      <c r="AY24" s="3">
        <f t="shared" ca="1" si="7"/>
        <v>18459729.274845414</v>
      </c>
      <c r="AZ24" s="3">
        <f t="shared" ca="1" si="7"/>
        <v>20042855.499646667</v>
      </c>
      <c r="BA24" s="3">
        <f t="shared" ca="1" si="7"/>
        <v>21784481.664247099</v>
      </c>
      <c r="BB24" s="3">
        <f t="shared" ca="1" si="7"/>
        <v>23545411.961287726</v>
      </c>
      <c r="BC24" s="3">
        <f t="shared" ca="1" si="7"/>
        <v>25466720.227145486</v>
      </c>
      <c r="BD24" s="3">
        <f t="shared" ca="1" si="7"/>
        <v>27552763.873226345</v>
      </c>
      <c r="BE24" s="3">
        <f t="shared" ca="1" si="7"/>
        <v>29663222.876222044</v>
      </c>
      <c r="BF24" s="3">
        <f t="shared" ca="1" si="7"/>
        <v>31927477.598079618</v>
      </c>
      <c r="BG24" s="3">
        <f t="shared" ca="1" si="7"/>
        <v>34372529.617814355</v>
      </c>
      <c r="BH24" s="3">
        <f t="shared" ca="1" si="7"/>
        <v>37002141.488822192</v>
      </c>
      <c r="BI24" s="3">
        <f t="shared" ca="1" si="7"/>
        <v>39817740.20741266</v>
      </c>
      <c r="BJ24" s="3">
        <f t="shared" ca="1" si="7"/>
        <v>42823308.513468742</v>
      </c>
      <c r="BK24" s="3">
        <f t="shared" ca="1" si="7"/>
        <v>46023326.642907791</v>
      </c>
      <c r="BL24" s="3">
        <f t="shared" ca="1" si="7"/>
        <v>49419612.180270255</v>
      </c>
      <c r="BM24" s="3">
        <f t="shared" ca="1" si="7"/>
        <v>53017924.073937282</v>
      </c>
      <c r="BN24" s="3">
        <f t="shared" ca="1" si="7"/>
        <v>56821548.487890348</v>
      </c>
      <c r="BO24" s="3">
        <f t="shared" ca="1" si="7"/>
        <v>60833762.469809793</v>
      </c>
      <c r="BP24" s="3">
        <f t="shared" ca="1" si="7"/>
        <v>65063079.570166409</v>
      </c>
      <c r="BQ24" s="3">
        <f t="shared" ca="1" si="7"/>
        <v>69510763.829430073</v>
      </c>
    </row>
    <row r="27" spans="1:69">
      <c r="B27" s="22" t="s">
        <v>35</v>
      </c>
    </row>
    <row r="28" spans="1:69">
      <c r="E28" s="2" t="str">
        <f t="shared" ref="E28:AJ28" si="8">E$38</f>
        <v>Retained Earnings</v>
      </c>
      <c r="F28" s="2">
        <f t="shared" si="8"/>
        <v>0</v>
      </c>
      <c r="G28" s="2" t="str">
        <f t="shared" si="8"/>
        <v>GBP</v>
      </c>
      <c r="H28" s="2">
        <f t="shared" si="8"/>
        <v>0</v>
      </c>
      <c r="I28" s="2">
        <f t="shared" si="8"/>
        <v>0</v>
      </c>
      <c r="J28" s="2">
        <f t="shared" ca="1" si="8"/>
        <v>-46000</v>
      </c>
      <c r="K28" s="2">
        <f t="shared" ca="1" si="8"/>
        <v>-100565.05176275744</v>
      </c>
      <c r="L28" s="2">
        <f t="shared" ca="1" si="8"/>
        <v>-156435.88319980982</v>
      </c>
      <c r="M28" s="2">
        <f t="shared" ca="1" si="8"/>
        <v>-214344.35039282092</v>
      </c>
      <c r="N28" s="2">
        <f t="shared" ca="1" si="8"/>
        <v>-273769.29454510426</v>
      </c>
      <c r="O28" s="2">
        <f t="shared" ca="1" si="8"/>
        <v>-334749.29442721617</v>
      </c>
      <c r="P28" s="2">
        <f t="shared" ca="1" si="8"/>
        <v>-398054.65742984624</v>
      </c>
      <c r="Q28" s="2">
        <f t="shared" ca="1" si="8"/>
        <v>-323522.2360380665</v>
      </c>
      <c r="R28" s="2">
        <f t="shared" ca="1" si="8"/>
        <v>-224627.29354566085</v>
      </c>
      <c r="S28" s="2">
        <f t="shared" ca="1" si="8"/>
        <v>-127938.21921522322</v>
      </c>
      <c r="T28" s="2">
        <f t="shared" ca="1" si="8"/>
        <v>-53950.364440825346</v>
      </c>
      <c r="U28" s="2">
        <f t="shared" ca="1" si="8"/>
        <v>18227.46527023922</v>
      </c>
      <c r="V28" s="2">
        <f t="shared" ca="1" si="8"/>
        <v>88044.131936905891</v>
      </c>
      <c r="W28" s="2">
        <f t="shared" ca="1" si="8"/>
        <v>272359.34033282101</v>
      </c>
      <c r="X28" s="2">
        <f t="shared" ca="1" si="8"/>
        <v>470727.87035642535</v>
      </c>
      <c r="Y28" s="2">
        <f t="shared" ca="1" si="8"/>
        <v>666273.05993389327</v>
      </c>
      <c r="Z28" s="2">
        <f t="shared" ca="1" si="8"/>
        <v>859393.58513899322</v>
      </c>
      <c r="AA28" s="2">
        <f t="shared" ca="1" si="8"/>
        <v>1042736.2934229415</v>
      </c>
      <c r="AB28" s="2">
        <f t="shared" ca="1" si="8"/>
        <v>1222809.7629630142</v>
      </c>
      <c r="AC28" s="2">
        <f t="shared" ca="1" si="8"/>
        <v>1540092.1821436328</v>
      </c>
      <c r="AD28" s="2">
        <f t="shared" ca="1" si="8"/>
        <v>1854290.449729356</v>
      </c>
      <c r="AE28" s="2">
        <f t="shared" ca="1" si="8"/>
        <v>2157390.6170722069</v>
      </c>
      <c r="AF28" s="2">
        <f t="shared" ca="1" si="8"/>
        <v>2457392.0086154272</v>
      </c>
      <c r="AG28" s="2">
        <f t="shared" ca="1" si="8"/>
        <v>2893765.0184405441</v>
      </c>
      <c r="AH28" s="2">
        <f t="shared" ca="1" si="8"/>
        <v>3289450.4008953809</v>
      </c>
      <c r="AI28" s="2">
        <f t="shared" ca="1" si="8"/>
        <v>3694025.6099093514</v>
      </c>
      <c r="AJ28" s="2">
        <f t="shared" ca="1" si="8"/>
        <v>4100943.7863921789</v>
      </c>
      <c r="AK28" s="2">
        <f t="shared" ref="AK28:BQ28" ca="1" si="9">AK$38</f>
        <v>4657256.1847394155</v>
      </c>
      <c r="AL28" s="2">
        <f t="shared" ca="1" si="9"/>
        <v>5224156.2692881264</v>
      </c>
      <c r="AM28" s="2">
        <f t="shared" ca="1" si="9"/>
        <v>5795239.3858931158</v>
      </c>
      <c r="AN28" s="2">
        <f t="shared" ca="1" si="9"/>
        <v>6517608.9213692658</v>
      </c>
      <c r="AO28" s="2">
        <f t="shared" ca="1" si="9"/>
        <v>7252863.0380995739</v>
      </c>
      <c r="AP28" s="2">
        <f t="shared" ca="1" si="9"/>
        <v>8134129.6461683484</v>
      </c>
      <c r="AQ28" s="2">
        <f t="shared" ca="1" si="9"/>
        <v>9028932.8164410628</v>
      </c>
      <c r="AR28" s="2">
        <f t="shared" ca="1" si="9"/>
        <v>9932421.5820214897</v>
      </c>
      <c r="AS28" s="2">
        <f t="shared" ca="1" si="9"/>
        <v>10991760.232333895</v>
      </c>
      <c r="AT28" s="2">
        <f t="shared" ca="1" si="9"/>
        <v>12060369.243370049</v>
      </c>
      <c r="AU28" s="2">
        <f t="shared" ca="1" si="9"/>
        <v>13139411.992856814</v>
      </c>
      <c r="AV28" s="2">
        <f t="shared" ca="1" si="9"/>
        <v>14377752.337192958</v>
      </c>
      <c r="AW28" s="2">
        <f t="shared" ca="1" si="9"/>
        <v>15628146.089575386</v>
      </c>
      <c r="AX28" s="2">
        <f t="shared" ca="1" si="9"/>
        <v>17032450.249275498</v>
      </c>
      <c r="AY28" s="2">
        <f t="shared" ca="1" si="9"/>
        <v>18459729.27484541</v>
      </c>
      <c r="AZ28" s="2">
        <f t="shared" ca="1" si="9"/>
        <v>20042855.49964666</v>
      </c>
      <c r="BA28" s="2">
        <f t="shared" ca="1" si="9"/>
        <v>21784481.664247084</v>
      </c>
      <c r="BB28" s="2">
        <f t="shared" ca="1" si="9"/>
        <v>23545411.961287707</v>
      </c>
      <c r="BC28" s="2">
        <f t="shared" ca="1" si="9"/>
        <v>25466720.227145471</v>
      </c>
      <c r="BD28" s="2">
        <f t="shared" ca="1" si="9"/>
        <v>27552763.87322633</v>
      </c>
      <c r="BE28" s="2">
        <f t="shared" ca="1" si="9"/>
        <v>29663222.876222033</v>
      </c>
      <c r="BF28" s="2">
        <f t="shared" ca="1" si="9"/>
        <v>31927477.598079607</v>
      </c>
      <c r="BG28" s="2">
        <f t="shared" ca="1" si="9"/>
        <v>34372529.61781434</v>
      </c>
      <c r="BH28" s="2">
        <f t="shared" ca="1" si="9"/>
        <v>37002141.488822192</v>
      </c>
      <c r="BI28" s="2">
        <f t="shared" ca="1" si="9"/>
        <v>39817740.20741266</v>
      </c>
      <c r="BJ28" s="2">
        <f t="shared" ca="1" si="9"/>
        <v>42823308.513468735</v>
      </c>
      <c r="BK28" s="2">
        <f t="shared" ca="1" si="9"/>
        <v>46023326.642907783</v>
      </c>
      <c r="BL28" s="2">
        <f t="shared" ca="1" si="9"/>
        <v>49419612.180270262</v>
      </c>
      <c r="BM28" s="2">
        <f t="shared" ca="1" si="9"/>
        <v>53017924.073937289</v>
      </c>
      <c r="BN28" s="2">
        <f t="shared" ca="1" si="9"/>
        <v>56821548.487890348</v>
      </c>
      <c r="BO28" s="2">
        <f t="shared" ca="1" si="9"/>
        <v>60833762.469809815</v>
      </c>
      <c r="BP28" s="2">
        <f t="shared" ca="1" si="9"/>
        <v>65063079.570166416</v>
      </c>
      <c r="BQ28" s="2">
        <f t="shared" ca="1" si="9"/>
        <v>69510763.829430103</v>
      </c>
    </row>
    <row r="29" spans="1:69">
      <c r="A29" s="17"/>
      <c r="B29" s="17"/>
      <c r="C29" s="26"/>
      <c r="D29" s="27"/>
      <c r="E29" s="4" t="str">
        <f>Equity!E$13</f>
        <v>Share Capital</v>
      </c>
      <c r="F29" s="4">
        <f>Equity!F$13</f>
        <v>0</v>
      </c>
      <c r="G29" s="4" t="str">
        <f>Equity!G$13</f>
        <v>GBP</v>
      </c>
      <c r="H29" s="4">
        <f>Equity!H$13</f>
        <v>0</v>
      </c>
      <c r="I29" s="4">
        <f>Equity!I$13</f>
        <v>0</v>
      </c>
      <c r="J29" s="4">
        <f>Equity!J$13</f>
        <v>0</v>
      </c>
      <c r="K29" s="4">
        <f>Equity!K$13</f>
        <v>0</v>
      </c>
      <c r="L29" s="4">
        <f>Equity!L$13</f>
        <v>0</v>
      </c>
      <c r="M29" s="4">
        <f>Equity!M$13</f>
        <v>0</v>
      </c>
      <c r="N29" s="4">
        <f>Equity!N$13</f>
        <v>0</v>
      </c>
      <c r="O29" s="4">
        <f>Equity!O$13</f>
        <v>0</v>
      </c>
      <c r="P29" s="4">
        <f>Equity!P$13</f>
        <v>0</v>
      </c>
      <c r="Q29" s="4">
        <f>Equity!Q$13</f>
        <v>0</v>
      </c>
      <c r="R29" s="4">
        <f>Equity!R$13</f>
        <v>0</v>
      </c>
      <c r="S29" s="4">
        <f>Equity!S$13</f>
        <v>0</v>
      </c>
      <c r="T29" s="4">
        <f>Equity!T$13</f>
        <v>0</v>
      </c>
      <c r="U29" s="4">
        <f>Equity!U$13</f>
        <v>0</v>
      </c>
      <c r="V29" s="4">
        <f>Equity!V$13</f>
        <v>0</v>
      </c>
      <c r="W29" s="4">
        <f>Equity!W$13</f>
        <v>0</v>
      </c>
      <c r="X29" s="4">
        <f>Equity!X$13</f>
        <v>0</v>
      </c>
      <c r="Y29" s="4">
        <f>Equity!Y$13</f>
        <v>0</v>
      </c>
      <c r="Z29" s="4">
        <f>Equity!Z$13</f>
        <v>0</v>
      </c>
      <c r="AA29" s="4">
        <f>Equity!AA$13</f>
        <v>0</v>
      </c>
      <c r="AB29" s="4">
        <f>Equity!AB$13</f>
        <v>0</v>
      </c>
      <c r="AC29" s="4">
        <f>Equity!AC$13</f>
        <v>0</v>
      </c>
      <c r="AD29" s="4">
        <f>Equity!AD$13</f>
        <v>0</v>
      </c>
      <c r="AE29" s="4">
        <f>Equity!AE$13</f>
        <v>0</v>
      </c>
      <c r="AF29" s="4">
        <f>Equity!AF$13</f>
        <v>0</v>
      </c>
      <c r="AG29" s="4">
        <f>Equity!AG$13</f>
        <v>0</v>
      </c>
      <c r="AH29" s="4">
        <f>Equity!AH$13</f>
        <v>0</v>
      </c>
      <c r="AI29" s="4">
        <f>Equity!AI$13</f>
        <v>0</v>
      </c>
      <c r="AJ29" s="4">
        <f>Equity!AJ$13</f>
        <v>0</v>
      </c>
      <c r="AK29" s="4">
        <f>Equity!AK$13</f>
        <v>0</v>
      </c>
      <c r="AL29" s="4">
        <f>Equity!AL$13</f>
        <v>0</v>
      </c>
      <c r="AM29" s="4">
        <f>Equity!AM$13</f>
        <v>0</v>
      </c>
      <c r="AN29" s="4">
        <f>Equity!AN$13</f>
        <v>0</v>
      </c>
      <c r="AO29" s="4">
        <f>Equity!AO$13</f>
        <v>0</v>
      </c>
      <c r="AP29" s="4">
        <f>Equity!AP$13</f>
        <v>0</v>
      </c>
      <c r="AQ29" s="4">
        <f>Equity!AQ$13</f>
        <v>0</v>
      </c>
      <c r="AR29" s="4">
        <f>Equity!AR$13</f>
        <v>0</v>
      </c>
      <c r="AS29" s="4">
        <f>Equity!AS$13</f>
        <v>0</v>
      </c>
      <c r="AT29" s="4">
        <f>Equity!AT$13</f>
        <v>0</v>
      </c>
      <c r="AU29" s="4">
        <f>Equity!AU$13</f>
        <v>0</v>
      </c>
      <c r="AV29" s="4">
        <f>Equity!AV$13</f>
        <v>0</v>
      </c>
      <c r="AW29" s="4">
        <f>Equity!AW$13</f>
        <v>0</v>
      </c>
      <c r="AX29" s="4">
        <f>Equity!AX$13</f>
        <v>0</v>
      </c>
      <c r="AY29" s="4">
        <f>Equity!AY$13</f>
        <v>0</v>
      </c>
      <c r="AZ29" s="4">
        <f>Equity!AZ$13</f>
        <v>0</v>
      </c>
      <c r="BA29" s="4">
        <f>Equity!BA$13</f>
        <v>0</v>
      </c>
      <c r="BB29" s="4">
        <f>Equity!BB$13</f>
        <v>0</v>
      </c>
      <c r="BC29" s="4">
        <f>Equity!BC$13</f>
        <v>0</v>
      </c>
      <c r="BD29" s="4">
        <f>Equity!BD$13</f>
        <v>0</v>
      </c>
      <c r="BE29" s="4">
        <f>Equity!BE$13</f>
        <v>0</v>
      </c>
      <c r="BF29" s="4">
        <f>Equity!BF$13</f>
        <v>0</v>
      </c>
      <c r="BG29" s="4">
        <f>Equity!BG$13</f>
        <v>0</v>
      </c>
      <c r="BH29" s="4">
        <f>Equity!BH$13</f>
        <v>0</v>
      </c>
      <c r="BI29" s="4">
        <f>Equity!BI$13</f>
        <v>0</v>
      </c>
      <c r="BJ29" s="4">
        <f>Equity!BJ$13</f>
        <v>0</v>
      </c>
      <c r="BK29" s="4">
        <f>Equity!BK$13</f>
        <v>0</v>
      </c>
      <c r="BL29" s="4">
        <f>Equity!BL$13</f>
        <v>0</v>
      </c>
      <c r="BM29" s="4">
        <f>Equity!BM$13</f>
        <v>0</v>
      </c>
      <c r="BN29" s="4">
        <f>Equity!BN$13</f>
        <v>0</v>
      </c>
      <c r="BO29" s="4">
        <f>Equity!BO$13</f>
        <v>0</v>
      </c>
      <c r="BP29" s="4">
        <f>Equity!BP$13</f>
        <v>0</v>
      </c>
      <c r="BQ29" s="4">
        <f>Equity!BQ$13</f>
        <v>0</v>
      </c>
    </row>
    <row r="30" spans="1:69">
      <c r="A30" s="31"/>
      <c r="B30" s="31"/>
      <c r="C30" s="51"/>
      <c r="D30" s="50"/>
      <c r="E30" s="3" t="s">
        <v>35</v>
      </c>
      <c r="F30" s="3"/>
      <c r="G30" s="3" t="s">
        <v>252</v>
      </c>
      <c r="H30" s="3"/>
      <c r="I30" s="3"/>
      <c r="J30" s="3">
        <f t="shared" ref="J30:AO30" ca="1" si="10">J28+J29</f>
        <v>-46000</v>
      </c>
      <c r="K30" s="3">
        <f t="shared" ca="1" si="10"/>
        <v>-100565.05176275744</v>
      </c>
      <c r="L30" s="3">
        <f t="shared" ca="1" si="10"/>
        <v>-156435.88319980982</v>
      </c>
      <c r="M30" s="3">
        <f t="shared" ca="1" si="10"/>
        <v>-214344.35039282092</v>
      </c>
      <c r="N30" s="3">
        <f t="shared" ca="1" si="10"/>
        <v>-273769.29454510426</v>
      </c>
      <c r="O30" s="3">
        <f t="shared" ca="1" si="10"/>
        <v>-334749.29442721617</v>
      </c>
      <c r="P30" s="3">
        <f t="shared" ca="1" si="10"/>
        <v>-398054.65742984624</v>
      </c>
      <c r="Q30" s="3">
        <f t="shared" ca="1" si="10"/>
        <v>-323522.2360380665</v>
      </c>
      <c r="R30" s="3">
        <f t="shared" ca="1" si="10"/>
        <v>-224627.29354566085</v>
      </c>
      <c r="S30" s="3">
        <f t="shared" ca="1" si="10"/>
        <v>-127938.21921522322</v>
      </c>
      <c r="T30" s="3">
        <f t="shared" ca="1" si="10"/>
        <v>-53950.364440825346</v>
      </c>
      <c r="U30" s="3">
        <f t="shared" ca="1" si="10"/>
        <v>18227.46527023922</v>
      </c>
      <c r="V30" s="3">
        <f t="shared" ca="1" si="10"/>
        <v>88044.131936905891</v>
      </c>
      <c r="W30" s="3">
        <f t="shared" ca="1" si="10"/>
        <v>272359.34033282101</v>
      </c>
      <c r="X30" s="3">
        <f t="shared" ca="1" si="10"/>
        <v>470727.87035642535</v>
      </c>
      <c r="Y30" s="3">
        <f t="shared" ca="1" si="10"/>
        <v>666273.05993389327</v>
      </c>
      <c r="Z30" s="3">
        <f t="shared" ca="1" si="10"/>
        <v>859393.58513899322</v>
      </c>
      <c r="AA30" s="3">
        <f t="shared" ca="1" si="10"/>
        <v>1042736.2934229415</v>
      </c>
      <c r="AB30" s="3">
        <f t="shared" ca="1" si="10"/>
        <v>1222809.7629630142</v>
      </c>
      <c r="AC30" s="3">
        <f t="shared" ca="1" si="10"/>
        <v>1540092.1821436328</v>
      </c>
      <c r="AD30" s="3">
        <f t="shared" ca="1" si="10"/>
        <v>1854290.449729356</v>
      </c>
      <c r="AE30" s="3">
        <f t="shared" ca="1" si="10"/>
        <v>2157390.6170722069</v>
      </c>
      <c r="AF30" s="3">
        <f t="shared" ca="1" si="10"/>
        <v>2457392.0086154272</v>
      </c>
      <c r="AG30" s="3">
        <f t="shared" ca="1" si="10"/>
        <v>2893765.0184405441</v>
      </c>
      <c r="AH30" s="3">
        <f t="shared" ca="1" si="10"/>
        <v>3289450.4008953809</v>
      </c>
      <c r="AI30" s="3">
        <f t="shared" ca="1" si="10"/>
        <v>3694025.6099093514</v>
      </c>
      <c r="AJ30" s="3">
        <f t="shared" ca="1" si="10"/>
        <v>4100943.7863921789</v>
      </c>
      <c r="AK30" s="3">
        <f t="shared" ca="1" si="10"/>
        <v>4657256.1847394155</v>
      </c>
      <c r="AL30" s="3">
        <f t="shared" ca="1" si="10"/>
        <v>5224156.2692881264</v>
      </c>
      <c r="AM30" s="3">
        <f t="shared" ca="1" si="10"/>
        <v>5795239.3858931158</v>
      </c>
      <c r="AN30" s="3">
        <f t="shared" ca="1" si="10"/>
        <v>6517608.9213692658</v>
      </c>
      <c r="AO30" s="3">
        <f t="shared" ca="1" si="10"/>
        <v>7252863.0380995739</v>
      </c>
      <c r="AP30" s="3">
        <f t="shared" ref="AP30:BU30" ca="1" si="11">AP28+AP29</f>
        <v>8134129.6461683484</v>
      </c>
      <c r="AQ30" s="3">
        <f t="shared" ca="1" si="11"/>
        <v>9028932.8164410628</v>
      </c>
      <c r="AR30" s="3">
        <f t="shared" ca="1" si="11"/>
        <v>9932421.5820214897</v>
      </c>
      <c r="AS30" s="3">
        <f t="shared" ca="1" si="11"/>
        <v>10991760.232333895</v>
      </c>
      <c r="AT30" s="3">
        <f t="shared" ca="1" si="11"/>
        <v>12060369.243370049</v>
      </c>
      <c r="AU30" s="3">
        <f t="shared" ca="1" si="11"/>
        <v>13139411.992856814</v>
      </c>
      <c r="AV30" s="3">
        <f t="shared" ca="1" si="11"/>
        <v>14377752.337192958</v>
      </c>
      <c r="AW30" s="3">
        <f t="shared" ca="1" si="11"/>
        <v>15628146.089575386</v>
      </c>
      <c r="AX30" s="3">
        <f t="shared" ca="1" si="11"/>
        <v>17032450.249275498</v>
      </c>
      <c r="AY30" s="3">
        <f t="shared" ca="1" si="11"/>
        <v>18459729.27484541</v>
      </c>
      <c r="AZ30" s="3">
        <f t="shared" ca="1" si="11"/>
        <v>20042855.49964666</v>
      </c>
      <c r="BA30" s="3">
        <f t="shared" ca="1" si="11"/>
        <v>21784481.664247084</v>
      </c>
      <c r="BB30" s="3">
        <f t="shared" ca="1" si="11"/>
        <v>23545411.961287707</v>
      </c>
      <c r="BC30" s="3">
        <f t="shared" ca="1" si="11"/>
        <v>25466720.227145471</v>
      </c>
      <c r="BD30" s="3">
        <f t="shared" ca="1" si="11"/>
        <v>27552763.87322633</v>
      </c>
      <c r="BE30" s="3">
        <f t="shared" ca="1" si="11"/>
        <v>29663222.876222033</v>
      </c>
      <c r="BF30" s="3">
        <f t="shared" ca="1" si="11"/>
        <v>31927477.598079607</v>
      </c>
      <c r="BG30" s="3">
        <f t="shared" ca="1" si="11"/>
        <v>34372529.61781434</v>
      </c>
      <c r="BH30" s="3">
        <f t="shared" ca="1" si="11"/>
        <v>37002141.488822192</v>
      </c>
      <c r="BI30" s="3">
        <f t="shared" ca="1" si="11"/>
        <v>39817740.20741266</v>
      </c>
      <c r="BJ30" s="3">
        <f t="shared" ca="1" si="11"/>
        <v>42823308.513468735</v>
      </c>
      <c r="BK30" s="3">
        <f t="shared" ca="1" si="11"/>
        <v>46023326.642907783</v>
      </c>
      <c r="BL30" s="3">
        <f t="shared" ca="1" si="11"/>
        <v>49419612.180270262</v>
      </c>
      <c r="BM30" s="3">
        <f t="shared" ca="1" si="11"/>
        <v>53017924.073937289</v>
      </c>
      <c r="BN30" s="3">
        <f t="shared" ca="1" si="11"/>
        <v>56821548.487890348</v>
      </c>
      <c r="BO30" s="3">
        <f t="shared" ca="1" si="11"/>
        <v>60833762.469809815</v>
      </c>
      <c r="BP30" s="3">
        <f t="shared" ca="1" si="11"/>
        <v>65063079.570166416</v>
      </c>
      <c r="BQ30" s="3">
        <f t="shared" ca="1" si="11"/>
        <v>69510763.829430103</v>
      </c>
    </row>
    <row r="33" spans="1:69">
      <c r="B33" s="22" t="s">
        <v>12</v>
      </c>
    </row>
    <row r="34" spans="1:69" s="64" customFormat="1">
      <c r="A34" s="46"/>
      <c r="B34" s="46"/>
      <c r="C34" s="65"/>
      <c r="D34" s="63"/>
      <c r="E34" s="34" t="str">
        <f>InpC!E$52</f>
        <v>Opening Retained Earnings</v>
      </c>
      <c r="F34" s="34">
        <f>InpC!F$52</f>
        <v>0</v>
      </c>
      <c r="G34" s="34" t="str">
        <f>InpC!G$52</f>
        <v>GBP</v>
      </c>
    </row>
    <row r="35" spans="1:69">
      <c r="A35" s="17"/>
      <c r="B35" s="17"/>
      <c r="C35" s="26"/>
      <c r="D35" s="27"/>
      <c r="E35" s="10" t="str">
        <f>Time!E$28</f>
        <v>Period number</v>
      </c>
      <c r="F35" s="10">
        <f>Time!F$28</f>
        <v>0</v>
      </c>
      <c r="G35" s="10" t="str">
        <f>Time!G$28</f>
        <v>Counter</v>
      </c>
      <c r="H35" s="10">
        <f>Time!H$28</f>
        <v>0</v>
      </c>
      <c r="I35" s="10">
        <f>Time!I$28</f>
        <v>0</v>
      </c>
      <c r="J35" s="10">
        <f>Time!J$28</f>
        <v>1</v>
      </c>
      <c r="K35" s="10">
        <f>Time!K$28</f>
        <v>2</v>
      </c>
      <c r="L35" s="10">
        <f>Time!L$28</f>
        <v>3</v>
      </c>
      <c r="M35" s="10">
        <f>Time!M$28</f>
        <v>4</v>
      </c>
      <c r="N35" s="10">
        <f>Time!N$28</f>
        <v>5</v>
      </c>
      <c r="O35" s="10">
        <f>Time!O$28</f>
        <v>6</v>
      </c>
      <c r="P35" s="10">
        <f>Time!P$28</f>
        <v>7</v>
      </c>
      <c r="Q35" s="10">
        <f>Time!Q$28</f>
        <v>8</v>
      </c>
      <c r="R35" s="10">
        <f>Time!R$28</f>
        <v>9</v>
      </c>
      <c r="S35" s="10">
        <f>Time!S$28</f>
        <v>10</v>
      </c>
      <c r="T35" s="10">
        <f>Time!T$28</f>
        <v>11</v>
      </c>
      <c r="U35" s="10">
        <f>Time!U$28</f>
        <v>12</v>
      </c>
      <c r="V35" s="10">
        <f>Time!V$28</f>
        <v>13</v>
      </c>
      <c r="W35" s="10">
        <f>Time!W$28</f>
        <v>14</v>
      </c>
      <c r="X35" s="10">
        <f>Time!X$28</f>
        <v>15</v>
      </c>
      <c r="Y35" s="10">
        <f>Time!Y$28</f>
        <v>16</v>
      </c>
      <c r="Z35" s="10">
        <f>Time!Z$28</f>
        <v>17</v>
      </c>
      <c r="AA35" s="10">
        <f>Time!AA$28</f>
        <v>18</v>
      </c>
      <c r="AB35" s="10">
        <f>Time!AB$28</f>
        <v>19</v>
      </c>
      <c r="AC35" s="10">
        <f>Time!AC$28</f>
        <v>20</v>
      </c>
      <c r="AD35" s="10">
        <f>Time!AD$28</f>
        <v>21</v>
      </c>
      <c r="AE35" s="10">
        <f>Time!AE$28</f>
        <v>22</v>
      </c>
      <c r="AF35" s="10">
        <f>Time!AF$28</f>
        <v>23</v>
      </c>
      <c r="AG35" s="10">
        <f>Time!AG$28</f>
        <v>24</v>
      </c>
      <c r="AH35" s="10">
        <f>Time!AH$28</f>
        <v>25</v>
      </c>
      <c r="AI35" s="10">
        <f>Time!AI$28</f>
        <v>26</v>
      </c>
      <c r="AJ35" s="10">
        <f>Time!AJ$28</f>
        <v>27</v>
      </c>
      <c r="AK35" s="10">
        <f>Time!AK$28</f>
        <v>28</v>
      </c>
      <c r="AL35" s="10">
        <f>Time!AL$28</f>
        <v>29</v>
      </c>
      <c r="AM35" s="10">
        <f>Time!AM$28</f>
        <v>30</v>
      </c>
      <c r="AN35" s="10">
        <f>Time!AN$28</f>
        <v>31</v>
      </c>
      <c r="AO35" s="10">
        <f>Time!AO$28</f>
        <v>32</v>
      </c>
      <c r="AP35" s="10">
        <f>Time!AP$28</f>
        <v>33</v>
      </c>
      <c r="AQ35" s="10">
        <f>Time!AQ$28</f>
        <v>34</v>
      </c>
      <c r="AR35" s="10">
        <f>Time!AR$28</f>
        <v>35</v>
      </c>
      <c r="AS35" s="10">
        <f>Time!AS$28</f>
        <v>36</v>
      </c>
      <c r="AT35" s="10">
        <f>Time!AT$28</f>
        <v>37</v>
      </c>
      <c r="AU35" s="10">
        <f>Time!AU$28</f>
        <v>38</v>
      </c>
      <c r="AV35" s="10">
        <f>Time!AV$28</f>
        <v>39</v>
      </c>
      <c r="AW35" s="10">
        <f>Time!AW$28</f>
        <v>40</v>
      </c>
      <c r="AX35" s="10">
        <f>Time!AX$28</f>
        <v>41</v>
      </c>
      <c r="AY35" s="10">
        <f>Time!AY$28</f>
        <v>42</v>
      </c>
      <c r="AZ35" s="10">
        <f>Time!AZ$28</f>
        <v>43</v>
      </c>
      <c r="BA35" s="10">
        <f>Time!BA$28</f>
        <v>44</v>
      </c>
      <c r="BB35" s="10">
        <f>Time!BB$28</f>
        <v>45</v>
      </c>
      <c r="BC35" s="10">
        <f>Time!BC$28</f>
        <v>46</v>
      </c>
      <c r="BD35" s="10">
        <f>Time!BD$28</f>
        <v>47</v>
      </c>
      <c r="BE35" s="10">
        <f>Time!BE$28</f>
        <v>48</v>
      </c>
      <c r="BF35" s="10">
        <f>Time!BF$28</f>
        <v>49</v>
      </c>
      <c r="BG35" s="10">
        <f>Time!BG$28</f>
        <v>50</v>
      </c>
      <c r="BH35" s="10">
        <f>Time!BH$28</f>
        <v>51</v>
      </c>
      <c r="BI35" s="10">
        <f>Time!BI$28</f>
        <v>52</v>
      </c>
      <c r="BJ35" s="10">
        <f>Time!BJ$28</f>
        <v>53</v>
      </c>
      <c r="BK35" s="10">
        <f>Time!BK$28</f>
        <v>54</v>
      </c>
      <c r="BL35" s="10">
        <f>Time!BL$28</f>
        <v>55</v>
      </c>
      <c r="BM35" s="10">
        <f>Time!BM$28</f>
        <v>56</v>
      </c>
      <c r="BN35" s="10">
        <f>Time!BN$28</f>
        <v>57</v>
      </c>
      <c r="BO35" s="10">
        <f>Time!BO$28</f>
        <v>58</v>
      </c>
      <c r="BP35" s="10">
        <f>Time!BP$28</f>
        <v>59</v>
      </c>
      <c r="BQ35" s="10">
        <f>Time!BQ$28</f>
        <v>60</v>
      </c>
    </row>
    <row r="36" spans="1:69" ht="14.5">
      <c r="E36" s="2" t="s">
        <v>40</v>
      </c>
      <c r="G36" s="2" t="s">
        <v>252</v>
      </c>
      <c r="I36"/>
      <c r="J36" s="2">
        <f t="shared" ref="J36:AO36" si="12">I38</f>
        <v>0</v>
      </c>
      <c r="K36" s="2">
        <f t="shared" ca="1" si="12"/>
        <v>-46000</v>
      </c>
      <c r="L36" s="2">
        <f t="shared" ca="1" si="12"/>
        <v>-100565.05176275744</v>
      </c>
      <c r="M36" s="2">
        <f t="shared" ca="1" si="12"/>
        <v>-156435.88319980982</v>
      </c>
      <c r="N36" s="2">
        <f t="shared" ca="1" si="12"/>
        <v>-214344.35039282092</v>
      </c>
      <c r="O36" s="2">
        <f t="shared" ca="1" si="12"/>
        <v>-273769.29454510426</v>
      </c>
      <c r="P36" s="2">
        <f t="shared" ca="1" si="12"/>
        <v>-334749.29442721617</v>
      </c>
      <c r="Q36" s="2">
        <f t="shared" ca="1" si="12"/>
        <v>-398054.65742984624</v>
      </c>
      <c r="R36" s="2">
        <f t="shared" ca="1" si="12"/>
        <v>-323522.2360380665</v>
      </c>
      <c r="S36" s="2">
        <f t="shared" ca="1" si="12"/>
        <v>-224627.29354566085</v>
      </c>
      <c r="T36" s="2">
        <f t="shared" ca="1" si="12"/>
        <v>-127938.21921522322</v>
      </c>
      <c r="U36" s="2">
        <f t="shared" ca="1" si="12"/>
        <v>-53950.364440825346</v>
      </c>
      <c r="V36" s="2">
        <f t="shared" ca="1" si="12"/>
        <v>18227.46527023922</v>
      </c>
      <c r="W36" s="2">
        <f t="shared" ca="1" si="12"/>
        <v>88044.131936905891</v>
      </c>
      <c r="X36" s="2">
        <f t="shared" ca="1" si="12"/>
        <v>272359.34033282101</v>
      </c>
      <c r="Y36" s="2">
        <f t="shared" ca="1" si="12"/>
        <v>470727.87035642535</v>
      </c>
      <c r="Z36" s="2">
        <f t="shared" ca="1" si="12"/>
        <v>666273.05993389327</v>
      </c>
      <c r="AA36" s="2">
        <f t="shared" ca="1" si="12"/>
        <v>859393.58513899322</v>
      </c>
      <c r="AB36" s="2">
        <f t="shared" ca="1" si="12"/>
        <v>1042736.2934229415</v>
      </c>
      <c r="AC36" s="2">
        <f t="shared" ca="1" si="12"/>
        <v>1222809.7629630142</v>
      </c>
      <c r="AD36" s="2">
        <f t="shared" ca="1" si="12"/>
        <v>1540092.1821436328</v>
      </c>
      <c r="AE36" s="2">
        <f t="shared" ca="1" si="12"/>
        <v>1854290.449729356</v>
      </c>
      <c r="AF36" s="2">
        <f t="shared" ca="1" si="12"/>
        <v>2157390.6170722069</v>
      </c>
      <c r="AG36" s="2">
        <f t="shared" ca="1" si="12"/>
        <v>2457392.0086154272</v>
      </c>
      <c r="AH36" s="2">
        <f t="shared" ca="1" si="12"/>
        <v>2893765.0184405441</v>
      </c>
      <c r="AI36" s="2">
        <f t="shared" ca="1" si="12"/>
        <v>3289450.4008953809</v>
      </c>
      <c r="AJ36" s="2">
        <f t="shared" ca="1" si="12"/>
        <v>3694025.6099093514</v>
      </c>
      <c r="AK36" s="2">
        <f t="shared" ca="1" si="12"/>
        <v>4100943.7863921789</v>
      </c>
      <c r="AL36" s="2">
        <f t="shared" ca="1" si="12"/>
        <v>4657256.1847394155</v>
      </c>
      <c r="AM36" s="2">
        <f t="shared" ca="1" si="12"/>
        <v>5224156.2692881264</v>
      </c>
      <c r="AN36" s="2">
        <f t="shared" ca="1" si="12"/>
        <v>5795239.3858931158</v>
      </c>
      <c r="AO36" s="2">
        <f t="shared" ca="1" si="12"/>
        <v>6517608.9213692658</v>
      </c>
      <c r="AP36" s="2">
        <f t="shared" ref="AP36:BQ36" ca="1" si="13">AO38</f>
        <v>7252863.0380995739</v>
      </c>
      <c r="AQ36" s="2">
        <f t="shared" ca="1" si="13"/>
        <v>8134129.6461683484</v>
      </c>
      <c r="AR36" s="2">
        <f t="shared" ca="1" si="13"/>
        <v>9028932.8164410628</v>
      </c>
      <c r="AS36" s="2">
        <f t="shared" ca="1" si="13"/>
        <v>9932421.5820214897</v>
      </c>
      <c r="AT36" s="2">
        <f t="shared" ca="1" si="13"/>
        <v>10991760.232333895</v>
      </c>
      <c r="AU36" s="2">
        <f t="shared" ca="1" si="13"/>
        <v>12060369.243370049</v>
      </c>
      <c r="AV36" s="2">
        <f t="shared" ca="1" si="13"/>
        <v>13139411.992856814</v>
      </c>
      <c r="AW36" s="2">
        <f t="shared" ca="1" si="13"/>
        <v>14377752.337192958</v>
      </c>
      <c r="AX36" s="2">
        <f t="shared" ca="1" si="13"/>
        <v>15628146.089575386</v>
      </c>
      <c r="AY36" s="2">
        <f t="shared" ca="1" si="13"/>
        <v>17032450.249275498</v>
      </c>
      <c r="AZ36" s="2">
        <f t="shared" ca="1" si="13"/>
        <v>18459729.27484541</v>
      </c>
      <c r="BA36" s="2">
        <f t="shared" ca="1" si="13"/>
        <v>20042855.49964666</v>
      </c>
      <c r="BB36" s="2">
        <f t="shared" ca="1" si="13"/>
        <v>21784481.664247084</v>
      </c>
      <c r="BC36" s="2">
        <f t="shared" ca="1" si="13"/>
        <v>23545411.961287707</v>
      </c>
      <c r="BD36" s="2">
        <f t="shared" ca="1" si="13"/>
        <v>25466720.227145471</v>
      </c>
      <c r="BE36" s="2">
        <f t="shared" ca="1" si="13"/>
        <v>27552763.87322633</v>
      </c>
      <c r="BF36" s="2">
        <f t="shared" ca="1" si="13"/>
        <v>29663222.876222033</v>
      </c>
      <c r="BG36" s="2">
        <f t="shared" ca="1" si="13"/>
        <v>31927477.598079607</v>
      </c>
      <c r="BH36" s="2">
        <f t="shared" ca="1" si="13"/>
        <v>34372529.61781434</v>
      </c>
      <c r="BI36" s="2">
        <f t="shared" ca="1" si="13"/>
        <v>37002141.488822192</v>
      </c>
      <c r="BJ36" s="2">
        <f t="shared" ca="1" si="13"/>
        <v>39817740.20741266</v>
      </c>
      <c r="BK36" s="2">
        <f t="shared" ca="1" si="13"/>
        <v>42823308.513468735</v>
      </c>
      <c r="BL36" s="2">
        <f t="shared" ca="1" si="13"/>
        <v>46023326.642907783</v>
      </c>
      <c r="BM36" s="2">
        <f t="shared" ca="1" si="13"/>
        <v>49419612.180270262</v>
      </c>
      <c r="BN36" s="2">
        <f t="shared" ca="1" si="13"/>
        <v>53017924.073937289</v>
      </c>
      <c r="BO36" s="2">
        <f t="shared" ca="1" si="13"/>
        <v>56821548.487890348</v>
      </c>
      <c r="BP36" s="2">
        <f t="shared" ca="1" si="13"/>
        <v>60833762.469809815</v>
      </c>
      <c r="BQ36" s="2">
        <f t="shared" ca="1" si="13"/>
        <v>65063079.570166416</v>
      </c>
    </row>
    <row r="37" spans="1:69">
      <c r="A37" s="17"/>
      <c r="B37" s="17"/>
      <c r="C37" s="26"/>
      <c r="D37" s="27" t="s">
        <v>216</v>
      </c>
      <c r="E37" s="4" t="str">
        <f>'Income Statement'!E$22</f>
        <v>Retained Earnings this period</v>
      </c>
      <c r="F37" s="4">
        <f>'Income Statement'!F$22</f>
        <v>0</v>
      </c>
      <c r="G37" s="4" t="str">
        <f>'Income Statement'!G$22</f>
        <v>GBP</v>
      </c>
      <c r="H37" s="4">
        <f ca="1">'Income Statement'!H$22</f>
        <v>69510763.829430103</v>
      </c>
      <c r="I37" s="4">
        <f>'Income Statement'!I$22</f>
        <v>0</v>
      </c>
      <c r="J37" s="4">
        <f ca="1">'Income Statement'!J$22</f>
        <v>-46000</v>
      </c>
      <c r="K37" s="4">
        <f ca="1">'Income Statement'!K$22</f>
        <v>-54565.051762757437</v>
      </c>
      <c r="L37" s="4">
        <f ca="1">'Income Statement'!L$22</f>
        <v>-55870.831437052359</v>
      </c>
      <c r="M37" s="4">
        <f ca="1">'Income Statement'!M$22</f>
        <v>-57908.4671930111</v>
      </c>
      <c r="N37" s="4">
        <f ca="1">'Income Statement'!N$22</f>
        <v>-59424.944152283344</v>
      </c>
      <c r="O37" s="4">
        <f ca="1">'Income Statement'!O$22</f>
        <v>-60979.999882111922</v>
      </c>
      <c r="P37" s="4">
        <f ca="1">'Income Statement'!P$22</f>
        <v>-63305.36300263006</v>
      </c>
      <c r="Q37" s="4">
        <f ca="1">'Income Statement'!Q$22</f>
        <v>74532.421391779746</v>
      </c>
      <c r="R37" s="4">
        <f ca="1">'Income Statement'!R$22</f>
        <v>98894.942492405637</v>
      </c>
      <c r="S37" s="4">
        <f ca="1">'Income Statement'!S$22</f>
        <v>96689.074330437637</v>
      </c>
      <c r="T37" s="4">
        <f ca="1">'Income Statement'!T$22</f>
        <v>73987.854774397871</v>
      </c>
      <c r="U37" s="4">
        <f ca="1">'Income Statement'!U$22</f>
        <v>72177.829711064565</v>
      </c>
      <c r="V37" s="4">
        <f ca="1">'Income Statement'!V$22</f>
        <v>69816.666666666672</v>
      </c>
      <c r="W37" s="4">
        <f ca="1">'Income Statement'!W$22</f>
        <v>184315.20839591511</v>
      </c>
      <c r="X37" s="4">
        <f ca="1">'Income Statement'!X$22</f>
        <v>198368.53002360434</v>
      </c>
      <c r="Y37" s="4">
        <f ca="1">'Income Statement'!Y$22</f>
        <v>195545.18957746791</v>
      </c>
      <c r="Z37" s="4">
        <f ca="1">'Income Statement'!Z$22</f>
        <v>193120.52520509996</v>
      </c>
      <c r="AA37" s="4">
        <f ca="1">'Income Statement'!AA$22</f>
        <v>183342.70828394828</v>
      </c>
      <c r="AB37" s="4">
        <f ca="1">'Income Statement'!AB$22</f>
        <v>180073.46954007263</v>
      </c>
      <c r="AC37" s="4">
        <f ca="1">'Income Statement'!AC$22</f>
        <v>317282.41918061848</v>
      </c>
      <c r="AD37" s="4">
        <f ca="1">'Income Statement'!AD$22</f>
        <v>314198.2675857232</v>
      </c>
      <c r="AE37" s="4">
        <f ca="1">'Income Statement'!AE$22</f>
        <v>303100.16734285117</v>
      </c>
      <c r="AF37" s="4">
        <f ca="1">'Income Statement'!AF$22</f>
        <v>300001.39154322044</v>
      </c>
      <c r="AG37" s="4">
        <f ca="1">'Income Statement'!AG$22</f>
        <v>436373.00982511707</v>
      </c>
      <c r="AH37" s="4">
        <f ca="1">'Income Statement'!AH$22</f>
        <v>395685.38245483686</v>
      </c>
      <c r="AI37" s="4">
        <f ca="1">'Income Statement'!AI$22</f>
        <v>404575.20901397045</v>
      </c>
      <c r="AJ37" s="4">
        <f ca="1">'Income Statement'!AJ$22</f>
        <v>406918.17648282752</v>
      </c>
      <c r="AK37" s="4">
        <f ca="1">'Income Statement'!AK$22</f>
        <v>556312.3983472368</v>
      </c>
      <c r="AL37" s="4">
        <f ca="1">'Income Statement'!AL$22</f>
        <v>566900.08454871038</v>
      </c>
      <c r="AM37" s="4">
        <f ca="1">'Income Statement'!AM$22</f>
        <v>571083.11660498986</v>
      </c>
      <c r="AN37" s="4">
        <f ca="1">'Income Statement'!AN$22</f>
        <v>722369.53547615046</v>
      </c>
      <c r="AO37" s="4">
        <f ca="1">'Income Statement'!AO$22</f>
        <v>735254.11673030816</v>
      </c>
      <c r="AP37" s="4">
        <f ca="1">'Income Statement'!AP$22</f>
        <v>881266.60806877445</v>
      </c>
      <c r="AQ37" s="4">
        <f ca="1">'Income Statement'!AQ$22</f>
        <v>894803.17027271411</v>
      </c>
      <c r="AR37" s="4">
        <f ca="1">'Income Statement'!AR$22</f>
        <v>903488.7655804276</v>
      </c>
      <c r="AS37" s="4">
        <f ca="1">'Income Statement'!AS$22</f>
        <v>1059338.6503124055</v>
      </c>
      <c r="AT37" s="4">
        <f ca="1">'Income Statement'!AT$22</f>
        <v>1068609.0110361543</v>
      </c>
      <c r="AU37" s="4">
        <f ca="1">'Income Statement'!AU$22</f>
        <v>1079042.7494867656</v>
      </c>
      <c r="AV37" s="4">
        <f ca="1">'Income Statement'!AV$22</f>
        <v>1238340.3443361453</v>
      </c>
      <c r="AW37" s="4">
        <f ca="1">'Income Statement'!AW$22</f>
        <v>1250393.7523824277</v>
      </c>
      <c r="AX37" s="4">
        <f ca="1">'Income Statement'!AX$22</f>
        <v>1404304.1597001124</v>
      </c>
      <c r="AY37" s="4">
        <f ca="1">'Income Statement'!AY$22</f>
        <v>1427279.0255699134</v>
      </c>
      <c r="AZ37" s="4">
        <f ca="1">'Income Statement'!AZ$22</f>
        <v>1583126.2248012514</v>
      </c>
      <c r="BA37" s="4">
        <f ca="1">'Income Statement'!BA$22</f>
        <v>1741626.1646004261</v>
      </c>
      <c r="BB37" s="4">
        <f ca="1">'Income Statement'!BB$22</f>
        <v>1760930.2970406222</v>
      </c>
      <c r="BC37" s="4">
        <f ca="1">'Income Statement'!BC$22</f>
        <v>1921308.2658577617</v>
      </c>
      <c r="BD37" s="4">
        <f ca="1">'Income Statement'!BD$22</f>
        <v>2086043.6460808595</v>
      </c>
      <c r="BE37" s="4">
        <f ca="1">'Income Statement'!BE$22</f>
        <v>2110459.0029957029</v>
      </c>
      <c r="BF37" s="4">
        <f ca="1">'Income Statement'!BF$22</f>
        <v>2264254.7218575734</v>
      </c>
      <c r="BG37" s="4">
        <f ca="1">'Income Statement'!BG$22</f>
        <v>2445052.0197347319</v>
      </c>
      <c r="BH37" s="4">
        <f ca="1">'Income Statement'!BH$22</f>
        <v>2629611.8710078513</v>
      </c>
      <c r="BI37" s="4">
        <f ca="1">'Income Statement'!BI$22</f>
        <v>2815598.7185904658</v>
      </c>
      <c r="BJ37" s="4">
        <f ca="1">'Income Statement'!BJ$22</f>
        <v>3005568.3060560739</v>
      </c>
      <c r="BK37" s="4">
        <f ca="1">'Income Statement'!BK$22</f>
        <v>3200018.1294390494</v>
      </c>
      <c r="BL37" s="4">
        <f ca="1">'Income Statement'!BL$22</f>
        <v>3396285.5373624782</v>
      </c>
      <c r="BM37" s="4">
        <f ca="1">'Income Statement'!BM$22</f>
        <v>3598311.8936670306</v>
      </c>
      <c r="BN37" s="4">
        <f ca="1">'Income Statement'!BN$22</f>
        <v>3803624.4139530584</v>
      </c>
      <c r="BO37" s="4">
        <f ca="1">'Income Statement'!BO$22</f>
        <v>4012213.9819194647</v>
      </c>
      <c r="BP37" s="4">
        <f ca="1">'Income Statement'!BP$22</f>
        <v>4229317.100356604</v>
      </c>
      <c r="BQ37" s="4">
        <f ca="1">'Income Statement'!BQ$22</f>
        <v>4447684.2592636859</v>
      </c>
    </row>
    <row r="38" spans="1:69" s="32" customFormat="1">
      <c r="A38" s="48"/>
      <c r="B38" s="48"/>
      <c r="C38" s="68"/>
      <c r="D38" s="69"/>
      <c r="E38" s="11" t="s">
        <v>12</v>
      </c>
      <c r="F38" s="11"/>
      <c r="G38" s="11" t="s">
        <v>252</v>
      </c>
      <c r="H38" s="11"/>
      <c r="I38" s="11">
        <f t="shared" ref="I38:AN38" si="14">IF(I35=0,$F34,I36+I37)</f>
        <v>0</v>
      </c>
      <c r="J38" s="11">
        <f t="shared" ca="1" si="14"/>
        <v>-46000</v>
      </c>
      <c r="K38" s="11">
        <f t="shared" ca="1" si="14"/>
        <v>-100565.05176275744</v>
      </c>
      <c r="L38" s="11">
        <f t="shared" ca="1" si="14"/>
        <v>-156435.88319980982</v>
      </c>
      <c r="M38" s="11">
        <f t="shared" ca="1" si="14"/>
        <v>-214344.35039282092</v>
      </c>
      <c r="N38" s="11">
        <f t="shared" ca="1" si="14"/>
        <v>-273769.29454510426</v>
      </c>
      <c r="O38" s="11">
        <f t="shared" ca="1" si="14"/>
        <v>-334749.29442721617</v>
      </c>
      <c r="P38" s="11">
        <f t="shared" ca="1" si="14"/>
        <v>-398054.65742984624</v>
      </c>
      <c r="Q38" s="11">
        <f t="shared" ca="1" si="14"/>
        <v>-323522.2360380665</v>
      </c>
      <c r="R38" s="11">
        <f t="shared" ca="1" si="14"/>
        <v>-224627.29354566085</v>
      </c>
      <c r="S38" s="11">
        <f t="shared" ca="1" si="14"/>
        <v>-127938.21921522322</v>
      </c>
      <c r="T38" s="11">
        <f t="shared" ca="1" si="14"/>
        <v>-53950.364440825346</v>
      </c>
      <c r="U38" s="11">
        <f t="shared" ca="1" si="14"/>
        <v>18227.46527023922</v>
      </c>
      <c r="V38" s="11">
        <f t="shared" ca="1" si="14"/>
        <v>88044.131936905891</v>
      </c>
      <c r="W38" s="11">
        <f t="shared" ca="1" si="14"/>
        <v>272359.34033282101</v>
      </c>
      <c r="X38" s="11">
        <f t="shared" ca="1" si="14"/>
        <v>470727.87035642535</v>
      </c>
      <c r="Y38" s="11">
        <f t="shared" ca="1" si="14"/>
        <v>666273.05993389327</v>
      </c>
      <c r="Z38" s="11">
        <f t="shared" ca="1" si="14"/>
        <v>859393.58513899322</v>
      </c>
      <c r="AA38" s="11">
        <f t="shared" ca="1" si="14"/>
        <v>1042736.2934229415</v>
      </c>
      <c r="AB38" s="11">
        <f t="shared" ca="1" si="14"/>
        <v>1222809.7629630142</v>
      </c>
      <c r="AC38" s="11">
        <f t="shared" ca="1" si="14"/>
        <v>1540092.1821436328</v>
      </c>
      <c r="AD38" s="11">
        <f t="shared" ca="1" si="14"/>
        <v>1854290.449729356</v>
      </c>
      <c r="AE38" s="11">
        <f t="shared" ca="1" si="14"/>
        <v>2157390.6170722069</v>
      </c>
      <c r="AF38" s="11">
        <f t="shared" ca="1" si="14"/>
        <v>2457392.0086154272</v>
      </c>
      <c r="AG38" s="11">
        <f t="shared" ca="1" si="14"/>
        <v>2893765.0184405441</v>
      </c>
      <c r="AH38" s="11">
        <f t="shared" ca="1" si="14"/>
        <v>3289450.4008953809</v>
      </c>
      <c r="AI38" s="11">
        <f t="shared" ca="1" si="14"/>
        <v>3694025.6099093514</v>
      </c>
      <c r="AJ38" s="11">
        <f t="shared" ca="1" si="14"/>
        <v>4100943.7863921789</v>
      </c>
      <c r="AK38" s="11">
        <f t="shared" ca="1" si="14"/>
        <v>4657256.1847394155</v>
      </c>
      <c r="AL38" s="11">
        <f t="shared" ca="1" si="14"/>
        <v>5224156.2692881264</v>
      </c>
      <c r="AM38" s="11">
        <f t="shared" ca="1" si="14"/>
        <v>5795239.3858931158</v>
      </c>
      <c r="AN38" s="11">
        <f t="shared" ca="1" si="14"/>
        <v>6517608.9213692658</v>
      </c>
      <c r="AO38" s="11">
        <f t="shared" ref="AO38:BT38" ca="1" si="15">IF(AO35=0,$F34,AO36+AO37)</f>
        <v>7252863.0380995739</v>
      </c>
      <c r="AP38" s="11">
        <f t="shared" ca="1" si="15"/>
        <v>8134129.6461683484</v>
      </c>
      <c r="AQ38" s="11">
        <f t="shared" ca="1" si="15"/>
        <v>9028932.8164410628</v>
      </c>
      <c r="AR38" s="11">
        <f t="shared" ca="1" si="15"/>
        <v>9932421.5820214897</v>
      </c>
      <c r="AS38" s="11">
        <f t="shared" ca="1" si="15"/>
        <v>10991760.232333895</v>
      </c>
      <c r="AT38" s="11">
        <f t="shared" ca="1" si="15"/>
        <v>12060369.243370049</v>
      </c>
      <c r="AU38" s="11">
        <f t="shared" ca="1" si="15"/>
        <v>13139411.992856814</v>
      </c>
      <c r="AV38" s="11">
        <f t="shared" ca="1" si="15"/>
        <v>14377752.337192958</v>
      </c>
      <c r="AW38" s="11">
        <f t="shared" ca="1" si="15"/>
        <v>15628146.089575386</v>
      </c>
      <c r="AX38" s="11">
        <f t="shared" ca="1" si="15"/>
        <v>17032450.249275498</v>
      </c>
      <c r="AY38" s="11">
        <f t="shared" ca="1" si="15"/>
        <v>18459729.27484541</v>
      </c>
      <c r="AZ38" s="11">
        <f t="shared" ca="1" si="15"/>
        <v>20042855.49964666</v>
      </c>
      <c r="BA38" s="11">
        <f t="shared" ca="1" si="15"/>
        <v>21784481.664247084</v>
      </c>
      <c r="BB38" s="11">
        <f t="shared" ca="1" si="15"/>
        <v>23545411.961287707</v>
      </c>
      <c r="BC38" s="11">
        <f t="shared" ca="1" si="15"/>
        <v>25466720.227145471</v>
      </c>
      <c r="BD38" s="11">
        <f t="shared" ca="1" si="15"/>
        <v>27552763.87322633</v>
      </c>
      <c r="BE38" s="11">
        <f t="shared" ca="1" si="15"/>
        <v>29663222.876222033</v>
      </c>
      <c r="BF38" s="11">
        <f t="shared" ca="1" si="15"/>
        <v>31927477.598079607</v>
      </c>
      <c r="BG38" s="11">
        <f t="shared" ca="1" si="15"/>
        <v>34372529.61781434</v>
      </c>
      <c r="BH38" s="11">
        <f t="shared" ca="1" si="15"/>
        <v>37002141.488822192</v>
      </c>
      <c r="BI38" s="11">
        <f t="shared" ca="1" si="15"/>
        <v>39817740.20741266</v>
      </c>
      <c r="BJ38" s="11">
        <f t="shared" ca="1" si="15"/>
        <v>42823308.513468735</v>
      </c>
      <c r="BK38" s="11">
        <f t="shared" ca="1" si="15"/>
        <v>46023326.642907783</v>
      </c>
      <c r="BL38" s="11">
        <f t="shared" ca="1" si="15"/>
        <v>49419612.180270262</v>
      </c>
      <c r="BM38" s="11">
        <f t="shared" ca="1" si="15"/>
        <v>53017924.073937289</v>
      </c>
      <c r="BN38" s="11">
        <f t="shared" ca="1" si="15"/>
        <v>56821548.487890348</v>
      </c>
      <c r="BO38" s="11">
        <f t="shared" ca="1" si="15"/>
        <v>60833762.469809815</v>
      </c>
      <c r="BP38" s="11">
        <f t="shared" ca="1" si="15"/>
        <v>65063079.570166416</v>
      </c>
      <c r="BQ38" s="11">
        <f t="shared" ca="1" si="15"/>
        <v>69510763.829430103</v>
      </c>
    </row>
    <row r="41" spans="1:69">
      <c r="B41" s="22" t="s">
        <v>265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Q43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54.7265625" style="2" customWidth="1"/>
    <col min="6" max="6" width="20.7265625" style="2" customWidth="1"/>
    <col min="7" max="8" width="13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48" width="11.7265625" style="2" customWidth="1"/>
    <col min="49" max="50" width="12.7265625" style="2" customWidth="1"/>
    <col min="51" max="51" width="11.7265625" style="2" customWidth="1"/>
    <col min="52" max="53" width="12.7265625" style="2" customWidth="1"/>
    <col min="54" max="54" width="11.7265625" style="2" customWidth="1"/>
    <col min="55" max="55" width="12.7265625" style="2" customWidth="1"/>
    <col min="56" max="57" width="11.7265625" style="2" customWidth="1"/>
    <col min="58" max="59" width="12.7265625" style="2" customWidth="1"/>
    <col min="60" max="60" width="11.7265625" style="2" customWidth="1"/>
    <col min="61" max="62" width="12.7265625" style="2" customWidth="1"/>
    <col min="63" max="63" width="11.7265625" style="2" customWidth="1"/>
    <col min="64" max="65" width="12.7265625" style="2" customWidth="1"/>
    <col min="66" max="66" width="11.7265625" style="2" customWidth="1"/>
    <col min="67" max="67" width="12.7265625" style="2" customWidth="1"/>
    <col min="68" max="69" width="11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Customers</v>
      </c>
      <c r="B1" s="37"/>
      <c r="C1" s="58"/>
      <c r="D1" s="67"/>
      <c r="F1" s="42" t="str">
        <f>HYPERLINK("#Contents!A1","Go to contents")</f>
        <v>Go to contents</v>
      </c>
      <c r="H1" s="38"/>
      <c r="J1" s="38"/>
    </row>
    <row r="2" spans="1:69" s="43" customFormat="1">
      <c r="A2" s="39"/>
      <c r="B2" s="39"/>
      <c r="C2" s="56"/>
      <c r="D2" s="62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>
      <c r="A3" s="39"/>
      <c r="B3" s="39"/>
      <c r="C3" s="56"/>
      <c r="D3" s="62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62"/>
      <c r="E4" s="20" t="s">
        <v>325</v>
      </c>
      <c r="F4" s="22"/>
      <c r="G4" s="20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>
      <c r="A5" s="39"/>
      <c r="B5" s="39"/>
      <c r="C5" s="56"/>
      <c r="D5" s="62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6" spans="1:69">
      <c r="F6" s="22"/>
      <c r="G6" s="22"/>
      <c r="H6" s="22"/>
    </row>
    <row r="8" spans="1:69">
      <c r="B8" s="22" t="s">
        <v>13</v>
      </c>
    </row>
    <row r="9" spans="1:69">
      <c r="A9" s="17"/>
      <c r="B9" s="17"/>
      <c r="C9" s="26"/>
      <c r="D9" s="27"/>
      <c r="E9" s="4" t="str">
        <f>InpC!E$15</f>
        <v>Customer base order number</v>
      </c>
      <c r="F9" s="4">
        <f>InpC!F$15</f>
        <v>500</v>
      </c>
      <c r="G9" s="4" t="str">
        <f>InpC!G$15</f>
        <v>Units</v>
      </c>
    </row>
    <row r="10" spans="1:69">
      <c r="A10" s="17"/>
      <c r="B10" s="17"/>
      <c r="C10" s="26"/>
      <c r="D10" s="27"/>
      <c r="E10" s="21" t="str">
        <f>Time!E$164</f>
        <v>Customer Order Growth escalation indexation factor</v>
      </c>
      <c r="F10" s="21">
        <f>Time!F$164</f>
        <v>0</v>
      </c>
      <c r="G10" s="21" t="str">
        <f>Time!G$164</f>
        <v>index</v>
      </c>
      <c r="H10" s="21">
        <f>Time!H$164</f>
        <v>0</v>
      </c>
      <c r="I10" s="21">
        <f>Time!I$164</f>
        <v>0</v>
      </c>
      <c r="J10" s="21">
        <f>Time!J$164</f>
        <v>1</v>
      </c>
      <c r="K10" s="21">
        <f>Time!K$164</f>
        <v>1.0606373855281319</v>
      </c>
      <c r="L10" s="21">
        <f>Time!L$164</f>
        <v>1.1228173700183663</v>
      </c>
      <c r="M10" s="21">
        <f>Time!M$164</f>
        <v>1.1909020797618532</v>
      </c>
      <c r="N10" s="21">
        <f>Time!N$164</f>
        <v>1.2631152682986266</v>
      </c>
      <c r="O10" s="21">
        <f>Time!O$164</f>
        <v>1.3371655411476067</v>
      </c>
      <c r="P10" s="21">
        <f>Time!P$164</f>
        <v>1.4182477635811073</v>
      </c>
      <c r="Q10" s="21">
        <f>Time!Q$164</f>
        <v>1.5013926961905415</v>
      </c>
      <c r="R10" s="21">
        <f>Time!R$164</f>
        <v>1.5924332239385688</v>
      </c>
      <c r="S10" s="21">
        <f>Time!S$164</f>
        <v>1.6889942112663376</v>
      </c>
      <c r="T10" s="21">
        <f>Time!T$164</f>
        <v>1.7817974362806785</v>
      </c>
      <c r="U10" s="21">
        <f>Time!U$164</f>
        <v>1.8895370233838522</v>
      </c>
      <c r="V10" s="21">
        <f>Time!V$164</f>
        <v>2</v>
      </c>
      <c r="W10" s="21">
        <f>Time!W$164</f>
        <v>2.123116166406207</v>
      </c>
      <c r="X10" s="21">
        <f>Time!X$164</f>
        <v>2.2474089271664077</v>
      </c>
      <c r="Y10" s="21">
        <f>Time!Y$164</f>
        <v>2.3834939697312532</v>
      </c>
      <c r="Z10" s="21">
        <f>Time!Z$164</f>
        <v>2.5278192299912496</v>
      </c>
      <c r="AA10" s="21">
        <f>Time!AA$164</f>
        <v>2.6758043641867868</v>
      </c>
      <c r="AB10" s="21">
        <f>Time!AB$164</f>
        <v>2.8378295952846591</v>
      </c>
      <c r="AC10" s="21">
        <f>Time!AC$164</f>
        <v>3.0039635452521662</v>
      </c>
      <c r="AD10" s="21">
        <f>Time!AD$164</f>
        <v>3.1875439973292665</v>
      </c>
      <c r="AE10" s="21">
        <f>Time!AE$164</f>
        <v>3.3806467402188143</v>
      </c>
      <c r="AF10" s="21">
        <f>Time!AF$164</f>
        <v>3.565097680673023</v>
      </c>
      <c r="AG10" s="21">
        <f>Time!AG$164</f>
        <v>3.7810727829410813</v>
      </c>
      <c r="AH10" s="21">
        <f>Time!AH$164</f>
        <v>4.002530534348697</v>
      </c>
      <c r="AI10" s="21">
        <f>Time!AI$164</f>
        <v>4.245005501072133</v>
      </c>
      <c r="AJ10" s="21">
        <f>Time!AJ$164</f>
        <v>4.4936358308615398</v>
      </c>
      <c r="AK10" s="21">
        <f>Time!AK$164</f>
        <v>4.7658621609806406</v>
      </c>
      <c r="AL10" s="21">
        <f>Time!AL$164</f>
        <v>5.0545800755537291</v>
      </c>
      <c r="AM10" s="21">
        <f>Time!AM$164</f>
        <v>5.3506272563676252</v>
      </c>
      <c r="AN10" s="21">
        <f>Time!AN$164</f>
        <v>5.674770483959108</v>
      </c>
      <c r="AO10" s="21">
        <f>Time!AO$164</f>
        <v>6.0071422692370309</v>
      </c>
      <c r="AP10" s="21">
        <f>Time!AP$164</f>
        <v>6.3737497145436315</v>
      </c>
      <c r="AQ10" s="21">
        <f>Time!AQ$164</f>
        <v>6.7599648394172203</v>
      </c>
      <c r="AR10" s="21">
        <f>Time!AR$164</f>
        <v>7.1288806340588637</v>
      </c>
      <c r="AS10" s="21">
        <f>Time!AS$164</f>
        <v>7.5608526517252477</v>
      </c>
      <c r="AT10" s="21">
        <f>Time!AT$164</f>
        <v>8.003796367598353</v>
      </c>
      <c r="AU10" s="21">
        <f>Time!AU$164</f>
        <v>8.4887835967832839</v>
      </c>
      <c r="AV10" s="21">
        <f>Time!AV$164</f>
        <v>8.9860890625555676</v>
      </c>
      <c r="AW10" s="21">
        <f>Time!AW$164</f>
        <v>9.5305979725149506</v>
      </c>
      <c r="AX10" s="21">
        <f>Time!AX$164</f>
        <v>10.108101208588977</v>
      </c>
      <c r="AY10" s="21">
        <f>Time!AY$164</f>
        <v>10.700272504075359</v>
      </c>
      <c r="AZ10" s="21">
        <f>Time!AZ$164</f>
        <v>11.348651757486126</v>
      </c>
      <c r="BA10" s="21">
        <f>Time!BA$164</f>
        <v>12.013499256989205</v>
      </c>
      <c r="BB10" s="21">
        <f>Time!BB$164</f>
        <v>12.745893176469126</v>
      </c>
      <c r="BC10" s="21">
        <f>Time!BC$164</f>
        <v>13.518334978287017</v>
      </c>
      <c r="BD10" s="21">
        <f>Time!BD$164</f>
        <v>14.256183252216472</v>
      </c>
      <c r="BE10" s="21">
        <f>Time!BE$164</f>
        <v>15.120153452336938</v>
      </c>
      <c r="BF10" s="21">
        <f>Time!BF$164</f>
        <v>16.006074731707191</v>
      </c>
      <c r="BG10" s="21">
        <f>Time!BG$164</f>
        <v>16.976093939824924</v>
      </c>
      <c r="BH10" s="21">
        <f>Time!BH$164</f>
        <v>17.970758637460968</v>
      </c>
      <c r="BI10" s="21">
        <f>Time!BI$164</f>
        <v>19.059843960063692</v>
      </c>
      <c r="BJ10" s="21">
        <f>Time!BJ$164</f>
        <v>20.214931328759011</v>
      </c>
      <c r="BK10" s="21">
        <f>Time!BK$164</f>
        <v>21.399366254079712</v>
      </c>
      <c r="BL10" s="21">
        <f>Time!BL$164</f>
        <v>22.696236139791509</v>
      </c>
      <c r="BM10" s="21">
        <f>Time!BM$164</f>
        <v>24.026055881451988</v>
      </c>
      <c r="BN10" s="21">
        <f>Time!BN$164</f>
        <v>25.452016011999472</v>
      </c>
      <c r="BO10" s="21">
        <f>Time!BO$164</f>
        <v>26.993909742126416</v>
      </c>
      <c r="BP10" s="21">
        <f>Time!BP$164</f>
        <v>28.520781445384184</v>
      </c>
      <c r="BQ10" s="21">
        <f>Time!BQ$164</f>
        <v>30.248582263528654</v>
      </c>
    </row>
    <row r="11" spans="1:69">
      <c r="A11" s="31"/>
      <c r="B11" s="31"/>
      <c r="C11" s="51"/>
      <c r="D11" s="50"/>
      <c r="E11" s="3" t="s">
        <v>13</v>
      </c>
      <c r="F11" s="3"/>
      <c r="G11" s="3" t="s">
        <v>122</v>
      </c>
      <c r="H11" s="3">
        <f>SUM(J11:BQ11)</f>
        <v>261181.72293639058</v>
      </c>
      <c r="I11" s="3"/>
      <c r="J11" s="3">
        <f t="shared" ref="J11:AO11" si="0">$F9*J10</f>
        <v>500</v>
      </c>
      <c r="K11" s="3">
        <f t="shared" si="0"/>
        <v>530.31869276406599</v>
      </c>
      <c r="L11" s="3">
        <f t="shared" si="0"/>
        <v>561.40868500918316</v>
      </c>
      <c r="M11" s="3">
        <f t="shared" si="0"/>
        <v>595.4510398809266</v>
      </c>
      <c r="N11" s="3">
        <f t="shared" si="0"/>
        <v>631.55763414931334</v>
      </c>
      <c r="O11" s="3">
        <f t="shared" si="0"/>
        <v>668.58277057380337</v>
      </c>
      <c r="P11" s="3">
        <f t="shared" si="0"/>
        <v>709.12388179055358</v>
      </c>
      <c r="Q11" s="3">
        <f t="shared" si="0"/>
        <v>750.69634809527076</v>
      </c>
      <c r="R11" s="3">
        <f t="shared" si="0"/>
        <v>796.21661196928437</v>
      </c>
      <c r="S11" s="3">
        <f t="shared" si="0"/>
        <v>844.49710563316887</v>
      </c>
      <c r="T11" s="3">
        <f t="shared" si="0"/>
        <v>890.89871814033927</v>
      </c>
      <c r="U11" s="3">
        <f t="shared" si="0"/>
        <v>944.76851169192605</v>
      </c>
      <c r="V11" s="3">
        <f t="shared" si="0"/>
        <v>1000</v>
      </c>
      <c r="W11" s="3">
        <f t="shared" si="0"/>
        <v>1061.5580832031035</v>
      </c>
      <c r="X11" s="3">
        <f t="shared" si="0"/>
        <v>1123.704463583204</v>
      </c>
      <c r="Y11" s="3">
        <f t="shared" si="0"/>
        <v>1191.7469848656265</v>
      </c>
      <c r="Z11" s="3">
        <f t="shared" si="0"/>
        <v>1263.9096149956249</v>
      </c>
      <c r="AA11" s="3">
        <f t="shared" si="0"/>
        <v>1337.9021820933933</v>
      </c>
      <c r="AB11" s="3">
        <f t="shared" si="0"/>
        <v>1418.9147976423296</v>
      </c>
      <c r="AC11" s="3">
        <f t="shared" si="0"/>
        <v>1501.9817726260831</v>
      </c>
      <c r="AD11" s="3">
        <f t="shared" si="0"/>
        <v>1593.7719986646332</v>
      </c>
      <c r="AE11" s="3">
        <f t="shared" si="0"/>
        <v>1690.3233701094071</v>
      </c>
      <c r="AF11" s="3">
        <f t="shared" si="0"/>
        <v>1782.5488403365116</v>
      </c>
      <c r="AG11" s="3">
        <f t="shared" si="0"/>
        <v>1890.5363914705406</v>
      </c>
      <c r="AH11" s="3">
        <f t="shared" si="0"/>
        <v>2001.2652671743485</v>
      </c>
      <c r="AI11" s="3">
        <f t="shared" si="0"/>
        <v>2122.5027505360667</v>
      </c>
      <c r="AJ11" s="3">
        <f t="shared" si="0"/>
        <v>2246.81791543077</v>
      </c>
      <c r="AK11" s="3">
        <f t="shared" si="0"/>
        <v>2382.9310804903203</v>
      </c>
      <c r="AL11" s="3">
        <f t="shared" si="0"/>
        <v>2527.2900377768647</v>
      </c>
      <c r="AM11" s="3">
        <f t="shared" si="0"/>
        <v>2675.3136281838124</v>
      </c>
      <c r="AN11" s="3">
        <f t="shared" si="0"/>
        <v>2837.3852419795539</v>
      </c>
      <c r="AO11" s="3">
        <f t="shared" si="0"/>
        <v>3003.5711346185153</v>
      </c>
      <c r="AP11" s="3">
        <f t="shared" ref="AP11:BU11" si="1">$F9*AP10</f>
        <v>3186.8748572718159</v>
      </c>
      <c r="AQ11" s="3">
        <f t="shared" si="1"/>
        <v>3379.98241970861</v>
      </c>
      <c r="AR11" s="3">
        <f t="shared" si="1"/>
        <v>3564.4403170294318</v>
      </c>
      <c r="AS11" s="3">
        <f t="shared" si="1"/>
        <v>3780.4263258626238</v>
      </c>
      <c r="AT11" s="3">
        <f t="shared" si="1"/>
        <v>4001.8981837991764</v>
      </c>
      <c r="AU11" s="3">
        <f t="shared" si="1"/>
        <v>4244.3917983916417</v>
      </c>
      <c r="AV11" s="3">
        <f t="shared" si="1"/>
        <v>4493.0445312777838</v>
      </c>
      <c r="AW11" s="3">
        <f t="shared" si="1"/>
        <v>4765.298986257475</v>
      </c>
      <c r="AX11" s="3">
        <f t="shared" si="1"/>
        <v>5054.050604294488</v>
      </c>
      <c r="AY11" s="3">
        <f t="shared" si="1"/>
        <v>5350.1362520376797</v>
      </c>
      <c r="AZ11" s="3">
        <f t="shared" si="1"/>
        <v>5674.3258787430632</v>
      </c>
      <c r="BA11" s="3">
        <f t="shared" si="1"/>
        <v>6006.7496284946019</v>
      </c>
      <c r="BB11" s="3">
        <f t="shared" si="1"/>
        <v>6372.946588234563</v>
      </c>
      <c r="BC11" s="3">
        <f t="shared" si="1"/>
        <v>6759.1674891435086</v>
      </c>
      <c r="BD11" s="3">
        <f t="shared" si="1"/>
        <v>7128.0916261082357</v>
      </c>
      <c r="BE11" s="3">
        <f t="shared" si="1"/>
        <v>7560.0767261684687</v>
      </c>
      <c r="BF11" s="3">
        <f t="shared" si="1"/>
        <v>8003.0373658535955</v>
      </c>
      <c r="BG11" s="3">
        <f t="shared" si="1"/>
        <v>8488.0469699124624</v>
      </c>
      <c r="BH11" s="3">
        <f t="shared" si="1"/>
        <v>8985.3793187304836</v>
      </c>
      <c r="BI11" s="3">
        <f t="shared" si="1"/>
        <v>9529.921980031846</v>
      </c>
      <c r="BJ11" s="3">
        <f t="shared" si="1"/>
        <v>10107.465664379506</v>
      </c>
      <c r="BK11" s="3">
        <f t="shared" si="1"/>
        <v>10699.683127039856</v>
      </c>
      <c r="BL11" s="3">
        <f t="shared" si="1"/>
        <v>11348.118069895754</v>
      </c>
      <c r="BM11" s="3">
        <f t="shared" si="1"/>
        <v>12013.027940725995</v>
      </c>
      <c r="BN11" s="3">
        <f t="shared" si="1"/>
        <v>12726.008005999736</v>
      </c>
      <c r="BO11" s="3">
        <f t="shared" si="1"/>
        <v>13496.954871063208</v>
      </c>
      <c r="BP11" s="3">
        <f t="shared" si="1"/>
        <v>14260.390722692093</v>
      </c>
      <c r="BQ11" s="3">
        <f t="shared" si="1"/>
        <v>15124.291131764327</v>
      </c>
    </row>
    <row r="14" spans="1:69">
      <c r="B14" s="22" t="s">
        <v>315</v>
      </c>
    </row>
    <row r="15" spans="1:69" s="64" customFormat="1">
      <c r="A15" s="46"/>
      <c r="B15" s="46"/>
      <c r="C15" s="65"/>
      <c r="D15" s="63"/>
      <c r="E15" s="34" t="str">
        <f>InpC!E$18</f>
        <v>Opening Customer Orders Awaiting Fullfilment</v>
      </c>
      <c r="F15" s="34">
        <f>InpC!F$18</f>
        <v>0</v>
      </c>
      <c r="G15" s="34" t="str">
        <f>InpC!G$18</f>
        <v>Units</v>
      </c>
    </row>
    <row r="16" spans="1:69">
      <c r="A16" s="17"/>
      <c r="B16" s="17"/>
      <c r="C16" s="26"/>
      <c r="D16" s="27"/>
      <c r="E16" s="10" t="str">
        <f>Time!E$28</f>
        <v>Period number</v>
      </c>
      <c r="F16" s="10">
        <f>Time!F$28</f>
        <v>0</v>
      </c>
      <c r="G16" s="10" t="str">
        <f>Time!G$28</f>
        <v>Counter</v>
      </c>
      <c r="H16" s="10">
        <f>Time!H$28</f>
        <v>0</v>
      </c>
      <c r="I16" s="10">
        <f>Time!I$28</f>
        <v>0</v>
      </c>
      <c r="J16" s="10">
        <f>Time!J$28</f>
        <v>1</v>
      </c>
      <c r="K16" s="10">
        <f>Time!K$28</f>
        <v>2</v>
      </c>
      <c r="L16" s="10">
        <f>Time!L$28</f>
        <v>3</v>
      </c>
      <c r="M16" s="10">
        <f>Time!M$28</f>
        <v>4</v>
      </c>
      <c r="N16" s="10">
        <f>Time!N$28</f>
        <v>5</v>
      </c>
      <c r="O16" s="10">
        <f>Time!O$28</f>
        <v>6</v>
      </c>
      <c r="P16" s="10">
        <f>Time!P$28</f>
        <v>7</v>
      </c>
      <c r="Q16" s="10">
        <f>Time!Q$28</f>
        <v>8</v>
      </c>
      <c r="R16" s="10">
        <f>Time!R$28</f>
        <v>9</v>
      </c>
      <c r="S16" s="10">
        <f>Time!S$28</f>
        <v>10</v>
      </c>
      <c r="T16" s="10">
        <f>Time!T$28</f>
        <v>11</v>
      </c>
      <c r="U16" s="10">
        <f>Time!U$28</f>
        <v>12</v>
      </c>
      <c r="V16" s="10">
        <f>Time!V$28</f>
        <v>13</v>
      </c>
      <c r="W16" s="10">
        <f>Time!W$28</f>
        <v>14</v>
      </c>
      <c r="X16" s="10">
        <f>Time!X$28</f>
        <v>15</v>
      </c>
      <c r="Y16" s="10">
        <f>Time!Y$28</f>
        <v>16</v>
      </c>
      <c r="Z16" s="10">
        <f>Time!Z$28</f>
        <v>17</v>
      </c>
      <c r="AA16" s="10">
        <f>Time!AA$28</f>
        <v>18</v>
      </c>
      <c r="AB16" s="10">
        <f>Time!AB$28</f>
        <v>19</v>
      </c>
      <c r="AC16" s="10">
        <f>Time!AC$28</f>
        <v>20</v>
      </c>
      <c r="AD16" s="10">
        <f>Time!AD$28</f>
        <v>21</v>
      </c>
      <c r="AE16" s="10">
        <f>Time!AE$28</f>
        <v>22</v>
      </c>
      <c r="AF16" s="10">
        <f>Time!AF$28</f>
        <v>23</v>
      </c>
      <c r="AG16" s="10">
        <f>Time!AG$28</f>
        <v>24</v>
      </c>
      <c r="AH16" s="10">
        <f>Time!AH$28</f>
        <v>25</v>
      </c>
      <c r="AI16" s="10">
        <f>Time!AI$28</f>
        <v>26</v>
      </c>
      <c r="AJ16" s="10">
        <f>Time!AJ$28</f>
        <v>27</v>
      </c>
      <c r="AK16" s="10">
        <f>Time!AK$28</f>
        <v>28</v>
      </c>
      <c r="AL16" s="10">
        <f>Time!AL$28</f>
        <v>29</v>
      </c>
      <c r="AM16" s="10">
        <f>Time!AM$28</f>
        <v>30</v>
      </c>
      <c r="AN16" s="10">
        <f>Time!AN$28</f>
        <v>31</v>
      </c>
      <c r="AO16" s="10">
        <f>Time!AO$28</f>
        <v>32</v>
      </c>
      <c r="AP16" s="10">
        <f>Time!AP$28</f>
        <v>33</v>
      </c>
      <c r="AQ16" s="10">
        <f>Time!AQ$28</f>
        <v>34</v>
      </c>
      <c r="AR16" s="10">
        <f>Time!AR$28</f>
        <v>35</v>
      </c>
      <c r="AS16" s="10">
        <f>Time!AS$28</f>
        <v>36</v>
      </c>
      <c r="AT16" s="10">
        <f>Time!AT$28</f>
        <v>37</v>
      </c>
      <c r="AU16" s="10">
        <f>Time!AU$28</f>
        <v>38</v>
      </c>
      <c r="AV16" s="10">
        <f>Time!AV$28</f>
        <v>39</v>
      </c>
      <c r="AW16" s="10">
        <f>Time!AW$28</f>
        <v>40</v>
      </c>
      <c r="AX16" s="10">
        <f>Time!AX$28</f>
        <v>41</v>
      </c>
      <c r="AY16" s="10">
        <f>Time!AY$28</f>
        <v>42</v>
      </c>
      <c r="AZ16" s="10">
        <f>Time!AZ$28</f>
        <v>43</v>
      </c>
      <c r="BA16" s="10">
        <f>Time!BA$28</f>
        <v>44</v>
      </c>
      <c r="BB16" s="10">
        <f>Time!BB$28</f>
        <v>45</v>
      </c>
      <c r="BC16" s="10">
        <f>Time!BC$28</f>
        <v>46</v>
      </c>
      <c r="BD16" s="10">
        <f>Time!BD$28</f>
        <v>47</v>
      </c>
      <c r="BE16" s="10">
        <f>Time!BE$28</f>
        <v>48</v>
      </c>
      <c r="BF16" s="10">
        <f>Time!BF$28</f>
        <v>49</v>
      </c>
      <c r="BG16" s="10">
        <f>Time!BG$28</f>
        <v>50</v>
      </c>
      <c r="BH16" s="10">
        <f>Time!BH$28</f>
        <v>51</v>
      </c>
      <c r="BI16" s="10">
        <f>Time!BI$28</f>
        <v>52</v>
      </c>
      <c r="BJ16" s="10">
        <f>Time!BJ$28</f>
        <v>53</v>
      </c>
      <c r="BK16" s="10">
        <f>Time!BK$28</f>
        <v>54</v>
      </c>
      <c r="BL16" s="10">
        <f>Time!BL$28</f>
        <v>55</v>
      </c>
      <c r="BM16" s="10">
        <f>Time!BM$28</f>
        <v>56</v>
      </c>
      <c r="BN16" s="10">
        <f>Time!BN$28</f>
        <v>57</v>
      </c>
      <c r="BO16" s="10">
        <f>Time!BO$28</f>
        <v>58</v>
      </c>
      <c r="BP16" s="10">
        <f>Time!BP$28</f>
        <v>59</v>
      </c>
      <c r="BQ16" s="10">
        <f>Time!BQ$28</f>
        <v>60</v>
      </c>
    </row>
    <row r="17" spans="1:69" ht="14.5">
      <c r="E17" s="2" t="s">
        <v>179</v>
      </c>
      <c r="F17"/>
      <c r="G17" s="2" t="s">
        <v>122</v>
      </c>
      <c r="H17"/>
      <c r="I17"/>
      <c r="J17" s="2">
        <f t="shared" ref="J17:AO17" si="2">I21</f>
        <v>0</v>
      </c>
      <c r="K17" s="2">
        <f t="shared" ca="1" si="2"/>
        <v>500</v>
      </c>
      <c r="L17" s="2">
        <f t="shared" ca="1" si="2"/>
        <v>1030.3186927640659</v>
      </c>
      <c r="M17" s="2">
        <f t="shared" ca="1" si="2"/>
        <v>1591.7273777732489</v>
      </c>
      <c r="N17" s="2">
        <f t="shared" ca="1" si="2"/>
        <v>2187.1784176541755</v>
      </c>
      <c r="O17" s="2">
        <f t="shared" ca="1" si="2"/>
        <v>2818.7360518034889</v>
      </c>
      <c r="P17" s="2">
        <f t="shared" ca="1" si="2"/>
        <v>3487.3188223772922</v>
      </c>
      <c r="Q17" s="2">
        <f t="shared" ca="1" si="2"/>
        <v>4196.4427041678455</v>
      </c>
      <c r="R17" s="2">
        <f t="shared" ca="1" si="2"/>
        <v>750.69634809527088</v>
      </c>
      <c r="S17" s="2">
        <f t="shared" ca="1" si="2"/>
        <v>796.21661196928426</v>
      </c>
      <c r="T17" s="2">
        <f t="shared" ca="1" si="2"/>
        <v>1587.8527698655694</v>
      </c>
      <c r="U17" s="2">
        <f t="shared" ca="1" si="2"/>
        <v>2478.7514880059089</v>
      </c>
      <c r="V17" s="2">
        <f t="shared" ca="1" si="2"/>
        <v>3423.5199996978349</v>
      </c>
      <c r="W17" s="2">
        <f t="shared" ca="1" si="2"/>
        <v>4423.5199996978354</v>
      </c>
      <c r="X17" s="2">
        <f t="shared" ca="1" si="2"/>
        <v>1061.5580832031037</v>
      </c>
      <c r="Y17" s="2">
        <f t="shared" ca="1" si="2"/>
        <v>1608.782546484143</v>
      </c>
      <c r="Z17" s="2">
        <f t="shared" ca="1" si="2"/>
        <v>2800.5295313497695</v>
      </c>
      <c r="AA17" s="2">
        <f t="shared" ca="1" si="2"/>
        <v>4064.4391463453944</v>
      </c>
      <c r="AB17" s="2">
        <f t="shared" ca="1" si="2"/>
        <v>5402.341328438788</v>
      </c>
      <c r="AC17" s="2">
        <f t="shared" ca="1" si="2"/>
        <v>6821.2561260811181</v>
      </c>
      <c r="AD17" s="2">
        <f t="shared" ca="1" si="2"/>
        <v>3323.2378987072007</v>
      </c>
      <c r="AE17" s="2">
        <f t="shared" ca="1" si="2"/>
        <v>4917.0098973718341</v>
      </c>
      <c r="AF17" s="2">
        <f t="shared" ca="1" si="2"/>
        <v>6607.3332674812409</v>
      </c>
      <c r="AG17" s="2">
        <f t="shared" ca="1" si="2"/>
        <v>8389.8821078177534</v>
      </c>
      <c r="AH17" s="2">
        <f t="shared" ca="1" si="2"/>
        <v>5280.4184992882947</v>
      </c>
      <c r="AI17" s="2">
        <f t="shared" ca="1" si="2"/>
        <v>7731.6837664626437</v>
      </c>
      <c r="AJ17" s="2">
        <f t="shared" ca="1" si="2"/>
        <v>9331.4733404863691</v>
      </c>
      <c r="AK17" s="2">
        <f t="shared" ca="1" si="2"/>
        <v>11022.921686897271</v>
      </c>
      <c r="AL17" s="2">
        <f t="shared" ca="1" si="2"/>
        <v>7818.941333262057</v>
      </c>
      <c r="AM17" s="2">
        <f t="shared" ca="1" si="2"/>
        <v>9723.7311620114488</v>
      </c>
      <c r="AN17" s="2">
        <f t="shared" ca="1" si="2"/>
        <v>11737.654015413058</v>
      </c>
      <c r="AO17" s="2">
        <f t="shared" ca="1" si="2"/>
        <v>8876.0852098565028</v>
      </c>
      <c r="AP17" s="2">
        <f t="shared" ref="AP17:BQ17" ca="1" si="3">AO21</f>
        <v>11137.035294179654</v>
      </c>
      <c r="AQ17" s="2">
        <f t="shared" ca="1" si="3"/>
        <v>8539.1124060332841</v>
      </c>
      <c r="AR17" s="2">
        <f t="shared" ca="1" si="3"/>
        <v>11086.708996873176</v>
      </c>
      <c r="AS17" s="2">
        <f t="shared" ca="1" si="3"/>
        <v>13763.963948962575</v>
      </c>
      <c r="AT17" s="2">
        <f t="shared" ca="1" si="3"/>
        <v>11612.884499067255</v>
      </c>
      <c r="AU17" s="2">
        <f t="shared" ca="1" si="3"/>
        <v>14625.245659482582</v>
      </c>
      <c r="AV17" s="2">
        <f t="shared" ca="1" si="3"/>
        <v>17825.039732757017</v>
      </c>
      <c r="AW17" s="2">
        <f t="shared" ca="1" si="3"/>
        <v>16206.302114853477</v>
      </c>
      <c r="AX17" s="2">
        <f t="shared" ca="1" si="3"/>
        <v>19796.764460323608</v>
      </c>
      <c r="AY17" s="2">
        <f t="shared" ca="1" si="3"/>
        <v>18604.839748382903</v>
      </c>
      <c r="AZ17" s="2">
        <f t="shared" ca="1" si="3"/>
        <v>22631.268734313388</v>
      </c>
      <c r="BA17" s="2">
        <f t="shared" ca="1" si="3"/>
        <v>21906.813566747762</v>
      </c>
      <c r="BB17" s="2">
        <f t="shared" ca="1" si="3"/>
        <v>21427.517195321179</v>
      </c>
      <c r="BC17" s="2">
        <f t="shared" ca="1" si="3"/>
        <v>26230.895037101749</v>
      </c>
      <c r="BD17" s="2">
        <f t="shared" ca="1" si="3"/>
        <v>26323.80956201446</v>
      </c>
      <c r="BE17" s="2">
        <f t="shared" ca="1" si="3"/>
        <v>26675.548404206747</v>
      </c>
      <c r="BF17" s="2">
        <f t="shared" ca="1" si="3"/>
        <v>32372.010202025675</v>
      </c>
      <c r="BG17" s="2">
        <f t="shared" ca="1" si="3"/>
        <v>33395.1135253951</v>
      </c>
      <c r="BH17" s="2">
        <f t="shared" ca="1" si="3"/>
        <v>33890.882436441323</v>
      </c>
      <c r="BI17" s="2">
        <f t="shared" ca="1" si="3"/>
        <v>34698.818731012048</v>
      </c>
      <c r="BJ17" s="2">
        <f t="shared" ca="1" si="3"/>
        <v>35869.207219607117</v>
      </c>
      <c r="BK17" s="2">
        <f t="shared" ca="1" si="3"/>
        <v>37413.559885219496</v>
      </c>
      <c r="BL17" s="2">
        <f t="shared" ca="1" si="3"/>
        <v>39329.641460602288</v>
      </c>
      <c r="BM17" s="2">
        <f t="shared" ca="1" si="3"/>
        <v>41677.330004879172</v>
      </c>
      <c r="BN17" s="2">
        <f t="shared" ca="1" si="3"/>
        <v>44442.378495579731</v>
      </c>
      <c r="BO17" s="2">
        <f t="shared" ca="1" si="3"/>
        <v>47678.178177315582</v>
      </c>
      <c r="BP17" s="2">
        <f t="shared" ca="1" si="3"/>
        <v>51410.1776100282</v>
      </c>
      <c r="BQ17" s="2">
        <f t="shared" ca="1" si="3"/>
        <v>55598.504988489847</v>
      </c>
    </row>
    <row r="18" spans="1:69">
      <c r="D18" s="66" t="s">
        <v>216</v>
      </c>
      <c r="E18" s="2" t="str">
        <f t="shared" ref="E18:AJ18" si="4">E$11</f>
        <v>New customers orders</v>
      </c>
      <c r="F18" s="2">
        <f t="shared" si="4"/>
        <v>0</v>
      </c>
      <c r="G18" s="2" t="str">
        <f t="shared" si="4"/>
        <v>Units</v>
      </c>
      <c r="H18" s="2">
        <f t="shared" si="4"/>
        <v>261181.72293639058</v>
      </c>
      <c r="I18" s="2">
        <f t="shared" si="4"/>
        <v>0</v>
      </c>
      <c r="J18" s="2">
        <f t="shared" si="4"/>
        <v>500</v>
      </c>
      <c r="K18" s="2">
        <f t="shared" si="4"/>
        <v>530.31869276406599</v>
      </c>
      <c r="L18" s="2">
        <f t="shared" si="4"/>
        <v>561.40868500918316</v>
      </c>
      <c r="M18" s="2">
        <f t="shared" si="4"/>
        <v>595.4510398809266</v>
      </c>
      <c r="N18" s="2">
        <f t="shared" si="4"/>
        <v>631.55763414931334</v>
      </c>
      <c r="O18" s="2">
        <f t="shared" si="4"/>
        <v>668.58277057380337</v>
      </c>
      <c r="P18" s="2">
        <f t="shared" si="4"/>
        <v>709.12388179055358</v>
      </c>
      <c r="Q18" s="2">
        <f t="shared" si="4"/>
        <v>750.69634809527076</v>
      </c>
      <c r="R18" s="2">
        <f t="shared" si="4"/>
        <v>796.21661196928437</v>
      </c>
      <c r="S18" s="2">
        <f t="shared" si="4"/>
        <v>844.49710563316887</v>
      </c>
      <c r="T18" s="2">
        <f t="shared" si="4"/>
        <v>890.89871814033927</v>
      </c>
      <c r="U18" s="2">
        <f t="shared" si="4"/>
        <v>944.76851169192605</v>
      </c>
      <c r="V18" s="2">
        <f t="shared" si="4"/>
        <v>1000</v>
      </c>
      <c r="W18" s="2">
        <f t="shared" si="4"/>
        <v>1061.5580832031035</v>
      </c>
      <c r="X18" s="2">
        <f t="shared" si="4"/>
        <v>1123.704463583204</v>
      </c>
      <c r="Y18" s="2">
        <f t="shared" si="4"/>
        <v>1191.7469848656265</v>
      </c>
      <c r="Z18" s="2">
        <f t="shared" si="4"/>
        <v>1263.9096149956249</v>
      </c>
      <c r="AA18" s="2">
        <f t="shared" si="4"/>
        <v>1337.9021820933933</v>
      </c>
      <c r="AB18" s="2">
        <f t="shared" si="4"/>
        <v>1418.9147976423296</v>
      </c>
      <c r="AC18" s="2">
        <f t="shared" si="4"/>
        <v>1501.9817726260831</v>
      </c>
      <c r="AD18" s="2">
        <f t="shared" si="4"/>
        <v>1593.7719986646332</v>
      </c>
      <c r="AE18" s="2">
        <f t="shared" si="4"/>
        <v>1690.3233701094071</v>
      </c>
      <c r="AF18" s="2">
        <f t="shared" si="4"/>
        <v>1782.5488403365116</v>
      </c>
      <c r="AG18" s="2">
        <f t="shared" si="4"/>
        <v>1890.5363914705406</v>
      </c>
      <c r="AH18" s="2">
        <f t="shared" si="4"/>
        <v>2001.2652671743485</v>
      </c>
      <c r="AI18" s="2">
        <f t="shared" si="4"/>
        <v>2122.5027505360667</v>
      </c>
      <c r="AJ18" s="2">
        <f t="shared" si="4"/>
        <v>2246.81791543077</v>
      </c>
      <c r="AK18" s="2">
        <f t="shared" ref="AK18:BQ18" si="5">AK$11</f>
        <v>2382.9310804903203</v>
      </c>
      <c r="AL18" s="2">
        <f t="shared" si="5"/>
        <v>2527.2900377768647</v>
      </c>
      <c r="AM18" s="2">
        <f t="shared" si="5"/>
        <v>2675.3136281838124</v>
      </c>
      <c r="AN18" s="2">
        <f t="shared" si="5"/>
        <v>2837.3852419795539</v>
      </c>
      <c r="AO18" s="2">
        <f t="shared" si="5"/>
        <v>3003.5711346185153</v>
      </c>
      <c r="AP18" s="2">
        <f t="shared" si="5"/>
        <v>3186.8748572718159</v>
      </c>
      <c r="AQ18" s="2">
        <f t="shared" si="5"/>
        <v>3379.98241970861</v>
      </c>
      <c r="AR18" s="2">
        <f t="shared" si="5"/>
        <v>3564.4403170294318</v>
      </c>
      <c r="AS18" s="2">
        <f t="shared" si="5"/>
        <v>3780.4263258626238</v>
      </c>
      <c r="AT18" s="2">
        <f t="shared" si="5"/>
        <v>4001.8981837991764</v>
      </c>
      <c r="AU18" s="2">
        <f t="shared" si="5"/>
        <v>4244.3917983916417</v>
      </c>
      <c r="AV18" s="2">
        <f t="shared" si="5"/>
        <v>4493.0445312777838</v>
      </c>
      <c r="AW18" s="2">
        <f t="shared" si="5"/>
        <v>4765.298986257475</v>
      </c>
      <c r="AX18" s="2">
        <f t="shared" si="5"/>
        <v>5054.050604294488</v>
      </c>
      <c r="AY18" s="2">
        <f t="shared" si="5"/>
        <v>5350.1362520376797</v>
      </c>
      <c r="AZ18" s="2">
        <f t="shared" si="5"/>
        <v>5674.3258787430632</v>
      </c>
      <c r="BA18" s="2">
        <f t="shared" si="5"/>
        <v>6006.7496284946019</v>
      </c>
      <c r="BB18" s="2">
        <f t="shared" si="5"/>
        <v>6372.946588234563</v>
      </c>
      <c r="BC18" s="2">
        <f t="shared" si="5"/>
        <v>6759.1674891435086</v>
      </c>
      <c r="BD18" s="2">
        <f t="shared" si="5"/>
        <v>7128.0916261082357</v>
      </c>
      <c r="BE18" s="2">
        <f t="shared" si="5"/>
        <v>7560.0767261684687</v>
      </c>
      <c r="BF18" s="2">
        <f t="shared" si="5"/>
        <v>8003.0373658535955</v>
      </c>
      <c r="BG18" s="2">
        <f t="shared" si="5"/>
        <v>8488.0469699124624</v>
      </c>
      <c r="BH18" s="2">
        <f t="shared" si="5"/>
        <v>8985.3793187304836</v>
      </c>
      <c r="BI18" s="2">
        <f t="shared" si="5"/>
        <v>9529.921980031846</v>
      </c>
      <c r="BJ18" s="2">
        <f t="shared" si="5"/>
        <v>10107.465664379506</v>
      </c>
      <c r="BK18" s="2">
        <f t="shared" si="5"/>
        <v>10699.683127039856</v>
      </c>
      <c r="BL18" s="2">
        <f t="shared" si="5"/>
        <v>11348.118069895754</v>
      </c>
      <c r="BM18" s="2">
        <f t="shared" si="5"/>
        <v>12013.027940725995</v>
      </c>
      <c r="BN18" s="2">
        <f t="shared" si="5"/>
        <v>12726.008005999736</v>
      </c>
      <c r="BO18" s="2">
        <f t="shared" si="5"/>
        <v>13496.954871063208</v>
      </c>
      <c r="BP18" s="2">
        <f t="shared" si="5"/>
        <v>14260.390722692093</v>
      </c>
      <c r="BQ18" s="2">
        <f t="shared" si="5"/>
        <v>15124.291131764327</v>
      </c>
    </row>
    <row r="19" spans="1:69">
      <c r="D19" s="66" t="s">
        <v>216</v>
      </c>
      <c r="E19" s="2" t="str">
        <f t="shared" ref="E19:AJ19" si="6">E$32</f>
        <v>Renewing Customer Orders</v>
      </c>
      <c r="F19" s="2">
        <f t="shared" si="6"/>
        <v>0</v>
      </c>
      <c r="G19" s="2" t="str">
        <f t="shared" si="6"/>
        <v>Units</v>
      </c>
      <c r="H19" s="2">
        <f t="shared" ca="1" si="6"/>
        <v>53090.297527815921</v>
      </c>
      <c r="I19" s="2">
        <f t="shared" si="6"/>
        <v>0</v>
      </c>
      <c r="J19" s="2">
        <f t="shared" ca="1" si="6"/>
        <v>0</v>
      </c>
      <c r="K19" s="2">
        <f t="shared" ca="1" si="6"/>
        <v>0</v>
      </c>
      <c r="L19" s="2">
        <f t="shared" ca="1" si="6"/>
        <v>0</v>
      </c>
      <c r="M19" s="2">
        <f t="shared" ca="1" si="6"/>
        <v>0</v>
      </c>
      <c r="N19" s="2">
        <f t="shared" ca="1" si="6"/>
        <v>0</v>
      </c>
      <c r="O19" s="2">
        <f t="shared" ca="1" si="6"/>
        <v>0</v>
      </c>
      <c r="P19" s="2">
        <f t="shared" ca="1" si="6"/>
        <v>0</v>
      </c>
      <c r="Q19" s="2">
        <f t="shared" ca="1" si="6"/>
        <v>0</v>
      </c>
      <c r="R19" s="2">
        <f t="shared" ca="1" si="6"/>
        <v>0</v>
      </c>
      <c r="S19" s="2">
        <f t="shared" ca="1" si="6"/>
        <v>0</v>
      </c>
      <c r="T19" s="2">
        <f t="shared" ca="1" si="6"/>
        <v>0</v>
      </c>
      <c r="U19" s="2">
        <f t="shared" ca="1" si="6"/>
        <v>0</v>
      </c>
      <c r="V19" s="2">
        <f t="shared" ca="1" si="6"/>
        <v>0</v>
      </c>
      <c r="W19" s="2">
        <f t="shared" ca="1" si="6"/>
        <v>0</v>
      </c>
      <c r="X19" s="2">
        <f t="shared" ca="1" si="6"/>
        <v>0</v>
      </c>
      <c r="Y19" s="2">
        <f t="shared" ca="1" si="6"/>
        <v>0</v>
      </c>
      <c r="Z19" s="2">
        <f t="shared" ca="1" si="6"/>
        <v>0</v>
      </c>
      <c r="AA19" s="2">
        <f t="shared" ca="1" si="6"/>
        <v>0</v>
      </c>
      <c r="AB19" s="2">
        <f t="shared" ca="1" si="6"/>
        <v>0</v>
      </c>
      <c r="AC19" s="2">
        <f t="shared" ca="1" si="6"/>
        <v>0</v>
      </c>
      <c r="AD19" s="2">
        <f t="shared" ca="1" si="6"/>
        <v>0</v>
      </c>
      <c r="AE19" s="2">
        <f t="shared" ca="1" si="6"/>
        <v>0</v>
      </c>
      <c r="AF19" s="2">
        <f t="shared" ca="1" si="6"/>
        <v>0</v>
      </c>
      <c r="AG19" s="2">
        <f t="shared" ca="1" si="6"/>
        <v>0</v>
      </c>
      <c r="AH19" s="2">
        <f t="shared" ca="1" si="6"/>
        <v>450</v>
      </c>
      <c r="AI19" s="2">
        <f t="shared" ca="1" si="6"/>
        <v>477.28682348765938</v>
      </c>
      <c r="AJ19" s="2">
        <f t="shared" ca="1" si="6"/>
        <v>505.26781650826484</v>
      </c>
      <c r="AK19" s="2">
        <f t="shared" ref="AK19:BQ19" ca="1" si="7">AK$32</f>
        <v>535.90593589283401</v>
      </c>
      <c r="AL19" s="2">
        <f t="shared" ca="1" si="7"/>
        <v>568.40187073438199</v>
      </c>
      <c r="AM19" s="2">
        <f t="shared" ca="1" si="7"/>
        <v>601.72449351642308</v>
      </c>
      <c r="AN19" s="2">
        <f t="shared" ca="1" si="7"/>
        <v>638.21149361149821</v>
      </c>
      <c r="AO19" s="2">
        <f t="shared" ca="1" si="7"/>
        <v>675.62671328574368</v>
      </c>
      <c r="AP19" s="2">
        <f t="shared" ca="1" si="7"/>
        <v>716.5949507723559</v>
      </c>
      <c r="AQ19" s="2">
        <f t="shared" ca="1" si="7"/>
        <v>760.04739506985197</v>
      </c>
      <c r="AR19" s="2">
        <f t="shared" ca="1" si="7"/>
        <v>801.80884632630534</v>
      </c>
      <c r="AS19" s="2">
        <f t="shared" ca="1" si="7"/>
        <v>850.29166052273342</v>
      </c>
      <c r="AT19" s="2">
        <f t="shared" ca="1" si="7"/>
        <v>900</v>
      </c>
      <c r="AU19" s="2">
        <f t="shared" ca="1" si="7"/>
        <v>955.40227488279311</v>
      </c>
      <c r="AV19" s="2">
        <f t="shared" ca="1" si="7"/>
        <v>1011.3340172248836</v>
      </c>
      <c r="AW19" s="2">
        <f t="shared" ca="1" si="7"/>
        <v>1072.5722863790638</v>
      </c>
      <c r="AX19" s="2">
        <f t="shared" ca="1" si="7"/>
        <v>1137.5186534960624</v>
      </c>
      <c r="AY19" s="2">
        <f t="shared" ca="1" si="7"/>
        <v>1204.1119638840539</v>
      </c>
      <c r="AZ19" s="2">
        <f t="shared" ca="1" si="7"/>
        <v>1277.0233178780968</v>
      </c>
      <c r="BA19" s="2">
        <f t="shared" ca="1" si="7"/>
        <v>1351.7835953634749</v>
      </c>
      <c r="BB19" s="2">
        <f t="shared" ca="1" si="7"/>
        <v>1434.3947987981699</v>
      </c>
      <c r="BC19" s="2">
        <f t="shared" ca="1" si="7"/>
        <v>1521.2910330984664</v>
      </c>
      <c r="BD19" s="2">
        <f t="shared" ca="1" si="7"/>
        <v>1604.2939563028606</v>
      </c>
      <c r="BE19" s="2">
        <f t="shared" ca="1" si="7"/>
        <v>1701.4827523234865</v>
      </c>
      <c r="BF19" s="2">
        <f t="shared" ca="1" si="7"/>
        <v>1801.1387404569136</v>
      </c>
      <c r="BG19" s="2">
        <f t="shared" ca="1" si="7"/>
        <v>1910.2524754824601</v>
      </c>
      <c r="BH19" s="2">
        <f t="shared" ca="1" si="7"/>
        <v>2022.136123887693</v>
      </c>
      <c r="BI19" s="2">
        <f t="shared" ca="1" si="7"/>
        <v>2144.6379724412882</v>
      </c>
      <c r="BJ19" s="2">
        <f t="shared" ca="1" si="7"/>
        <v>2274.5610339991781</v>
      </c>
      <c r="BK19" s="2">
        <f t="shared" ca="1" si="7"/>
        <v>2407.7822653654312</v>
      </c>
      <c r="BL19" s="2">
        <f t="shared" ca="1" si="7"/>
        <v>2553.6467177815985</v>
      </c>
      <c r="BM19" s="2">
        <f t="shared" ca="1" si="7"/>
        <v>2703.2140211566639</v>
      </c>
      <c r="BN19" s="2">
        <f t="shared" ca="1" si="7"/>
        <v>2868.1873715446345</v>
      </c>
      <c r="BO19" s="2">
        <f t="shared" ca="1" si="7"/>
        <v>3041.9841777377492</v>
      </c>
      <c r="BP19" s="2">
        <f t="shared" ca="1" si="7"/>
        <v>3207.9962853264888</v>
      </c>
      <c r="BQ19" s="2">
        <f t="shared" ca="1" si="7"/>
        <v>3402.3836932763616</v>
      </c>
    </row>
    <row r="20" spans="1:69">
      <c r="D20" s="66" t="s">
        <v>293</v>
      </c>
      <c r="E20" s="2" t="str">
        <f t="shared" ref="E20:AJ20" si="8">E$26</f>
        <v>Customer orders fullfilled</v>
      </c>
      <c r="F20" s="2">
        <f t="shared" si="8"/>
        <v>0</v>
      </c>
      <c r="G20" s="2" t="str">
        <f t="shared" si="8"/>
        <v>Units</v>
      </c>
      <c r="H20" s="2">
        <f t="shared" ca="1" si="8"/>
        <v>253879.33897738747</v>
      </c>
      <c r="I20" s="2">
        <f t="shared" si="8"/>
        <v>0</v>
      </c>
      <c r="J20" s="2">
        <f t="shared" si="8"/>
        <v>0</v>
      </c>
      <c r="K20" s="2">
        <f t="shared" ca="1" si="8"/>
        <v>0</v>
      </c>
      <c r="L20" s="2">
        <f t="shared" ca="1" si="8"/>
        <v>0</v>
      </c>
      <c r="M20" s="2">
        <f t="shared" ca="1" si="8"/>
        <v>0</v>
      </c>
      <c r="N20" s="2">
        <f t="shared" ca="1" si="8"/>
        <v>0</v>
      </c>
      <c r="O20" s="2">
        <f t="shared" ca="1" si="8"/>
        <v>0</v>
      </c>
      <c r="P20" s="2">
        <f t="shared" ca="1" si="8"/>
        <v>0</v>
      </c>
      <c r="Q20" s="2">
        <f t="shared" ca="1" si="8"/>
        <v>4196.4427041678455</v>
      </c>
      <c r="R20" s="2">
        <f t="shared" ca="1" si="8"/>
        <v>750.69634809527088</v>
      </c>
      <c r="S20" s="2">
        <f t="shared" ca="1" si="8"/>
        <v>52.860947736883645</v>
      </c>
      <c r="T20" s="2">
        <f t="shared" ca="1" si="8"/>
        <v>0</v>
      </c>
      <c r="U20" s="2">
        <f t="shared" ca="1" si="8"/>
        <v>0</v>
      </c>
      <c r="V20" s="2">
        <f t="shared" ca="1" si="8"/>
        <v>0</v>
      </c>
      <c r="W20" s="2">
        <f t="shared" ca="1" si="8"/>
        <v>4423.5199996978354</v>
      </c>
      <c r="X20" s="2">
        <f t="shared" ca="1" si="8"/>
        <v>576.48000030216463</v>
      </c>
      <c r="Y20" s="2">
        <f t="shared" ca="1" si="8"/>
        <v>0</v>
      </c>
      <c r="Z20" s="2">
        <f t="shared" ca="1" si="8"/>
        <v>0</v>
      </c>
      <c r="AA20" s="2">
        <f t="shared" ca="1" si="8"/>
        <v>0</v>
      </c>
      <c r="AB20" s="2">
        <f t="shared" ca="1" si="8"/>
        <v>0</v>
      </c>
      <c r="AC20" s="2">
        <f t="shared" ca="1" si="8"/>
        <v>5000</v>
      </c>
      <c r="AD20" s="2">
        <f t="shared" ca="1" si="8"/>
        <v>0</v>
      </c>
      <c r="AE20" s="2">
        <f t="shared" ca="1" si="8"/>
        <v>0</v>
      </c>
      <c r="AF20" s="2">
        <f t="shared" ca="1" si="8"/>
        <v>0</v>
      </c>
      <c r="AG20" s="2">
        <f t="shared" ca="1" si="8"/>
        <v>5000</v>
      </c>
      <c r="AH20" s="2">
        <f t="shared" ca="1" si="8"/>
        <v>0</v>
      </c>
      <c r="AI20" s="2">
        <f t="shared" ca="1" si="8"/>
        <v>1000</v>
      </c>
      <c r="AJ20" s="2">
        <f t="shared" ca="1" si="8"/>
        <v>1060.637385528132</v>
      </c>
      <c r="AK20" s="2">
        <f t="shared" ref="AK20:BQ20" ca="1" si="9">AK$26</f>
        <v>6122.817370018367</v>
      </c>
      <c r="AL20" s="2">
        <f t="shared" ca="1" si="9"/>
        <v>1190.9020797618532</v>
      </c>
      <c r="AM20" s="2">
        <f t="shared" ca="1" si="9"/>
        <v>1263.1152682986267</v>
      </c>
      <c r="AN20" s="2">
        <f t="shared" ca="1" si="9"/>
        <v>6337.1655411476058</v>
      </c>
      <c r="AO20" s="2">
        <f t="shared" ca="1" si="9"/>
        <v>1418.2477635811072</v>
      </c>
      <c r="AP20" s="2">
        <f t="shared" ca="1" si="9"/>
        <v>6501.3926961905418</v>
      </c>
      <c r="AQ20" s="2">
        <f t="shared" ca="1" si="9"/>
        <v>1592.4332239385687</v>
      </c>
      <c r="AR20" s="2">
        <f t="shared" ca="1" si="9"/>
        <v>1688.9942112663377</v>
      </c>
      <c r="AS20" s="2">
        <f t="shared" ca="1" si="9"/>
        <v>6781.7974362806781</v>
      </c>
      <c r="AT20" s="2">
        <f t="shared" ca="1" si="9"/>
        <v>1889.5370233838521</v>
      </c>
      <c r="AU20" s="2">
        <f t="shared" ca="1" si="9"/>
        <v>2000</v>
      </c>
      <c r="AV20" s="2">
        <f t="shared" ca="1" si="9"/>
        <v>7123.1161664062074</v>
      </c>
      <c r="AW20" s="2">
        <f t="shared" ca="1" si="9"/>
        <v>2247.4089271664079</v>
      </c>
      <c r="AX20" s="2">
        <f t="shared" ca="1" si="9"/>
        <v>7383.4939697312529</v>
      </c>
      <c r="AY20" s="2">
        <f t="shared" ca="1" si="9"/>
        <v>2527.8192299912498</v>
      </c>
      <c r="AZ20" s="2">
        <f t="shared" ca="1" si="9"/>
        <v>7675.8043641867862</v>
      </c>
      <c r="BA20" s="2">
        <f t="shared" ca="1" si="9"/>
        <v>7837.8295952846602</v>
      </c>
      <c r="BB20" s="2">
        <f t="shared" ca="1" si="9"/>
        <v>3003.9635452521661</v>
      </c>
      <c r="BC20" s="2">
        <f t="shared" ca="1" si="9"/>
        <v>8187.5439973292669</v>
      </c>
      <c r="BD20" s="2">
        <f t="shared" ca="1" si="9"/>
        <v>8380.6467402188136</v>
      </c>
      <c r="BE20" s="2">
        <f t="shared" ca="1" si="9"/>
        <v>3565.0976806730232</v>
      </c>
      <c r="BF20" s="2">
        <f t="shared" ca="1" si="9"/>
        <v>8781.0727829410807</v>
      </c>
      <c r="BG20" s="2">
        <f t="shared" ca="1" si="9"/>
        <v>9902.530534348698</v>
      </c>
      <c r="BH20" s="2">
        <f t="shared" ca="1" si="9"/>
        <v>10199.579148047453</v>
      </c>
      <c r="BI20" s="2">
        <f t="shared" ca="1" si="9"/>
        <v>10504.171463878069</v>
      </c>
      <c r="BJ20" s="2">
        <f t="shared" ca="1" si="9"/>
        <v>10837.674032766308</v>
      </c>
      <c r="BK20" s="2">
        <f t="shared" ca="1" si="9"/>
        <v>11191.383817022494</v>
      </c>
      <c r="BL20" s="2">
        <f t="shared" ca="1" si="9"/>
        <v>11554.076243400472</v>
      </c>
      <c r="BM20" s="2">
        <f t="shared" ca="1" si="9"/>
        <v>11951.193471182105</v>
      </c>
      <c r="BN20" s="2">
        <f t="shared" ca="1" si="9"/>
        <v>12358.395695808518</v>
      </c>
      <c r="BO20" s="2">
        <f t="shared" ca="1" si="9"/>
        <v>12806.939616088344</v>
      </c>
      <c r="BP20" s="2">
        <f t="shared" ca="1" si="9"/>
        <v>13280.059629556923</v>
      </c>
      <c r="BQ20" s="2">
        <f t="shared" ca="1" si="9"/>
        <v>13732.498326711473</v>
      </c>
    </row>
    <row r="21" spans="1:69" s="32" customFormat="1">
      <c r="A21" s="48"/>
      <c r="B21" s="48"/>
      <c r="C21" s="68"/>
      <c r="D21" s="69"/>
      <c r="E21" s="11" t="s">
        <v>315</v>
      </c>
      <c r="F21" s="11"/>
      <c r="G21" s="11" t="s">
        <v>122</v>
      </c>
      <c r="H21" s="11"/>
      <c r="I21" s="11">
        <f t="shared" ref="I21:AN21" si="10">IF(I16=0,$F15,I17+I18+I19-I20)</f>
        <v>0</v>
      </c>
      <c r="J21" s="11">
        <f t="shared" ca="1" si="10"/>
        <v>500</v>
      </c>
      <c r="K21" s="11">
        <f t="shared" ca="1" si="10"/>
        <v>1030.3186927640659</v>
      </c>
      <c r="L21" s="11">
        <f t="shared" ca="1" si="10"/>
        <v>1591.7273777732489</v>
      </c>
      <c r="M21" s="11">
        <f t="shared" ca="1" si="10"/>
        <v>2187.1784176541755</v>
      </c>
      <c r="N21" s="11">
        <f t="shared" ca="1" si="10"/>
        <v>2818.7360518034889</v>
      </c>
      <c r="O21" s="11">
        <f t="shared" ca="1" si="10"/>
        <v>3487.3188223772922</v>
      </c>
      <c r="P21" s="11">
        <f t="shared" ca="1" si="10"/>
        <v>4196.4427041678455</v>
      </c>
      <c r="Q21" s="11">
        <f t="shared" ca="1" si="10"/>
        <v>750.69634809527088</v>
      </c>
      <c r="R21" s="11">
        <f t="shared" ca="1" si="10"/>
        <v>796.21661196928426</v>
      </c>
      <c r="S21" s="11">
        <f t="shared" ca="1" si="10"/>
        <v>1587.8527698655694</v>
      </c>
      <c r="T21" s="11">
        <f t="shared" ca="1" si="10"/>
        <v>2478.7514880059089</v>
      </c>
      <c r="U21" s="11">
        <f t="shared" ca="1" si="10"/>
        <v>3423.5199996978349</v>
      </c>
      <c r="V21" s="11">
        <f t="shared" ca="1" si="10"/>
        <v>4423.5199996978354</v>
      </c>
      <c r="W21" s="11">
        <f t="shared" ca="1" si="10"/>
        <v>1061.5580832031037</v>
      </c>
      <c r="X21" s="11">
        <f t="shared" ca="1" si="10"/>
        <v>1608.782546484143</v>
      </c>
      <c r="Y21" s="11">
        <f t="shared" ca="1" si="10"/>
        <v>2800.5295313497695</v>
      </c>
      <c r="Z21" s="11">
        <f t="shared" ca="1" si="10"/>
        <v>4064.4391463453944</v>
      </c>
      <c r="AA21" s="11">
        <f t="shared" ca="1" si="10"/>
        <v>5402.341328438788</v>
      </c>
      <c r="AB21" s="11">
        <f t="shared" ca="1" si="10"/>
        <v>6821.2561260811181</v>
      </c>
      <c r="AC21" s="11">
        <f t="shared" ca="1" si="10"/>
        <v>3323.2378987072007</v>
      </c>
      <c r="AD21" s="11">
        <f t="shared" ca="1" si="10"/>
        <v>4917.0098973718341</v>
      </c>
      <c r="AE21" s="11">
        <f t="shared" ca="1" si="10"/>
        <v>6607.3332674812409</v>
      </c>
      <c r="AF21" s="11">
        <f t="shared" ca="1" si="10"/>
        <v>8389.8821078177534</v>
      </c>
      <c r="AG21" s="11">
        <f t="shared" ca="1" si="10"/>
        <v>5280.4184992882947</v>
      </c>
      <c r="AH21" s="11">
        <f t="shared" ca="1" si="10"/>
        <v>7731.6837664626437</v>
      </c>
      <c r="AI21" s="11">
        <f t="shared" ca="1" si="10"/>
        <v>9331.4733404863691</v>
      </c>
      <c r="AJ21" s="11">
        <f t="shared" ca="1" si="10"/>
        <v>11022.921686897271</v>
      </c>
      <c r="AK21" s="11">
        <f t="shared" ca="1" si="10"/>
        <v>7818.941333262057</v>
      </c>
      <c r="AL21" s="11">
        <f t="shared" ca="1" si="10"/>
        <v>9723.7311620114488</v>
      </c>
      <c r="AM21" s="11">
        <f t="shared" ca="1" si="10"/>
        <v>11737.654015413058</v>
      </c>
      <c r="AN21" s="11">
        <f t="shared" ca="1" si="10"/>
        <v>8876.0852098565028</v>
      </c>
      <c r="AO21" s="11">
        <f t="shared" ref="AO21:BT21" ca="1" si="11">IF(AO16=0,$F15,AO17+AO18+AO19-AO20)</f>
        <v>11137.035294179654</v>
      </c>
      <c r="AP21" s="11">
        <f t="shared" ca="1" si="11"/>
        <v>8539.1124060332841</v>
      </c>
      <c r="AQ21" s="11">
        <f t="shared" ca="1" si="11"/>
        <v>11086.708996873176</v>
      </c>
      <c r="AR21" s="11">
        <f t="shared" ca="1" si="11"/>
        <v>13763.963948962575</v>
      </c>
      <c r="AS21" s="11">
        <f t="shared" ca="1" si="11"/>
        <v>11612.884499067255</v>
      </c>
      <c r="AT21" s="11">
        <f t="shared" ca="1" si="11"/>
        <v>14625.245659482582</v>
      </c>
      <c r="AU21" s="11">
        <f t="shared" ca="1" si="11"/>
        <v>17825.039732757017</v>
      </c>
      <c r="AV21" s="11">
        <f t="shared" ca="1" si="11"/>
        <v>16206.302114853477</v>
      </c>
      <c r="AW21" s="11">
        <f t="shared" ca="1" si="11"/>
        <v>19796.764460323608</v>
      </c>
      <c r="AX21" s="11">
        <f t="shared" ca="1" si="11"/>
        <v>18604.839748382903</v>
      </c>
      <c r="AY21" s="11">
        <f t="shared" ca="1" si="11"/>
        <v>22631.268734313388</v>
      </c>
      <c r="AZ21" s="11">
        <f t="shared" ca="1" si="11"/>
        <v>21906.813566747762</v>
      </c>
      <c r="BA21" s="11">
        <f t="shared" ca="1" si="11"/>
        <v>21427.517195321179</v>
      </c>
      <c r="BB21" s="11">
        <f t="shared" ca="1" si="11"/>
        <v>26230.895037101749</v>
      </c>
      <c r="BC21" s="11">
        <f t="shared" ca="1" si="11"/>
        <v>26323.80956201446</v>
      </c>
      <c r="BD21" s="11">
        <f t="shared" ca="1" si="11"/>
        <v>26675.548404206747</v>
      </c>
      <c r="BE21" s="11">
        <f t="shared" ca="1" si="11"/>
        <v>32372.010202025675</v>
      </c>
      <c r="BF21" s="11">
        <f t="shared" ca="1" si="11"/>
        <v>33395.1135253951</v>
      </c>
      <c r="BG21" s="11">
        <f t="shared" ca="1" si="11"/>
        <v>33890.882436441323</v>
      </c>
      <c r="BH21" s="11">
        <f t="shared" ca="1" si="11"/>
        <v>34698.818731012048</v>
      </c>
      <c r="BI21" s="11">
        <f t="shared" ca="1" si="11"/>
        <v>35869.207219607117</v>
      </c>
      <c r="BJ21" s="11">
        <f t="shared" ca="1" si="11"/>
        <v>37413.559885219496</v>
      </c>
      <c r="BK21" s="11">
        <f t="shared" ca="1" si="11"/>
        <v>39329.641460602288</v>
      </c>
      <c r="BL21" s="11">
        <f t="shared" ca="1" si="11"/>
        <v>41677.330004879172</v>
      </c>
      <c r="BM21" s="11">
        <f t="shared" ca="1" si="11"/>
        <v>44442.378495579731</v>
      </c>
      <c r="BN21" s="11">
        <f t="shared" ca="1" si="11"/>
        <v>47678.178177315582</v>
      </c>
      <c r="BO21" s="11">
        <f t="shared" ca="1" si="11"/>
        <v>51410.1776100282</v>
      </c>
      <c r="BP21" s="11">
        <f t="shared" ca="1" si="11"/>
        <v>55598.504988489847</v>
      </c>
      <c r="BQ21" s="11">
        <f t="shared" ca="1" si="11"/>
        <v>60392.68148681907</v>
      </c>
    </row>
    <row r="23" spans="1:69">
      <c r="B23" s="22" t="s">
        <v>217</v>
      </c>
    </row>
    <row r="24" spans="1:69">
      <c r="A24" s="17"/>
      <c r="B24" s="17"/>
      <c r="C24" s="26"/>
      <c r="D24" s="27"/>
      <c r="E24" s="4" t="str">
        <f>Inventory!E$51</f>
        <v>Units in stock BEG</v>
      </c>
      <c r="F24" s="4">
        <f>Inventory!F$51</f>
        <v>0</v>
      </c>
      <c r="G24" s="4" t="str">
        <f>Inventory!G$51</f>
        <v>Units</v>
      </c>
      <c r="H24" s="4">
        <f>Inventory!H$51</f>
        <v>0</v>
      </c>
      <c r="I24" s="4">
        <f>Inventory!I$51</f>
        <v>0</v>
      </c>
      <c r="J24" s="4">
        <f>Inventory!J$51</f>
        <v>0</v>
      </c>
      <c r="K24" s="4">
        <f ca="1">Inventory!K$51</f>
        <v>0</v>
      </c>
      <c r="L24" s="4">
        <f ca="1">Inventory!L$51</f>
        <v>0</v>
      </c>
      <c r="M24" s="4">
        <f ca="1">Inventory!M$51</f>
        <v>0</v>
      </c>
      <c r="N24" s="4">
        <f ca="1">Inventory!N$51</f>
        <v>0</v>
      </c>
      <c r="O24" s="4">
        <f ca="1">Inventory!O$51</f>
        <v>0</v>
      </c>
      <c r="P24" s="4">
        <f ca="1">Inventory!P$51</f>
        <v>0</v>
      </c>
      <c r="Q24" s="4">
        <f ca="1">Inventory!Q$51</f>
        <v>5000</v>
      </c>
      <c r="R24" s="4">
        <f ca="1">Inventory!R$51</f>
        <v>803.55729583215452</v>
      </c>
      <c r="S24" s="4">
        <f ca="1">Inventory!S$51</f>
        <v>52.860947736883645</v>
      </c>
      <c r="T24" s="4">
        <f ca="1">Inventory!T$51</f>
        <v>0</v>
      </c>
      <c r="U24" s="4">
        <f ca="1">Inventory!U$51</f>
        <v>0</v>
      </c>
      <c r="V24" s="4">
        <f ca="1">Inventory!V$51</f>
        <v>0</v>
      </c>
      <c r="W24" s="4">
        <f ca="1">Inventory!W$51</f>
        <v>5000</v>
      </c>
      <c r="X24" s="4">
        <f ca="1">Inventory!X$51</f>
        <v>576.48000030216463</v>
      </c>
      <c r="Y24" s="4">
        <f ca="1">Inventory!Y$51</f>
        <v>0</v>
      </c>
      <c r="Z24" s="4">
        <f ca="1">Inventory!Z$51</f>
        <v>0</v>
      </c>
      <c r="AA24" s="4">
        <f ca="1">Inventory!AA$51</f>
        <v>0</v>
      </c>
      <c r="AB24" s="4">
        <f ca="1">Inventory!AB$51</f>
        <v>0</v>
      </c>
      <c r="AC24" s="4">
        <f ca="1">Inventory!AC$51</f>
        <v>5000</v>
      </c>
      <c r="AD24" s="4">
        <f ca="1">Inventory!AD$51</f>
        <v>0</v>
      </c>
      <c r="AE24" s="4">
        <f ca="1">Inventory!AE$51</f>
        <v>0</v>
      </c>
      <c r="AF24" s="4">
        <f ca="1">Inventory!AF$51</f>
        <v>0</v>
      </c>
      <c r="AG24" s="4">
        <f ca="1">Inventory!AG$51</f>
        <v>5000</v>
      </c>
      <c r="AH24" s="4">
        <f ca="1">Inventory!AH$51</f>
        <v>0</v>
      </c>
      <c r="AI24" s="4">
        <f ca="1">Inventory!AI$51</f>
        <v>1000</v>
      </c>
      <c r="AJ24" s="4">
        <f ca="1">Inventory!AJ$51</f>
        <v>1060.637385528132</v>
      </c>
      <c r="AK24" s="4">
        <f ca="1">Inventory!AK$51</f>
        <v>6122.817370018367</v>
      </c>
      <c r="AL24" s="4">
        <f ca="1">Inventory!AL$51</f>
        <v>1190.9020797618532</v>
      </c>
      <c r="AM24" s="4">
        <f ca="1">Inventory!AM$51</f>
        <v>1263.1152682986267</v>
      </c>
      <c r="AN24" s="4">
        <f ca="1">Inventory!AN$51</f>
        <v>6337.1655411476058</v>
      </c>
      <c r="AO24" s="4">
        <f ca="1">Inventory!AO$51</f>
        <v>1418.2477635811072</v>
      </c>
      <c r="AP24" s="4">
        <f ca="1">Inventory!AP$51</f>
        <v>6501.3926961905418</v>
      </c>
      <c r="AQ24" s="4">
        <f ca="1">Inventory!AQ$51</f>
        <v>1592.4332239385687</v>
      </c>
      <c r="AR24" s="4">
        <f ca="1">Inventory!AR$51</f>
        <v>1688.9942112663377</v>
      </c>
      <c r="AS24" s="4">
        <f ca="1">Inventory!AS$51</f>
        <v>6781.7974362806781</v>
      </c>
      <c r="AT24" s="4">
        <f ca="1">Inventory!AT$51</f>
        <v>1889.5370233838521</v>
      </c>
      <c r="AU24" s="4">
        <f ca="1">Inventory!AU$51</f>
        <v>2000</v>
      </c>
      <c r="AV24" s="4">
        <f ca="1">Inventory!AV$51</f>
        <v>7123.1161664062074</v>
      </c>
      <c r="AW24" s="4">
        <f ca="1">Inventory!AW$51</f>
        <v>2247.4089271664079</v>
      </c>
      <c r="AX24" s="4">
        <f ca="1">Inventory!AX$51</f>
        <v>7383.4939697312529</v>
      </c>
      <c r="AY24" s="4">
        <f ca="1">Inventory!AY$51</f>
        <v>2527.8192299912498</v>
      </c>
      <c r="AZ24" s="4">
        <f ca="1">Inventory!AZ$51</f>
        <v>7675.8043641867862</v>
      </c>
      <c r="BA24" s="4">
        <f ca="1">Inventory!BA$51</f>
        <v>7837.8295952846602</v>
      </c>
      <c r="BB24" s="4">
        <f ca="1">Inventory!BB$51</f>
        <v>3003.9635452521661</v>
      </c>
      <c r="BC24" s="4">
        <f ca="1">Inventory!BC$51</f>
        <v>8187.5439973292669</v>
      </c>
      <c r="BD24" s="4">
        <f ca="1">Inventory!BD$51</f>
        <v>8380.6467402188136</v>
      </c>
      <c r="BE24" s="4">
        <f ca="1">Inventory!BE$51</f>
        <v>3565.0976806730232</v>
      </c>
      <c r="BF24" s="4">
        <f ca="1">Inventory!BF$51</f>
        <v>8781.0727829410807</v>
      </c>
      <c r="BG24" s="4">
        <f ca="1">Inventory!BG$51</f>
        <v>9902.530534348698</v>
      </c>
      <c r="BH24" s="4">
        <f ca="1">Inventory!BH$51</f>
        <v>10199.579148047453</v>
      </c>
      <c r="BI24" s="4">
        <f ca="1">Inventory!BI$51</f>
        <v>10504.171463878069</v>
      </c>
      <c r="BJ24" s="4">
        <f ca="1">Inventory!BJ$51</f>
        <v>10837.674032766308</v>
      </c>
      <c r="BK24" s="4">
        <f ca="1">Inventory!BK$51</f>
        <v>11191.383817022494</v>
      </c>
      <c r="BL24" s="4">
        <f ca="1">Inventory!BL$51</f>
        <v>11554.076243400472</v>
      </c>
      <c r="BM24" s="4">
        <f ca="1">Inventory!BM$51</f>
        <v>11951.193471182105</v>
      </c>
      <c r="BN24" s="4">
        <f ca="1">Inventory!BN$51</f>
        <v>12358.395695808518</v>
      </c>
      <c r="BO24" s="4">
        <f ca="1">Inventory!BO$51</f>
        <v>12806.939616088344</v>
      </c>
      <c r="BP24" s="4">
        <f ca="1">Inventory!BP$51</f>
        <v>13280.059629556923</v>
      </c>
      <c r="BQ24" s="4">
        <f ca="1">Inventory!BQ$51</f>
        <v>13732.498326711473</v>
      </c>
    </row>
    <row r="25" spans="1:69">
      <c r="E25" s="2" t="str">
        <f t="shared" ref="E25:AJ25" si="12">E$17</f>
        <v>Customer Orders Awaiting Fullfilment BEG</v>
      </c>
      <c r="F25" s="2">
        <f t="shared" si="12"/>
        <v>0</v>
      </c>
      <c r="G25" s="2" t="str">
        <f t="shared" si="12"/>
        <v>Units</v>
      </c>
      <c r="H25" s="2">
        <f t="shared" si="12"/>
        <v>0</v>
      </c>
      <c r="I25" s="2">
        <f t="shared" si="12"/>
        <v>0</v>
      </c>
      <c r="J25" s="2">
        <f t="shared" si="12"/>
        <v>0</v>
      </c>
      <c r="K25" s="2">
        <f t="shared" ca="1" si="12"/>
        <v>500</v>
      </c>
      <c r="L25" s="2">
        <f t="shared" ca="1" si="12"/>
        <v>1030.3186927640659</v>
      </c>
      <c r="M25" s="2">
        <f t="shared" ca="1" si="12"/>
        <v>1591.7273777732489</v>
      </c>
      <c r="N25" s="2">
        <f t="shared" ca="1" si="12"/>
        <v>2187.1784176541755</v>
      </c>
      <c r="O25" s="2">
        <f t="shared" ca="1" si="12"/>
        <v>2818.7360518034889</v>
      </c>
      <c r="P25" s="2">
        <f t="shared" ca="1" si="12"/>
        <v>3487.3188223772922</v>
      </c>
      <c r="Q25" s="2">
        <f t="shared" ca="1" si="12"/>
        <v>4196.4427041678455</v>
      </c>
      <c r="R25" s="2">
        <f t="shared" ca="1" si="12"/>
        <v>750.69634809527088</v>
      </c>
      <c r="S25" s="2">
        <f t="shared" ca="1" si="12"/>
        <v>796.21661196928426</v>
      </c>
      <c r="T25" s="2">
        <f t="shared" ca="1" si="12"/>
        <v>1587.8527698655694</v>
      </c>
      <c r="U25" s="2">
        <f t="shared" ca="1" si="12"/>
        <v>2478.7514880059089</v>
      </c>
      <c r="V25" s="2">
        <f t="shared" ca="1" si="12"/>
        <v>3423.5199996978349</v>
      </c>
      <c r="W25" s="2">
        <f t="shared" ca="1" si="12"/>
        <v>4423.5199996978354</v>
      </c>
      <c r="X25" s="2">
        <f t="shared" ca="1" si="12"/>
        <v>1061.5580832031037</v>
      </c>
      <c r="Y25" s="2">
        <f t="shared" ca="1" si="12"/>
        <v>1608.782546484143</v>
      </c>
      <c r="Z25" s="2">
        <f t="shared" ca="1" si="12"/>
        <v>2800.5295313497695</v>
      </c>
      <c r="AA25" s="2">
        <f t="shared" ca="1" si="12"/>
        <v>4064.4391463453944</v>
      </c>
      <c r="AB25" s="2">
        <f t="shared" ca="1" si="12"/>
        <v>5402.341328438788</v>
      </c>
      <c r="AC25" s="2">
        <f t="shared" ca="1" si="12"/>
        <v>6821.2561260811181</v>
      </c>
      <c r="AD25" s="2">
        <f t="shared" ca="1" si="12"/>
        <v>3323.2378987072007</v>
      </c>
      <c r="AE25" s="2">
        <f t="shared" ca="1" si="12"/>
        <v>4917.0098973718341</v>
      </c>
      <c r="AF25" s="2">
        <f t="shared" ca="1" si="12"/>
        <v>6607.3332674812409</v>
      </c>
      <c r="AG25" s="2">
        <f t="shared" ca="1" si="12"/>
        <v>8389.8821078177534</v>
      </c>
      <c r="AH25" s="2">
        <f t="shared" ca="1" si="12"/>
        <v>5280.4184992882947</v>
      </c>
      <c r="AI25" s="2">
        <f t="shared" ca="1" si="12"/>
        <v>7731.6837664626437</v>
      </c>
      <c r="AJ25" s="2">
        <f t="shared" ca="1" si="12"/>
        <v>9331.4733404863691</v>
      </c>
      <c r="AK25" s="2">
        <f t="shared" ref="AK25:BQ25" ca="1" si="13">AK$17</f>
        <v>11022.921686897271</v>
      </c>
      <c r="AL25" s="2">
        <f t="shared" ca="1" si="13"/>
        <v>7818.941333262057</v>
      </c>
      <c r="AM25" s="2">
        <f t="shared" ca="1" si="13"/>
        <v>9723.7311620114488</v>
      </c>
      <c r="AN25" s="2">
        <f t="shared" ca="1" si="13"/>
        <v>11737.654015413058</v>
      </c>
      <c r="AO25" s="2">
        <f t="shared" ca="1" si="13"/>
        <v>8876.0852098565028</v>
      </c>
      <c r="AP25" s="2">
        <f t="shared" ca="1" si="13"/>
        <v>11137.035294179654</v>
      </c>
      <c r="AQ25" s="2">
        <f t="shared" ca="1" si="13"/>
        <v>8539.1124060332841</v>
      </c>
      <c r="AR25" s="2">
        <f t="shared" ca="1" si="13"/>
        <v>11086.708996873176</v>
      </c>
      <c r="AS25" s="2">
        <f t="shared" ca="1" si="13"/>
        <v>13763.963948962575</v>
      </c>
      <c r="AT25" s="2">
        <f t="shared" ca="1" si="13"/>
        <v>11612.884499067255</v>
      </c>
      <c r="AU25" s="2">
        <f t="shared" ca="1" si="13"/>
        <v>14625.245659482582</v>
      </c>
      <c r="AV25" s="2">
        <f t="shared" ca="1" si="13"/>
        <v>17825.039732757017</v>
      </c>
      <c r="AW25" s="2">
        <f t="shared" ca="1" si="13"/>
        <v>16206.302114853477</v>
      </c>
      <c r="AX25" s="2">
        <f t="shared" ca="1" si="13"/>
        <v>19796.764460323608</v>
      </c>
      <c r="AY25" s="2">
        <f t="shared" ca="1" si="13"/>
        <v>18604.839748382903</v>
      </c>
      <c r="AZ25" s="2">
        <f t="shared" ca="1" si="13"/>
        <v>22631.268734313388</v>
      </c>
      <c r="BA25" s="2">
        <f t="shared" ca="1" si="13"/>
        <v>21906.813566747762</v>
      </c>
      <c r="BB25" s="2">
        <f t="shared" ca="1" si="13"/>
        <v>21427.517195321179</v>
      </c>
      <c r="BC25" s="2">
        <f t="shared" ca="1" si="13"/>
        <v>26230.895037101749</v>
      </c>
      <c r="BD25" s="2">
        <f t="shared" ca="1" si="13"/>
        <v>26323.80956201446</v>
      </c>
      <c r="BE25" s="2">
        <f t="shared" ca="1" si="13"/>
        <v>26675.548404206747</v>
      </c>
      <c r="BF25" s="2">
        <f t="shared" ca="1" si="13"/>
        <v>32372.010202025675</v>
      </c>
      <c r="BG25" s="2">
        <f t="shared" ca="1" si="13"/>
        <v>33395.1135253951</v>
      </c>
      <c r="BH25" s="2">
        <f t="shared" ca="1" si="13"/>
        <v>33890.882436441323</v>
      </c>
      <c r="BI25" s="2">
        <f t="shared" ca="1" si="13"/>
        <v>34698.818731012048</v>
      </c>
      <c r="BJ25" s="2">
        <f t="shared" ca="1" si="13"/>
        <v>35869.207219607117</v>
      </c>
      <c r="BK25" s="2">
        <f t="shared" ca="1" si="13"/>
        <v>37413.559885219496</v>
      </c>
      <c r="BL25" s="2">
        <f t="shared" ca="1" si="13"/>
        <v>39329.641460602288</v>
      </c>
      <c r="BM25" s="2">
        <f t="shared" ca="1" si="13"/>
        <v>41677.330004879172</v>
      </c>
      <c r="BN25" s="2">
        <f t="shared" ca="1" si="13"/>
        <v>44442.378495579731</v>
      </c>
      <c r="BO25" s="2">
        <f t="shared" ca="1" si="13"/>
        <v>47678.178177315582</v>
      </c>
      <c r="BP25" s="2">
        <f t="shared" ca="1" si="13"/>
        <v>51410.1776100282</v>
      </c>
      <c r="BQ25" s="2">
        <f t="shared" ca="1" si="13"/>
        <v>55598.504988489847</v>
      </c>
    </row>
    <row r="26" spans="1:69">
      <c r="A26" s="31"/>
      <c r="B26" s="31"/>
      <c r="C26" s="51"/>
      <c r="D26" s="50"/>
      <c r="E26" s="3" t="s">
        <v>217</v>
      </c>
      <c r="F26" s="3"/>
      <c r="G26" s="3" t="s">
        <v>122</v>
      </c>
      <c r="H26" s="3">
        <f ca="1">SUM(J26:BQ26)</f>
        <v>253879.33897738747</v>
      </c>
      <c r="I26" s="3"/>
      <c r="J26" s="3">
        <f t="shared" ref="J26:AO26" si="14">IF(J24&gt;0,IF(J25&gt;J24,J24,J25),0)</f>
        <v>0</v>
      </c>
      <c r="K26" s="3">
        <f t="shared" ca="1" si="14"/>
        <v>0</v>
      </c>
      <c r="L26" s="3">
        <f t="shared" ca="1" si="14"/>
        <v>0</v>
      </c>
      <c r="M26" s="3">
        <f t="shared" ca="1" si="14"/>
        <v>0</v>
      </c>
      <c r="N26" s="3">
        <f t="shared" ca="1" si="14"/>
        <v>0</v>
      </c>
      <c r="O26" s="3">
        <f t="shared" ca="1" si="14"/>
        <v>0</v>
      </c>
      <c r="P26" s="3">
        <f t="shared" ca="1" si="14"/>
        <v>0</v>
      </c>
      <c r="Q26" s="3">
        <f t="shared" ca="1" si="14"/>
        <v>4196.4427041678455</v>
      </c>
      <c r="R26" s="3">
        <f t="shared" ca="1" si="14"/>
        <v>750.69634809527088</v>
      </c>
      <c r="S26" s="3">
        <f t="shared" ca="1" si="14"/>
        <v>52.860947736883645</v>
      </c>
      <c r="T26" s="3">
        <f t="shared" ca="1" si="14"/>
        <v>0</v>
      </c>
      <c r="U26" s="3">
        <f t="shared" ca="1" si="14"/>
        <v>0</v>
      </c>
      <c r="V26" s="3">
        <f t="shared" ca="1" si="14"/>
        <v>0</v>
      </c>
      <c r="W26" s="3">
        <f t="shared" ca="1" si="14"/>
        <v>4423.5199996978354</v>
      </c>
      <c r="X26" s="3">
        <f t="shared" ca="1" si="14"/>
        <v>576.48000030216463</v>
      </c>
      <c r="Y26" s="3">
        <f t="shared" ca="1" si="14"/>
        <v>0</v>
      </c>
      <c r="Z26" s="3">
        <f t="shared" ca="1" si="14"/>
        <v>0</v>
      </c>
      <c r="AA26" s="3">
        <f t="shared" ca="1" si="14"/>
        <v>0</v>
      </c>
      <c r="AB26" s="3">
        <f t="shared" ca="1" si="14"/>
        <v>0</v>
      </c>
      <c r="AC26" s="3">
        <f t="shared" ca="1" si="14"/>
        <v>5000</v>
      </c>
      <c r="AD26" s="3">
        <f t="shared" ca="1" si="14"/>
        <v>0</v>
      </c>
      <c r="AE26" s="3">
        <f t="shared" ca="1" si="14"/>
        <v>0</v>
      </c>
      <c r="AF26" s="3">
        <f t="shared" ca="1" si="14"/>
        <v>0</v>
      </c>
      <c r="AG26" s="3">
        <f t="shared" ca="1" si="14"/>
        <v>5000</v>
      </c>
      <c r="AH26" s="3">
        <f t="shared" ca="1" si="14"/>
        <v>0</v>
      </c>
      <c r="AI26" s="3">
        <f t="shared" ca="1" si="14"/>
        <v>1000</v>
      </c>
      <c r="AJ26" s="3">
        <f t="shared" ca="1" si="14"/>
        <v>1060.637385528132</v>
      </c>
      <c r="AK26" s="3">
        <f t="shared" ca="1" si="14"/>
        <v>6122.817370018367</v>
      </c>
      <c r="AL26" s="3">
        <f t="shared" ca="1" si="14"/>
        <v>1190.9020797618532</v>
      </c>
      <c r="AM26" s="3">
        <f t="shared" ca="1" si="14"/>
        <v>1263.1152682986267</v>
      </c>
      <c r="AN26" s="3">
        <f t="shared" ca="1" si="14"/>
        <v>6337.1655411476058</v>
      </c>
      <c r="AO26" s="3">
        <f t="shared" ca="1" si="14"/>
        <v>1418.2477635811072</v>
      </c>
      <c r="AP26" s="3">
        <f t="shared" ref="AP26:BU26" ca="1" si="15">IF(AP24&gt;0,IF(AP25&gt;AP24,AP24,AP25),0)</f>
        <v>6501.3926961905418</v>
      </c>
      <c r="AQ26" s="3">
        <f t="shared" ca="1" si="15"/>
        <v>1592.4332239385687</v>
      </c>
      <c r="AR26" s="3">
        <f t="shared" ca="1" si="15"/>
        <v>1688.9942112663377</v>
      </c>
      <c r="AS26" s="3">
        <f t="shared" ca="1" si="15"/>
        <v>6781.7974362806781</v>
      </c>
      <c r="AT26" s="3">
        <f t="shared" ca="1" si="15"/>
        <v>1889.5370233838521</v>
      </c>
      <c r="AU26" s="3">
        <f t="shared" ca="1" si="15"/>
        <v>2000</v>
      </c>
      <c r="AV26" s="3">
        <f t="shared" ca="1" si="15"/>
        <v>7123.1161664062074</v>
      </c>
      <c r="AW26" s="3">
        <f t="shared" ca="1" si="15"/>
        <v>2247.4089271664079</v>
      </c>
      <c r="AX26" s="3">
        <f t="shared" ca="1" si="15"/>
        <v>7383.4939697312529</v>
      </c>
      <c r="AY26" s="3">
        <f t="shared" ca="1" si="15"/>
        <v>2527.8192299912498</v>
      </c>
      <c r="AZ26" s="3">
        <f t="shared" ca="1" si="15"/>
        <v>7675.8043641867862</v>
      </c>
      <c r="BA26" s="3">
        <f t="shared" ca="1" si="15"/>
        <v>7837.8295952846602</v>
      </c>
      <c r="BB26" s="3">
        <f t="shared" ca="1" si="15"/>
        <v>3003.9635452521661</v>
      </c>
      <c r="BC26" s="3">
        <f t="shared" ca="1" si="15"/>
        <v>8187.5439973292669</v>
      </c>
      <c r="BD26" s="3">
        <f t="shared" ca="1" si="15"/>
        <v>8380.6467402188136</v>
      </c>
      <c r="BE26" s="3">
        <f t="shared" ca="1" si="15"/>
        <v>3565.0976806730232</v>
      </c>
      <c r="BF26" s="3">
        <f t="shared" ca="1" si="15"/>
        <v>8781.0727829410807</v>
      </c>
      <c r="BG26" s="3">
        <f t="shared" ca="1" si="15"/>
        <v>9902.530534348698</v>
      </c>
      <c r="BH26" s="3">
        <f t="shared" ca="1" si="15"/>
        <v>10199.579148047453</v>
      </c>
      <c r="BI26" s="3">
        <f t="shared" ca="1" si="15"/>
        <v>10504.171463878069</v>
      </c>
      <c r="BJ26" s="3">
        <f t="shared" ca="1" si="15"/>
        <v>10837.674032766308</v>
      </c>
      <c r="BK26" s="3">
        <f t="shared" ca="1" si="15"/>
        <v>11191.383817022494</v>
      </c>
      <c r="BL26" s="3">
        <f t="shared" ca="1" si="15"/>
        <v>11554.076243400472</v>
      </c>
      <c r="BM26" s="3">
        <f t="shared" ca="1" si="15"/>
        <v>11951.193471182105</v>
      </c>
      <c r="BN26" s="3">
        <f t="shared" ca="1" si="15"/>
        <v>12358.395695808518</v>
      </c>
      <c r="BO26" s="3">
        <f t="shared" ca="1" si="15"/>
        <v>12806.939616088344</v>
      </c>
      <c r="BP26" s="3">
        <f t="shared" ca="1" si="15"/>
        <v>13280.059629556923</v>
      </c>
      <c r="BQ26" s="3">
        <f t="shared" ca="1" si="15"/>
        <v>13732.498326711473</v>
      </c>
    </row>
    <row r="29" spans="1:69">
      <c r="B29" s="22" t="s">
        <v>336</v>
      </c>
    </row>
    <row r="30" spans="1:69">
      <c r="A30" s="17"/>
      <c r="B30" s="17"/>
      <c r="C30" s="26"/>
      <c r="D30" s="27"/>
      <c r="E30" s="36" t="str">
        <f>InpC!E$14</f>
        <v>Customer Retention</v>
      </c>
      <c r="F30" s="36">
        <f>InpC!F$14</f>
        <v>0.9</v>
      </c>
      <c r="G30" s="36" t="str">
        <f>InpC!G$14</f>
        <v>%</v>
      </c>
      <c r="M30" s="45"/>
    </row>
    <row r="31" spans="1:69">
      <c r="E31" s="2" t="str">
        <f t="shared" ref="E31:AJ31" si="16">E$11</f>
        <v>New customers orders</v>
      </c>
      <c r="F31" s="2">
        <f t="shared" si="16"/>
        <v>0</v>
      </c>
      <c r="G31" s="2" t="str">
        <f t="shared" si="16"/>
        <v>Units</v>
      </c>
      <c r="H31" s="2">
        <f t="shared" si="16"/>
        <v>261181.72293639058</v>
      </c>
      <c r="I31" s="2">
        <f t="shared" si="16"/>
        <v>0</v>
      </c>
      <c r="J31" s="2">
        <f t="shared" si="16"/>
        <v>500</v>
      </c>
      <c r="K31" s="2">
        <f t="shared" si="16"/>
        <v>530.31869276406599</v>
      </c>
      <c r="L31" s="2">
        <f t="shared" si="16"/>
        <v>561.40868500918316</v>
      </c>
      <c r="M31" s="2">
        <f t="shared" si="16"/>
        <v>595.4510398809266</v>
      </c>
      <c r="N31" s="2">
        <f t="shared" si="16"/>
        <v>631.55763414931334</v>
      </c>
      <c r="O31" s="2">
        <f t="shared" si="16"/>
        <v>668.58277057380337</v>
      </c>
      <c r="P31" s="2">
        <f t="shared" si="16"/>
        <v>709.12388179055358</v>
      </c>
      <c r="Q31" s="2">
        <f t="shared" si="16"/>
        <v>750.69634809527076</v>
      </c>
      <c r="R31" s="2">
        <f t="shared" si="16"/>
        <v>796.21661196928437</v>
      </c>
      <c r="S31" s="2">
        <f t="shared" si="16"/>
        <v>844.49710563316887</v>
      </c>
      <c r="T31" s="2">
        <f t="shared" si="16"/>
        <v>890.89871814033927</v>
      </c>
      <c r="U31" s="2">
        <f t="shared" si="16"/>
        <v>944.76851169192605</v>
      </c>
      <c r="V31" s="2">
        <f t="shared" si="16"/>
        <v>1000</v>
      </c>
      <c r="W31" s="2">
        <f t="shared" si="16"/>
        <v>1061.5580832031035</v>
      </c>
      <c r="X31" s="2">
        <f t="shared" si="16"/>
        <v>1123.704463583204</v>
      </c>
      <c r="Y31" s="2">
        <f t="shared" si="16"/>
        <v>1191.7469848656265</v>
      </c>
      <c r="Z31" s="2">
        <f t="shared" si="16"/>
        <v>1263.9096149956249</v>
      </c>
      <c r="AA31" s="2">
        <f t="shared" si="16"/>
        <v>1337.9021820933933</v>
      </c>
      <c r="AB31" s="2">
        <f t="shared" si="16"/>
        <v>1418.9147976423296</v>
      </c>
      <c r="AC31" s="2">
        <f t="shared" si="16"/>
        <v>1501.9817726260831</v>
      </c>
      <c r="AD31" s="2">
        <f t="shared" si="16"/>
        <v>1593.7719986646332</v>
      </c>
      <c r="AE31" s="2">
        <f t="shared" si="16"/>
        <v>1690.3233701094071</v>
      </c>
      <c r="AF31" s="2">
        <f t="shared" si="16"/>
        <v>1782.5488403365116</v>
      </c>
      <c r="AG31" s="2">
        <f t="shared" si="16"/>
        <v>1890.5363914705406</v>
      </c>
      <c r="AH31" s="2">
        <f t="shared" si="16"/>
        <v>2001.2652671743485</v>
      </c>
      <c r="AI31" s="2">
        <f t="shared" si="16"/>
        <v>2122.5027505360667</v>
      </c>
      <c r="AJ31" s="2">
        <f t="shared" si="16"/>
        <v>2246.81791543077</v>
      </c>
      <c r="AK31" s="2">
        <f t="shared" ref="AK31:BQ31" si="17">AK$11</f>
        <v>2382.9310804903203</v>
      </c>
      <c r="AL31" s="2">
        <f t="shared" si="17"/>
        <v>2527.2900377768647</v>
      </c>
      <c r="AM31" s="2">
        <f t="shared" si="17"/>
        <v>2675.3136281838124</v>
      </c>
      <c r="AN31" s="2">
        <f t="shared" si="17"/>
        <v>2837.3852419795539</v>
      </c>
      <c r="AO31" s="2">
        <f t="shared" si="17"/>
        <v>3003.5711346185153</v>
      </c>
      <c r="AP31" s="2">
        <f t="shared" si="17"/>
        <v>3186.8748572718159</v>
      </c>
      <c r="AQ31" s="2">
        <f t="shared" si="17"/>
        <v>3379.98241970861</v>
      </c>
      <c r="AR31" s="2">
        <f t="shared" si="17"/>
        <v>3564.4403170294318</v>
      </c>
      <c r="AS31" s="2">
        <f t="shared" si="17"/>
        <v>3780.4263258626238</v>
      </c>
      <c r="AT31" s="2">
        <f t="shared" si="17"/>
        <v>4001.8981837991764</v>
      </c>
      <c r="AU31" s="2">
        <f t="shared" si="17"/>
        <v>4244.3917983916417</v>
      </c>
      <c r="AV31" s="2">
        <f t="shared" si="17"/>
        <v>4493.0445312777838</v>
      </c>
      <c r="AW31" s="2">
        <f t="shared" si="17"/>
        <v>4765.298986257475</v>
      </c>
      <c r="AX31" s="2">
        <f t="shared" si="17"/>
        <v>5054.050604294488</v>
      </c>
      <c r="AY31" s="2">
        <f t="shared" si="17"/>
        <v>5350.1362520376797</v>
      </c>
      <c r="AZ31" s="2">
        <f t="shared" si="17"/>
        <v>5674.3258787430632</v>
      </c>
      <c r="BA31" s="2">
        <f t="shared" si="17"/>
        <v>6006.7496284946019</v>
      </c>
      <c r="BB31" s="2">
        <f t="shared" si="17"/>
        <v>6372.946588234563</v>
      </c>
      <c r="BC31" s="2">
        <f t="shared" si="17"/>
        <v>6759.1674891435086</v>
      </c>
      <c r="BD31" s="2">
        <f t="shared" si="17"/>
        <v>7128.0916261082357</v>
      </c>
      <c r="BE31" s="2">
        <f t="shared" si="17"/>
        <v>7560.0767261684687</v>
      </c>
      <c r="BF31" s="2">
        <f t="shared" si="17"/>
        <v>8003.0373658535955</v>
      </c>
      <c r="BG31" s="2">
        <f t="shared" si="17"/>
        <v>8488.0469699124624</v>
      </c>
      <c r="BH31" s="2">
        <f t="shared" si="17"/>
        <v>8985.3793187304836</v>
      </c>
      <c r="BI31" s="2">
        <f t="shared" si="17"/>
        <v>9529.921980031846</v>
      </c>
      <c r="BJ31" s="2">
        <f t="shared" si="17"/>
        <v>10107.465664379506</v>
      </c>
      <c r="BK31" s="2">
        <f t="shared" si="17"/>
        <v>10699.683127039856</v>
      </c>
      <c r="BL31" s="2">
        <f t="shared" si="17"/>
        <v>11348.118069895754</v>
      </c>
      <c r="BM31" s="2">
        <f t="shared" si="17"/>
        <v>12013.027940725995</v>
      </c>
      <c r="BN31" s="2">
        <f t="shared" si="17"/>
        <v>12726.008005999736</v>
      </c>
      <c r="BO31" s="2">
        <f t="shared" si="17"/>
        <v>13496.954871063208</v>
      </c>
      <c r="BP31" s="2">
        <f t="shared" si="17"/>
        <v>14260.390722692093</v>
      </c>
      <c r="BQ31" s="2">
        <f t="shared" si="17"/>
        <v>15124.291131764327</v>
      </c>
    </row>
    <row r="32" spans="1:69">
      <c r="A32" s="31"/>
      <c r="B32" s="31"/>
      <c r="C32" s="51"/>
      <c r="D32" s="50"/>
      <c r="E32" s="3" t="s">
        <v>336</v>
      </c>
      <c r="F32" s="3"/>
      <c r="G32" s="3" t="s">
        <v>122</v>
      </c>
      <c r="H32" s="3">
        <f ca="1">SUM(J32:BQ32)</f>
        <v>53090.297527815921</v>
      </c>
      <c r="I32" s="3"/>
      <c r="J32" s="3">
        <f ca="1">$F30*IF(Time!J28&lt;1+24,0,OFFSET(J31,0,-1*(24)))</f>
        <v>0</v>
      </c>
      <c r="K32" s="3">
        <f ca="1">$F30*IF(Time!K28&lt;1+24,0,OFFSET(K31,0,-1*(24)))</f>
        <v>0</v>
      </c>
      <c r="L32" s="3">
        <f ca="1">$F30*IF(Time!L28&lt;1+24,0,OFFSET(L31,0,-1*(24)))</f>
        <v>0</v>
      </c>
      <c r="M32" s="3">
        <f ca="1">$F30*IF(Time!M28&lt;1+24,0,OFFSET(M31,0,-1*(24)))</f>
        <v>0</v>
      </c>
      <c r="N32" s="3">
        <f ca="1">$F30*IF(Time!N28&lt;1+24,0,OFFSET(N31,0,-1*(24)))</f>
        <v>0</v>
      </c>
      <c r="O32" s="3">
        <f ca="1">$F30*IF(Time!O28&lt;1+24,0,OFFSET(O31,0,-1*(24)))</f>
        <v>0</v>
      </c>
      <c r="P32" s="3">
        <f ca="1">$F30*IF(Time!P28&lt;1+24,0,OFFSET(P31,0,-1*(24)))</f>
        <v>0</v>
      </c>
      <c r="Q32" s="3">
        <f ca="1">$F30*IF(Time!Q28&lt;1+24,0,OFFSET(Q31,0,-1*(24)))</f>
        <v>0</v>
      </c>
      <c r="R32" s="3">
        <f ca="1">$F30*IF(Time!R28&lt;1+24,0,OFFSET(R31,0,-1*(24)))</f>
        <v>0</v>
      </c>
      <c r="S32" s="3">
        <f ca="1">$F30*IF(Time!S28&lt;1+24,0,OFFSET(S31,0,-1*(24)))</f>
        <v>0</v>
      </c>
      <c r="T32" s="3">
        <f ca="1">$F30*IF(Time!T28&lt;1+24,0,OFFSET(T31,0,-1*(24)))</f>
        <v>0</v>
      </c>
      <c r="U32" s="3">
        <f ca="1">$F30*IF(Time!U28&lt;1+24,0,OFFSET(U31,0,-1*(24)))</f>
        <v>0</v>
      </c>
      <c r="V32" s="3">
        <f ca="1">$F30*IF(Time!V28&lt;1+24,0,OFFSET(V31,0,-1*(24)))</f>
        <v>0</v>
      </c>
      <c r="W32" s="3">
        <f ca="1">$F30*IF(Time!W28&lt;1+24,0,OFFSET(W31,0,-1*(24)))</f>
        <v>0</v>
      </c>
      <c r="X32" s="3">
        <f ca="1">$F30*IF(Time!X28&lt;1+24,0,OFFSET(X31,0,-1*(24)))</f>
        <v>0</v>
      </c>
      <c r="Y32" s="3">
        <f ca="1">$F30*IF(Time!Y28&lt;1+24,0,OFFSET(Y31,0,-1*(24)))</f>
        <v>0</v>
      </c>
      <c r="Z32" s="3">
        <f ca="1">$F30*IF(Time!Z28&lt;1+24,0,OFFSET(Z31,0,-1*(24)))</f>
        <v>0</v>
      </c>
      <c r="AA32" s="3">
        <f ca="1">$F30*IF(Time!AA28&lt;1+24,0,OFFSET(AA31,0,-1*(24)))</f>
        <v>0</v>
      </c>
      <c r="AB32" s="3">
        <f ca="1">$F30*IF(Time!AB28&lt;1+24,0,OFFSET(AB31,0,-1*(24)))</f>
        <v>0</v>
      </c>
      <c r="AC32" s="3">
        <f ca="1">$F30*IF(Time!AC28&lt;1+24,0,OFFSET(AC31,0,-1*(24)))</f>
        <v>0</v>
      </c>
      <c r="AD32" s="3">
        <f ca="1">$F30*IF(Time!AD28&lt;1+24,0,OFFSET(AD31,0,-1*(24)))</f>
        <v>0</v>
      </c>
      <c r="AE32" s="3">
        <f ca="1">$F30*IF(Time!AE28&lt;1+24,0,OFFSET(AE31,0,-1*(24)))</f>
        <v>0</v>
      </c>
      <c r="AF32" s="3">
        <f ca="1">$F30*IF(Time!AF28&lt;1+24,0,OFFSET(AF31,0,-1*(24)))</f>
        <v>0</v>
      </c>
      <c r="AG32" s="3">
        <f ca="1">$F30*IF(Time!AG28&lt;1+24,0,OFFSET(AG31,0,-1*(24)))</f>
        <v>0</v>
      </c>
      <c r="AH32" s="3">
        <f ca="1">$F30*IF(Time!AH28&lt;1+24,0,OFFSET(AH31,0,-1*(24)))</f>
        <v>450</v>
      </c>
      <c r="AI32" s="3">
        <f ca="1">$F30*IF(Time!AI28&lt;1+24,0,OFFSET(AI31,0,-1*(24)))</f>
        <v>477.28682348765938</v>
      </c>
      <c r="AJ32" s="3">
        <f ca="1">$F30*IF(Time!AJ28&lt;1+24,0,OFFSET(AJ31,0,-1*(24)))</f>
        <v>505.26781650826484</v>
      </c>
      <c r="AK32" s="3">
        <f ca="1">$F30*IF(Time!AK28&lt;1+24,0,OFFSET(AK31,0,-1*(24)))</f>
        <v>535.90593589283401</v>
      </c>
      <c r="AL32" s="3">
        <f ca="1">$F30*IF(Time!AL28&lt;1+24,0,OFFSET(AL31,0,-1*(24)))</f>
        <v>568.40187073438199</v>
      </c>
      <c r="AM32" s="3">
        <f ca="1">$F30*IF(Time!AM28&lt;1+24,0,OFFSET(AM31,0,-1*(24)))</f>
        <v>601.72449351642308</v>
      </c>
      <c r="AN32" s="3">
        <f ca="1">$F30*IF(Time!AN28&lt;1+24,0,OFFSET(AN31,0,-1*(24)))</f>
        <v>638.21149361149821</v>
      </c>
      <c r="AO32" s="3">
        <f ca="1">$F30*IF(Time!AO28&lt;1+24,0,OFFSET(AO31,0,-1*(24)))</f>
        <v>675.62671328574368</v>
      </c>
      <c r="AP32" s="3">
        <f ca="1">$F30*IF(Time!AP28&lt;1+24,0,OFFSET(AP31,0,-1*(24)))</f>
        <v>716.5949507723559</v>
      </c>
      <c r="AQ32" s="3">
        <f ca="1">$F30*IF(Time!AQ28&lt;1+24,0,OFFSET(AQ31,0,-1*(24)))</f>
        <v>760.04739506985197</v>
      </c>
      <c r="AR32" s="3">
        <f ca="1">$F30*IF(Time!AR28&lt;1+24,0,OFFSET(AR31,0,-1*(24)))</f>
        <v>801.80884632630534</v>
      </c>
      <c r="AS32" s="3">
        <f ca="1">$F30*IF(Time!AS28&lt;1+24,0,OFFSET(AS31,0,-1*(24)))</f>
        <v>850.29166052273342</v>
      </c>
      <c r="AT32" s="3">
        <f ca="1">$F30*IF(Time!AT28&lt;1+24,0,OFFSET(AT31,0,-1*(24)))</f>
        <v>900</v>
      </c>
      <c r="AU32" s="3">
        <f ca="1">$F30*IF(Time!AU28&lt;1+24,0,OFFSET(AU31,0,-1*(24)))</f>
        <v>955.40227488279311</v>
      </c>
      <c r="AV32" s="3">
        <f ca="1">$F30*IF(Time!AV28&lt;1+24,0,OFFSET(AV31,0,-1*(24)))</f>
        <v>1011.3340172248836</v>
      </c>
      <c r="AW32" s="3">
        <f ca="1">$F30*IF(Time!AW28&lt;1+24,0,OFFSET(AW31,0,-1*(24)))</f>
        <v>1072.5722863790638</v>
      </c>
      <c r="AX32" s="3">
        <f ca="1">$F30*IF(Time!AX28&lt;1+24,0,OFFSET(AX31,0,-1*(24)))</f>
        <v>1137.5186534960624</v>
      </c>
      <c r="AY32" s="3">
        <f ca="1">$F30*IF(Time!AY28&lt;1+24,0,OFFSET(AY31,0,-1*(24)))</f>
        <v>1204.1119638840539</v>
      </c>
      <c r="AZ32" s="3">
        <f ca="1">$F30*IF(Time!AZ28&lt;1+24,0,OFFSET(AZ31,0,-1*(24)))</f>
        <v>1277.0233178780968</v>
      </c>
      <c r="BA32" s="3">
        <f ca="1">$F30*IF(Time!BA28&lt;1+24,0,OFFSET(BA31,0,-1*(24)))</f>
        <v>1351.7835953634749</v>
      </c>
      <c r="BB32" s="3">
        <f ca="1">$F30*IF(Time!BB28&lt;1+24,0,OFFSET(BB31,0,-1*(24)))</f>
        <v>1434.3947987981699</v>
      </c>
      <c r="BC32" s="3">
        <f ca="1">$F30*IF(Time!BC28&lt;1+24,0,OFFSET(BC31,0,-1*(24)))</f>
        <v>1521.2910330984664</v>
      </c>
      <c r="BD32" s="3">
        <f ca="1">$F30*IF(Time!BD28&lt;1+24,0,OFFSET(BD31,0,-1*(24)))</f>
        <v>1604.2939563028606</v>
      </c>
      <c r="BE32" s="3">
        <f ca="1">$F30*IF(Time!BE28&lt;1+24,0,OFFSET(BE31,0,-1*(24)))</f>
        <v>1701.4827523234865</v>
      </c>
      <c r="BF32" s="3">
        <f ca="1">$F30*IF(Time!BF28&lt;1+24,0,OFFSET(BF31,0,-1*(24)))</f>
        <v>1801.1387404569136</v>
      </c>
      <c r="BG32" s="3">
        <f ca="1">$F30*IF(Time!BG28&lt;1+24,0,OFFSET(BG31,0,-1*(24)))</f>
        <v>1910.2524754824601</v>
      </c>
      <c r="BH32" s="3">
        <f ca="1">$F30*IF(Time!BH28&lt;1+24,0,OFFSET(BH31,0,-1*(24)))</f>
        <v>2022.136123887693</v>
      </c>
      <c r="BI32" s="3">
        <f ca="1">$F30*IF(Time!BI28&lt;1+24,0,OFFSET(BI31,0,-1*(24)))</f>
        <v>2144.6379724412882</v>
      </c>
      <c r="BJ32" s="3">
        <f ca="1">$F30*IF(Time!BJ28&lt;1+24,0,OFFSET(BJ31,0,-1*(24)))</f>
        <v>2274.5610339991781</v>
      </c>
      <c r="BK32" s="3">
        <f ca="1">$F30*IF(Time!BK28&lt;1+24,0,OFFSET(BK31,0,-1*(24)))</f>
        <v>2407.7822653654312</v>
      </c>
      <c r="BL32" s="3">
        <f ca="1">$F30*IF(Time!BL28&lt;1+24,0,OFFSET(BL31,0,-1*(24)))</f>
        <v>2553.6467177815985</v>
      </c>
      <c r="BM32" s="3">
        <f ca="1">$F30*IF(Time!BM28&lt;1+24,0,OFFSET(BM31,0,-1*(24)))</f>
        <v>2703.2140211566639</v>
      </c>
      <c r="BN32" s="3">
        <f ca="1">$F30*IF(Time!BN28&lt;1+24,0,OFFSET(BN31,0,-1*(24)))</f>
        <v>2868.1873715446345</v>
      </c>
      <c r="BO32" s="3">
        <f ca="1">$F30*IF(Time!BO28&lt;1+24,0,OFFSET(BO31,0,-1*(24)))</f>
        <v>3041.9841777377492</v>
      </c>
      <c r="BP32" s="3">
        <f ca="1">$F30*IF(Time!BP28&lt;1+24,0,OFFSET(BP31,0,-1*(24)))</f>
        <v>3207.9962853264888</v>
      </c>
      <c r="BQ32" s="3">
        <f ca="1">$F30*IF(Time!BQ28&lt;1+24,0,OFFSET(BQ31,0,-1*(24)))</f>
        <v>3402.3836932763616</v>
      </c>
    </row>
    <row r="35" spans="1:69">
      <c r="B35" s="22" t="s">
        <v>169</v>
      </c>
    </row>
    <row r="36" spans="1:69">
      <c r="A36" s="17"/>
      <c r="B36" s="17"/>
      <c r="C36" s="26"/>
      <c r="D36" s="27"/>
      <c r="E36" s="4" t="str">
        <f>InpC!E$20</f>
        <v>Sales Price Unit</v>
      </c>
      <c r="F36" s="4">
        <f>InpC!F$20</f>
        <v>35</v>
      </c>
      <c r="G36" s="4" t="str">
        <f>InpC!G$20</f>
        <v>GBP</v>
      </c>
    </row>
    <row r="37" spans="1:69">
      <c r="A37" s="17"/>
      <c r="B37" s="17"/>
      <c r="C37" s="26"/>
      <c r="D37" s="27"/>
      <c r="E37" s="4" t="str">
        <f>InpC!E$21</f>
        <v>Contract Length</v>
      </c>
      <c r="F37" s="4">
        <f>InpC!F$21</f>
        <v>24</v>
      </c>
      <c r="G37" s="4" t="str">
        <f>InpC!G$21</f>
        <v>Months</v>
      </c>
    </row>
    <row r="38" spans="1:69">
      <c r="E38" s="2" t="str">
        <f t="shared" ref="E38:AJ38" si="18">E$11</f>
        <v>New customers orders</v>
      </c>
      <c r="F38" s="2">
        <f t="shared" si="18"/>
        <v>0</v>
      </c>
      <c r="G38" s="2" t="str">
        <f t="shared" si="18"/>
        <v>Units</v>
      </c>
      <c r="H38" s="2">
        <f t="shared" si="18"/>
        <v>261181.72293639058</v>
      </c>
      <c r="I38" s="2">
        <f t="shared" si="18"/>
        <v>0</v>
      </c>
      <c r="J38" s="2">
        <f t="shared" si="18"/>
        <v>500</v>
      </c>
      <c r="K38" s="2">
        <f t="shared" si="18"/>
        <v>530.31869276406599</v>
      </c>
      <c r="L38" s="2">
        <f t="shared" si="18"/>
        <v>561.40868500918316</v>
      </c>
      <c r="M38" s="2">
        <f t="shared" si="18"/>
        <v>595.4510398809266</v>
      </c>
      <c r="N38" s="2">
        <f t="shared" si="18"/>
        <v>631.55763414931334</v>
      </c>
      <c r="O38" s="2">
        <f t="shared" si="18"/>
        <v>668.58277057380337</v>
      </c>
      <c r="P38" s="2">
        <f t="shared" si="18"/>
        <v>709.12388179055358</v>
      </c>
      <c r="Q38" s="2">
        <f t="shared" si="18"/>
        <v>750.69634809527076</v>
      </c>
      <c r="R38" s="2">
        <f t="shared" si="18"/>
        <v>796.21661196928437</v>
      </c>
      <c r="S38" s="2">
        <f t="shared" si="18"/>
        <v>844.49710563316887</v>
      </c>
      <c r="T38" s="2">
        <f t="shared" si="18"/>
        <v>890.89871814033927</v>
      </c>
      <c r="U38" s="2">
        <f t="shared" si="18"/>
        <v>944.76851169192605</v>
      </c>
      <c r="V38" s="2">
        <f t="shared" si="18"/>
        <v>1000</v>
      </c>
      <c r="W38" s="2">
        <f t="shared" si="18"/>
        <v>1061.5580832031035</v>
      </c>
      <c r="X38" s="2">
        <f t="shared" si="18"/>
        <v>1123.704463583204</v>
      </c>
      <c r="Y38" s="2">
        <f t="shared" si="18"/>
        <v>1191.7469848656265</v>
      </c>
      <c r="Z38" s="2">
        <f t="shared" si="18"/>
        <v>1263.9096149956249</v>
      </c>
      <c r="AA38" s="2">
        <f t="shared" si="18"/>
        <v>1337.9021820933933</v>
      </c>
      <c r="AB38" s="2">
        <f t="shared" si="18"/>
        <v>1418.9147976423296</v>
      </c>
      <c r="AC38" s="2">
        <f t="shared" si="18"/>
        <v>1501.9817726260831</v>
      </c>
      <c r="AD38" s="2">
        <f t="shared" si="18"/>
        <v>1593.7719986646332</v>
      </c>
      <c r="AE38" s="2">
        <f t="shared" si="18"/>
        <v>1690.3233701094071</v>
      </c>
      <c r="AF38" s="2">
        <f t="shared" si="18"/>
        <v>1782.5488403365116</v>
      </c>
      <c r="AG38" s="2">
        <f t="shared" si="18"/>
        <v>1890.5363914705406</v>
      </c>
      <c r="AH38" s="2">
        <f t="shared" si="18"/>
        <v>2001.2652671743485</v>
      </c>
      <c r="AI38" s="2">
        <f t="shared" si="18"/>
        <v>2122.5027505360667</v>
      </c>
      <c r="AJ38" s="2">
        <f t="shared" si="18"/>
        <v>2246.81791543077</v>
      </c>
      <c r="AK38" s="2">
        <f t="shared" ref="AK38:BQ38" si="19">AK$11</f>
        <v>2382.9310804903203</v>
      </c>
      <c r="AL38" s="2">
        <f t="shared" si="19"/>
        <v>2527.2900377768647</v>
      </c>
      <c r="AM38" s="2">
        <f t="shared" si="19"/>
        <v>2675.3136281838124</v>
      </c>
      <c r="AN38" s="2">
        <f t="shared" si="19"/>
        <v>2837.3852419795539</v>
      </c>
      <c r="AO38" s="2">
        <f t="shared" si="19"/>
        <v>3003.5711346185153</v>
      </c>
      <c r="AP38" s="2">
        <f t="shared" si="19"/>
        <v>3186.8748572718159</v>
      </c>
      <c r="AQ38" s="2">
        <f t="shared" si="19"/>
        <v>3379.98241970861</v>
      </c>
      <c r="AR38" s="2">
        <f t="shared" si="19"/>
        <v>3564.4403170294318</v>
      </c>
      <c r="AS38" s="2">
        <f t="shared" si="19"/>
        <v>3780.4263258626238</v>
      </c>
      <c r="AT38" s="2">
        <f t="shared" si="19"/>
        <v>4001.8981837991764</v>
      </c>
      <c r="AU38" s="2">
        <f t="shared" si="19"/>
        <v>4244.3917983916417</v>
      </c>
      <c r="AV38" s="2">
        <f t="shared" si="19"/>
        <v>4493.0445312777838</v>
      </c>
      <c r="AW38" s="2">
        <f t="shared" si="19"/>
        <v>4765.298986257475</v>
      </c>
      <c r="AX38" s="2">
        <f t="shared" si="19"/>
        <v>5054.050604294488</v>
      </c>
      <c r="AY38" s="2">
        <f t="shared" si="19"/>
        <v>5350.1362520376797</v>
      </c>
      <c r="AZ38" s="2">
        <f t="shared" si="19"/>
        <v>5674.3258787430632</v>
      </c>
      <c r="BA38" s="2">
        <f t="shared" si="19"/>
        <v>6006.7496284946019</v>
      </c>
      <c r="BB38" s="2">
        <f t="shared" si="19"/>
        <v>6372.946588234563</v>
      </c>
      <c r="BC38" s="2">
        <f t="shared" si="19"/>
        <v>6759.1674891435086</v>
      </c>
      <c r="BD38" s="2">
        <f t="shared" si="19"/>
        <v>7128.0916261082357</v>
      </c>
      <c r="BE38" s="2">
        <f t="shared" si="19"/>
        <v>7560.0767261684687</v>
      </c>
      <c r="BF38" s="2">
        <f t="shared" si="19"/>
        <v>8003.0373658535955</v>
      </c>
      <c r="BG38" s="2">
        <f t="shared" si="19"/>
        <v>8488.0469699124624</v>
      </c>
      <c r="BH38" s="2">
        <f t="shared" si="19"/>
        <v>8985.3793187304836</v>
      </c>
      <c r="BI38" s="2">
        <f t="shared" si="19"/>
        <v>9529.921980031846</v>
      </c>
      <c r="BJ38" s="2">
        <f t="shared" si="19"/>
        <v>10107.465664379506</v>
      </c>
      <c r="BK38" s="2">
        <f t="shared" si="19"/>
        <v>10699.683127039856</v>
      </c>
      <c r="BL38" s="2">
        <f t="shared" si="19"/>
        <v>11348.118069895754</v>
      </c>
      <c r="BM38" s="2">
        <f t="shared" si="19"/>
        <v>12013.027940725995</v>
      </c>
      <c r="BN38" s="2">
        <f t="shared" si="19"/>
        <v>12726.008005999736</v>
      </c>
      <c r="BO38" s="2">
        <f t="shared" si="19"/>
        <v>13496.954871063208</v>
      </c>
      <c r="BP38" s="2">
        <f t="shared" si="19"/>
        <v>14260.390722692093</v>
      </c>
      <c r="BQ38" s="2">
        <f t="shared" si="19"/>
        <v>15124.291131764327</v>
      </c>
    </row>
    <row r="39" spans="1:69">
      <c r="E39" s="2" t="str">
        <f t="shared" ref="E39:AJ39" si="20">E$32</f>
        <v>Renewing Customer Orders</v>
      </c>
      <c r="F39" s="2">
        <f t="shared" si="20"/>
        <v>0</v>
      </c>
      <c r="G39" s="2" t="str">
        <f t="shared" si="20"/>
        <v>Units</v>
      </c>
      <c r="H39" s="2">
        <f t="shared" ca="1" si="20"/>
        <v>53090.297527815921</v>
      </c>
      <c r="I39" s="2">
        <f t="shared" si="20"/>
        <v>0</v>
      </c>
      <c r="J39" s="2">
        <f t="shared" ca="1" si="20"/>
        <v>0</v>
      </c>
      <c r="K39" s="2">
        <f t="shared" ca="1" si="20"/>
        <v>0</v>
      </c>
      <c r="L39" s="2">
        <f t="shared" ca="1" si="20"/>
        <v>0</v>
      </c>
      <c r="M39" s="2">
        <f t="shared" ca="1" si="20"/>
        <v>0</v>
      </c>
      <c r="N39" s="2">
        <f t="shared" ca="1" si="20"/>
        <v>0</v>
      </c>
      <c r="O39" s="2">
        <f t="shared" ca="1" si="20"/>
        <v>0</v>
      </c>
      <c r="P39" s="2">
        <f t="shared" ca="1" si="20"/>
        <v>0</v>
      </c>
      <c r="Q39" s="2">
        <f t="shared" ca="1" si="20"/>
        <v>0</v>
      </c>
      <c r="R39" s="2">
        <f t="shared" ca="1" si="20"/>
        <v>0</v>
      </c>
      <c r="S39" s="2">
        <f t="shared" ca="1" si="20"/>
        <v>0</v>
      </c>
      <c r="T39" s="2">
        <f t="shared" ca="1" si="20"/>
        <v>0</v>
      </c>
      <c r="U39" s="2">
        <f t="shared" ca="1" si="20"/>
        <v>0</v>
      </c>
      <c r="V39" s="2">
        <f t="shared" ca="1" si="20"/>
        <v>0</v>
      </c>
      <c r="W39" s="2">
        <f t="shared" ca="1" si="20"/>
        <v>0</v>
      </c>
      <c r="X39" s="2">
        <f t="shared" ca="1" si="20"/>
        <v>0</v>
      </c>
      <c r="Y39" s="2">
        <f t="shared" ca="1" si="20"/>
        <v>0</v>
      </c>
      <c r="Z39" s="2">
        <f t="shared" ca="1" si="20"/>
        <v>0</v>
      </c>
      <c r="AA39" s="2">
        <f t="shared" ca="1" si="20"/>
        <v>0</v>
      </c>
      <c r="AB39" s="2">
        <f t="shared" ca="1" si="20"/>
        <v>0</v>
      </c>
      <c r="AC39" s="2">
        <f t="shared" ca="1" si="20"/>
        <v>0</v>
      </c>
      <c r="AD39" s="2">
        <f t="shared" ca="1" si="20"/>
        <v>0</v>
      </c>
      <c r="AE39" s="2">
        <f t="shared" ca="1" si="20"/>
        <v>0</v>
      </c>
      <c r="AF39" s="2">
        <f t="shared" ca="1" si="20"/>
        <v>0</v>
      </c>
      <c r="AG39" s="2">
        <f t="shared" ca="1" si="20"/>
        <v>0</v>
      </c>
      <c r="AH39" s="2">
        <f t="shared" ca="1" si="20"/>
        <v>450</v>
      </c>
      <c r="AI39" s="2">
        <f t="shared" ca="1" si="20"/>
        <v>477.28682348765938</v>
      </c>
      <c r="AJ39" s="2">
        <f t="shared" ca="1" si="20"/>
        <v>505.26781650826484</v>
      </c>
      <c r="AK39" s="2">
        <f t="shared" ref="AK39:BQ39" ca="1" si="21">AK$32</f>
        <v>535.90593589283401</v>
      </c>
      <c r="AL39" s="2">
        <f t="shared" ca="1" si="21"/>
        <v>568.40187073438199</v>
      </c>
      <c r="AM39" s="2">
        <f t="shared" ca="1" si="21"/>
        <v>601.72449351642308</v>
      </c>
      <c r="AN39" s="2">
        <f t="shared" ca="1" si="21"/>
        <v>638.21149361149821</v>
      </c>
      <c r="AO39" s="2">
        <f t="shared" ca="1" si="21"/>
        <v>675.62671328574368</v>
      </c>
      <c r="AP39" s="2">
        <f t="shared" ca="1" si="21"/>
        <v>716.5949507723559</v>
      </c>
      <c r="AQ39" s="2">
        <f t="shared" ca="1" si="21"/>
        <v>760.04739506985197</v>
      </c>
      <c r="AR39" s="2">
        <f t="shared" ca="1" si="21"/>
        <v>801.80884632630534</v>
      </c>
      <c r="AS39" s="2">
        <f t="shared" ca="1" si="21"/>
        <v>850.29166052273342</v>
      </c>
      <c r="AT39" s="2">
        <f t="shared" ca="1" si="21"/>
        <v>900</v>
      </c>
      <c r="AU39" s="2">
        <f t="shared" ca="1" si="21"/>
        <v>955.40227488279311</v>
      </c>
      <c r="AV39" s="2">
        <f t="shared" ca="1" si="21"/>
        <v>1011.3340172248836</v>
      </c>
      <c r="AW39" s="2">
        <f t="shared" ca="1" si="21"/>
        <v>1072.5722863790638</v>
      </c>
      <c r="AX39" s="2">
        <f t="shared" ca="1" si="21"/>
        <v>1137.5186534960624</v>
      </c>
      <c r="AY39" s="2">
        <f t="shared" ca="1" si="21"/>
        <v>1204.1119638840539</v>
      </c>
      <c r="AZ39" s="2">
        <f t="shared" ca="1" si="21"/>
        <v>1277.0233178780968</v>
      </c>
      <c r="BA39" s="2">
        <f t="shared" ca="1" si="21"/>
        <v>1351.7835953634749</v>
      </c>
      <c r="BB39" s="2">
        <f t="shared" ca="1" si="21"/>
        <v>1434.3947987981699</v>
      </c>
      <c r="BC39" s="2">
        <f t="shared" ca="1" si="21"/>
        <v>1521.2910330984664</v>
      </c>
      <c r="BD39" s="2">
        <f t="shared" ca="1" si="21"/>
        <v>1604.2939563028606</v>
      </c>
      <c r="BE39" s="2">
        <f t="shared" ca="1" si="21"/>
        <v>1701.4827523234865</v>
      </c>
      <c r="BF39" s="2">
        <f t="shared" ca="1" si="21"/>
        <v>1801.1387404569136</v>
      </c>
      <c r="BG39" s="2">
        <f t="shared" ca="1" si="21"/>
        <v>1910.2524754824601</v>
      </c>
      <c r="BH39" s="2">
        <f t="shared" ca="1" si="21"/>
        <v>2022.136123887693</v>
      </c>
      <c r="BI39" s="2">
        <f t="shared" ca="1" si="21"/>
        <v>2144.6379724412882</v>
      </c>
      <c r="BJ39" s="2">
        <f t="shared" ca="1" si="21"/>
        <v>2274.5610339991781</v>
      </c>
      <c r="BK39" s="2">
        <f t="shared" ca="1" si="21"/>
        <v>2407.7822653654312</v>
      </c>
      <c r="BL39" s="2">
        <f t="shared" ca="1" si="21"/>
        <v>2553.6467177815985</v>
      </c>
      <c r="BM39" s="2">
        <f t="shared" ca="1" si="21"/>
        <v>2703.2140211566639</v>
      </c>
      <c r="BN39" s="2">
        <f t="shared" ca="1" si="21"/>
        <v>2868.1873715446345</v>
      </c>
      <c r="BO39" s="2">
        <f t="shared" ca="1" si="21"/>
        <v>3041.9841777377492</v>
      </c>
      <c r="BP39" s="2">
        <f t="shared" ca="1" si="21"/>
        <v>3207.9962853264888</v>
      </c>
      <c r="BQ39" s="2">
        <f t="shared" ca="1" si="21"/>
        <v>3402.3836932763616</v>
      </c>
    </row>
    <row r="40" spans="1:69">
      <c r="A40" s="31"/>
      <c r="B40" s="31"/>
      <c r="C40" s="51"/>
      <c r="D40" s="50"/>
      <c r="E40" s="3" t="s">
        <v>169</v>
      </c>
      <c r="F40" s="3"/>
      <c r="G40" s="3" t="s">
        <v>252</v>
      </c>
      <c r="H40" s="3">
        <f ca="1">SUM(J40:BQ40)</f>
        <v>263988497.18993348</v>
      </c>
      <c r="I40" s="3"/>
      <c r="J40" s="3">
        <f t="shared" ref="J40:AO40" ca="1" si="22">(J38+J39)*$F36*$F37</f>
        <v>420000</v>
      </c>
      <c r="K40" s="3">
        <f t="shared" ca="1" si="22"/>
        <v>445467.7019218154</v>
      </c>
      <c r="L40" s="3">
        <f t="shared" ca="1" si="22"/>
        <v>471583.29540771386</v>
      </c>
      <c r="M40" s="3">
        <f t="shared" ca="1" si="22"/>
        <v>500178.87349997833</v>
      </c>
      <c r="N40" s="3">
        <f t="shared" ca="1" si="22"/>
        <v>530508.41268542316</v>
      </c>
      <c r="O40" s="3">
        <f t="shared" ca="1" si="22"/>
        <v>561609.52728199481</v>
      </c>
      <c r="P40" s="3">
        <f t="shared" ca="1" si="22"/>
        <v>595664.06070406502</v>
      </c>
      <c r="Q40" s="3">
        <f t="shared" ca="1" si="22"/>
        <v>630584.93240002741</v>
      </c>
      <c r="R40" s="3">
        <f t="shared" ca="1" si="22"/>
        <v>668821.95405419893</v>
      </c>
      <c r="S40" s="3">
        <f t="shared" ca="1" si="22"/>
        <v>709377.56873186189</v>
      </c>
      <c r="T40" s="3">
        <f t="shared" ca="1" si="22"/>
        <v>748354.923237885</v>
      </c>
      <c r="U40" s="3">
        <f t="shared" ca="1" si="22"/>
        <v>793605.54982121789</v>
      </c>
      <c r="V40" s="3">
        <f t="shared" ca="1" si="22"/>
        <v>840000</v>
      </c>
      <c r="W40" s="3">
        <f t="shared" ca="1" si="22"/>
        <v>891708.789890607</v>
      </c>
      <c r="X40" s="3">
        <f t="shared" ca="1" si="22"/>
        <v>943911.74940989132</v>
      </c>
      <c r="Y40" s="3">
        <f t="shared" ca="1" si="22"/>
        <v>1001067.4672871262</v>
      </c>
      <c r="Z40" s="3">
        <f t="shared" ca="1" si="22"/>
        <v>1061684.0765963248</v>
      </c>
      <c r="AA40" s="3">
        <f t="shared" ca="1" si="22"/>
        <v>1123837.8329584503</v>
      </c>
      <c r="AB40" s="3">
        <f t="shared" ca="1" si="22"/>
        <v>1191888.4300195568</v>
      </c>
      <c r="AC40" s="3">
        <f t="shared" ca="1" si="22"/>
        <v>1261664.6890059097</v>
      </c>
      <c r="AD40" s="3">
        <f t="shared" ca="1" si="22"/>
        <v>1338768.4788782918</v>
      </c>
      <c r="AE40" s="3">
        <f t="shared" ca="1" si="22"/>
        <v>1419871.6308919019</v>
      </c>
      <c r="AF40" s="3">
        <f t="shared" ca="1" si="22"/>
        <v>1497341.0258826697</v>
      </c>
      <c r="AG40" s="3">
        <f t="shared" ca="1" si="22"/>
        <v>1588050.5688352541</v>
      </c>
      <c r="AH40" s="3">
        <f t="shared" ca="1" si="22"/>
        <v>2059062.8244264526</v>
      </c>
      <c r="AI40" s="3">
        <f t="shared" ca="1" si="22"/>
        <v>2183823.2421799302</v>
      </c>
      <c r="AJ40" s="3">
        <f t="shared" ca="1" si="22"/>
        <v>2311752.014828789</v>
      </c>
      <c r="AK40" s="3">
        <f t="shared" ca="1" si="22"/>
        <v>2451823.0937618492</v>
      </c>
      <c r="AL40" s="3">
        <f t="shared" ca="1" si="22"/>
        <v>2600381.2031494472</v>
      </c>
      <c r="AM40" s="3">
        <f t="shared" ca="1" si="22"/>
        <v>2752712.0222281977</v>
      </c>
      <c r="AN40" s="3">
        <f t="shared" ca="1" si="22"/>
        <v>2919501.2578964839</v>
      </c>
      <c r="AO40" s="3">
        <f t="shared" ca="1" si="22"/>
        <v>3090526.1922395779</v>
      </c>
      <c r="AP40" s="3">
        <f t="shared" ref="AP40:BU40" ca="1" si="23">(AP38+AP39)*$F36*$F37</f>
        <v>3278914.6387571041</v>
      </c>
      <c r="AQ40" s="3">
        <f t="shared" ca="1" si="23"/>
        <v>3477625.0444139075</v>
      </c>
      <c r="AR40" s="3">
        <f t="shared" ca="1" si="23"/>
        <v>3667649.2972188191</v>
      </c>
      <c r="AS40" s="3">
        <f t="shared" ca="1" si="23"/>
        <v>3889803.1085636998</v>
      </c>
      <c r="AT40" s="3">
        <f t="shared" ca="1" si="23"/>
        <v>4117594.4743913077</v>
      </c>
      <c r="AU40" s="3">
        <f t="shared" ca="1" si="23"/>
        <v>4367827.021550525</v>
      </c>
      <c r="AV40" s="3">
        <f t="shared" ca="1" si="23"/>
        <v>4623677.9807422403</v>
      </c>
      <c r="AW40" s="3">
        <f t="shared" ca="1" si="23"/>
        <v>4903811.8690146934</v>
      </c>
      <c r="AX40" s="3">
        <f t="shared" ca="1" si="23"/>
        <v>5200918.1765440628</v>
      </c>
      <c r="AY40" s="3">
        <f t="shared" ca="1" si="23"/>
        <v>5505568.5013742559</v>
      </c>
      <c r="AZ40" s="3">
        <f t="shared" ca="1" si="23"/>
        <v>5839133.3251617746</v>
      </c>
      <c r="BA40" s="3">
        <f t="shared" ca="1" si="23"/>
        <v>6181167.9080407843</v>
      </c>
      <c r="BB40" s="3">
        <f t="shared" ca="1" si="23"/>
        <v>6558166.7651074957</v>
      </c>
      <c r="BC40" s="3">
        <f t="shared" ca="1" si="23"/>
        <v>6955585.158683259</v>
      </c>
      <c r="BD40" s="3">
        <f t="shared" ca="1" si="23"/>
        <v>7335203.8892253209</v>
      </c>
      <c r="BE40" s="3">
        <f t="shared" ca="1" si="23"/>
        <v>7779709.9619332422</v>
      </c>
      <c r="BF40" s="3">
        <f t="shared" ca="1" si="23"/>
        <v>8235507.9293008279</v>
      </c>
      <c r="BG40" s="3">
        <f t="shared" ca="1" si="23"/>
        <v>8734571.5341317356</v>
      </c>
      <c r="BH40" s="3">
        <f t="shared" ca="1" si="23"/>
        <v>9246312.9717992675</v>
      </c>
      <c r="BI40" s="3">
        <f t="shared" ca="1" si="23"/>
        <v>9806630.3600774314</v>
      </c>
      <c r="BJ40" s="3">
        <f t="shared" ca="1" si="23"/>
        <v>10400902.426638095</v>
      </c>
      <c r="BK40" s="3">
        <f t="shared" ca="1" si="23"/>
        <v>11010270.929620441</v>
      </c>
      <c r="BL40" s="3">
        <f t="shared" ca="1" si="23"/>
        <v>11677482.421648975</v>
      </c>
      <c r="BM40" s="3">
        <f t="shared" ca="1" si="23"/>
        <v>12361643.247981433</v>
      </c>
      <c r="BN40" s="3">
        <f t="shared" ca="1" si="23"/>
        <v>13099124.117137272</v>
      </c>
      <c r="BO40" s="3">
        <f t="shared" ca="1" si="23"/>
        <v>13892708.800992804</v>
      </c>
      <c r="BP40" s="3">
        <f t="shared" ca="1" si="23"/>
        <v>14673445.08673561</v>
      </c>
      <c r="BQ40" s="3">
        <f t="shared" ca="1" si="23"/>
        <v>15562406.85303418</v>
      </c>
    </row>
    <row r="43" spans="1:69">
      <c r="B43" s="22" t="s">
        <v>265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Q30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46.7265625" style="2" customWidth="1"/>
    <col min="6" max="6" width="20.7265625" style="2" customWidth="1"/>
    <col min="7" max="8" width="13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48" width="11.7265625" style="2" customWidth="1"/>
    <col min="49" max="50" width="12.7265625" style="2" customWidth="1"/>
    <col min="51" max="51" width="11.7265625" style="2" customWidth="1"/>
    <col min="52" max="53" width="12.7265625" style="2" customWidth="1"/>
    <col min="54" max="54" width="11.7265625" style="2" customWidth="1"/>
    <col min="55" max="55" width="12.7265625" style="2" customWidth="1"/>
    <col min="56" max="57" width="11.7265625" style="2" customWidth="1"/>
    <col min="58" max="59" width="12.7265625" style="2" customWidth="1"/>
    <col min="60" max="69" width="13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Income</v>
      </c>
      <c r="B1" s="37"/>
      <c r="C1" s="58"/>
      <c r="D1" s="67"/>
      <c r="F1" s="42" t="str">
        <f>HYPERLINK("#Contents!A1","Go to contents")</f>
        <v>Go to contents</v>
      </c>
      <c r="H1" s="38"/>
      <c r="J1" s="38"/>
    </row>
    <row r="2" spans="1:69" s="43" customFormat="1">
      <c r="A2" s="39"/>
      <c r="B2" s="39"/>
      <c r="C2" s="56"/>
      <c r="D2" s="62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>
      <c r="A3" s="39"/>
      <c r="B3" s="39"/>
      <c r="C3" s="56"/>
      <c r="D3" s="62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62"/>
      <c r="E4" s="20" t="s">
        <v>325</v>
      </c>
      <c r="F4" s="22"/>
      <c r="G4" s="20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>
      <c r="A5" s="39"/>
      <c r="B5" s="39"/>
      <c r="C5" s="56"/>
      <c r="D5" s="62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6" spans="1:69">
      <c r="F6" s="22"/>
      <c r="G6" s="22"/>
      <c r="H6" s="22"/>
    </row>
    <row r="8" spans="1:69">
      <c r="B8" s="22" t="s">
        <v>150</v>
      </c>
    </row>
    <row r="9" spans="1:69">
      <c r="A9" s="17"/>
      <c r="B9" s="17"/>
      <c r="C9" s="26"/>
      <c r="D9" s="27"/>
      <c r="E9" s="4" t="str">
        <f>InpC!E$22</f>
        <v>Invoice Term</v>
      </c>
      <c r="F9" s="4">
        <f>InpC!F$22</f>
        <v>12</v>
      </c>
      <c r="G9" s="4" t="str">
        <f>InpC!G$22</f>
        <v>Months</v>
      </c>
    </row>
    <row r="10" spans="1:69">
      <c r="A10" s="17"/>
      <c r="B10" s="17"/>
      <c r="C10" s="26"/>
      <c r="D10" s="27"/>
      <c r="E10" s="4" t="str">
        <f>InpC!E$20</f>
        <v>Sales Price Unit</v>
      </c>
      <c r="F10" s="4">
        <f>InpC!F$20</f>
        <v>35</v>
      </c>
      <c r="G10" s="4" t="str">
        <f>InpC!G$20</f>
        <v>GBP</v>
      </c>
    </row>
    <row r="11" spans="1:69">
      <c r="A11" s="17"/>
      <c r="B11" s="17"/>
      <c r="C11" s="26"/>
      <c r="D11" s="27"/>
      <c r="E11" s="4" t="str">
        <f>Customers!E$26</f>
        <v>Customer orders fullfilled</v>
      </c>
      <c r="F11" s="4">
        <f>Customers!F$26</f>
        <v>0</v>
      </c>
      <c r="G11" s="4" t="str">
        <f>Customers!G$26</f>
        <v>Units</v>
      </c>
      <c r="H11" s="4">
        <f ca="1">Customers!H$26</f>
        <v>253879.33897738747</v>
      </c>
      <c r="I11" s="4">
        <f>Customers!I$26</f>
        <v>0</v>
      </c>
      <c r="J11" s="4">
        <f>Customers!J$26</f>
        <v>0</v>
      </c>
      <c r="K11" s="4">
        <f ca="1">Customers!K$26</f>
        <v>0</v>
      </c>
      <c r="L11" s="4">
        <f ca="1">Customers!L$26</f>
        <v>0</v>
      </c>
      <c r="M11" s="4">
        <f ca="1">Customers!M$26</f>
        <v>0</v>
      </c>
      <c r="N11" s="4">
        <f ca="1">Customers!N$26</f>
        <v>0</v>
      </c>
      <c r="O11" s="4">
        <f ca="1">Customers!O$26</f>
        <v>0</v>
      </c>
      <c r="P11" s="4">
        <f ca="1">Customers!P$26</f>
        <v>0</v>
      </c>
      <c r="Q11" s="4">
        <f ca="1">Customers!Q$26</f>
        <v>4196.4427041678455</v>
      </c>
      <c r="R11" s="4">
        <f ca="1">Customers!R$26</f>
        <v>750.69634809527088</v>
      </c>
      <c r="S11" s="4">
        <f ca="1">Customers!S$26</f>
        <v>52.860947736883645</v>
      </c>
      <c r="T11" s="4">
        <f ca="1">Customers!T$26</f>
        <v>0</v>
      </c>
      <c r="U11" s="4">
        <f ca="1">Customers!U$26</f>
        <v>0</v>
      </c>
      <c r="V11" s="4">
        <f ca="1">Customers!V$26</f>
        <v>0</v>
      </c>
      <c r="W11" s="4">
        <f ca="1">Customers!W$26</f>
        <v>4423.5199996978354</v>
      </c>
      <c r="X11" s="4">
        <f ca="1">Customers!X$26</f>
        <v>576.48000030216463</v>
      </c>
      <c r="Y11" s="4">
        <f ca="1">Customers!Y$26</f>
        <v>0</v>
      </c>
      <c r="Z11" s="4">
        <f ca="1">Customers!Z$26</f>
        <v>0</v>
      </c>
      <c r="AA11" s="4">
        <f ca="1">Customers!AA$26</f>
        <v>0</v>
      </c>
      <c r="AB11" s="4">
        <f ca="1">Customers!AB$26</f>
        <v>0</v>
      </c>
      <c r="AC11" s="4">
        <f ca="1">Customers!AC$26</f>
        <v>5000</v>
      </c>
      <c r="AD11" s="4">
        <f ca="1">Customers!AD$26</f>
        <v>0</v>
      </c>
      <c r="AE11" s="4">
        <f ca="1">Customers!AE$26</f>
        <v>0</v>
      </c>
      <c r="AF11" s="4">
        <f ca="1">Customers!AF$26</f>
        <v>0</v>
      </c>
      <c r="AG11" s="4">
        <f ca="1">Customers!AG$26</f>
        <v>5000</v>
      </c>
      <c r="AH11" s="4">
        <f ca="1">Customers!AH$26</f>
        <v>0</v>
      </c>
      <c r="AI11" s="4">
        <f ca="1">Customers!AI$26</f>
        <v>1000</v>
      </c>
      <c r="AJ11" s="4">
        <f ca="1">Customers!AJ$26</f>
        <v>1060.637385528132</v>
      </c>
      <c r="AK11" s="4">
        <f ca="1">Customers!AK$26</f>
        <v>6122.817370018367</v>
      </c>
      <c r="AL11" s="4">
        <f ca="1">Customers!AL$26</f>
        <v>1190.9020797618532</v>
      </c>
      <c r="AM11" s="4">
        <f ca="1">Customers!AM$26</f>
        <v>1263.1152682986267</v>
      </c>
      <c r="AN11" s="4">
        <f ca="1">Customers!AN$26</f>
        <v>6337.1655411476058</v>
      </c>
      <c r="AO11" s="4">
        <f ca="1">Customers!AO$26</f>
        <v>1418.2477635811072</v>
      </c>
      <c r="AP11" s="4">
        <f ca="1">Customers!AP$26</f>
        <v>6501.3926961905418</v>
      </c>
      <c r="AQ11" s="4">
        <f ca="1">Customers!AQ$26</f>
        <v>1592.4332239385687</v>
      </c>
      <c r="AR11" s="4">
        <f ca="1">Customers!AR$26</f>
        <v>1688.9942112663377</v>
      </c>
      <c r="AS11" s="4">
        <f ca="1">Customers!AS$26</f>
        <v>6781.7974362806781</v>
      </c>
      <c r="AT11" s="4">
        <f ca="1">Customers!AT$26</f>
        <v>1889.5370233838521</v>
      </c>
      <c r="AU11" s="4">
        <f ca="1">Customers!AU$26</f>
        <v>2000</v>
      </c>
      <c r="AV11" s="4">
        <f ca="1">Customers!AV$26</f>
        <v>7123.1161664062074</v>
      </c>
      <c r="AW11" s="4">
        <f ca="1">Customers!AW$26</f>
        <v>2247.4089271664079</v>
      </c>
      <c r="AX11" s="4">
        <f ca="1">Customers!AX$26</f>
        <v>7383.4939697312529</v>
      </c>
      <c r="AY11" s="4">
        <f ca="1">Customers!AY$26</f>
        <v>2527.8192299912498</v>
      </c>
      <c r="AZ11" s="4">
        <f ca="1">Customers!AZ$26</f>
        <v>7675.8043641867862</v>
      </c>
      <c r="BA11" s="4">
        <f ca="1">Customers!BA$26</f>
        <v>7837.8295952846602</v>
      </c>
      <c r="BB11" s="4">
        <f ca="1">Customers!BB$26</f>
        <v>3003.9635452521661</v>
      </c>
      <c r="BC11" s="4">
        <f ca="1">Customers!BC$26</f>
        <v>8187.5439973292669</v>
      </c>
      <c r="BD11" s="4">
        <f ca="1">Customers!BD$26</f>
        <v>8380.6467402188136</v>
      </c>
      <c r="BE11" s="4">
        <f ca="1">Customers!BE$26</f>
        <v>3565.0976806730232</v>
      </c>
      <c r="BF11" s="4">
        <f ca="1">Customers!BF$26</f>
        <v>8781.0727829410807</v>
      </c>
      <c r="BG11" s="4">
        <f ca="1">Customers!BG$26</f>
        <v>9902.530534348698</v>
      </c>
      <c r="BH11" s="4">
        <f ca="1">Customers!BH$26</f>
        <v>10199.579148047453</v>
      </c>
      <c r="BI11" s="4">
        <f ca="1">Customers!BI$26</f>
        <v>10504.171463878069</v>
      </c>
      <c r="BJ11" s="4">
        <f ca="1">Customers!BJ$26</f>
        <v>10837.674032766308</v>
      </c>
      <c r="BK11" s="4">
        <f ca="1">Customers!BK$26</f>
        <v>11191.383817022494</v>
      </c>
      <c r="BL11" s="4">
        <f ca="1">Customers!BL$26</f>
        <v>11554.076243400472</v>
      </c>
      <c r="BM11" s="4">
        <f ca="1">Customers!BM$26</f>
        <v>11951.193471182105</v>
      </c>
      <c r="BN11" s="4">
        <f ca="1">Customers!BN$26</f>
        <v>12358.395695808518</v>
      </c>
      <c r="BO11" s="4">
        <f ca="1">Customers!BO$26</f>
        <v>12806.939616088344</v>
      </c>
      <c r="BP11" s="4">
        <f ca="1">Customers!BP$26</f>
        <v>13280.059629556923</v>
      </c>
      <c r="BQ11" s="4">
        <f ca="1">Customers!BQ$26</f>
        <v>13732.498326711473</v>
      </c>
    </row>
    <row r="12" spans="1:69">
      <c r="A12" s="31"/>
      <c r="B12" s="31"/>
      <c r="C12" s="51"/>
      <c r="D12" s="50"/>
      <c r="E12" s="3" t="s">
        <v>150</v>
      </c>
      <c r="F12" s="3"/>
      <c r="G12" s="3" t="s">
        <v>252</v>
      </c>
      <c r="H12" s="3">
        <f ca="1">SUM(J12:BQ12)</f>
        <v>155676823.34106967</v>
      </c>
      <c r="I12" s="3"/>
      <c r="J12" s="3">
        <f ca="1">(J11*$F9*$F10)+(IF(Time!J28&lt;1+$F9,0,OFFSET(J11,0,-1*($F9)))*$F9*$F10)</f>
        <v>0</v>
      </c>
      <c r="K12" s="3">
        <f ca="1">(K11*$F9*$F10)+(IF(Time!K28&lt;1+$F9,0,OFFSET(K11,0,-1*($F9)))*$F9*$F10)</f>
        <v>0</v>
      </c>
      <c r="L12" s="3">
        <f ca="1">(L11*$F9*$F10)+(IF(Time!L28&lt;1+$F9,0,OFFSET(L11,0,-1*($F9)))*$F9*$F10)</f>
        <v>0</v>
      </c>
      <c r="M12" s="3">
        <f ca="1">(M11*$F9*$F10)+(IF(Time!M28&lt;1+$F9,0,OFFSET(M11,0,-1*($F9)))*$F9*$F10)</f>
        <v>0</v>
      </c>
      <c r="N12" s="3">
        <f ca="1">(N11*$F9*$F10)+(IF(Time!N28&lt;1+$F9,0,OFFSET(N11,0,-1*($F9)))*$F9*$F10)</f>
        <v>0</v>
      </c>
      <c r="O12" s="3">
        <f ca="1">(O11*$F9*$F10)+(IF(Time!O28&lt;1+$F9,0,OFFSET(O11,0,-1*($F9)))*$F9*$F10)</f>
        <v>0</v>
      </c>
      <c r="P12" s="3">
        <f ca="1">(P11*$F9*$F10)+(IF(Time!P28&lt;1+$F9,0,OFFSET(P11,0,-1*($F9)))*$F9*$F10)</f>
        <v>0</v>
      </c>
      <c r="Q12" s="3">
        <f ca="1">(Q11*$F9*$F10)+(IF(Time!Q28&lt;1+$F9,0,OFFSET(Q11,0,-1*($F9)))*$F9*$F10)</f>
        <v>1762505.9357504949</v>
      </c>
      <c r="R12" s="3">
        <f ca="1">(R11*$F9*$F10)+(IF(Time!R28&lt;1+$F9,0,OFFSET(R11,0,-1*($F9)))*$F9*$F10)</f>
        <v>315292.46620001376</v>
      </c>
      <c r="S12" s="3">
        <f ca="1">(S11*$F9*$F10)+(IF(Time!S28&lt;1+$F9,0,OFFSET(S11,0,-1*($F9)))*$F9*$F10)</f>
        <v>22201.598049491131</v>
      </c>
      <c r="T12" s="3">
        <f ca="1">(T11*$F9*$F10)+(IF(Time!T28&lt;1+$F9,0,OFFSET(T11,0,-1*($F9)))*$F9*$F10)</f>
        <v>0</v>
      </c>
      <c r="U12" s="3">
        <f ca="1">(U11*$F9*$F10)+(IF(Time!U28&lt;1+$F9,0,OFFSET(U11,0,-1*($F9)))*$F9*$F10)</f>
        <v>0</v>
      </c>
      <c r="V12" s="3">
        <f ca="1">(V11*$F9*$F10)+(IF(Time!V28&lt;1+$F9,0,OFFSET(V11,0,-1*($F9)))*$F9*$F10)</f>
        <v>0</v>
      </c>
      <c r="W12" s="3">
        <f ca="1">(W11*$F9*$F10)+(IF(Time!W28&lt;1+$F9,0,OFFSET(W11,0,-1*($F9)))*$F9*$F10)</f>
        <v>1857878.3998730909</v>
      </c>
      <c r="X12" s="3">
        <f ca="1">(X11*$F9*$F10)+(IF(Time!X28&lt;1+$F9,0,OFFSET(X11,0,-1*($F9)))*$F9*$F10)</f>
        <v>242121.60012690915</v>
      </c>
      <c r="Y12" s="3">
        <f ca="1">(Y11*$F9*$F10)+(IF(Time!Y28&lt;1+$F9,0,OFFSET(Y11,0,-1*($F9)))*$F9*$F10)</f>
        <v>0</v>
      </c>
      <c r="Z12" s="3">
        <f ca="1">(Z11*$F9*$F10)+(IF(Time!Z28&lt;1+$F9,0,OFFSET(Z11,0,-1*($F9)))*$F9*$F10)</f>
        <v>0</v>
      </c>
      <c r="AA12" s="3">
        <f ca="1">(AA11*$F9*$F10)+(IF(Time!AA28&lt;1+$F9,0,OFFSET(AA11,0,-1*($F9)))*$F9*$F10)</f>
        <v>0</v>
      </c>
      <c r="AB12" s="3">
        <f ca="1">(AB11*$F9*$F10)+(IF(Time!AB28&lt;1+$F9,0,OFFSET(AB11,0,-1*($F9)))*$F9*$F10)</f>
        <v>0</v>
      </c>
      <c r="AC12" s="3">
        <f ca="1">(AC11*$F9*$F10)+(IF(Time!AC28&lt;1+$F9,0,OFFSET(AC11,0,-1*($F9)))*$F9*$F10)</f>
        <v>3862505.9357504947</v>
      </c>
      <c r="AD12" s="3">
        <f ca="1">(AD11*$F9*$F10)+(IF(Time!AD28&lt;1+$F9,0,OFFSET(AD11,0,-1*($F9)))*$F9*$F10)</f>
        <v>315292.46620001376</v>
      </c>
      <c r="AE12" s="3">
        <f ca="1">(AE11*$F9*$F10)+(IF(Time!AE28&lt;1+$F9,0,OFFSET(AE11,0,-1*($F9)))*$F9*$F10)</f>
        <v>22201.598049491131</v>
      </c>
      <c r="AF12" s="3">
        <f ca="1">(AF11*$F9*$F10)+(IF(Time!AF28&lt;1+$F9,0,OFFSET(AF11,0,-1*($F9)))*$F9*$F10)</f>
        <v>0</v>
      </c>
      <c r="AG12" s="3">
        <f ca="1">(AG11*$F9*$F10)+(IF(Time!AG28&lt;1+$F9,0,OFFSET(AG11,0,-1*($F9)))*$F9*$F10)</f>
        <v>2100000</v>
      </c>
      <c r="AH12" s="3">
        <f ca="1">(AH11*$F9*$F10)+(IF(Time!AH28&lt;1+$F9,0,OFFSET(AH11,0,-1*($F9)))*$F9*$F10)</f>
        <v>0</v>
      </c>
      <c r="AI12" s="3">
        <f ca="1">(AI11*$F9*$F10)+(IF(Time!AI28&lt;1+$F9,0,OFFSET(AI11,0,-1*($F9)))*$F9*$F10)</f>
        <v>2277878.3998730909</v>
      </c>
      <c r="AJ12" s="3">
        <f ca="1">(AJ11*$F9*$F10)+(IF(Time!AJ28&lt;1+$F9,0,OFFSET(AJ11,0,-1*($F9)))*$F9*$F10)</f>
        <v>687589.30204872461</v>
      </c>
      <c r="AK12" s="3">
        <f ca="1">(AK11*$F9*$F10)+(IF(Time!AK28&lt;1+$F9,0,OFFSET(AK11,0,-1*($F9)))*$F9*$F10)</f>
        <v>2571583.2954077139</v>
      </c>
      <c r="AL12" s="3">
        <f ca="1">(AL11*$F9*$F10)+(IF(Time!AL28&lt;1+$F9,0,OFFSET(AL11,0,-1*($F9)))*$F9*$F10)</f>
        <v>500178.87349997833</v>
      </c>
      <c r="AM12" s="3">
        <f ca="1">(AM11*$F9*$F10)+(IF(Time!AM28&lt;1+$F9,0,OFFSET(AM11,0,-1*($F9)))*$F9*$F10)</f>
        <v>530508.41268542316</v>
      </c>
      <c r="AN12" s="3">
        <f ca="1">(AN11*$F9*$F10)+(IF(Time!AN28&lt;1+$F9,0,OFFSET(AN11,0,-1*($F9)))*$F9*$F10)</f>
        <v>2661609.5272819945</v>
      </c>
      <c r="AO12" s="3">
        <f ca="1">(AO11*$F9*$F10)+(IF(Time!AO28&lt;1+$F9,0,OFFSET(AO11,0,-1*($F9)))*$F9*$F10)</f>
        <v>2695664.060704065</v>
      </c>
      <c r="AP12" s="3">
        <f ca="1">(AP11*$F9*$F10)+(IF(Time!AP28&lt;1+$F9,0,OFFSET(AP11,0,-1*($F9)))*$F9*$F10)</f>
        <v>2730584.9324000278</v>
      </c>
      <c r="AQ12" s="3">
        <f ca="1">(AQ11*$F9*$F10)+(IF(Time!AQ28&lt;1+$F9,0,OFFSET(AQ11,0,-1*($F9)))*$F9*$F10)</f>
        <v>668821.95405419893</v>
      </c>
      <c r="AR12" s="3">
        <f ca="1">(AR11*$F9*$F10)+(IF(Time!AR28&lt;1+$F9,0,OFFSET(AR11,0,-1*($F9)))*$F9*$F10)</f>
        <v>709377.56873186189</v>
      </c>
      <c r="AS12" s="3">
        <f ca="1">(AS11*$F9*$F10)+(IF(Time!AS28&lt;1+$F9,0,OFFSET(AS11,0,-1*($F9)))*$F9*$F10)</f>
        <v>4948354.9232378844</v>
      </c>
      <c r="AT12" s="3">
        <f ca="1">(AT11*$F9*$F10)+(IF(Time!AT28&lt;1+$F9,0,OFFSET(AT11,0,-1*($F9)))*$F9*$F10)</f>
        <v>793605.54982121789</v>
      </c>
      <c r="AU12" s="3">
        <f ca="1">(AU11*$F9*$F10)+(IF(Time!AU28&lt;1+$F9,0,OFFSET(AU11,0,-1*($F9)))*$F9*$F10)</f>
        <v>1260000</v>
      </c>
      <c r="AV12" s="3">
        <f ca="1">(AV11*$F9*$F10)+(IF(Time!AV28&lt;1+$F9,0,OFFSET(AV11,0,-1*($F9)))*$F9*$F10)</f>
        <v>3437176.4918124224</v>
      </c>
      <c r="AW12" s="3">
        <f ca="1">(AW11*$F9*$F10)+(IF(Time!AW28&lt;1+$F9,0,OFFSET(AW11,0,-1*($F9)))*$F9*$F10)</f>
        <v>3515495.0448176051</v>
      </c>
      <c r="AX12" s="3">
        <f ca="1">(AX11*$F9*$F10)+(IF(Time!AX28&lt;1+$F9,0,OFFSET(AX11,0,-1*($F9)))*$F9*$F10)</f>
        <v>3601246.3407871048</v>
      </c>
      <c r="AY12" s="3">
        <f ca="1">(AY11*$F9*$F10)+(IF(Time!AY28&lt;1+$F9,0,OFFSET(AY11,0,-1*($F9)))*$F9*$F10)</f>
        <v>1592192.4892817482</v>
      </c>
      <c r="AZ12" s="3">
        <f ca="1">(AZ11*$F9*$F10)+(IF(Time!AZ28&lt;1+$F9,0,OFFSET(AZ11,0,-1*($F9)))*$F9*$F10)</f>
        <v>5885447.3602404445</v>
      </c>
      <c r="BA12" s="3">
        <f ca="1">(BA11*$F9*$F10)+(IF(Time!BA28&lt;1+$F9,0,OFFSET(BA11,0,-1*($F9)))*$F9*$F10)</f>
        <v>3887552.4907236225</v>
      </c>
      <c r="BB12" s="3">
        <f ca="1">(BB11*$F9*$F10)+(IF(Time!BB28&lt;1+$F9,0,OFFSET(BB11,0,-1*($F9)))*$F9*$F10)</f>
        <v>3992249.6214059377</v>
      </c>
      <c r="BC12" s="3">
        <f ca="1">(BC11*$F9*$F10)+(IF(Time!BC28&lt;1+$F9,0,OFFSET(BC11,0,-1*($F9)))*$F9*$F10)</f>
        <v>4107590.4329324914</v>
      </c>
      <c r="BD12" s="3">
        <f ca="1">(BD11*$F9*$F10)+(IF(Time!BD28&lt;1+$F9,0,OFFSET(BD11,0,-1*($F9)))*$F9*$F10)</f>
        <v>4229249.1996237636</v>
      </c>
      <c r="BE12" s="3">
        <f ca="1">(BE11*$F9*$F10)+(IF(Time!BE28&lt;1+$F9,0,OFFSET(BE11,0,-1*($F9)))*$F9*$F10)</f>
        <v>4345695.9491205551</v>
      </c>
      <c r="BF12" s="3">
        <f ca="1">(BF11*$F9*$F10)+(IF(Time!BF28&lt;1+$F9,0,OFFSET(BF11,0,-1*($F9)))*$F9*$F10)</f>
        <v>4481656.1186564714</v>
      </c>
      <c r="BG12" s="3">
        <f ca="1">(BG11*$F9*$F10)+(IF(Time!BG28&lt;1+$F9,0,OFFSET(BG11,0,-1*($F9)))*$F9*$F10)</f>
        <v>4999062.8244264536</v>
      </c>
      <c r="BH12" s="3">
        <f ca="1">(BH11*$F9*$F10)+(IF(Time!BH28&lt;1+$F9,0,OFFSET(BH11,0,-1*($F9)))*$F9*$F10)</f>
        <v>7275532.0320705371</v>
      </c>
      <c r="BI12" s="3">
        <f ca="1">(BI11*$F9*$F10)+(IF(Time!BI28&lt;1+$F9,0,OFFSET(BI11,0,-1*($F9)))*$F9*$F10)</f>
        <v>5355663.7642386807</v>
      </c>
      <c r="BJ12" s="3">
        <f ca="1">(BJ11*$F9*$F10)+(IF(Time!BJ28&lt;1+$F9,0,OFFSET(BJ11,0,-1*($F9)))*$F9*$F10)</f>
        <v>7652890.5610489771</v>
      </c>
      <c r="BK12" s="3">
        <f ca="1">(BK11*$F9*$F10)+(IF(Time!BK28&lt;1+$F9,0,OFFSET(BK11,0,-1*($F9)))*$F9*$F10)</f>
        <v>5762065.2797457725</v>
      </c>
      <c r="BL12" s="3">
        <f ca="1">(BL11*$F9*$F10)+(IF(Time!BL28&lt;1+$F9,0,OFFSET(BL11,0,-1*($F9)))*$F9*$F10)</f>
        <v>8076549.8551866487</v>
      </c>
      <c r="BM12" s="3">
        <f ca="1">(BM11*$F9*$F10)+(IF(Time!BM28&lt;1+$F9,0,OFFSET(BM11,0,-1*($F9)))*$F9*$F10)</f>
        <v>8311389.6879160414</v>
      </c>
      <c r="BN12" s="3">
        <f ca="1">(BN11*$F9*$F10)+(IF(Time!BN28&lt;1+$F9,0,OFFSET(BN11,0,-1*($F9)))*$F9*$F10)</f>
        <v>6452190.8812454883</v>
      </c>
      <c r="BO12" s="3">
        <f ca="1">(BO11*$F9*$F10)+(IF(Time!BO28&lt;1+$F9,0,OFFSET(BO11,0,-1*($F9)))*$F9*$F10)</f>
        <v>8817683.1176353954</v>
      </c>
      <c r="BP12" s="3">
        <f ca="1">(BP11*$F9*$F10)+(IF(Time!BP28&lt;1+$F9,0,OFFSET(BP11,0,-1*($F9)))*$F9*$F10)</f>
        <v>9097496.6753058098</v>
      </c>
      <c r="BQ12" s="3">
        <f ca="1">(BQ11*$F9*$F10)+(IF(Time!BQ28&lt;1+$F9,0,OFFSET(BQ11,0,-1*($F9)))*$F9*$F10)</f>
        <v>7264990.3231014879</v>
      </c>
    </row>
    <row r="15" spans="1:69">
      <c r="B15" s="22" t="s">
        <v>170</v>
      </c>
    </row>
    <row r="16" spans="1:69">
      <c r="A16" s="17"/>
      <c r="B16" s="17"/>
      <c r="C16" s="26"/>
      <c r="D16" s="27"/>
      <c r="E16" s="4" t="str">
        <f>InpC!E$20</f>
        <v>Sales Price Unit</v>
      </c>
      <c r="F16" s="4">
        <f>InpC!F$20</f>
        <v>35</v>
      </c>
      <c r="G16" s="4" t="str">
        <f>InpC!G$20</f>
        <v>GBP</v>
      </c>
    </row>
    <row r="17" spans="1:69">
      <c r="A17" s="17"/>
      <c r="B17" s="17"/>
      <c r="C17" s="26"/>
      <c r="D17" s="27"/>
      <c r="E17" s="4" t="str">
        <f>Inventory!E$64</f>
        <v>Units in use</v>
      </c>
      <c r="F17" s="4">
        <f>Inventory!F$64</f>
        <v>0</v>
      </c>
      <c r="G17" s="4" t="str">
        <f>Inventory!G$64</f>
        <v>Units</v>
      </c>
      <c r="H17" s="4">
        <f>Inventory!H$64</f>
        <v>0</v>
      </c>
      <c r="I17" s="4">
        <f>Inventory!I$64</f>
        <v>0</v>
      </c>
      <c r="J17" s="4">
        <f ca="1">Inventory!J$64</f>
        <v>0</v>
      </c>
      <c r="K17" s="4">
        <f ca="1">Inventory!K$64</f>
        <v>0</v>
      </c>
      <c r="L17" s="4">
        <f ca="1">Inventory!L$64</f>
        <v>0</v>
      </c>
      <c r="M17" s="4">
        <f ca="1">Inventory!M$64</f>
        <v>0</v>
      </c>
      <c r="N17" s="4">
        <f ca="1">Inventory!N$64</f>
        <v>0</v>
      </c>
      <c r="O17" s="4">
        <f ca="1">Inventory!O$64</f>
        <v>0</v>
      </c>
      <c r="P17" s="4">
        <f ca="1">Inventory!P$64</f>
        <v>0</v>
      </c>
      <c r="Q17" s="4">
        <f ca="1">Inventory!Q$64</f>
        <v>4196.4427041678455</v>
      </c>
      <c r="R17" s="4">
        <f ca="1">Inventory!R$64</f>
        <v>4947.1390522631164</v>
      </c>
      <c r="S17" s="4">
        <f ca="1">Inventory!S$64</f>
        <v>5000</v>
      </c>
      <c r="T17" s="4">
        <f ca="1">Inventory!T$64</f>
        <v>5000</v>
      </c>
      <c r="U17" s="4">
        <f ca="1">Inventory!U$64</f>
        <v>5000</v>
      </c>
      <c r="V17" s="4">
        <f ca="1">Inventory!V$64</f>
        <v>5000</v>
      </c>
      <c r="W17" s="4">
        <f ca="1">Inventory!W$64</f>
        <v>9423.5199996978354</v>
      </c>
      <c r="X17" s="4">
        <f ca="1">Inventory!X$64</f>
        <v>10000</v>
      </c>
      <c r="Y17" s="4">
        <f ca="1">Inventory!Y$64</f>
        <v>10000</v>
      </c>
      <c r="Z17" s="4">
        <f ca="1">Inventory!Z$64</f>
        <v>10000</v>
      </c>
      <c r="AA17" s="4">
        <f ca="1">Inventory!AA$64</f>
        <v>10000</v>
      </c>
      <c r="AB17" s="4">
        <f ca="1">Inventory!AB$64</f>
        <v>10000</v>
      </c>
      <c r="AC17" s="4">
        <f ca="1">Inventory!AC$64</f>
        <v>15000</v>
      </c>
      <c r="AD17" s="4">
        <f ca="1">Inventory!AD$64</f>
        <v>15000</v>
      </c>
      <c r="AE17" s="4">
        <f ca="1">Inventory!AE$64</f>
        <v>15000</v>
      </c>
      <c r="AF17" s="4">
        <f ca="1">Inventory!AF$64</f>
        <v>15000</v>
      </c>
      <c r="AG17" s="4">
        <f ca="1">Inventory!AG$64</f>
        <v>20000</v>
      </c>
      <c r="AH17" s="4">
        <f ca="1">Inventory!AH$64</f>
        <v>19500</v>
      </c>
      <c r="AI17" s="4">
        <f ca="1">Inventory!AI$64</f>
        <v>19969.681307235933</v>
      </c>
      <c r="AJ17" s="4">
        <f ca="1">Inventory!AJ$64</f>
        <v>20468.910007754879</v>
      </c>
      <c r="AK17" s="4">
        <f ca="1">Inventory!AK$64</f>
        <v>25996.276337892323</v>
      </c>
      <c r="AL17" s="4">
        <f ca="1">Inventory!AL$64</f>
        <v>26555.620783504863</v>
      </c>
      <c r="AM17" s="4">
        <f ca="1">Inventory!AM$64</f>
        <v>27150.153281229686</v>
      </c>
      <c r="AN17" s="4">
        <f ca="1">Inventory!AN$64</f>
        <v>32778.194940586734</v>
      </c>
      <c r="AO17" s="4">
        <f ca="1">Inventory!AO$64</f>
        <v>33445.746356072574</v>
      </c>
      <c r="AP17" s="4">
        <f ca="1">Inventory!AP$64</f>
        <v>39150.922440293827</v>
      </c>
      <c r="AQ17" s="4">
        <f ca="1">Inventory!AQ$64</f>
        <v>39898.858558599226</v>
      </c>
      <c r="AR17" s="4">
        <f ca="1">Inventory!AR$64</f>
        <v>40696.954051725224</v>
      </c>
      <c r="AS17" s="4">
        <f ca="1">Inventory!AS$64</f>
        <v>46533.982976313979</v>
      </c>
      <c r="AT17" s="4">
        <f ca="1">Inventory!AT$64</f>
        <v>47423.519999697834</v>
      </c>
      <c r="AU17" s="4">
        <f ca="1">Inventory!AU$64</f>
        <v>48361.961916494729</v>
      </c>
      <c r="AV17" s="4">
        <f ca="1">Inventory!AV$64</f>
        <v>54361.373619317732</v>
      </c>
      <c r="AW17" s="4">
        <f ca="1">Inventory!AW$64</f>
        <v>55417.035561618512</v>
      </c>
      <c r="AX17" s="4">
        <f ca="1">Inventory!AX$64</f>
        <v>61536.619916354139</v>
      </c>
      <c r="AY17" s="4">
        <f ca="1">Inventory!AY$64</f>
        <v>62726.536964251995</v>
      </c>
      <c r="AZ17" s="4">
        <f ca="1">Inventory!AZ$64</f>
        <v>68983.426530796452</v>
      </c>
      <c r="BA17" s="4">
        <f ca="1">Inventory!BA$64</f>
        <v>75319.274353455025</v>
      </c>
      <c r="BB17" s="4">
        <f ca="1">Inventory!BB$64</f>
        <v>76729.46590004256</v>
      </c>
      <c r="BC17" s="4">
        <f ca="1">Inventory!BC$64</f>
        <v>83226.686527262413</v>
      </c>
      <c r="BD17" s="4">
        <f ca="1">Inventory!BD$64</f>
        <v>89824.78442714471</v>
      </c>
      <c r="BE17" s="4">
        <f ca="1">Inventory!BE$64</f>
        <v>91499.34571634719</v>
      </c>
      <c r="BF17" s="4">
        <f ca="1">Inventory!BF$64</f>
        <v>97829.153232113924</v>
      </c>
      <c r="BG17" s="4">
        <f ca="1">Inventory!BG$64</f>
        <v>105131.89419243889</v>
      </c>
      <c r="BH17" s="4">
        <f ca="1">Inventory!BH$64</f>
        <v>112579.38760854732</v>
      </c>
      <c r="BI17" s="4">
        <f ca="1">Inventory!BI$64</f>
        <v>120164.72205604223</v>
      </c>
      <c r="BJ17" s="4">
        <f ca="1">Inventory!BJ$64</f>
        <v>127906.7041802973</v>
      </c>
      <c r="BK17" s="4">
        <f ca="1">Inventory!BK$64</f>
        <v>135821.04987561956</v>
      </c>
      <c r="BL17" s="4">
        <f ca="1">Inventory!BL$64</f>
        <v>143899.52938342901</v>
      </c>
      <c r="BM17" s="4">
        <f ca="1">Inventory!BM$64</f>
        <v>152171.52500670686</v>
      </c>
      <c r="BN17" s="4">
        <f ca="1">Inventory!BN$64</f>
        <v>160626.4508944712</v>
      </c>
      <c r="BO17" s="4">
        <f ca="1">Inventory!BO$64</f>
        <v>169293.3606957811</v>
      </c>
      <c r="BP17" s="4">
        <f ca="1">Inventory!BP$64</f>
        <v>178207.17116198229</v>
      </c>
      <c r="BQ17" s="4">
        <f ca="1">Inventory!BQ$64</f>
        <v>187308.95150230839</v>
      </c>
    </row>
    <row r="18" spans="1:69">
      <c r="A18" s="31"/>
      <c r="B18" s="31"/>
      <c r="C18" s="51"/>
      <c r="D18" s="50"/>
      <c r="E18" s="3" t="s">
        <v>170</v>
      </c>
      <c r="F18" s="3"/>
      <c r="G18" s="3" t="s">
        <v>252</v>
      </c>
      <c r="H18" s="3">
        <f ca="1">SUM(J18:BQ18)</f>
        <v>106647181.69069508</v>
      </c>
      <c r="I18" s="3"/>
      <c r="J18" s="3">
        <f t="shared" ref="J18:AO18" ca="1" si="0">$F16*J17</f>
        <v>0</v>
      </c>
      <c r="K18" s="3">
        <f t="shared" ca="1" si="0"/>
        <v>0</v>
      </c>
      <c r="L18" s="3">
        <f t="shared" ca="1" si="0"/>
        <v>0</v>
      </c>
      <c r="M18" s="3">
        <f t="shared" ca="1" si="0"/>
        <v>0</v>
      </c>
      <c r="N18" s="3">
        <f t="shared" ca="1" si="0"/>
        <v>0</v>
      </c>
      <c r="O18" s="3">
        <f t="shared" ca="1" si="0"/>
        <v>0</v>
      </c>
      <c r="P18" s="3">
        <f t="shared" ca="1" si="0"/>
        <v>0</v>
      </c>
      <c r="Q18" s="3">
        <f t="shared" ca="1" si="0"/>
        <v>146875.4946458746</v>
      </c>
      <c r="R18" s="3">
        <f t="shared" ca="1" si="0"/>
        <v>173149.86682920906</v>
      </c>
      <c r="S18" s="3">
        <f t="shared" ca="1" si="0"/>
        <v>175000</v>
      </c>
      <c r="T18" s="3">
        <f t="shared" ca="1" si="0"/>
        <v>175000</v>
      </c>
      <c r="U18" s="3">
        <f t="shared" ca="1" si="0"/>
        <v>175000</v>
      </c>
      <c r="V18" s="3">
        <f t="shared" ca="1" si="0"/>
        <v>175000</v>
      </c>
      <c r="W18" s="3">
        <f t="shared" ca="1" si="0"/>
        <v>329823.19998942426</v>
      </c>
      <c r="X18" s="3">
        <f t="shared" ca="1" si="0"/>
        <v>350000</v>
      </c>
      <c r="Y18" s="3">
        <f t="shared" ca="1" si="0"/>
        <v>350000</v>
      </c>
      <c r="Z18" s="3">
        <f t="shared" ca="1" si="0"/>
        <v>350000</v>
      </c>
      <c r="AA18" s="3">
        <f t="shared" ca="1" si="0"/>
        <v>350000</v>
      </c>
      <c r="AB18" s="3">
        <f t="shared" ca="1" si="0"/>
        <v>350000</v>
      </c>
      <c r="AC18" s="3">
        <f t="shared" ca="1" si="0"/>
        <v>525000</v>
      </c>
      <c r="AD18" s="3">
        <f t="shared" ca="1" si="0"/>
        <v>525000</v>
      </c>
      <c r="AE18" s="3">
        <f t="shared" ca="1" si="0"/>
        <v>525000</v>
      </c>
      <c r="AF18" s="3">
        <f t="shared" ca="1" si="0"/>
        <v>525000</v>
      </c>
      <c r="AG18" s="3">
        <f t="shared" ca="1" si="0"/>
        <v>700000</v>
      </c>
      <c r="AH18" s="3">
        <f t="shared" ca="1" si="0"/>
        <v>682500</v>
      </c>
      <c r="AI18" s="3">
        <f t="shared" ca="1" si="0"/>
        <v>698938.84575325763</v>
      </c>
      <c r="AJ18" s="3">
        <f t="shared" ca="1" si="0"/>
        <v>716411.85027142079</v>
      </c>
      <c r="AK18" s="3">
        <f t="shared" ca="1" si="0"/>
        <v>909869.67182623129</v>
      </c>
      <c r="AL18" s="3">
        <f t="shared" ca="1" si="0"/>
        <v>929446.72742267023</v>
      </c>
      <c r="AM18" s="3">
        <f t="shared" ca="1" si="0"/>
        <v>950255.36484303907</v>
      </c>
      <c r="AN18" s="3">
        <f t="shared" ca="1" si="0"/>
        <v>1147236.8229205357</v>
      </c>
      <c r="AO18" s="3">
        <f t="shared" ca="1" si="0"/>
        <v>1170601.1224625402</v>
      </c>
      <c r="AP18" s="3">
        <f t="shared" ref="AP18:BU18" ca="1" si="1">$F16*AP17</f>
        <v>1370282.2854102841</v>
      </c>
      <c r="AQ18" s="3">
        <f t="shared" ca="1" si="1"/>
        <v>1396460.0495509729</v>
      </c>
      <c r="AR18" s="3">
        <f t="shared" ca="1" si="1"/>
        <v>1424393.3918103829</v>
      </c>
      <c r="AS18" s="3">
        <f t="shared" ca="1" si="1"/>
        <v>1628689.4041709893</v>
      </c>
      <c r="AT18" s="3">
        <f t="shared" ca="1" si="1"/>
        <v>1659823.1999894241</v>
      </c>
      <c r="AU18" s="3">
        <f t="shared" ca="1" si="1"/>
        <v>1692668.6670773155</v>
      </c>
      <c r="AV18" s="3">
        <f t="shared" ca="1" si="1"/>
        <v>1902648.0766761205</v>
      </c>
      <c r="AW18" s="3">
        <f t="shared" ca="1" si="1"/>
        <v>1939596.244656648</v>
      </c>
      <c r="AX18" s="3">
        <f t="shared" ca="1" si="1"/>
        <v>2153781.6970723947</v>
      </c>
      <c r="AY18" s="3">
        <f t="shared" ca="1" si="1"/>
        <v>2195428.7937488197</v>
      </c>
      <c r="AZ18" s="3">
        <f t="shared" ca="1" si="1"/>
        <v>2414419.9285778757</v>
      </c>
      <c r="BA18" s="3">
        <f t="shared" ca="1" si="1"/>
        <v>2636174.6023709257</v>
      </c>
      <c r="BB18" s="3">
        <f t="shared" ca="1" si="1"/>
        <v>2685531.3065014896</v>
      </c>
      <c r="BC18" s="3">
        <f t="shared" ca="1" si="1"/>
        <v>2912934.0284541845</v>
      </c>
      <c r="BD18" s="3">
        <f t="shared" ca="1" si="1"/>
        <v>3143867.4549500649</v>
      </c>
      <c r="BE18" s="3">
        <f t="shared" ca="1" si="1"/>
        <v>3202477.1000721515</v>
      </c>
      <c r="BF18" s="3">
        <f t="shared" ca="1" si="1"/>
        <v>3424020.3631239873</v>
      </c>
      <c r="BG18" s="3">
        <f t="shared" ca="1" si="1"/>
        <v>3679616.2967353612</v>
      </c>
      <c r="BH18" s="3">
        <f t="shared" ca="1" si="1"/>
        <v>3940278.5662991563</v>
      </c>
      <c r="BI18" s="3">
        <f t="shared" ca="1" si="1"/>
        <v>4205765.2719614776</v>
      </c>
      <c r="BJ18" s="3">
        <f t="shared" ca="1" si="1"/>
        <v>4476734.6463104058</v>
      </c>
      <c r="BK18" s="3">
        <f t="shared" ca="1" si="1"/>
        <v>4753736.7456466844</v>
      </c>
      <c r="BL18" s="3">
        <f t="shared" ca="1" si="1"/>
        <v>5036483.5284200152</v>
      </c>
      <c r="BM18" s="3">
        <f t="shared" ca="1" si="1"/>
        <v>5326003.3752347399</v>
      </c>
      <c r="BN18" s="3">
        <f t="shared" ca="1" si="1"/>
        <v>5621925.7813064922</v>
      </c>
      <c r="BO18" s="3">
        <f t="shared" ca="1" si="1"/>
        <v>5925267.6243523387</v>
      </c>
      <c r="BP18" s="3">
        <f t="shared" ca="1" si="1"/>
        <v>6237250.9906693799</v>
      </c>
      <c r="BQ18" s="3">
        <f t="shared" ca="1" si="1"/>
        <v>6555813.3025807934</v>
      </c>
    </row>
    <row r="21" spans="1:69">
      <c r="B21" s="22" t="s">
        <v>337</v>
      </c>
    </row>
    <row r="22" spans="1:69" s="64" customFormat="1">
      <c r="A22" s="46"/>
      <c r="B22" s="46"/>
      <c r="C22" s="65"/>
      <c r="D22" s="63"/>
      <c r="E22" s="34" t="str">
        <f>InpC!E$48</f>
        <v>Opening Deferred Income</v>
      </c>
      <c r="F22" s="34">
        <f>InpC!F$48</f>
        <v>0</v>
      </c>
      <c r="G22" s="34" t="str">
        <f>InpC!G$48</f>
        <v>GBP</v>
      </c>
    </row>
    <row r="23" spans="1:69">
      <c r="A23" s="17"/>
      <c r="B23" s="17"/>
      <c r="C23" s="26"/>
      <c r="D23" s="27"/>
      <c r="E23" s="10" t="str">
        <f>Time!E$28</f>
        <v>Period number</v>
      </c>
      <c r="F23" s="10">
        <f>Time!F$28</f>
        <v>0</v>
      </c>
      <c r="G23" s="10" t="str">
        <f>Time!G$28</f>
        <v>Counter</v>
      </c>
      <c r="H23" s="10">
        <f>Time!H$28</f>
        <v>0</v>
      </c>
      <c r="I23" s="10">
        <f>Time!I$28</f>
        <v>0</v>
      </c>
      <c r="J23" s="10">
        <f>Time!J$28</f>
        <v>1</v>
      </c>
      <c r="K23" s="10">
        <f>Time!K$28</f>
        <v>2</v>
      </c>
      <c r="L23" s="10">
        <f>Time!L$28</f>
        <v>3</v>
      </c>
      <c r="M23" s="10">
        <f>Time!M$28</f>
        <v>4</v>
      </c>
      <c r="N23" s="10">
        <f>Time!N$28</f>
        <v>5</v>
      </c>
      <c r="O23" s="10">
        <f>Time!O$28</f>
        <v>6</v>
      </c>
      <c r="P23" s="10">
        <f>Time!P$28</f>
        <v>7</v>
      </c>
      <c r="Q23" s="10">
        <f>Time!Q$28</f>
        <v>8</v>
      </c>
      <c r="R23" s="10">
        <f>Time!R$28</f>
        <v>9</v>
      </c>
      <c r="S23" s="10">
        <f>Time!S$28</f>
        <v>10</v>
      </c>
      <c r="T23" s="10">
        <f>Time!T$28</f>
        <v>11</v>
      </c>
      <c r="U23" s="10">
        <f>Time!U$28</f>
        <v>12</v>
      </c>
      <c r="V23" s="10">
        <f>Time!V$28</f>
        <v>13</v>
      </c>
      <c r="W23" s="10">
        <f>Time!W$28</f>
        <v>14</v>
      </c>
      <c r="X23" s="10">
        <f>Time!X$28</f>
        <v>15</v>
      </c>
      <c r="Y23" s="10">
        <f>Time!Y$28</f>
        <v>16</v>
      </c>
      <c r="Z23" s="10">
        <f>Time!Z$28</f>
        <v>17</v>
      </c>
      <c r="AA23" s="10">
        <f>Time!AA$28</f>
        <v>18</v>
      </c>
      <c r="AB23" s="10">
        <f>Time!AB$28</f>
        <v>19</v>
      </c>
      <c r="AC23" s="10">
        <f>Time!AC$28</f>
        <v>20</v>
      </c>
      <c r="AD23" s="10">
        <f>Time!AD$28</f>
        <v>21</v>
      </c>
      <c r="AE23" s="10">
        <f>Time!AE$28</f>
        <v>22</v>
      </c>
      <c r="AF23" s="10">
        <f>Time!AF$28</f>
        <v>23</v>
      </c>
      <c r="AG23" s="10">
        <f>Time!AG$28</f>
        <v>24</v>
      </c>
      <c r="AH23" s="10">
        <f>Time!AH$28</f>
        <v>25</v>
      </c>
      <c r="AI23" s="10">
        <f>Time!AI$28</f>
        <v>26</v>
      </c>
      <c r="AJ23" s="10">
        <f>Time!AJ$28</f>
        <v>27</v>
      </c>
      <c r="AK23" s="10">
        <f>Time!AK$28</f>
        <v>28</v>
      </c>
      <c r="AL23" s="10">
        <f>Time!AL$28</f>
        <v>29</v>
      </c>
      <c r="AM23" s="10">
        <f>Time!AM$28</f>
        <v>30</v>
      </c>
      <c r="AN23" s="10">
        <f>Time!AN$28</f>
        <v>31</v>
      </c>
      <c r="AO23" s="10">
        <f>Time!AO$28</f>
        <v>32</v>
      </c>
      <c r="AP23" s="10">
        <f>Time!AP$28</f>
        <v>33</v>
      </c>
      <c r="AQ23" s="10">
        <f>Time!AQ$28</f>
        <v>34</v>
      </c>
      <c r="AR23" s="10">
        <f>Time!AR$28</f>
        <v>35</v>
      </c>
      <c r="AS23" s="10">
        <f>Time!AS$28</f>
        <v>36</v>
      </c>
      <c r="AT23" s="10">
        <f>Time!AT$28</f>
        <v>37</v>
      </c>
      <c r="AU23" s="10">
        <f>Time!AU$28</f>
        <v>38</v>
      </c>
      <c r="AV23" s="10">
        <f>Time!AV$28</f>
        <v>39</v>
      </c>
      <c r="AW23" s="10">
        <f>Time!AW$28</f>
        <v>40</v>
      </c>
      <c r="AX23" s="10">
        <f>Time!AX$28</f>
        <v>41</v>
      </c>
      <c r="AY23" s="10">
        <f>Time!AY$28</f>
        <v>42</v>
      </c>
      <c r="AZ23" s="10">
        <f>Time!AZ$28</f>
        <v>43</v>
      </c>
      <c r="BA23" s="10">
        <f>Time!BA$28</f>
        <v>44</v>
      </c>
      <c r="BB23" s="10">
        <f>Time!BB$28</f>
        <v>45</v>
      </c>
      <c r="BC23" s="10">
        <f>Time!BC$28</f>
        <v>46</v>
      </c>
      <c r="BD23" s="10">
        <f>Time!BD$28</f>
        <v>47</v>
      </c>
      <c r="BE23" s="10">
        <f>Time!BE$28</f>
        <v>48</v>
      </c>
      <c r="BF23" s="10">
        <f>Time!BF$28</f>
        <v>49</v>
      </c>
      <c r="BG23" s="10">
        <f>Time!BG$28</f>
        <v>50</v>
      </c>
      <c r="BH23" s="10">
        <f>Time!BH$28</f>
        <v>51</v>
      </c>
      <c r="BI23" s="10">
        <f>Time!BI$28</f>
        <v>52</v>
      </c>
      <c r="BJ23" s="10">
        <f>Time!BJ$28</f>
        <v>53</v>
      </c>
      <c r="BK23" s="10">
        <f>Time!BK$28</f>
        <v>54</v>
      </c>
      <c r="BL23" s="10">
        <f>Time!BL$28</f>
        <v>55</v>
      </c>
      <c r="BM23" s="10">
        <f>Time!BM$28</f>
        <v>56</v>
      </c>
      <c r="BN23" s="10">
        <f>Time!BN$28</f>
        <v>57</v>
      </c>
      <c r="BO23" s="10">
        <f>Time!BO$28</f>
        <v>58</v>
      </c>
      <c r="BP23" s="10">
        <f>Time!BP$28</f>
        <v>59</v>
      </c>
      <c r="BQ23" s="10">
        <f>Time!BQ$28</f>
        <v>60</v>
      </c>
    </row>
    <row r="24" spans="1:69" ht="14.5">
      <c r="E24" s="2" t="s">
        <v>86</v>
      </c>
      <c r="G24" s="2" t="s">
        <v>252</v>
      </c>
      <c r="I24"/>
      <c r="J24" s="2">
        <f t="shared" ref="J24:AO24" si="2">I27</f>
        <v>0</v>
      </c>
      <c r="K24" s="2">
        <f t="shared" ca="1" si="2"/>
        <v>0</v>
      </c>
      <c r="L24" s="2">
        <f t="shared" ca="1" si="2"/>
        <v>0</v>
      </c>
      <c r="M24" s="2">
        <f t="shared" ca="1" si="2"/>
        <v>0</v>
      </c>
      <c r="N24" s="2">
        <f t="shared" ca="1" si="2"/>
        <v>0</v>
      </c>
      <c r="O24" s="2">
        <f t="shared" ca="1" si="2"/>
        <v>0</v>
      </c>
      <c r="P24" s="2">
        <f t="shared" ca="1" si="2"/>
        <v>0</v>
      </c>
      <c r="Q24" s="2">
        <f t="shared" ca="1" si="2"/>
        <v>0</v>
      </c>
      <c r="R24" s="2">
        <f t="shared" ca="1" si="2"/>
        <v>1615630.4411046202</v>
      </c>
      <c r="S24" s="2">
        <f t="shared" ca="1" si="2"/>
        <v>1757773.0404754248</v>
      </c>
      <c r="T24" s="2">
        <f t="shared" ca="1" si="2"/>
        <v>1604974.638524916</v>
      </c>
      <c r="U24" s="2">
        <f t="shared" ca="1" si="2"/>
        <v>1429974.638524916</v>
      </c>
      <c r="V24" s="2">
        <f t="shared" ca="1" si="2"/>
        <v>1254974.638524916</v>
      </c>
      <c r="W24" s="2">
        <f t="shared" ca="1" si="2"/>
        <v>1079974.638524916</v>
      </c>
      <c r="X24" s="2">
        <f t="shared" ca="1" si="2"/>
        <v>2608029.8384085828</v>
      </c>
      <c r="Y24" s="2">
        <f t="shared" ca="1" si="2"/>
        <v>2500151.4385354919</v>
      </c>
      <c r="Z24" s="2">
        <f t="shared" ca="1" si="2"/>
        <v>2150151.4385354919</v>
      </c>
      <c r="AA24" s="2">
        <f t="shared" ca="1" si="2"/>
        <v>1800151.4385354919</v>
      </c>
      <c r="AB24" s="2">
        <f t="shared" ca="1" si="2"/>
        <v>1450151.4385354919</v>
      </c>
      <c r="AC24" s="2">
        <f t="shared" ca="1" si="2"/>
        <v>1100151.4385354919</v>
      </c>
      <c r="AD24" s="2">
        <f t="shared" ca="1" si="2"/>
        <v>4437657.3742859866</v>
      </c>
      <c r="AE24" s="2">
        <f t="shared" ca="1" si="2"/>
        <v>4227949.8404860003</v>
      </c>
      <c r="AF24" s="2">
        <f t="shared" ca="1" si="2"/>
        <v>3725151.438535491</v>
      </c>
      <c r="AG24" s="2">
        <f t="shared" ca="1" si="2"/>
        <v>3200151.438535491</v>
      </c>
      <c r="AH24" s="2">
        <f t="shared" ca="1" si="2"/>
        <v>4600151.438535491</v>
      </c>
      <c r="AI24" s="2">
        <f t="shared" ca="1" si="2"/>
        <v>3917651.438535491</v>
      </c>
      <c r="AJ24" s="2">
        <f t="shared" ca="1" si="2"/>
        <v>5496590.9926553238</v>
      </c>
      <c r="AK24" s="2">
        <f t="shared" ca="1" si="2"/>
        <v>5467768.4444326274</v>
      </c>
      <c r="AL24" s="2">
        <f t="shared" ca="1" si="2"/>
        <v>7129482.0680141104</v>
      </c>
      <c r="AM24" s="2">
        <f t="shared" ca="1" si="2"/>
        <v>6700214.2140914183</v>
      </c>
      <c r="AN24" s="2">
        <f t="shared" ca="1" si="2"/>
        <v>6280467.2619338026</v>
      </c>
      <c r="AO24" s="2">
        <f t="shared" ca="1" si="2"/>
        <v>7794839.9662952619</v>
      </c>
      <c r="AP24" s="2">
        <f t="shared" ref="AP24:BQ24" ca="1" si="3">AO27</f>
        <v>9319902.9045367856</v>
      </c>
      <c r="AQ24" s="2">
        <f t="shared" ca="1" si="3"/>
        <v>10680205.551526528</v>
      </c>
      <c r="AR24" s="2">
        <f t="shared" ca="1" si="3"/>
        <v>9952567.4560297541</v>
      </c>
      <c r="AS24" s="2">
        <f t="shared" ca="1" si="3"/>
        <v>9237551.6329512317</v>
      </c>
      <c r="AT24" s="2">
        <f t="shared" ca="1" si="3"/>
        <v>12557217.152018126</v>
      </c>
      <c r="AU24" s="2">
        <f t="shared" ca="1" si="3"/>
        <v>11690999.50184992</v>
      </c>
      <c r="AV24" s="2">
        <f t="shared" ca="1" si="3"/>
        <v>11258330.834772604</v>
      </c>
      <c r="AW24" s="2">
        <f t="shared" ca="1" si="3"/>
        <v>12792859.249908905</v>
      </c>
      <c r="AX24" s="2">
        <f t="shared" ca="1" si="3"/>
        <v>14368758.050069861</v>
      </c>
      <c r="AY24" s="2">
        <f t="shared" ca="1" si="3"/>
        <v>15816222.693784572</v>
      </c>
      <c r="AZ24" s="2">
        <f t="shared" ca="1" si="3"/>
        <v>15212986.389317499</v>
      </c>
      <c r="BA24" s="2">
        <f t="shared" ca="1" si="3"/>
        <v>18684013.820980065</v>
      </c>
      <c r="BB24" s="2">
        <f t="shared" ca="1" si="3"/>
        <v>19935391.70933276</v>
      </c>
      <c r="BC24" s="2">
        <f t="shared" ca="1" si="3"/>
        <v>21242110.024237208</v>
      </c>
      <c r="BD24" s="2">
        <f t="shared" ca="1" si="3"/>
        <v>22436766.428715516</v>
      </c>
      <c r="BE24" s="2">
        <f t="shared" ca="1" si="3"/>
        <v>23522148.173389215</v>
      </c>
      <c r="BF24" s="2">
        <f t="shared" ca="1" si="3"/>
        <v>24665367.022437617</v>
      </c>
      <c r="BG24" s="2">
        <f t="shared" ca="1" si="3"/>
        <v>25723002.777970102</v>
      </c>
      <c r="BH24" s="2">
        <f t="shared" ca="1" si="3"/>
        <v>27042449.305661194</v>
      </c>
      <c r="BI24" s="2">
        <f t="shared" ca="1" si="3"/>
        <v>30377702.771432579</v>
      </c>
      <c r="BJ24" s="2">
        <f t="shared" ca="1" si="3"/>
        <v>31527601.26370978</v>
      </c>
      <c r="BK24" s="2">
        <f t="shared" ca="1" si="3"/>
        <v>34703757.178448349</v>
      </c>
      <c r="BL24" s="2">
        <f t="shared" ca="1" si="3"/>
        <v>35712085.712547436</v>
      </c>
      <c r="BM24" s="2">
        <f t="shared" ca="1" si="3"/>
        <v>38752152.039314069</v>
      </c>
      <c r="BN24" s="2">
        <f t="shared" ca="1" si="3"/>
        <v>41737538.351995371</v>
      </c>
      <c r="BO24" s="2">
        <f t="shared" ca="1" si="3"/>
        <v>42567803.451934367</v>
      </c>
      <c r="BP24" s="2">
        <f t="shared" ca="1" si="3"/>
        <v>45460218.945217431</v>
      </c>
      <c r="BQ24" s="2">
        <f t="shared" ca="1" si="3"/>
        <v>48320464.629853867</v>
      </c>
    </row>
    <row r="25" spans="1:69">
      <c r="D25" s="66" t="s">
        <v>216</v>
      </c>
      <c r="E25" s="2" t="str">
        <f t="shared" ref="E25:AJ25" si="4">E$12</f>
        <v>New Deferred Income from customer orders</v>
      </c>
      <c r="F25" s="2">
        <f t="shared" si="4"/>
        <v>0</v>
      </c>
      <c r="G25" s="2" t="str">
        <f t="shared" si="4"/>
        <v>GBP</v>
      </c>
      <c r="H25" s="2">
        <f t="shared" ca="1" si="4"/>
        <v>155676823.34106967</v>
      </c>
      <c r="I25" s="2">
        <f t="shared" si="4"/>
        <v>0</v>
      </c>
      <c r="J25" s="2">
        <f t="shared" ca="1" si="4"/>
        <v>0</v>
      </c>
      <c r="K25" s="2">
        <f t="shared" ca="1" si="4"/>
        <v>0</v>
      </c>
      <c r="L25" s="2">
        <f t="shared" ca="1" si="4"/>
        <v>0</v>
      </c>
      <c r="M25" s="2">
        <f t="shared" ca="1" si="4"/>
        <v>0</v>
      </c>
      <c r="N25" s="2">
        <f t="shared" ca="1" si="4"/>
        <v>0</v>
      </c>
      <c r="O25" s="2">
        <f t="shared" ca="1" si="4"/>
        <v>0</v>
      </c>
      <c r="P25" s="2">
        <f t="shared" ca="1" si="4"/>
        <v>0</v>
      </c>
      <c r="Q25" s="2">
        <f t="shared" ca="1" si="4"/>
        <v>1762505.9357504949</v>
      </c>
      <c r="R25" s="2">
        <f t="shared" ca="1" si="4"/>
        <v>315292.46620001376</v>
      </c>
      <c r="S25" s="2">
        <f t="shared" ca="1" si="4"/>
        <v>22201.598049491131</v>
      </c>
      <c r="T25" s="2">
        <f t="shared" ca="1" si="4"/>
        <v>0</v>
      </c>
      <c r="U25" s="2">
        <f t="shared" ca="1" si="4"/>
        <v>0</v>
      </c>
      <c r="V25" s="2">
        <f t="shared" ca="1" si="4"/>
        <v>0</v>
      </c>
      <c r="W25" s="2">
        <f t="shared" ca="1" si="4"/>
        <v>1857878.3998730909</v>
      </c>
      <c r="X25" s="2">
        <f t="shared" ca="1" si="4"/>
        <v>242121.60012690915</v>
      </c>
      <c r="Y25" s="2">
        <f t="shared" ca="1" si="4"/>
        <v>0</v>
      </c>
      <c r="Z25" s="2">
        <f t="shared" ca="1" si="4"/>
        <v>0</v>
      </c>
      <c r="AA25" s="2">
        <f t="shared" ca="1" si="4"/>
        <v>0</v>
      </c>
      <c r="AB25" s="2">
        <f t="shared" ca="1" si="4"/>
        <v>0</v>
      </c>
      <c r="AC25" s="2">
        <f t="shared" ca="1" si="4"/>
        <v>3862505.9357504947</v>
      </c>
      <c r="AD25" s="2">
        <f t="shared" ca="1" si="4"/>
        <v>315292.46620001376</v>
      </c>
      <c r="AE25" s="2">
        <f t="shared" ca="1" si="4"/>
        <v>22201.598049491131</v>
      </c>
      <c r="AF25" s="2">
        <f t="shared" ca="1" si="4"/>
        <v>0</v>
      </c>
      <c r="AG25" s="2">
        <f t="shared" ca="1" si="4"/>
        <v>2100000</v>
      </c>
      <c r="AH25" s="2">
        <f t="shared" ca="1" si="4"/>
        <v>0</v>
      </c>
      <c r="AI25" s="2">
        <f t="shared" ca="1" si="4"/>
        <v>2277878.3998730909</v>
      </c>
      <c r="AJ25" s="2">
        <f t="shared" ca="1" si="4"/>
        <v>687589.30204872461</v>
      </c>
      <c r="AK25" s="2">
        <f t="shared" ref="AK25:BQ25" ca="1" si="5">AK$12</f>
        <v>2571583.2954077139</v>
      </c>
      <c r="AL25" s="2">
        <f t="shared" ca="1" si="5"/>
        <v>500178.87349997833</v>
      </c>
      <c r="AM25" s="2">
        <f t="shared" ca="1" si="5"/>
        <v>530508.41268542316</v>
      </c>
      <c r="AN25" s="2">
        <f t="shared" ca="1" si="5"/>
        <v>2661609.5272819945</v>
      </c>
      <c r="AO25" s="2">
        <f t="shared" ca="1" si="5"/>
        <v>2695664.060704065</v>
      </c>
      <c r="AP25" s="2">
        <f t="shared" ca="1" si="5"/>
        <v>2730584.9324000278</v>
      </c>
      <c r="AQ25" s="2">
        <f t="shared" ca="1" si="5"/>
        <v>668821.95405419893</v>
      </c>
      <c r="AR25" s="2">
        <f t="shared" ca="1" si="5"/>
        <v>709377.56873186189</v>
      </c>
      <c r="AS25" s="2">
        <f t="shared" ca="1" si="5"/>
        <v>4948354.9232378844</v>
      </c>
      <c r="AT25" s="2">
        <f t="shared" ca="1" si="5"/>
        <v>793605.54982121789</v>
      </c>
      <c r="AU25" s="2">
        <f t="shared" ca="1" si="5"/>
        <v>1260000</v>
      </c>
      <c r="AV25" s="2">
        <f t="shared" ca="1" si="5"/>
        <v>3437176.4918124224</v>
      </c>
      <c r="AW25" s="2">
        <f t="shared" ca="1" si="5"/>
        <v>3515495.0448176051</v>
      </c>
      <c r="AX25" s="2">
        <f t="shared" ca="1" si="5"/>
        <v>3601246.3407871048</v>
      </c>
      <c r="AY25" s="2">
        <f t="shared" ca="1" si="5"/>
        <v>1592192.4892817482</v>
      </c>
      <c r="AZ25" s="2">
        <f t="shared" ca="1" si="5"/>
        <v>5885447.3602404445</v>
      </c>
      <c r="BA25" s="2">
        <f t="shared" ca="1" si="5"/>
        <v>3887552.4907236225</v>
      </c>
      <c r="BB25" s="2">
        <f t="shared" ca="1" si="5"/>
        <v>3992249.6214059377</v>
      </c>
      <c r="BC25" s="2">
        <f t="shared" ca="1" si="5"/>
        <v>4107590.4329324914</v>
      </c>
      <c r="BD25" s="2">
        <f t="shared" ca="1" si="5"/>
        <v>4229249.1996237636</v>
      </c>
      <c r="BE25" s="2">
        <f t="shared" ca="1" si="5"/>
        <v>4345695.9491205551</v>
      </c>
      <c r="BF25" s="2">
        <f t="shared" ca="1" si="5"/>
        <v>4481656.1186564714</v>
      </c>
      <c r="BG25" s="2">
        <f t="shared" ca="1" si="5"/>
        <v>4999062.8244264536</v>
      </c>
      <c r="BH25" s="2">
        <f t="shared" ca="1" si="5"/>
        <v>7275532.0320705371</v>
      </c>
      <c r="BI25" s="2">
        <f t="shared" ca="1" si="5"/>
        <v>5355663.7642386807</v>
      </c>
      <c r="BJ25" s="2">
        <f t="shared" ca="1" si="5"/>
        <v>7652890.5610489771</v>
      </c>
      <c r="BK25" s="2">
        <f t="shared" ca="1" si="5"/>
        <v>5762065.2797457725</v>
      </c>
      <c r="BL25" s="2">
        <f t="shared" ca="1" si="5"/>
        <v>8076549.8551866487</v>
      </c>
      <c r="BM25" s="2">
        <f t="shared" ca="1" si="5"/>
        <v>8311389.6879160414</v>
      </c>
      <c r="BN25" s="2">
        <f t="shared" ca="1" si="5"/>
        <v>6452190.8812454883</v>
      </c>
      <c r="BO25" s="2">
        <f t="shared" ca="1" si="5"/>
        <v>8817683.1176353954</v>
      </c>
      <c r="BP25" s="2">
        <f t="shared" ca="1" si="5"/>
        <v>9097496.6753058098</v>
      </c>
      <c r="BQ25" s="2">
        <f t="shared" ca="1" si="5"/>
        <v>7264990.3231014879</v>
      </c>
    </row>
    <row r="26" spans="1:69">
      <c r="D26" s="66" t="s">
        <v>293</v>
      </c>
      <c r="E26" s="2" t="str">
        <f t="shared" ref="E26:AJ26" si="6">E$18</f>
        <v>Income</v>
      </c>
      <c r="F26" s="2">
        <f t="shared" si="6"/>
        <v>0</v>
      </c>
      <c r="G26" s="2" t="str">
        <f t="shared" si="6"/>
        <v>GBP</v>
      </c>
      <c r="H26" s="2">
        <f t="shared" ca="1" si="6"/>
        <v>106647181.69069508</v>
      </c>
      <c r="I26" s="2">
        <f t="shared" si="6"/>
        <v>0</v>
      </c>
      <c r="J26" s="2">
        <f t="shared" ca="1" si="6"/>
        <v>0</v>
      </c>
      <c r="K26" s="2">
        <f t="shared" ca="1" si="6"/>
        <v>0</v>
      </c>
      <c r="L26" s="2">
        <f t="shared" ca="1" si="6"/>
        <v>0</v>
      </c>
      <c r="M26" s="2">
        <f t="shared" ca="1" si="6"/>
        <v>0</v>
      </c>
      <c r="N26" s="2">
        <f t="shared" ca="1" si="6"/>
        <v>0</v>
      </c>
      <c r="O26" s="2">
        <f t="shared" ca="1" si="6"/>
        <v>0</v>
      </c>
      <c r="P26" s="2">
        <f t="shared" ca="1" si="6"/>
        <v>0</v>
      </c>
      <c r="Q26" s="2">
        <f t="shared" ca="1" si="6"/>
        <v>146875.4946458746</v>
      </c>
      <c r="R26" s="2">
        <f t="shared" ca="1" si="6"/>
        <v>173149.86682920906</v>
      </c>
      <c r="S26" s="2">
        <f t="shared" ca="1" si="6"/>
        <v>175000</v>
      </c>
      <c r="T26" s="2">
        <f t="shared" ca="1" si="6"/>
        <v>175000</v>
      </c>
      <c r="U26" s="2">
        <f t="shared" ca="1" si="6"/>
        <v>175000</v>
      </c>
      <c r="V26" s="2">
        <f t="shared" ca="1" si="6"/>
        <v>175000</v>
      </c>
      <c r="W26" s="2">
        <f t="shared" ca="1" si="6"/>
        <v>329823.19998942426</v>
      </c>
      <c r="X26" s="2">
        <f t="shared" ca="1" si="6"/>
        <v>350000</v>
      </c>
      <c r="Y26" s="2">
        <f t="shared" ca="1" si="6"/>
        <v>350000</v>
      </c>
      <c r="Z26" s="2">
        <f t="shared" ca="1" si="6"/>
        <v>350000</v>
      </c>
      <c r="AA26" s="2">
        <f t="shared" ca="1" si="6"/>
        <v>350000</v>
      </c>
      <c r="AB26" s="2">
        <f t="shared" ca="1" si="6"/>
        <v>350000</v>
      </c>
      <c r="AC26" s="2">
        <f t="shared" ca="1" si="6"/>
        <v>525000</v>
      </c>
      <c r="AD26" s="2">
        <f t="shared" ca="1" si="6"/>
        <v>525000</v>
      </c>
      <c r="AE26" s="2">
        <f t="shared" ca="1" si="6"/>
        <v>525000</v>
      </c>
      <c r="AF26" s="2">
        <f t="shared" ca="1" si="6"/>
        <v>525000</v>
      </c>
      <c r="AG26" s="2">
        <f t="shared" ca="1" si="6"/>
        <v>700000</v>
      </c>
      <c r="AH26" s="2">
        <f t="shared" ca="1" si="6"/>
        <v>682500</v>
      </c>
      <c r="AI26" s="2">
        <f t="shared" ca="1" si="6"/>
        <v>698938.84575325763</v>
      </c>
      <c r="AJ26" s="2">
        <f t="shared" ca="1" si="6"/>
        <v>716411.85027142079</v>
      </c>
      <c r="AK26" s="2">
        <f t="shared" ref="AK26:BQ26" ca="1" si="7">AK$18</f>
        <v>909869.67182623129</v>
      </c>
      <c r="AL26" s="2">
        <f t="shared" ca="1" si="7"/>
        <v>929446.72742267023</v>
      </c>
      <c r="AM26" s="2">
        <f t="shared" ca="1" si="7"/>
        <v>950255.36484303907</v>
      </c>
      <c r="AN26" s="2">
        <f t="shared" ca="1" si="7"/>
        <v>1147236.8229205357</v>
      </c>
      <c r="AO26" s="2">
        <f t="shared" ca="1" si="7"/>
        <v>1170601.1224625402</v>
      </c>
      <c r="AP26" s="2">
        <f t="shared" ca="1" si="7"/>
        <v>1370282.2854102841</v>
      </c>
      <c r="AQ26" s="2">
        <f t="shared" ca="1" si="7"/>
        <v>1396460.0495509729</v>
      </c>
      <c r="AR26" s="2">
        <f t="shared" ca="1" si="7"/>
        <v>1424393.3918103829</v>
      </c>
      <c r="AS26" s="2">
        <f t="shared" ca="1" si="7"/>
        <v>1628689.4041709893</v>
      </c>
      <c r="AT26" s="2">
        <f t="shared" ca="1" si="7"/>
        <v>1659823.1999894241</v>
      </c>
      <c r="AU26" s="2">
        <f t="shared" ca="1" si="7"/>
        <v>1692668.6670773155</v>
      </c>
      <c r="AV26" s="2">
        <f t="shared" ca="1" si="7"/>
        <v>1902648.0766761205</v>
      </c>
      <c r="AW26" s="2">
        <f t="shared" ca="1" si="7"/>
        <v>1939596.244656648</v>
      </c>
      <c r="AX26" s="2">
        <f t="shared" ca="1" si="7"/>
        <v>2153781.6970723947</v>
      </c>
      <c r="AY26" s="2">
        <f t="shared" ca="1" si="7"/>
        <v>2195428.7937488197</v>
      </c>
      <c r="AZ26" s="2">
        <f t="shared" ca="1" si="7"/>
        <v>2414419.9285778757</v>
      </c>
      <c r="BA26" s="2">
        <f t="shared" ca="1" si="7"/>
        <v>2636174.6023709257</v>
      </c>
      <c r="BB26" s="2">
        <f t="shared" ca="1" si="7"/>
        <v>2685531.3065014896</v>
      </c>
      <c r="BC26" s="2">
        <f t="shared" ca="1" si="7"/>
        <v>2912934.0284541845</v>
      </c>
      <c r="BD26" s="2">
        <f t="shared" ca="1" si="7"/>
        <v>3143867.4549500649</v>
      </c>
      <c r="BE26" s="2">
        <f t="shared" ca="1" si="7"/>
        <v>3202477.1000721515</v>
      </c>
      <c r="BF26" s="2">
        <f t="shared" ca="1" si="7"/>
        <v>3424020.3631239873</v>
      </c>
      <c r="BG26" s="2">
        <f t="shared" ca="1" si="7"/>
        <v>3679616.2967353612</v>
      </c>
      <c r="BH26" s="2">
        <f t="shared" ca="1" si="7"/>
        <v>3940278.5662991563</v>
      </c>
      <c r="BI26" s="2">
        <f t="shared" ca="1" si="7"/>
        <v>4205765.2719614776</v>
      </c>
      <c r="BJ26" s="2">
        <f t="shared" ca="1" si="7"/>
        <v>4476734.6463104058</v>
      </c>
      <c r="BK26" s="2">
        <f t="shared" ca="1" si="7"/>
        <v>4753736.7456466844</v>
      </c>
      <c r="BL26" s="2">
        <f t="shared" ca="1" si="7"/>
        <v>5036483.5284200152</v>
      </c>
      <c r="BM26" s="2">
        <f t="shared" ca="1" si="7"/>
        <v>5326003.3752347399</v>
      </c>
      <c r="BN26" s="2">
        <f t="shared" ca="1" si="7"/>
        <v>5621925.7813064922</v>
      </c>
      <c r="BO26" s="2">
        <f t="shared" ca="1" si="7"/>
        <v>5925267.6243523387</v>
      </c>
      <c r="BP26" s="2">
        <f t="shared" ca="1" si="7"/>
        <v>6237250.9906693799</v>
      </c>
      <c r="BQ26" s="2">
        <f t="shared" ca="1" si="7"/>
        <v>6555813.3025807934</v>
      </c>
    </row>
    <row r="27" spans="1:69" s="32" customFormat="1">
      <c r="A27" s="48"/>
      <c r="B27" s="48"/>
      <c r="C27" s="68"/>
      <c r="D27" s="69"/>
      <c r="E27" s="11" t="s">
        <v>337</v>
      </c>
      <c r="F27" s="11"/>
      <c r="G27" s="11" t="s">
        <v>252</v>
      </c>
      <c r="H27" s="11"/>
      <c r="I27" s="11">
        <f t="shared" ref="I27:AN27" si="8">IF(I23=0,$F22,I24+I25-I26)</f>
        <v>0</v>
      </c>
      <c r="J27" s="11">
        <f t="shared" ca="1" si="8"/>
        <v>0</v>
      </c>
      <c r="K27" s="11">
        <f t="shared" ca="1" si="8"/>
        <v>0</v>
      </c>
      <c r="L27" s="11">
        <f t="shared" ca="1" si="8"/>
        <v>0</v>
      </c>
      <c r="M27" s="11">
        <f t="shared" ca="1" si="8"/>
        <v>0</v>
      </c>
      <c r="N27" s="11">
        <f t="shared" ca="1" si="8"/>
        <v>0</v>
      </c>
      <c r="O27" s="11">
        <f t="shared" ca="1" si="8"/>
        <v>0</v>
      </c>
      <c r="P27" s="11">
        <f t="shared" ca="1" si="8"/>
        <v>0</v>
      </c>
      <c r="Q27" s="11">
        <f t="shared" ca="1" si="8"/>
        <v>1615630.4411046202</v>
      </c>
      <c r="R27" s="11">
        <f t="shared" ca="1" si="8"/>
        <v>1757773.0404754248</v>
      </c>
      <c r="S27" s="11">
        <f t="shared" ca="1" si="8"/>
        <v>1604974.638524916</v>
      </c>
      <c r="T27" s="11">
        <f t="shared" ca="1" si="8"/>
        <v>1429974.638524916</v>
      </c>
      <c r="U27" s="11">
        <f t="shared" ca="1" si="8"/>
        <v>1254974.638524916</v>
      </c>
      <c r="V27" s="11">
        <f t="shared" ca="1" si="8"/>
        <v>1079974.638524916</v>
      </c>
      <c r="W27" s="11">
        <f t="shared" ca="1" si="8"/>
        <v>2608029.8384085828</v>
      </c>
      <c r="X27" s="11">
        <f t="shared" ca="1" si="8"/>
        <v>2500151.4385354919</v>
      </c>
      <c r="Y27" s="11">
        <f t="shared" ca="1" si="8"/>
        <v>2150151.4385354919</v>
      </c>
      <c r="Z27" s="11">
        <f t="shared" ca="1" si="8"/>
        <v>1800151.4385354919</v>
      </c>
      <c r="AA27" s="11">
        <f t="shared" ca="1" si="8"/>
        <v>1450151.4385354919</v>
      </c>
      <c r="AB27" s="11">
        <f t="shared" ca="1" si="8"/>
        <v>1100151.4385354919</v>
      </c>
      <c r="AC27" s="11">
        <f t="shared" ca="1" si="8"/>
        <v>4437657.3742859866</v>
      </c>
      <c r="AD27" s="11">
        <f t="shared" ca="1" si="8"/>
        <v>4227949.8404860003</v>
      </c>
      <c r="AE27" s="11">
        <f t="shared" ca="1" si="8"/>
        <v>3725151.438535491</v>
      </c>
      <c r="AF27" s="11">
        <f t="shared" ca="1" si="8"/>
        <v>3200151.438535491</v>
      </c>
      <c r="AG27" s="11">
        <f t="shared" ca="1" si="8"/>
        <v>4600151.438535491</v>
      </c>
      <c r="AH27" s="11">
        <f t="shared" ca="1" si="8"/>
        <v>3917651.438535491</v>
      </c>
      <c r="AI27" s="11">
        <f t="shared" ca="1" si="8"/>
        <v>5496590.9926553238</v>
      </c>
      <c r="AJ27" s="11">
        <f t="shared" ca="1" si="8"/>
        <v>5467768.4444326274</v>
      </c>
      <c r="AK27" s="11">
        <f t="shared" ca="1" si="8"/>
        <v>7129482.0680141104</v>
      </c>
      <c r="AL27" s="11">
        <f t="shared" ca="1" si="8"/>
        <v>6700214.2140914183</v>
      </c>
      <c r="AM27" s="11">
        <f t="shared" ca="1" si="8"/>
        <v>6280467.2619338026</v>
      </c>
      <c r="AN27" s="11">
        <f t="shared" ca="1" si="8"/>
        <v>7794839.9662952619</v>
      </c>
      <c r="AO27" s="11">
        <f t="shared" ref="AO27:BT27" ca="1" si="9">IF(AO23=0,$F22,AO24+AO25-AO26)</f>
        <v>9319902.9045367856</v>
      </c>
      <c r="AP27" s="11">
        <f t="shared" ca="1" si="9"/>
        <v>10680205.551526528</v>
      </c>
      <c r="AQ27" s="11">
        <f t="shared" ca="1" si="9"/>
        <v>9952567.4560297541</v>
      </c>
      <c r="AR27" s="11">
        <f t="shared" ca="1" si="9"/>
        <v>9237551.6329512317</v>
      </c>
      <c r="AS27" s="11">
        <f t="shared" ca="1" si="9"/>
        <v>12557217.152018126</v>
      </c>
      <c r="AT27" s="11">
        <f t="shared" ca="1" si="9"/>
        <v>11690999.50184992</v>
      </c>
      <c r="AU27" s="11">
        <f t="shared" ca="1" si="9"/>
        <v>11258330.834772604</v>
      </c>
      <c r="AV27" s="11">
        <f t="shared" ca="1" si="9"/>
        <v>12792859.249908905</v>
      </c>
      <c r="AW27" s="11">
        <f t="shared" ca="1" si="9"/>
        <v>14368758.050069861</v>
      </c>
      <c r="AX27" s="11">
        <f t="shared" ca="1" si="9"/>
        <v>15816222.693784572</v>
      </c>
      <c r="AY27" s="11">
        <f t="shared" ca="1" si="9"/>
        <v>15212986.389317499</v>
      </c>
      <c r="AZ27" s="11">
        <f t="shared" ca="1" si="9"/>
        <v>18684013.820980065</v>
      </c>
      <c r="BA27" s="11">
        <f t="shared" ca="1" si="9"/>
        <v>19935391.70933276</v>
      </c>
      <c r="BB27" s="11">
        <f t="shared" ca="1" si="9"/>
        <v>21242110.024237208</v>
      </c>
      <c r="BC27" s="11">
        <f t="shared" ca="1" si="9"/>
        <v>22436766.428715516</v>
      </c>
      <c r="BD27" s="11">
        <f t="shared" ca="1" si="9"/>
        <v>23522148.173389215</v>
      </c>
      <c r="BE27" s="11">
        <f t="shared" ca="1" si="9"/>
        <v>24665367.022437617</v>
      </c>
      <c r="BF27" s="11">
        <f t="shared" ca="1" si="9"/>
        <v>25723002.777970102</v>
      </c>
      <c r="BG27" s="11">
        <f t="shared" ca="1" si="9"/>
        <v>27042449.305661194</v>
      </c>
      <c r="BH27" s="11">
        <f t="shared" ca="1" si="9"/>
        <v>30377702.771432579</v>
      </c>
      <c r="BI27" s="11">
        <f t="shared" ca="1" si="9"/>
        <v>31527601.26370978</v>
      </c>
      <c r="BJ27" s="11">
        <f t="shared" ca="1" si="9"/>
        <v>34703757.178448349</v>
      </c>
      <c r="BK27" s="11">
        <f t="shared" ca="1" si="9"/>
        <v>35712085.712547436</v>
      </c>
      <c r="BL27" s="11">
        <f t="shared" ca="1" si="9"/>
        <v>38752152.039314069</v>
      </c>
      <c r="BM27" s="11">
        <f t="shared" ca="1" si="9"/>
        <v>41737538.351995371</v>
      </c>
      <c r="BN27" s="11">
        <f t="shared" ca="1" si="9"/>
        <v>42567803.451934367</v>
      </c>
      <c r="BO27" s="11">
        <f t="shared" ca="1" si="9"/>
        <v>45460218.945217431</v>
      </c>
      <c r="BP27" s="11">
        <f t="shared" ca="1" si="9"/>
        <v>48320464.629853867</v>
      </c>
      <c r="BQ27" s="11">
        <f t="shared" ca="1" si="9"/>
        <v>49029641.650374562</v>
      </c>
    </row>
    <row r="30" spans="1:69">
      <c r="B30" s="22" t="s">
        <v>265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BQ71"/>
  <sheetViews>
    <sheetView topLeftCell="A35" workbookViewId="0">
      <selection activeCell="A70" sqref="A70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39.7265625" style="2" customWidth="1"/>
    <col min="6" max="6" width="20.7265625" style="2" customWidth="1"/>
    <col min="7" max="7" width="13.7265625" style="2" customWidth="1"/>
    <col min="8" max="8" width="11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48" width="11.7265625" style="2" customWidth="1"/>
    <col min="49" max="50" width="12.7265625" style="2" customWidth="1"/>
    <col min="51" max="51" width="11.7265625" style="2" customWidth="1"/>
    <col min="52" max="53" width="12.7265625" style="2" customWidth="1"/>
    <col min="54" max="54" width="11.7265625" style="2" customWidth="1"/>
    <col min="55" max="55" width="12.7265625" style="2" customWidth="1"/>
    <col min="56" max="57" width="11.7265625" style="2" customWidth="1"/>
    <col min="58" max="59" width="12.7265625" style="2" customWidth="1"/>
    <col min="60" max="60" width="11.7265625" style="2" customWidth="1"/>
    <col min="61" max="62" width="12.7265625" style="2" customWidth="1"/>
    <col min="63" max="63" width="11.7265625" style="2" customWidth="1"/>
    <col min="64" max="65" width="12.7265625" style="2" customWidth="1"/>
    <col min="66" max="66" width="11.7265625" style="2" customWidth="1"/>
    <col min="67" max="67" width="12.7265625" style="2" customWidth="1"/>
    <col min="68" max="69" width="11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Inventory</v>
      </c>
      <c r="B1" s="37"/>
      <c r="C1" s="58"/>
      <c r="D1" s="67"/>
      <c r="F1" s="42" t="str">
        <f>HYPERLINK("#Contents!A1","Go to contents")</f>
        <v>Go to contents</v>
      </c>
      <c r="H1" s="38"/>
      <c r="J1" s="38"/>
    </row>
    <row r="2" spans="1:69" s="43" customFormat="1">
      <c r="A2" s="39"/>
      <c r="B2" s="39"/>
      <c r="C2" s="56"/>
      <c r="D2" s="62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>
      <c r="A3" s="39"/>
      <c r="B3" s="39"/>
      <c r="C3" s="56"/>
      <c r="D3" s="62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62"/>
      <c r="E4" s="20" t="s">
        <v>325</v>
      </c>
      <c r="F4" s="22"/>
      <c r="G4" s="20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>
      <c r="A5" s="39"/>
      <c r="B5" s="39"/>
      <c r="C5" s="56"/>
      <c r="D5" s="62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6" spans="1:69">
      <c r="F6" s="22"/>
      <c r="G6" s="22"/>
      <c r="H6" s="22"/>
    </row>
    <row r="8" spans="1:69">
      <c r="B8" s="22" t="s">
        <v>194</v>
      </c>
    </row>
    <row r="9" spans="1:69">
      <c r="A9" s="17"/>
      <c r="B9" s="17"/>
      <c r="C9" s="26"/>
      <c r="D9" s="27"/>
      <c r="E9" s="36" t="str">
        <f>InpC!E$84</f>
        <v>VAT rate</v>
      </c>
      <c r="F9" s="36">
        <f>InpC!F$84</f>
        <v>0.2</v>
      </c>
      <c r="G9" s="36" t="str">
        <f>InpC!G$84</f>
        <v>%</v>
      </c>
      <c r="M9" s="45"/>
    </row>
    <row r="10" spans="1:69">
      <c r="A10" s="17"/>
      <c r="B10" s="17"/>
      <c r="C10" s="26"/>
      <c r="D10" s="27"/>
      <c r="E10" s="4" t="str">
        <f>Financials!E$18</f>
        <v>Supplier Invoices</v>
      </c>
      <c r="F10" s="4">
        <f>Financials!F$18</f>
        <v>0</v>
      </c>
      <c r="G10" s="4" t="str">
        <f>Financials!G$18</f>
        <v>GBP</v>
      </c>
      <c r="H10" s="4">
        <f ca="1">Financials!H$18</f>
        <v>5775000</v>
      </c>
      <c r="I10" s="4">
        <f>Financials!I$18</f>
        <v>0</v>
      </c>
      <c r="J10" s="4">
        <f ca="1">Financials!J$18</f>
        <v>175000</v>
      </c>
      <c r="K10" s="4">
        <f ca="1">Financials!K$18</f>
        <v>0</v>
      </c>
      <c r="L10" s="4">
        <f ca="1">Financials!L$18</f>
        <v>0</v>
      </c>
      <c r="M10" s="4">
        <f ca="1">Financials!M$18</f>
        <v>0</v>
      </c>
      <c r="N10" s="4">
        <f ca="1">Financials!N$18</f>
        <v>0</v>
      </c>
      <c r="O10" s="4">
        <f ca="1">Financials!O$18</f>
        <v>0</v>
      </c>
      <c r="P10" s="4">
        <f ca="1">Financials!P$18</f>
        <v>175000</v>
      </c>
      <c r="Q10" s="4">
        <f ca="1">Financials!Q$18</f>
        <v>0</v>
      </c>
      <c r="R10" s="4">
        <f ca="1">Financials!R$18</f>
        <v>0</v>
      </c>
      <c r="S10" s="4">
        <f ca="1">Financials!S$18</f>
        <v>0</v>
      </c>
      <c r="T10" s="4">
        <f ca="1">Financials!T$18</f>
        <v>0</v>
      </c>
      <c r="U10" s="4">
        <f ca="1">Financials!U$18</f>
        <v>0</v>
      </c>
      <c r="V10" s="4">
        <f ca="1">Financials!V$18</f>
        <v>175000</v>
      </c>
      <c r="W10" s="4">
        <f ca="1">Financials!W$18</f>
        <v>0</v>
      </c>
      <c r="X10" s="4">
        <f ca="1">Financials!X$18</f>
        <v>0</v>
      </c>
      <c r="Y10" s="4">
        <f ca="1">Financials!Y$18</f>
        <v>0</v>
      </c>
      <c r="Z10" s="4">
        <f ca="1">Financials!Z$18</f>
        <v>175000</v>
      </c>
      <c r="AA10" s="4">
        <f ca="1">Financials!AA$18</f>
        <v>0</v>
      </c>
      <c r="AB10" s="4">
        <f ca="1">Financials!AB$18</f>
        <v>0</v>
      </c>
      <c r="AC10" s="4">
        <f ca="1">Financials!AC$18</f>
        <v>0</v>
      </c>
      <c r="AD10" s="4">
        <f ca="1">Financials!AD$18</f>
        <v>175000</v>
      </c>
      <c r="AE10" s="4">
        <f ca="1">Financials!AE$18</f>
        <v>0</v>
      </c>
      <c r="AF10" s="4">
        <f ca="1">Financials!AF$18</f>
        <v>0</v>
      </c>
      <c r="AG10" s="4">
        <f ca="1">Financials!AG$18</f>
        <v>175000</v>
      </c>
      <c r="AH10" s="4">
        <f ca="1">Financials!AH$18</f>
        <v>0</v>
      </c>
      <c r="AI10" s="4">
        <f ca="1">Financials!AI$18</f>
        <v>175000</v>
      </c>
      <c r="AJ10" s="4">
        <f ca="1">Financials!AJ$18</f>
        <v>0</v>
      </c>
      <c r="AK10" s="4">
        <f ca="1">Financials!AK$18</f>
        <v>0</v>
      </c>
      <c r="AL10" s="4">
        <f ca="1">Financials!AL$18</f>
        <v>175000</v>
      </c>
      <c r="AM10" s="4">
        <f ca="1">Financials!AM$18</f>
        <v>0</v>
      </c>
      <c r="AN10" s="4">
        <f ca="1">Financials!AN$18</f>
        <v>0</v>
      </c>
      <c r="AO10" s="4">
        <f ca="1">Financials!AO$18</f>
        <v>175000</v>
      </c>
      <c r="AP10" s="4">
        <f ca="1">Financials!AP$18</f>
        <v>0</v>
      </c>
      <c r="AQ10" s="4">
        <f ca="1">Financials!AQ$18</f>
        <v>175000</v>
      </c>
      <c r="AR10" s="4">
        <f ca="1">Financials!AR$18</f>
        <v>0</v>
      </c>
      <c r="AS10" s="4">
        <f ca="1">Financials!AS$18</f>
        <v>175000</v>
      </c>
      <c r="AT10" s="4">
        <f ca="1">Financials!AT$18</f>
        <v>175000</v>
      </c>
      <c r="AU10" s="4">
        <f ca="1">Financials!AU$18</f>
        <v>0</v>
      </c>
      <c r="AV10" s="4">
        <f ca="1">Financials!AV$18</f>
        <v>175000</v>
      </c>
      <c r="AW10" s="4">
        <f ca="1">Financials!AW$18</f>
        <v>175000</v>
      </c>
      <c r="AX10" s="4">
        <f ca="1">Financials!AX$18</f>
        <v>0</v>
      </c>
      <c r="AY10" s="4">
        <f ca="1">Financials!AY$18</f>
        <v>175000</v>
      </c>
      <c r="AZ10" s="4">
        <f ca="1">Financials!AZ$18</f>
        <v>175000</v>
      </c>
      <c r="BA10" s="4">
        <f ca="1">Financials!BA$18</f>
        <v>175000</v>
      </c>
      <c r="BB10" s="4">
        <f ca="1">Financials!BB$18</f>
        <v>175000</v>
      </c>
      <c r="BC10" s="4">
        <f ca="1">Financials!BC$18</f>
        <v>175000</v>
      </c>
      <c r="BD10" s="4">
        <f ca="1">Financials!BD$18</f>
        <v>175000</v>
      </c>
      <c r="BE10" s="4">
        <f ca="1">Financials!BE$18</f>
        <v>175000</v>
      </c>
      <c r="BF10" s="4">
        <f ca="1">Financials!BF$18</f>
        <v>175000</v>
      </c>
      <c r="BG10" s="4">
        <f ca="1">Financials!BG$18</f>
        <v>175000</v>
      </c>
      <c r="BH10" s="4">
        <f ca="1">Financials!BH$18</f>
        <v>175000</v>
      </c>
      <c r="BI10" s="4">
        <f ca="1">Financials!BI$18</f>
        <v>175000</v>
      </c>
      <c r="BJ10" s="4">
        <f ca="1">Financials!BJ$18</f>
        <v>175000</v>
      </c>
      <c r="BK10" s="4">
        <f ca="1">Financials!BK$18</f>
        <v>175000</v>
      </c>
      <c r="BL10" s="4">
        <f ca="1">Financials!BL$18</f>
        <v>175000</v>
      </c>
      <c r="BM10" s="4">
        <f ca="1">Financials!BM$18</f>
        <v>175000</v>
      </c>
      <c r="BN10" s="4">
        <f ca="1">Financials!BN$18</f>
        <v>175000</v>
      </c>
      <c r="BO10" s="4">
        <f ca="1">Financials!BO$18</f>
        <v>175000</v>
      </c>
      <c r="BP10" s="4">
        <f ca="1">Financials!BP$18</f>
        <v>175000</v>
      </c>
      <c r="BQ10" s="4">
        <f ca="1">Financials!BQ$18</f>
        <v>175000</v>
      </c>
    </row>
    <row r="11" spans="1:69">
      <c r="A11" s="31"/>
      <c r="B11" s="31"/>
      <c r="C11" s="51"/>
      <c r="D11" s="50"/>
      <c r="E11" s="3" t="s">
        <v>194</v>
      </c>
      <c r="F11" s="3"/>
      <c r="G11" s="3" t="s">
        <v>252</v>
      </c>
      <c r="H11" s="3">
        <f ca="1">SUM(J11:BQ11)</f>
        <v>1155000</v>
      </c>
      <c r="I11" s="3"/>
      <c r="J11" s="3">
        <f t="shared" ref="J11:AO11" ca="1" si="0">(J10*$F9)</f>
        <v>35000</v>
      </c>
      <c r="K11" s="3">
        <f t="shared" ca="1" si="0"/>
        <v>0</v>
      </c>
      <c r="L11" s="3">
        <f t="shared" ca="1" si="0"/>
        <v>0</v>
      </c>
      <c r="M11" s="3">
        <f t="shared" ca="1" si="0"/>
        <v>0</v>
      </c>
      <c r="N11" s="3">
        <f t="shared" ca="1" si="0"/>
        <v>0</v>
      </c>
      <c r="O11" s="3">
        <f t="shared" ca="1" si="0"/>
        <v>0</v>
      </c>
      <c r="P11" s="3">
        <f t="shared" ca="1" si="0"/>
        <v>35000</v>
      </c>
      <c r="Q11" s="3">
        <f t="shared" ca="1" si="0"/>
        <v>0</v>
      </c>
      <c r="R11" s="3">
        <f t="shared" ca="1" si="0"/>
        <v>0</v>
      </c>
      <c r="S11" s="3">
        <f t="shared" ca="1" si="0"/>
        <v>0</v>
      </c>
      <c r="T11" s="3">
        <f t="shared" ca="1" si="0"/>
        <v>0</v>
      </c>
      <c r="U11" s="3">
        <f t="shared" ca="1" si="0"/>
        <v>0</v>
      </c>
      <c r="V11" s="3">
        <f t="shared" ca="1" si="0"/>
        <v>35000</v>
      </c>
      <c r="W11" s="3">
        <f t="shared" ca="1" si="0"/>
        <v>0</v>
      </c>
      <c r="X11" s="3">
        <f t="shared" ca="1" si="0"/>
        <v>0</v>
      </c>
      <c r="Y11" s="3">
        <f t="shared" ca="1" si="0"/>
        <v>0</v>
      </c>
      <c r="Z11" s="3">
        <f t="shared" ca="1" si="0"/>
        <v>35000</v>
      </c>
      <c r="AA11" s="3">
        <f t="shared" ca="1" si="0"/>
        <v>0</v>
      </c>
      <c r="AB11" s="3">
        <f t="shared" ca="1" si="0"/>
        <v>0</v>
      </c>
      <c r="AC11" s="3">
        <f t="shared" ca="1" si="0"/>
        <v>0</v>
      </c>
      <c r="AD11" s="3">
        <f t="shared" ca="1" si="0"/>
        <v>35000</v>
      </c>
      <c r="AE11" s="3">
        <f t="shared" ca="1" si="0"/>
        <v>0</v>
      </c>
      <c r="AF11" s="3">
        <f t="shared" ca="1" si="0"/>
        <v>0</v>
      </c>
      <c r="AG11" s="3">
        <f t="shared" ca="1" si="0"/>
        <v>35000</v>
      </c>
      <c r="AH11" s="3">
        <f t="shared" ca="1" si="0"/>
        <v>0</v>
      </c>
      <c r="AI11" s="3">
        <f t="shared" ca="1" si="0"/>
        <v>35000</v>
      </c>
      <c r="AJ11" s="3">
        <f t="shared" ca="1" si="0"/>
        <v>0</v>
      </c>
      <c r="AK11" s="3">
        <f t="shared" ca="1" si="0"/>
        <v>0</v>
      </c>
      <c r="AL11" s="3">
        <f t="shared" ca="1" si="0"/>
        <v>35000</v>
      </c>
      <c r="AM11" s="3">
        <f t="shared" ca="1" si="0"/>
        <v>0</v>
      </c>
      <c r="AN11" s="3">
        <f t="shared" ca="1" si="0"/>
        <v>0</v>
      </c>
      <c r="AO11" s="3">
        <f t="shared" ca="1" si="0"/>
        <v>35000</v>
      </c>
      <c r="AP11" s="3">
        <f t="shared" ref="AP11:BU11" ca="1" si="1">(AP10*$F9)</f>
        <v>0</v>
      </c>
      <c r="AQ11" s="3">
        <f t="shared" ca="1" si="1"/>
        <v>35000</v>
      </c>
      <c r="AR11" s="3">
        <f t="shared" ca="1" si="1"/>
        <v>0</v>
      </c>
      <c r="AS11" s="3">
        <f t="shared" ca="1" si="1"/>
        <v>35000</v>
      </c>
      <c r="AT11" s="3">
        <f t="shared" ca="1" si="1"/>
        <v>35000</v>
      </c>
      <c r="AU11" s="3">
        <f t="shared" ca="1" si="1"/>
        <v>0</v>
      </c>
      <c r="AV11" s="3">
        <f t="shared" ca="1" si="1"/>
        <v>35000</v>
      </c>
      <c r="AW11" s="3">
        <f t="shared" ca="1" si="1"/>
        <v>35000</v>
      </c>
      <c r="AX11" s="3">
        <f t="shared" ca="1" si="1"/>
        <v>0</v>
      </c>
      <c r="AY11" s="3">
        <f t="shared" ca="1" si="1"/>
        <v>35000</v>
      </c>
      <c r="AZ11" s="3">
        <f t="shared" ca="1" si="1"/>
        <v>35000</v>
      </c>
      <c r="BA11" s="3">
        <f t="shared" ca="1" si="1"/>
        <v>35000</v>
      </c>
      <c r="BB11" s="3">
        <f t="shared" ca="1" si="1"/>
        <v>35000</v>
      </c>
      <c r="BC11" s="3">
        <f t="shared" ca="1" si="1"/>
        <v>35000</v>
      </c>
      <c r="BD11" s="3">
        <f t="shared" ca="1" si="1"/>
        <v>35000</v>
      </c>
      <c r="BE11" s="3">
        <f t="shared" ca="1" si="1"/>
        <v>35000</v>
      </c>
      <c r="BF11" s="3">
        <f t="shared" ca="1" si="1"/>
        <v>35000</v>
      </c>
      <c r="BG11" s="3">
        <f t="shared" ca="1" si="1"/>
        <v>35000</v>
      </c>
      <c r="BH11" s="3">
        <f t="shared" ca="1" si="1"/>
        <v>35000</v>
      </c>
      <c r="BI11" s="3">
        <f t="shared" ca="1" si="1"/>
        <v>35000</v>
      </c>
      <c r="BJ11" s="3">
        <f t="shared" ca="1" si="1"/>
        <v>35000</v>
      </c>
      <c r="BK11" s="3">
        <f t="shared" ca="1" si="1"/>
        <v>35000</v>
      </c>
      <c r="BL11" s="3">
        <f t="shared" ca="1" si="1"/>
        <v>35000</v>
      </c>
      <c r="BM11" s="3">
        <f t="shared" ca="1" si="1"/>
        <v>35000</v>
      </c>
      <c r="BN11" s="3">
        <f t="shared" ca="1" si="1"/>
        <v>35000</v>
      </c>
      <c r="BO11" s="3">
        <f t="shared" ca="1" si="1"/>
        <v>35000</v>
      </c>
      <c r="BP11" s="3">
        <f t="shared" ca="1" si="1"/>
        <v>35000</v>
      </c>
      <c r="BQ11" s="3">
        <f t="shared" ca="1" si="1"/>
        <v>35000</v>
      </c>
    </row>
    <row r="14" spans="1:69">
      <c r="B14" s="22" t="s">
        <v>239</v>
      </c>
    </row>
    <row r="15" spans="1:69">
      <c r="A15" s="17"/>
      <c r="B15" s="17"/>
      <c r="C15" s="26"/>
      <c r="D15" s="27"/>
      <c r="E15" s="4" t="str">
        <f>InpC!E$21</f>
        <v>Contract Length</v>
      </c>
      <c r="F15" s="4">
        <f>InpC!F$21</f>
        <v>24</v>
      </c>
      <c r="G15" s="4" t="str">
        <f>InpC!G$21</f>
        <v>Months</v>
      </c>
    </row>
    <row r="16" spans="1:69">
      <c r="A16" s="17"/>
      <c r="B16" s="17"/>
      <c r="C16" s="26"/>
      <c r="D16" s="27"/>
      <c r="E16" s="4" t="str">
        <f>Customers!E$11</f>
        <v>New customers orders</v>
      </c>
      <c r="F16" s="4">
        <f>Customers!F$11</f>
        <v>0</v>
      </c>
      <c r="G16" s="4" t="str">
        <f>Customers!G$11</f>
        <v>Units</v>
      </c>
      <c r="H16" s="4">
        <f>Customers!H$11</f>
        <v>261181.72293639058</v>
      </c>
      <c r="I16" s="4">
        <f>Customers!I$11</f>
        <v>0</v>
      </c>
      <c r="J16" s="4">
        <f>Customers!J$11</f>
        <v>500</v>
      </c>
      <c r="K16" s="4">
        <f>Customers!K$11</f>
        <v>530.31869276406599</v>
      </c>
      <c r="L16" s="4">
        <f>Customers!L$11</f>
        <v>561.40868500918316</v>
      </c>
      <c r="M16" s="4">
        <f>Customers!M$11</f>
        <v>595.4510398809266</v>
      </c>
      <c r="N16" s="4">
        <f>Customers!N$11</f>
        <v>631.55763414931334</v>
      </c>
      <c r="O16" s="4">
        <f>Customers!O$11</f>
        <v>668.58277057380337</v>
      </c>
      <c r="P16" s="4">
        <f>Customers!P$11</f>
        <v>709.12388179055358</v>
      </c>
      <c r="Q16" s="4">
        <f>Customers!Q$11</f>
        <v>750.69634809527076</v>
      </c>
      <c r="R16" s="4">
        <f>Customers!R$11</f>
        <v>796.21661196928437</v>
      </c>
      <c r="S16" s="4">
        <f>Customers!S$11</f>
        <v>844.49710563316887</v>
      </c>
      <c r="T16" s="4">
        <f>Customers!T$11</f>
        <v>890.89871814033927</v>
      </c>
      <c r="U16" s="4">
        <f>Customers!U$11</f>
        <v>944.76851169192605</v>
      </c>
      <c r="V16" s="4">
        <f>Customers!V$11</f>
        <v>1000</v>
      </c>
      <c r="W16" s="4">
        <f>Customers!W$11</f>
        <v>1061.5580832031035</v>
      </c>
      <c r="X16" s="4">
        <f>Customers!X$11</f>
        <v>1123.704463583204</v>
      </c>
      <c r="Y16" s="4">
        <f>Customers!Y$11</f>
        <v>1191.7469848656265</v>
      </c>
      <c r="Z16" s="4">
        <f>Customers!Z$11</f>
        <v>1263.9096149956249</v>
      </c>
      <c r="AA16" s="4">
        <f>Customers!AA$11</f>
        <v>1337.9021820933933</v>
      </c>
      <c r="AB16" s="4">
        <f>Customers!AB$11</f>
        <v>1418.9147976423296</v>
      </c>
      <c r="AC16" s="4">
        <f>Customers!AC$11</f>
        <v>1501.9817726260831</v>
      </c>
      <c r="AD16" s="4">
        <f>Customers!AD$11</f>
        <v>1593.7719986646332</v>
      </c>
      <c r="AE16" s="4">
        <f>Customers!AE$11</f>
        <v>1690.3233701094071</v>
      </c>
      <c r="AF16" s="4">
        <f>Customers!AF$11</f>
        <v>1782.5488403365116</v>
      </c>
      <c r="AG16" s="4">
        <f>Customers!AG$11</f>
        <v>1890.5363914705406</v>
      </c>
      <c r="AH16" s="4">
        <f>Customers!AH$11</f>
        <v>2001.2652671743485</v>
      </c>
      <c r="AI16" s="4">
        <f>Customers!AI$11</f>
        <v>2122.5027505360667</v>
      </c>
      <c r="AJ16" s="4">
        <f>Customers!AJ$11</f>
        <v>2246.81791543077</v>
      </c>
      <c r="AK16" s="4">
        <f>Customers!AK$11</f>
        <v>2382.9310804903203</v>
      </c>
      <c r="AL16" s="4">
        <f>Customers!AL$11</f>
        <v>2527.2900377768647</v>
      </c>
      <c r="AM16" s="4">
        <f>Customers!AM$11</f>
        <v>2675.3136281838124</v>
      </c>
      <c r="AN16" s="4">
        <f>Customers!AN$11</f>
        <v>2837.3852419795539</v>
      </c>
      <c r="AO16" s="4">
        <f>Customers!AO$11</f>
        <v>3003.5711346185153</v>
      </c>
      <c r="AP16" s="4">
        <f>Customers!AP$11</f>
        <v>3186.8748572718159</v>
      </c>
      <c r="AQ16" s="4">
        <f>Customers!AQ$11</f>
        <v>3379.98241970861</v>
      </c>
      <c r="AR16" s="4">
        <f>Customers!AR$11</f>
        <v>3564.4403170294318</v>
      </c>
      <c r="AS16" s="4">
        <f>Customers!AS$11</f>
        <v>3780.4263258626238</v>
      </c>
      <c r="AT16" s="4">
        <f>Customers!AT$11</f>
        <v>4001.8981837991764</v>
      </c>
      <c r="AU16" s="4">
        <f>Customers!AU$11</f>
        <v>4244.3917983916417</v>
      </c>
      <c r="AV16" s="4">
        <f>Customers!AV$11</f>
        <v>4493.0445312777838</v>
      </c>
      <c r="AW16" s="4">
        <f>Customers!AW$11</f>
        <v>4765.298986257475</v>
      </c>
      <c r="AX16" s="4">
        <f>Customers!AX$11</f>
        <v>5054.050604294488</v>
      </c>
      <c r="AY16" s="4">
        <f>Customers!AY$11</f>
        <v>5350.1362520376797</v>
      </c>
      <c r="AZ16" s="4">
        <f>Customers!AZ$11</f>
        <v>5674.3258787430632</v>
      </c>
      <c r="BA16" s="4">
        <f>Customers!BA$11</f>
        <v>6006.7496284946019</v>
      </c>
      <c r="BB16" s="4">
        <f>Customers!BB$11</f>
        <v>6372.946588234563</v>
      </c>
      <c r="BC16" s="4">
        <f>Customers!BC$11</f>
        <v>6759.1674891435086</v>
      </c>
      <c r="BD16" s="4">
        <f>Customers!BD$11</f>
        <v>7128.0916261082357</v>
      </c>
      <c r="BE16" s="4">
        <f>Customers!BE$11</f>
        <v>7560.0767261684687</v>
      </c>
      <c r="BF16" s="4">
        <f>Customers!BF$11</f>
        <v>8003.0373658535955</v>
      </c>
      <c r="BG16" s="4">
        <f>Customers!BG$11</f>
        <v>8488.0469699124624</v>
      </c>
      <c r="BH16" s="4">
        <f>Customers!BH$11</f>
        <v>8985.3793187304836</v>
      </c>
      <c r="BI16" s="4">
        <f>Customers!BI$11</f>
        <v>9529.921980031846</v>
      </c>
      <c r="BJ16" s="4">
        <f>Customers!BJ$11</f>
        <v>10107.465664379506</v>
      </c>
      <c r="BK16" s="4">
        <f>Customers!BK$11</f>
        <v>10699.683127039856</v>
      </c>
      <c r="BL16" s="4">
        <f>Customers!BL$11</f>
        <v>11348.118069895754</v>
      </c>
      <c r="BM16" s="4">
        <f>Customers!BM$11</f>
        <v>12013.027940725995</v>
      </c>
      <c r="BN16" s="4">
        <f>Customers!BN$11</f>
        <v>12726.008005999736</v>
      </c>
      <c r="BO16" s="4">
        <f>Customers!BO$11</f>
        <v>13496.954871063208</v>
      </c>
      <c r="BP16" s="4">
        <f>Customers!BP$11</f>
        <v>14260.390722692093</v>
      </c>
      <c r="BQ16" s="4">
        <f>Customers!BQ$11</f>
        <v>15124.291131764327</v>
      </c>
    </row>
    <row r="17" spans="1:69">
      <c r="A17" s="17"/>
      <c r="B17" s="17"/>
      <c r="C17" s="26"/>
      <c r="D17" s="27"/>
      <c r="E17" s="4" t="str">
        <f>Customers!E$32</f>
        <v>Renewing Customer Orders</v>
      </c>
      <c r="F17" s="4">
        <f>Customers!F$32</f>
        <v>0</v>
      </c>
      <c r="G17" s="4" t="str">
        <f>Customers!G$32</f>
        <v>Units</v>
      </c>
      <c r="H17" s="4">
        <f ca="1">Customers!H$32</f>
        <v>53090.297527815921</v>
      </c>
      <c r="I17" s="4">
        <f>Customers!I$32</f>
        <v>0</v>
      </c>
      <c r="J17" s="4">
        <f ca="1">Customers!J$32</f>
        <v>0</v>
      </c>
      <c r="K17" s="4">
        <f ca="1">Customers!K$32</f>
        <v>0</v>
      </c>
      <c r="L17" s="4">
        <f ca="1">Customers!L$32</f>
        <v>0</v>
      </c>
      <c r="M17" s="4">
        <f ca="1">Customers!M$32</f>
        <v>0</v>
      </c>
      <c r="N17" s="4">
        <f ca="1">Customers!N$32</f>
        <v>0</v>
      </c>
      <c r="O17" s="4">
        <f ca="1">Customers!O$32</f>
        <v>0</v>
      </c>
      <c r="P17" s="4">
        <f ca="1">Customers!P$32</f>
        <v>0</v>
      </c>
      <c r="Q17" s="4">
        <f ca="1">Customers!Q$32</f>
        <v>0</v>
      </c>
      <c r="R17" s="4">
        <f ca="1">Customers!R$32</f>
        <v>0</v>
      </c>
      <c r="S17" s="4">
        <f ca="1">Customers!S$32</f>
        <v>0</v>
      </c>
      <c r="T17" s="4">
        <f ca="1">Customers!T$32</f>
        <v>0</v>
      </c>
      <c r="U17" s="4">
        <f ca="1">Customers!U$32</f>
        <v>0</v>
      </c>
      <c r="V17" s="4">
        <f ca="1">Customers!V$32</f>
        <v>0</v>
      </c>
      <c r="W17" s="4">
        <f ca="1">Customers!W$32</f>
        <v>0</v>
      </c>
      <c r="X17" s="4">
        <f ca="1">Customers!X$32</f>
        <v>0</v>
      </c>
      <c r="Y17" s="4">
        <f ca="1">Customers!Y$32</f>
        <v>0</v>
      </c>
      <c r="Z17" s="4">
        <f ca="1">Customers!Z$32</f>
        <v>0</v>
      </c>
      <c r="AA17" s="4">
        <f ca="1">Customers!AA$32</f>
        <v>0</v>
      </c>
      <c r="AB17" s="4">
        <f ca="1">Customers!AB$32</f>
        <v>0</v>
      </c>
      <c r="AC17" s="4">
        <f ca="1">Customers!AC$32</f>
        <v>0</v>
      </c>
      <c r="AD17" s="4">
        <f ca="1">Customers!AD$32</f>
        <v>0</v>
      </c>
      <c r="AE17" s="4">
        <f ca="1">Customers!AE$32</f>
        <v>0</v>
      </c>
      <c r="AF17" s="4">
        <f ca="1">Customers!AF$32</f>
        <v>0</v>
      </c>
      <c r="AG17" s="4">
        <f ca="1">Customers!AG$32</f>
        <v>0</v>
      </c>
      <c r="AH17" s="4">
        <f ca="1">Customers!AH$32</f>
        <v>450</v>
      </c>
      <c r="AI17" s="4">
        <f ca="1">Customers!AI$32</f>
        <v>477.28682348765938</v>
      </c>
      <c r="AJ17" s="4">
        <f ca="1">Customers!AJ$32</f>
        <v>505.26781650826484</v>
      </c>
      <c r="AK17" s="4">
        <f ca="1">Customers!AK$32</f>
        <v>535.90593589283401</v>
      </c>
      <c r="AL17" s="4">
        <f ca="1">Customers!AL$32</f>
        <v>568.40187073438199</v>
      </c>
      <c r="AM17" s="4">
        <f ca="1">Customers!AM$32</f>
        <v>601.72449351642308</v>
      </c>
      <c r="AN17" s="4">
        <f ca="1">Customers!AN$32</f>
        <v>638.21149361149821</v>
      </c>
      <c r="AO17" s="4">
        <f ca="1">Customers!AO$32</f>
        <v>675.62671328574368</v>
      </c>
      <c r="AP17" s="4">
        <f ca="1">Customers!AP$32</f>
        <v>716.5949507723559</v>
      </c>
      <c r="AQ17" s="4">
        <f ca="1">Customers!AQ$32</f>
        <v>760.04739506985197</v>
      </c>
      <c r="AR17" s="4">
        <f ca="1">Customers!AR$32</f>
        <v>801.80884632630534</v>
      </c>
      <c r="AS17" s="4">
        <f ca="1">Customers!AS$32</f>
        <v>850.29166052273342</v>
      </c>
      <c r="AT17" s="4">
        <f ca="1">Customers!AT$32</f>
        <v>900</v>
      </c>
      <c r="AU17" s="4">
        <f ca="1">Customers!AU$32</f>
        <v>955.40227488279311</v>
      </c>
      <c r="AV17" s="4">
        <f ca="1">Customers!AV$32</f>
        <v>1011.3340172248836</v>
      </c>
      <c r="AW17" s="4">
        <f ca="1">Customers!AW$32</f>
        <v>1072.5722863790638</v>
      </c>
      <c r="AX17" s="4">
        <f ca="1">Customers!AX$32</f>
        <v>1137.5186534960624</v>
      </c>
      <c r="AY17" s="4">
        <f ca="1">Customers!AY$32</f>
        <v>1204.1119638840539</v>
      </c>
      <c r="AZ17" s="4">
        <f ca="1">Customers!AZ$32</f>
        <v>1277.0233178780968</v>
      </c>
      <c r="BA17" s="4">
        <f ca="1">Customers!BA$32</f>
        <v>1351.7835953634749</v>
      </c>
      <c r="BB17" s="4">
        <f ca="1">Customers!BB$32</f>
        <v>1434.3947987981699</v>
      </c>
      <c r="BC17" s="4">
        <f ca="1">Customers!BC$32</f>
        <v>1521.2910330984664</v>
      </c>
      <c r="BD17" s="4">
        <f ca="1">Customers!BD$32</f>
        <v>1604.2939563028606</v>
      </c>
      <c r="BE17" s="4">
        <f ca="1">Customers!BE$32</f>
        <v>1701.4827523234865</v>
      </c>
      <c r="BF17" s="4">
        <f ca="1">Customers!BF$32</f>
        <v>1801.1387404569136</v>
      </c>
      <c r="BG17" s="4">
        <f ca="1">Customers!BG$32</f>
        <v>1910.2524754824601</v>
      </c>
      <c r="BH17" s="4">
        <f ca="1">Customers!BH$32</f>
        <v>2022.136123887693</v>
      </c>
      <c r="BI17" s="4">
        <f ca="1">Customers!BI$32</f>
        <v>2144.6379724412882</v>
      </c>
      <c r="BJ17" s="4">
        <f ca="1">Customers!BJ$32</f>
        <v>2274.5610339991781</v>
      </c>
      <c r="BK17" s="4">
        <f ca="1">Customers!BK$32</f>
        <v>2407.7822653654312</v>
      </c>
      <c r="BL17" s="4">
        <f ca="1">Customers!BL$32</f>
        <v>2553.6467177815985</v>
      </c>
      <c r="BM17" s="4">
        <f ca="1">Customers!BM$32</f>
        <v>2703.2140211566639</v>
      </c>
      <c r="BN17" s="4">
        <f ca="1">Customers!BN$32</f>
        <v>2868.1873715446345</v>
      </c>
      <c r="BO17" s="4">
        <f ca="1">Customers!BO$32</f>
        <v>3041.9841777377492</v>
      </c>
      <c r="BP17" s="4">
        <f ca="1">Customers!BP$32</f>
        <v>3207.9962853264888</v>
      </c>
      <c r="BQ17" s="4">
        <f ca="1">Customers!BQ$32</f>
        <v>3402.3836932763616</v>
      </c>
    </row>
    <row r="18" spans="1:69">
      <c r="A18" s="31"/>
      <c r="B18" s="31"/>
      <c r="C18" s="51"/>
      <c r="D18" s="50"/>
      <c r="E18" s="3" t="s">
        <v>239</v>
      </c>
      <c r="F18" s="3"/>
      <c r="G18" s="3" t="s">
        <v>122</v>
      </c>
      <c r="H18" s="3">
        <f ca="1">SUM(J18:BQ18)</f>
        <v>66570.387475079086</v>
      </c>
      <c r="I18" s="3"/>
      <c r="J18" s="3">
        <f ca="1">IF(Time!J28&lt;1+$F15,0,OFFSET(J16,0,-1*($F15)))+IF(Time!J28&lt;1+$F15,0,OFFSET(J17,0,-1*($F15)))</f>
        <v>0</v>
      </c>
      <c r="K18" s="3">
        <f ca="1">IF(Time!K28&lt;1+$F15,0,OFFSET(K16,0,-1*($F15)))+IF(Time!K28&lt;1+$F15,0,OFFSET(K17,0,-1*($F15)))</f>
        <v>0</v>
      </c>
      <c r="L18" s="3">
        <f ca="1">IF(Time!L28&lt;1+$F15,0,OFFSET(L16,0,-1*($F15)))+IF(Time!L28&lt;1+$F15,0,OFFSET(L17,0,-1*($F15)))</f>
        <v>0</v>
      </c>
      <c r="M18" s="3">
        <f ca="1">IF(Time!M28&lt;1+$F15,0,OFFSET(M16,0,-1*($F15)))+IF(Time!M28&lt;1+$F15,0,OFFSET(M17,0,-1*($F15)))</f>
        <v>0</v>
      </c>
      <c r="N18" s="3">
        <f ca="1">IF(Time!N28&lt;1+$F15,0,OFFSET(N16,0,-1*($F15)))+IF(Time!N28&lt;1+$F15,0,OFFSET(N17,0,-1*($F15)))</f>
        <v>0</v>
      </c>
      <c r="O18" s="3">
        <f ca="1">IF(Time!O28&lt;1+$F15,0,OFFSET(O16,0,-1*($F15)))+IF(Time!O28&lt;1+$F15,0,OFFSET(O17,0,-1*($F15)))</f>
        <v>0</v>
      </c>
      <c r="P18" s="3">
        <f ca="1">IF(Time!P28&lt;1+$F15,0,OFFSET(P16,0,-1*($F15)))+IF(Time!P28&lt;1+$F15,0,OFFSET(P17,0,-1*($F15)))</f>
        <v>0</v>
      </c>
      <c r="Q18" s="3">
        <f ca="1">IF(Time!Q28&lt;1+$F15,0,OFFSET(Q16,0,-1*($F15)))+IF(Time!Q28&lt;1+$F15,0,OFFSET(Q17,0,-1*($F15)))</f>
        <v>0</v>
      </c>
      <c r="R18" s="3">
        <f ca="1">IF(Time!R28&lt;1+$F15,0,OFFSET(R16,0,-1*($F15)))+IF(Time!R28&lt;1+$F15,0,OFFSET(R17,0,-1*($F15)))</f>
        <v>0</v>
      </c>
      <c r="S18" s="3">
        <f ca="1">IF(Time!S28&lt;1+$F15,0,OFFSET(S16,0,-1*($F15)))+IF(Time!S28&lt;1+$F15,0,OFFSET(S17,0,-1*($F15)))</f>
        <v>0</v>
      </c>
      <c r="T18" s="3">
        <f ca="1">IF(Time!T28&lt;1+$F15,0,OFFSET(T16,0,-1*($F15)))+IF(Time!T28&lt;1+$F15,0,OFFSET(T17,0,-1*($F15)))</f>
        <v>0</v>
      </c>
      <c r="U18" s="3">
        <f ca="1">IF(Time!U28&lt;1+$F15,0,OFFSET(U16,0,-1*($F15)))+IF(Time!U28&lt;1+$F15,0,OFFSET(U17,0,-1*($F15)))</f>
        <v>0</v>
      </c>
      <c r="V18" s="3">
        <f ca="1">IF(Time!V28&lt;1+$F15,0,OFFSET(V16,0,-1*($F15)))+IF(Time!V28&lt;1+$F15,0,OFFSET(V17,0,-1*($F15)))</f>
        <v>0</v>
      </c>
      <c r="W18" s="3">
        <f ca="1">IF(Time!W28&lt;1+$F15,0,OFFSET(W16,0,-1*($F15)))+IF(Time!W28&lt;1+$F15,0,OFFSET(W17,0,-1*($F15)))</f>
        <v>0</v>
      </c>
      <c r="X18" s="3">
        <f ca="1">IF(Time!X28&lt;1+$F15,0,OFFSET(X16,0,-1*($F15)))+IF(Time!X28&lt;1+$F15,0,OFFSET(X17,0,-1*($F15)))</f>
        <v>0</v>
      </c>
      <c r="Y18" s="3">
        <f ca="1">IF(Time!Y28&lt;1+$F15,0,OFFSET(Y16,0,-1*($F15)))+IF(Time!Y28&lt;1+$F15,0,OFFSET(Y17,0,-1*($F15)))</f>
        <v>0</v>
      </c>
      <c r="Z18" s="3">
        <f ca="1">IF(Time!Z28&lt;1+$F15,0,OFFSET(Z16,0,-1*($F15)))+IF(Time!Z28&lt;1+$F15,0,OFFSET(Z17,0,-1*($F15)))</f>
        <v>0</v>
      </c>
      <c r="AA18" s="3">
        <f ca="1">IF(Time!AA28&lt;1+$F15,0,OFFSET(AA16,0,-1*($F15)))+IF(Time!AA28&lt;1+$F15,0,OFFSET(AA17,0,-1*($F15)))</f>
        <v>0</v>
      </c>
      <c r="AB18" s="3">
        <f ca="1">IF(Time!AB28&lt;1+$F15,0,OFFSET(AB16,0,-1*($F15)))+IF(Time!AB28&lt;1+$F15,0,OFFSET(AB17,0,-1*($F15)))</f>
        <v>0</v>
      </c>
      <c r="AC18" s="3">
        <f ca="1">IF(Time!AC28&lt;1+$F15,0,OFFSET(AC16,0,-1*($F15)))+IF(Time!AC28&lt;1+$F15,0,OFFSET(AC17,0,-1*($F15)))</f>
        <v>0</v>
      </c>
      <c r="AD18" s="3">
        <f ca="1">IF(Time!AD28&lt;1+$F15,0,OFFSET(AD16,0,-1*($F15)))+IF(Time!AD28&lt;1+$F15,0,OFFSET(AD17,0,-1*($F15)))</f>
        <v>0</v>
      </c>
      <c r="AE18" s="3">
        <f ca="1">IF(Time!AE28&lt;1+$F15,0,OFFSET(AE16,0,-1*($F15)))+IF(Time!AE28&lt;1+$F15,0,OFFSET(AE17,0,-1*($F15)))</f>
        <v>0</v>
      </c>
      <c r="AF18" s="3">
        <f ca="1">IF(Time!AF28&lt;1+$F15,0,OFFSET(AF16,0,-1*($F15)))+IF(Time!AF28&lt;1+$F15,0,OFFSET(AF17,0,-1*($F15)))</f>
        <v>0</v>
      </c>
      <c r="AG18" s="3">
        <f ca="1">IF(Time!AG28&lt;1+$F15,0,OFFSET(AG16,0,-1*($F15)))+IF(Time!AG28&lt;1+$F15,0,OFFSET(AG17,0,-1*($F15)))</f>
        <v>0</v>
      </c>
      <c r="AH18" s="3">
        <f ca="1">IF(Time!AH28&lt;1+$F15,0,OFFSET(AH16,0,-1*($F15)))+IF(Time!AH28&lt;1+$F15,0,OFFSET(AH17,0,-1*($F15)))</f>
        <v>500</v>
      </c>
      <c r="AI18" s="3">
        <f ca="1">IF(Time!AI28&lt;1+$F15,0,OFFSET(AI16,0,-1*($F15)))+IF(Time!AI28&lt;1+$F15,0,OFFSET(AI17,0,-1*($F15)))</f>
        <v>530.31869276406599</v>
      </c>
      <c r="AJ18" s="3">
        <f ca="1">IF(Time!AJ28&lt;1+$F15,0,OFFSET(AJ16,0,-1*($F15)))+IF(Time!AJ28&lt;1+$F15,0,OFFSET(AJ17,0,-1*($F15)))</f>
        <v>561.40868500918316</v>
      </c>
      <c r="AK18" s="3">
        <f ca="1">IF(Time!AK28&lt;1+$F15,0,OFFSET(AK16,0,-1*($F15)))+IF(Time!AK28&lt;1+$F15,0,OFFSET(AK17,0,-1*($F15)))</f>
        <v>595.4510398809266</v>
      </c>
      <c r="AL18" s="3">
        <f ca="1">IF(Time!AL28&lt;1+$F15,0,OFFSET(AL16,0,-1*($F15)))+IF(Time!AL28&lt;1+$F15,0,OFFSET(AL17,0,-1*($F15)))</f>
        <v>631.55763414931334</v>
      </c>
      <c r="AM18" s="3">
        <f ca="1">IF(Time!AM28&lt;1+$F15,0,OFFSET(AM16,0,-1*($F15)))+IF(Time!AM28&lt;1+$F15,0,OFFSET(AM17,0,-1*($F15)))</f>
        <v>668.58277057380337</v>
      </c>
      <c r="AN18" s="3">
        <f ca="1">IF(Time!AN28&lt;1+$F15,0,OFFSET(AN16,0,-1*($F15)))+IF(Time!AN28&lt;1+$F15,0,OFFSET(AN17,0,-1*($F15)))</f>
        <v>709.12388179055358</v>
      </c>
      <c r="AO18" s="3">
        <f ca="1">IF(Time!AO28&lt;1+$F15,0,OFFSET(AO16,0,-1*($F15)))+IF(Time!AO28&lt;1+$F15,0,OFFSET(AO17,0,-1*($F15)))</f>
        <v>750.69634809527076</v>
      </c>
      <c r="AP18" s="3">
        <f ca="1">IF(Time!AP28&lt;1+$F15,0,OFFSET(AP16,0,-1*($F15)))+IF(Time!AP28&lt;1+$F15,0,OFFSET(AP17,0,-1*($F15)))</f>
        <v>796.21661196928437</v>
      </c>
      <c r="AQ18" s="3">
        <f ca="1">IF(Time!AQ28&lt;1+$F15,0,OFFSET(AQ16,0,-1*($F15)))+IF(Time!AQ28&lt;1+$F15,0,OFFSET(AQ17,0,-1*($F15)))</f>
        <v>844.49710563316887</v>
      </c>
      <c r="AR18" s="3">
        <f ca="1">IF(Time!AR28&lt;1+$F15,0,OFFSET(AR16,0,-1*($F15)))+IF(Time!AR28&lt;1+$F15,0,OFFSET(AR17,0,-1*($F15)))</f>
        <v>890.89871814033927</v>
      </c>
      <c r="AS18" s="3">
        <f ca="1">IF(Time!AS28&lt;1+$F15,0,OFFSET(AS16,0,-1*($F15)))+IF(Time!AS28&lt;1+$F15,0,OFFSET(AS17,0,-1*($F15)))</f>
        <v>944.76851169192605</v>
      </c>
      <c r="AT18" s="3">
        <f ca="1">IF(Time!AT28&lt;1+$F15,0,OFFSET(AT16,0,-1*($F15)))+IF(Time!AT28&lt;1+$F15,0,OFFSET(AT17,0,-1*($F15)))</f>
        <v>1000</v>
      </c>
      <c r="AU18" s="3">
        <f ca="1">IF(Time!AU28&lt;1+$F15,0,OFFSET(AU16,0,-1*($F15)))+IF(Time!AU28&lt;1+$F15,0,OFFSET(AU17,0,-1*($F15)))</f>
        <v>1061.5580832031035</v>
      </c>
      <c r="AV18" s="3">
        <f ca="1">IF(Time!AV28&lt;1+$F15,0,OFFSET(AV16,0,-1*($F15)))+IF(Time!AV28&lt;1+$F15,0,OFFSET(AV17,0,-1*($F15)))</f>
        <v>1123.704463583204</v>
      </c>
      <c r="AW18" s="3">
        <f ca="1">IF(Time!AW28&lt;1+$F15,0,OFFSET(AW16,0,-1*($F15)))+IF(Time!AW28&lt;1+$F15,0,OFFSET(AW17,0,-1*($F15)))</f>
        <v>1191.7469848656265</v>
      </c>
      <c r="AX18" s="3">
        <f ca="1">IF(Time!AX28&lt;1+$F15,0,OFFSET(AX16,0,-1*($F15)))+IF(Time!AX28&lt;1+$F15,0,OFFSET(AX17,0,-1*($F15)))</f>
        <v>1263.9096149956249</v>
      </c>
      <c r="AY18" s="3">
        <f ca="1">IF(Time!AY28&lt;1+$F15,0,OFFSET(AY16,0,-1*($F15)))+IF(Time!AY28&lt;1+$F15,0,OFFSET(AY17,0,-1*($F15)))</f>
        <v>1337.9021820933933</v>
      </c>
      <c r="AZ18" s="3">
        <f ca="1">IF(Time!AZ28&lt;1+$F15,0,OFFSET(AZ16,0,-1*($F15)))+IF(Time!AZ28&lt;1+$F15,0,OFFSET(AZ17,0,-1*($F15)))</f>
        <v>1418.9147976423296</v>
      </c>
      <c r="BA18" s="3">
        <f ca="1">IF(Time!BA28&lt;1+$F15,0,OFFSET(BA16,0,-1*($F15)))+IF(Time!BA28&lt;1+$F15,0,OFFSET(BA17,0,-1*($F15)))</f>
        <v>1501.9817726260831</v>
      </c>
      <c r="BB18" s="3">
        <f ca="1">IF(Time!BB28&lt;1+$F15,0,OFFSET(BB16,0,-1*($F15)))+IF(Time!BB28&lt;1+$F15,0,OFFSET(BB17,0,-1*($F15)))</f>
        <v>1593.7719986646332</v>
      </c>
      <c r="BC18" s="3">
        <f ca="1">IF(Time!BC28&lt;1+$F15,0,OFFSET(BC16,0,-1*($F15)))+IF(Time!BC28&lt;1+$F15,0,OFFSET(BC17,0,-1*($F15)))</f>
        <v>1690.3233701094071</v>
      </c>
      <c r="BD18" s="3">
        <f ca="1">IF(Time!BD28&lt;1+$F15,0,OFFSET(BD16,0,-1*($F15)))+IF(Time!BD28&lt;1+$F15,0,OFFSET(BD17,0,-1*($F15)))</f>
        <v>1782.5488403365116</v>
      </c>
      <c r="BE18" s="3">
        <f ca="1">IF(Time!BE28&lt;1+$F15,0,OFFSET(BE16,0,-1*($F15)))+IF(Time!BE28&lt;1+$F15,0,OFFSET(BE17,0,-1*($F15)))</f>
        <v>1890.5363914705406</v>
      </c>
      <c r="BF18" s="3">
        <f ca="1">IF(Time!BF28&lt;1+$F15,0,OFFSET(BF16,0,-1*($F15)))+IF(Time!BF28&lt;1+$F15,0,OFFSET(BF17,0,-1*($F15)))</f>
        <v>2451.2652671743485</v>
      </c>
      <c r="BG18" s="3">
        <f ca="1">IF(Time!BG28&lt;1+$F15,0,OFFSET(BG16,0,-1*($F15)))+IF(Time!BG28&lt;1+$F15,0,OFFSET(BG17,0,-1*($F15)))</f>
        <v>2599.7895740237263</v>
      </c>
      <c r="BH18" s="3">
        <f ca="1">IF(Time!BH28&lt;1+$F15,0,OFFSET(BH16,0,-1*($F15)))+IF(Time!BH28&lt;1+$F15,0,OFFSET(BH17,0,-1*($F15)))</f>
        <v>2752.0857319390348</v>
      </c>
      <c r="BI18" s="3">
        <f ca="1">IF(Time!BI28&lt;1+$F15,0,OFFSET(BI16,0,-1*($F15)))+IF(Time!BI28&lt;1+$F15,0,OFFSET(BI17,0,-1*($F15)))</f>
        <v>2918.8370163831542</v>
      </c>
      <c r="BJ18" s="3">
        <f ca="1">IF(Time!BJ28&lt;1+$F15,0,OFFSET(BJ16,0,-1*($F15)))+IF(Time!BJ28&lt;1+$F15,0,OFFSET(BJ17,0,-1*($F15)))</f>
        <v>3095.6919085112468</v>
      </c>
      <c r="BK18" s="3">
        <f ca="1">IF(Time!BK28&lt;1+$F15,0,OFFSET(BK16,0,-1*($F15)))+IF(Time!BK28&lt;1+$F15,0,OFFSET(BK17,0,-1*($F15)))</f>
        <v>3277.0381217002355</v>
      </c>
      <c r="BL18" s="3">
        <f ca="1">IF(Time!BL28&lt;1+$F15,0,OFFSET(BL16,0,-1*($F15)))+IF(Time!BL28&lt;1+$F15,0,OFFSET(BL17,0,-1*($F15)))</f>
        <v>3475.596735591052</v>
      </c>
      <c r="BM18" s="3">
        <f ca="1">IF(Time!BM28&lt;1+$F15,0,OFFSET(BM16,0,-1*($F15)))+IF(Time!BM28&lt;1+$F15,0,OFFSET(BM17,0,-1*($F15)))</f>
        <v>3679.1978479042591</v>
      </c>
      <c r="BN18" s="3">
        <f ca="1">IF(Time!BN28&lt;1+$F15,0,OFFSET(BN16,0,-1*($F15)))+IF(Time!BN28&lt;1+$F15,0,OFFSET(BN17,0,-1*($F15)))</f>
        <v>3903.4698080441717</v>
      </c>
      <c r="BO18" s="3">
        <f ca="1">IF(Time!BO28&lt;1+$F15,0,OFFSET(BO16,0,-1*($F15)))+IF(Time!BO28&lt;1+$F15,0,OFFSET(BO17,0,-1*($F15)))</f>
        <v>4140.0298147784615</v>
      </c>
      <c r="BP18" s="3">
        <f ca="1">IF(Time!BP28&lt;1+$F15,0,OFFSET(BP16,0,-1*($F15)))+IF(Time!BP28&lt;1+$F15,0,OFFSET(BP17,0,-1*($F15)))</f>
        <v>4366.2491633557374</v>
      </c>
      <c r="BQ18" s="3">
        <f ca="1">IF(Time!BQ28&lt;1+$F15,0,OFFSET(BQ16,0,-1*($F15)))+IF(Time!BQ28&lt;1+$F15,0,OFFSET(BQ17,0,-1*($F15)))</f>
        <v>4630.7179863853571</v>
      </c>
    </row>
    <row r="21" spans="1:69">
      <c r="B21" s="22" t="s">
        <v>129</v>
      </c>
    </row>
    <row r="22" spans="1:69">
      <c r="A22" s="17"/>
      <c r="B22" s="17"/>
      <c r="C22" s="26"/>
      <c r="D22" s="27"/>
      <c r="E22" s="4" t="str">
        <f>InpC!E$31</f>
        <v>Minimum quantity before reorder</v>
      </c>
      <c r="F22" s="4">
        <f>InpC!F$31</f>
        <v>1000</v>
      </c>
      <c r="G22" s="4" t="str">
        <f>InpC!G$31</f>
        <v>Units</v>
      </c>
    </row>
    <row r="23" spans="1:69">
      <c r="A23" s="17"/>
      <c r="B23" s="17"/>
      <c r="C23" s="26"/>
      <c r="D23" s="27"/>
      <c r="E23" s="4" t="str">
        <f>InpC!E$35</f>
        <v>Minimum supplier order quantity</v>
      </c>
      <c r="F23" s="4">
        <f>InpC!F$35</f>
        <v>5000</v>
      </c>
      <c r="G23" s="4" t="str">
        <f>InpC!G$35</f>
        <v>Units</v>
      </c>
    </row>
    <row r="24" spans="1:69">
      <c r="A24" s="17"/>
      <c r="B24" s="17"/>
      <c r="C24" s="26"/>
      <c r="D24" s="27"/>
      <c r="E24" s="4" t="str">
        <f>Customers!E$21</f>
        <v>Customer Orders Awaiting Fullfilment</v>
      </c>
      <c r="F24" s="4">
        <f>Customers!F$21</f>
        <v>0</v>
      </c>
      <c r="G24" s="4" t="str">
        <f>Customers!G$21</f>
        <v>Units</v>
      </c>
      <c r="H24" s="4">
        <f>Customers!H$21</f>
        <v>0</v>
      </c>
      <c r="I24" s="4">
        <f>Customers!I$21</f>
        <v>0</v>
      </c>
      <c r="J24" s="4">
        <f ca="1">Customers!J$21</f>
        <v>500</v>
      </c>
      <c r="K24" s="4">
        <f ca="1">Customers!K$21</f>
        <v>1030.3186927640659</v>
      </c>
      <c r="L24" s="4">
        <f ca="1">Customers!L$21</f>
        <v>1591.7273777732489</v>
      </c>
      <c r="M24" s="4">
        <f ca="1">Customers!M$21</f>
        <v>2187.1784176541755</v>
      </c>
      <c r="N24" s="4">
        <f ca="1">Customers!N$21</f>
        <v>2818.7360518034889</v>
      </c>
      <c r="O24" s="4">
        <f ca="1">Customers!O$21</f>
        <v>3487.3188223772922</v>
      </c>
      <c r="P24" s="4">
        <f ca="1">Customers!P$21</f>
        <v>4196.4427041678455</v>
      </c>
      <c r="Q24" s="4">
        <f ca="1">Customers!Q$21</f>
        <v>750.69634809527088</v>
      </c>
      <c r="R24" s="4">
        <f ca="1">Customers!R$21</f>
        <v>796.21661196928426</v>
      </c>
      <c r="S24" s="4">
        <f ca="1">Customers!S$21</f>
        <v>1587.8527698655694</v>
      </c>
      <c r="T24" s="4">
        <f ca="1">Customers!T$21</f>
        <v>2478.7514880059089</v>
      </c>
      <c r="U24" s="4">
        <f ca="1">Customers!U$21</f>
        <v>3423.5199996978349</v>
      </c>
      <c r="V24" s="4">
        <f ca="1">Customers!V$21</f>
        <v>4423.5199996978354</v>
      </c>
      <c r="W24" s="4">
        <f ca="1">Customers!W$21</f>
        <v>1061.5580832031037</v>
      </c>
      <c r="X24" s="4">
        <f ca="1">Customers!X$21</f>
        <v>1608.782546484143</v>
      </c>
      <c r="Y24" s="4">
        <f ca="1">Customers!Y$21</f>
        <v>2800.5295313497695</v>
      </c>
      <c r="Z24" s="4">
        <f ca="1">Customers!Z$21</f>
        <v>4064.4391463453944</v>
      </c>
      <c r="AA24" s="4">
        <f ca="1">Customers!AA$21</f>
        <v>5402.341328438788</v>
      </c>
      <c r="AB24" s="4">
        <f ca="1">Customers!AB$21</f>
        <v>6821.2561260811181</v>
      </c>
      <c r="AC24" s="4">
        <f ca="1">Customers!AC$21</f>
        <v>3323.2378987072007</v>
      </c>
      <c r="AD24" s="4">
        <f ca="1">Customers!AD$21</f>
        <v>4917.0098973718341</v>
      </c>
      <c r="AE24" s="4">
        <f ca="1">Customers!AE$21</f>
        <v>6607.3332674812409</v>
      </c>
      <c r="AF24" s="4">
        <f ca="1">Customers!AF$21</f>
        <v>8389.8821078177534</v>
      </c>
      <c r="AG24" s="4">
        <f ca="1">Customers!AG$21</f>
        <v>5280.4184992882947</v>
      </c>
      <c r="AH24" s="4">
        <f ca="1">Customers!AH$21</f>
        <v>7731.6837664626437</v>
      </c>
      <c r="AI24" s="4">
        <f ca="1">Customers!AI$21</f>
        <v>9331.4733404863691</v>
      </c>
      <c r="AJ24" s="4">
        <f ca="1">Customers!AJ$21</f>
        <v>11022.921686897271</v>
      </c>
      <c r="AK24" s="4">
        <f ca="1">Customers!AK$21</f>
        <v>7818.941333262057</v>
      </c>
      <c r="AL24" s="4">
        <f ca="1">Customers!AL$21</f>
        <v>9723.7311620114488</v>
      </c>
      <c r="AM24" s="4">
        <f ca="1">Customers!AM$21</f>
        <v>11737.654015413058</v>
      </c>
      <c r="AN24" s="4">
        <f ca="1">Customers!AN$21</f>
        <v>8876.0852098565028</v>
      </c>
      <c r="AO24" s="4">
        <f ca="1">Customers!AO$21</f>
        <v>11137.035294179654</v>
      </c>
      <c r="AP24" s="4">
        <f ca="1">Customers!AP$21</f>
        <v>8539.1124060332841</v>
      </c>
      <c r="AQ24" s="4">
        <f ca="1">Customers!AQ$21</f>
        <v>11086.708996873176</v>
      </c>
      <c r="AR24" s="4">
        <f ca="1">Customers!AR$21</f>
        <v>13763.963948962575</v>
      </c>
      <c r="AS24" s="4">
        <f ca="1">Customers!AS$21</f>
        <v>11612.884499067255</v>
      </c>
      <c r="AT24" s="4">
        <f ca="1">Customers!AT$21</f>
        <v>14625.245659482582</v>
      </c>
      <c r="AU24" s="4">
        <f ca="1">Customers!AU$21</f>
        <v>17825.039732757017</v>
      </c>
      <c r="AV24" s="4">
        <f ca="1">Customers!AV$21</f>
        <v>16206.302114853477</v>
      </c>
      <c r="AW24" s="4">
        <f ca="1">Customers!AW$21</f>
        <v>19796.764460323608</v>
      </c>
      <c r="AX24" s="4">
        <f ca="1">Customers!AX$21</f>
        <v>18604.839748382903</v>
      </c>
      <c r="AY24" s="4">
        <f ca="1">Customers!AY$21</f>
        <v>22631.268734313388</v>
      </c>
      <c r="AZ24" s="4">
        <f ca="1">Customers!AZ$21</f>
        <v>21906.813566747762</v>
      </c>
      <c r="BA24" s="4">
        <f ca="1">Customers!BA$21</f>
        <v>21427.517195321179</v>
      </c>
      <c r="BB24" s="4">
        <f ca="1">Customers!BB$21</f>
        <v>26230.895037101749</v>
      </c>
      <c r="BC24" s="4">
        <f ca="1">Customers!BC$21</f>
        <v>26323.80956201446</v>
      </c>
      <c r="BD24" s="4">
        <f ca="1">Customers!BD$21</f>
        <v>26675.548404206747</v>
      </c>
      <c r="BE24" s="4">
        <f ca="1">Customers!BE$21</f>
        <v>32372.010202025675</v>
      </c>
      <c r="BF24" s="4">
        <f ca="1">Customers!BF$21</f>
        <v>33395.1135253951</v>
      </c>
      <c r="BG24" s="4">
        <f ca="1">Customers!BG$21</f>
        <v>33890.882436441323</v>
      </c>
      <c r="BH24" s="4">
        <f ca="1">Customers!BH$21</f>
        <v>34698.818731012048</v>
      </c>
      <c r="BI24" s="4">
        <f ca="1">Customers!BI$21</f>
        <v>35869.207219607117</v>
      </c>
      <c r="BJ24" s="4">
        <f ca="1">Customers!BJ$21</f>
        <v>37413.559885219496</v>
      </c>
      <c r="BK24" s="4">
        <f ca="1">Customers!BK$21</f>
        <v>39329.641460602288</v>
      </c>
      <c r="BL24" s="4">
        <f ca="1">Customers!BL$21</f>
        <v>41677.330004879172</v>
      </c>
      <c r="BM24" s="4">
        <f ca="1">Customers!BM$21</f>
        <v>44442.378495579731</v>
      </c>
      <c r="BN24" s="4">
        <f ca="1">Customers!BN$21</f>
        <v>47678.178177315582</v>
      </c>
      <c r="BO24" s="4">
        <f ca="1">Customers!BO$21</f>
        <v>51410.1776100282</v>
      </c>
      <c r="BP24" s="4">
        <f ca="1">Customers!BP$21</f>
        <v>55598.504988489847</v>
      </c>
      <c r="BQ24" s="4">
        <f ca="1">Customers!BQ$21</f>
        <v>60392.68148681907</v>
      </c>
    </row>
    <row r="25" spans="1:69">
      <c r="E25" s="2" t="str">
        <f t="shared" ref="E25:AJ25" si="2">E$38</f>
        <v>Units on order BEG</v>
      </c>
      <c r="F25" s="2">
        <f t="shared" si="2"/>
        <v>0</v>
      </c>
      <c r="G25" s="2" t="str">
        <f t="shared" si="2"/>
        <v>Units</v>
      </c>
      <c r="H25" s="2">
        <f t="shared" si="2"/>
        <v>0</v>
      </c>
      <c r="I25" s="2">
        <f t="shared" si="2"/>
        <v>0</v>
      </c>
      <c r="J25" s="2">
        <f t="shared" si="2"/>
        <v>0</v>
      </c>
      <c r="K25" s="2">
        <f t="shared" ca="1" si="2"/>
        <v>5000</v>
      </c>
      <c r="L25" s="2">
        <f t="shared" ca="1" si="2"/>
        <v>5000</v>
      </c>
      <c r="M25" s="2">
        <f t="shared" ca="1" si="2"/>
        <v>5000</v>
      </c>
      <c r="N25" s="2">
        <f t="shared" ca="1" si="2"/>
        <v>5000</v>
      </c>
      <c r="O25" s="2">
        <f t="shared" ca="1" si="2"/>
        <v>5000</v>
      </c>
      <c r="P25" s="2">
        <f t="shared" ca="1" si="2"/>
        <v>5000</v>
      </c>
      <c r="Q25" s="2">
        <f t="shared" ca="1" si="2"/>
        <v>5000</v>
      </c>
      <c r="R25" s="2">
        <f t="shared" ca="1" si="2"/>
        <v>5000</v>
      </c>
      <c r="S25" s="2">
        <f t="shared" ca="1" si="2"/>
        <v>5000</v>
      </c>
      <c r="T25" s="2">
        <f t="shared" ca="1" si="2"/>
        <v>5000</v>
      </c>
      <c r="U25" s="2">
        <f t="shared" ca="1" si="2"/>
        <v>5000</v>
      </c>
      <c r="V25" s="2">
        <f t="shared" ca="1" si="2"/>
        <v>5000</v>
      </c>
      <c r="W25" s="2">
        <f t="shared" ca="1" si="2"/>
        <v>5000</v>
      </c>
      <c r="X25" s="2">
        <f t="shared" ca="1" si="2"/>
        <v>5000</v>
      </c>
      <c r="Y25" s="2">
        <f t="shared" ca="1" si="2"/>
        <v>5000</v>
      </c>
      <c r="Z25" s="2">
        <f t="shared" ca="1" si="2"/>
        <v>5000</v>
      </c>
      <c r="AA25" s="2">
        <f t="shared" ca="1" si="2"/>
        <v>10000</v>
      </c>
      <c r="AB25" s="2">
        <f t="shared" ca="1" si="2"/>
        <v>10000</v>
      </c>
      <c r="AC25" s="2">
        <f t="shared" ca="1" si="2"/>
        <v>5000</v>
      </c>
      <c r="AD25" s="2">
        <f t="shared" ca="1" si="2"/>
        <v>5000</v>
      </c>
      <c r="AE25" s="2">
        <f t="shared" ca="1" si="2"/>
        <v>10000</v>
      </c>
      <c r="AF25" s="2">
        <f t="shared" ca="1" si="2"/>
        <v>10000</v>
      </c>
      <c r="AG25" s="2">
        <f t="shared" ca="1" si="2"/>
        <v>5000</v>
      </c>
      <c r="AH25" s="2">
        <f t="shared" ca="1" si="2"/>
        <v>10000</v>
      </c>
      <c r="AI25" s="2">
        <f t="shared" ca="1" si="2"/>
        <v>10000</v>
      </c>
      <c r="AJ25" s="2">
        <f t="shared" ca="1" si="2"/>
        <v>15000</v>
      </c>
      <c r="AK25" s="2">
        <f t="shared" ref="AK25:BQ25" ca="1" si="3">AK$38</f>
        <v>10000</v>
      </c>
      <c r="AL25" s="2">
        <f t="shared" ca="1" si="3"/>
        <v>10000</v>
      </c>
      <c r="AM25" s="2">
        <f t="shared" ca="1" si="3"/>
        <v>15000</v>
      </c>
      <c r="AN25" s="2">
        <f t="shared" ca="1" si="3"/>
        <v>10000</v>
      </c>
      <c r="AO25" s="2">
        <f t="shared" ca="1" si="3"/>
        <v>10000</v>
      </c>
      <c r="AP25" s="2">
        <f t="shared" ca="1" si="3"/>
        <v>10000</v>
      </c>
      <c r="AQ25" s="2">
        <f t="shared" ca="1" si="3"/>
        <v>10000</v>
      </c>
      <c r="AR25" s="2">
        <f t="shared" ca="1" si="3"/>
        <v>15000</v>
      </c>
      <c r="AS25" s="2">
        <f t="shared" ca="1" si="3"/>
        <v>10000</v>
      </c>
      <c r="AT25" s="2">
        <f t="shared" ca="1" si="3"/>
        <v>15000</v>
      </c>
      <c r="AU25" s="2">
        <f t="shared" ca="1" si="3"/>
        <v>20000</v>
      </c>
      <c r="AV25" s="2">
        <f t="shared" ca="1" si="3"/>
        <v>15000</v>
      </c>
      <c r="AW25" s="2">
        <f t="shared" ca="1" si="3"/>
        <v>20000</v>
      </c>
      <c r="AX25" s="2">
        <f t="shared" ca="1" si="3"/>
        <v>20000</v>
      </c>
      <c r="AY25" s="2">
        <f t="shared" ca="1" si="3"/>
        <v>20000</v>
      </c>
      <c r="AZ25" s="2">
        <f t="shared" ca="1" si="3"/>
        <v>20000</v>
      </c>
      <c r="BA25" s="2">
        <f t="shared" ca="1" si="3"/>
        <v>20000</v>
      </c>
      <c r="BB25" s="2">
        <f t="shared" ca="1" si="3"/>
        <v>25000</v>
      </c>
      <c r="BC25" s="2">
        <f t="shared" ca="1" si="3"/>
        <v>25000</v>
      </c>
      <c r="BD25" s="2">
        <f t="shared" ca="1" si="3"/>
        <v>25000</v>
      </c>
      <c r="BE25" s="2">
        <f t="shared" ca="1" si="3"/>
        <v>30000</v>
      </c>
      <c r="BF25" s="2">
        <f t="shared" ca="1" si="3"/>
        <v>30000</v>
      </c>
      <c r="BG25" s="2">
        <f t="shared" ca="1" si="3"/>
        <v>30000</v>
      </c>
      <c r="BH25" s="2">
        <f t="shared" ca="1" si="3"/>
        <v>30000</v>
      </c>
      <c r="BI25" s="2">
        <f t="shared" ca="1" si="3"/>
        <v>30000</v>
      </c>
      <c r="BJ25" s="2">
        <f t="shared" ca="1" si="3"/>
        <v>30000</v>
      </c>
      <c r="BK25" s="2">
        <f t="shared" ca="1" si="3"/>
        <v>30000</v>
      </c>
      <c r="BL25" s="2">
        <f t="shared" ca="1" si="3"/>
        <v>30000</v>
      </c>
      <c r="BM25" s="2">
        <f t="shared" ca="1" si="3"/>
        <v>30000</v>
      </c>
      <c r="BN25" s="2">
        <f t="shared" ca="1" si="3"/>
        <v>30000</v>
      </c>
      <c r="BO25" s="2">
        <f t="shared" ca="1" si="3"/>
        <v>30000</v>
      </c>
      <c r="BP25" s="2">
        <f t="shared" ca="1" si="3"/>
        <v>30000</v>
      </c>
      <c r="BQ25" s="2">
        <f t="shared" ca="1" si="3"/>
        <v>30000</v>
      </c>
    </row>
    <row r="26" spans="1:69">
      <c r="A26" s="31"/>
      <c r="B26" s="31"/>
      <c r="C26" s="51"/>
      <c r="D26" s="50"/>
      <c r="E26" s="3" t="s">
        <v>129</v>
      </c>
      <c r="F26" s="3"/>
      <c r="G26" s="3" t="s">
        <v>122</v>
      </c>
      <c r="H26" s="3">
        <f ca="1">SUM(J26:BQ26)</f>
        <v>165000</v>
      </c>
      <c r="I26" s="3"/>
      <c r="J26" s="3">
        <f t="shared" ref="J26:AO26" ca="1" si="4">IF(J24+$F22-J25&gt;0,$F23,0)</f>
        <v>5000</v>
      </c>
      <c r="K26" s="3">
        <f t="shared" ca="1" si="4"/>
        <v>0</v>
      </c>
      <c r="L26" s="3">
        <f t="shared" ca="1" si="4"/>
        <v>0</v>
      </c>
      <c r="M26" s="3">
        <f t="shared" ca="1" si="4"/>
        <v>0</v>
      </c>
      <c r="N26" s="3">
        <f t="shared" ca="1" si="4"/>
        <v>0</v>
      </c>
      <c r="O26" s="3">
        <f t="shared" ca="1" si="4"/>
        <v>0</v>
      </c>
      <c r="P26" s="3">
        <f t="shared" ca="1" si="4"/>
        <v>5000</v>
      </c>
      <c r="Q26" s="3">
        <f t="shared" ca="1" si="4"/>
        <v>0</v>
      </c>
      <c r="R26" s="3">
        <f t="shared" ca="1" si="4"/>
        <v>0</v>
      </c>
      <c r="S26" s="3">
        <f t="shared" ca="1" si="4"/>
        <v>0</v>
      </c>
      <c r="T26" s="3">
        <f t="shared" ca="1" si="4"/>
        <v>0</v>
      </c>
      <c r="U26" s="3">
        <f t="shared" ca="1" si="4"/>
        <v>0</v>
      </c>
      <c r="V26" s="3">
        <f t="shared" ca="1" si="4"/>
        <v>5000</v>
      </c>
      <c r="W26" s="3">
        <f t="shared" ca="1" si="4"/>
        <v>0</v>
      </c>
      <c r="X26" s="3">
        <f t="shared" ca="1" si="4"/>
        <v>0</v>
      </c>
      <c r="Y26" s="3">
        <f t="shared" ca="1" si="4"/>
        <v>0</v>
      </c>
      <c r="Z26" s="3">
        <f t="shared" ca="1" si="4"/>
        <v>5000</v>
      </c>
      <c r="AA26" s="3">
        <f t="shared" ca="1" si="4"/>
        <v>0</v>
      </c>
      <c r="AB26" s="3">
        <f t="shared" ca="1" si="4"/>
        <v>0</v>
      </c>
      <c r="AC26" s="3">
        <f t="shared" ca="1" si="4"/>
        <v>0</v>
      </c>
      <c r="AD26" s="3">
        <f t="shared" ca="1" si="4"/>
        <v>5000</v>
      </c>
      <c r="AE26" s="3">
        <f t="shared" ca="1" si="4"/>
        <v>0</v>
      </c>
      <c r="AF26" s="3">
        <f t="shared" ca="1" si="4"/>
        <v>0</v>
      </c>
      <c r="AG26" s="3">
        <f t="shared" ca="1" si="4"/>
        <v>5000</v>
      </c>
      <c r="AH26" s="3">
        <f t="shared" ca="1" si="4"/>
        <v>0</v>
      </c>
      <c r="AI26" s="3">
        <f t="shared" ca="1" si="4"/>
        <v>5000</v>
      </c>
      <c r="AJ26" s="3">
        <f t="shared" ca="1" si="4"/>
        <v>0</v>
      </c>
      <c r="AK26" s="3">
        <f t="shared" ca="1" si="4"/>
        <v>0</v>
      </c>
      <c r="AL26" s="3">
        <f t="shared" ca="1" si="4"/>
        <v>5000</v>
      </c>
      <c r="AM26" s="3">
        <f t="shared" ca="1" si="4"/>
        <v>0</v>
      </c>
      <c r="AN26" s="3">
        <f t="shared" ca="1" si="4"/>
        <v>0</v>
      </c>
      <c r="AO26" s="3">
        <f t="shared" ca="1" si="4"/>
        <v>5000</v>
      </c>
      <c r="AP26" s="3">
        <f t="shared" ref="AP26:BU26" ca="1" si="5">IF(AP24+$F22-AP25&gt;0,$F23,0)</f>
        <v>0</v>
      </c>
      <c r="AQ26" s="3">
        <f t="shared" ca="1" si="5"/>
        <v>5000</v>
      </c>
      <c r="AR26" s="3">
        <f t="shared" ca="1" si="5"/>
        <v>0</v>
      </c>
      <c r="AS26" s="3">
        <f t="shared" ca="1" si="5"/>
        <v>5000</v>
      </c>
      <c r="AT26" s="3">
        <f t="shared" ca="1" si="5"/>
        <v>5000</v>
      </c>
      <c r="AU26" s="3">
        <f t="shared" ca="1" si="5"/>
        <v>0</v>
      </c>
      <c r="AV26" s="3">
        <f t="shared" ca="1" si="5"/>
        <v>5000</v>
      </c>
      <c r="AW26" s="3">
        <f t="shared" ca="1" si="5"/>
        <v>5000</v>
      </c>
      <c r="AX26" s="3">
        <f t="shared" ca="1" si="5"/>
        <v>0</v>
      </c>
      <c r="AY26" s="3">
        <f t="shared" ca="1" si="5"/>
        <v>5000</v>
      </c>
      <c r="AZ26" s="3">
        <f t="shared" ca="1" si="5"/>
        <v>5000</v>
      </c>
      <c r="BA26" s="3">
        <f t="shared" ca="1" si="5"/>
        <v>5000</v>
      </c>
      <c r="BB26" s="3">
        <f t="shared" ca="1" si="5"/>
        <v>5000</v>
      </c>
      <c r="BC26" s="3">
        <f t="shared" ca="1" si="5"/>
        <v>5000</v>
      </c>
      <c r="BD26" s="3">
        <f t="shared" ca="1" si="5"/>
        <v>5000</v>
      </c>
      <c r="BE26" s="3">
        <f t="shared" ca="1" si="5"/>
        <v>5000</v>
      </c>
      <c r="BF26" s="3">
        <f t="shared" ca="1" si="5"/>
        <v>5000</v>
      </c>
      <c r="BG26" s="3">
        <f t="shared" ca="1" si="5"/>
        <v>5000</v>
      </c>
      <c r="BH26" s="3">
        <f t="shared" ca="1" si="5"/>
        <v>5000</v>
      </c>
      <c r="BI26" s="3">
        <f t="shared" ca="1" si="5"/>
        <v>5000</v>
      </c>
      <c r="BJ26" s="3">
        <f t="shared" ca="1" si="5"/>
        <v>5000</v>
      </c>
      <c r="BK26" s="3">
        <f t="shared" ca="1" si="5"/>
        <v>5000</v>
      </c>
      <c r="BL26" s="3">
        <f t="shared" ca="1" si="5"/>
        <v>5000</v>
      </c>
      <c r="BM26" s="3">
        <f t="shared" ca="1" si="5"/>
        <v>5000</v>
      </c>
      <c r="BN26" s="3">
        <f t="shared" ca="1" si="5"/>
        <v>5000</v>
      </c>
      <c r="BO26" s="3">
        <f t="shared" ca="1" si="5"/>
        <v>5000</v>
      </c>
      <c r="BP26" s="3">
        <f t="shared" ca="1" si="5"/>
        <v>5000</v>
      </c>
      <c r="BQ26" s="3">
        <f t="shared" ca="1" si="5"/>
        <v>5000</v>
      </c>
    </row>
    <row r="29" spans="1:69">
      <c r="B29" s="22" t="s">
        <v>195</v>
      </c>
    </row>
    <row r="30" spans="1:69">
      <c r="A30" s="17"/>
      <c r="B30" s="17"/>
      <c r="C30" s="26"/>
      <c r="D30" s="27"/>
      <c r="E30" s="4" t="str">
        <f>InpC!E$33</f>
        <v>Order lead time (months)</v>
      </c>
      <c r="F30" s="4">
        <f>InpC!F$33</f>
        <v>6</v>
      </c>
      <c r="G30" s="4" t="str">
        <f>InpC!G$33</f>
        <v>Months</v>
      </c>
    </row>
    <row r="31" spans="1:69">
      <c r="E31" s="2" t="str">
        <f t="shared" ref="E31:AJ31" si="6">E$26</f>
        <v>Units ordered</v>
      </c>
      <c r="F31" s="2">
        <f t="shared" si="6"/>
        <v>0</v>
      </c>
      <c r="G31" s="2" t="str">
        <f t="shared" si="6"/>
        <v>Units</v>
      </c>
      <c r="H31" s="2">
        <f t="shared" ca="1" si="6"/>
        <v>165000</v>
      </c>
      <c r="I31" s="2">
        <f t="shared" si="6"/>
        <v>0</v>
      </c>
      <c r="J31" s="2">
        <f t="shared" ca="1" si="6"/>
        <v>5000</v>
      </c>
      <c r="K31" s="2">
        <f t="shared" ca="1" si="6"/>
        <v>0</v>
      </c>
      <c r="L31" s="2">
        <f t="shared" ca="1" si="6"/>
        <v>0</v>
      </c>
      <c r="M31" s="2">
        <f t="shared" ca="1" si="6"/>
        <v>0</v>
      </c>
      <c r="N31" s="2">
        <f t="shared" ca="1" si="6"/>
        <v>0</v>
      </c>
      <c r="O31" s="2">
        <f t="shared" ca="1" si="6"/>
        <v>0</v>
      </c>
      <c r="P31" s="2">
        <f t="shared" ca="1" si="6"/>
        <v>5000</v>
      </c>
      <c r="Q31" s="2">
        <f t="shared" ca="1" si="6"/>
        <v>0</v>
      </c>
      <c r="R31" s="2">
        <f t="shared" ca="1" si="6"/>
        <v>0</v>
      </c>
      <c r="S31" s="2">
        <f t="shared" ca="1" si="6"/>
        <v>0</v>
      </c>
      <c r="T31" s="2">
        <f t="shared" ca="1" si="6"/>
        <v>0</v>
      </c>
      <c r="U31" s="2">
        <f t="shared" ca="1" si="6"/>
        <v>0</v>
      </c>
      <c r="V31" s="2">
        <f t="shared" ca="1" si="6"/>
        <v>5000</v>
      </c>
      <c r="W31" s="2">
        <f t="shared" ca="1" si="6"/>
        <v>0</v>
      </c>
      <c r="X31" s="2">
        <f t="shared" ca="1" si="6"/>
        <v>0</v>
      </c>
      <c r="Y31" s="2">
        <f t="shared" ca="1" si="6"/>
        <v>0</v>
      </c>
      <c r="Z31" s="2">
        <f t="shared" ca="1" si="6"/>
        <v>5000</v>
      </c>
      <c r="AA31" s="2">
        <f t="shared" ca="1" si="6"/>
        <v>0</v>
      </c>
      <c r="AB31" s="2">
        <f t="shared" ca="1" si="6"/>
        <v>0</v>
      </c>
      <c r="AC31" s="2">
        <f t="shared" ca="1" si="6"/>
        <v>0</v>
      </c>
      <c r="AD31" s="2">
        <f t="shared" ca="1" si="6"/>
        <v>5000</v>
      </c>
      <c r="AE31" s="2">
        <f t="shared" ca="1" si="6"/>
        <v>0</v>
      </c>
      <c r="AF31" s="2">
        <f t="shared" ca="1" si="6"/>
        <v>0</v>
      </c>
      <c r="AG31" s="2">
        <f t="shared" ca="1" si="6"/>
        <v>5000</v>
      </c>
      <c r="AH31" s="2">
        <f t="shared" ca="1" si="6"/>
        <v>0</v>
      </c>
      <c r="AI31" s="2">
        <f t="shared" ca="1" si="6"/>
        <v>5000</v>
      </c>
      <c r="AJ31" s="2">
        <f t="shared" ca="1" si="6"/>
        <v>0</v>
      </c>
      <c r="AK31" s="2">
        <f t="shared" ref="AK31:BQ31" ca="1" si="7">AK$26</f>
        <v>0</v>
      </c>
      <c r="AL31" s="2">
        <f t="shared" ca="1" si="7"/>
        <v>5000</v>
      </c>
      <c r="AM31" s="2">
        <f t="shared" ca="1" si="7"/>
        <v>0</v>
      </c>
      <c r="AN31" s="2">
        <f t="shared" ca="1" si="7"/>
        <v>0</v>
      </c>
      <c r="AO31" s="2">
        <f t="shared" ca="1" si="7"/>
        <v>5000</v>
      </c>
      <c r="AP31" s="2">
        <f t="shared" ca="1" si="7"/>
        <v>0</v>
      </c>
      <c r="AQ31" s="2">
        <f t="shared" ca="1" si="7"/>
        <v>5000</v>
      </c>
      <c r="AR31" s="2">
        <f t="shared" ca="1" si="7"/>
        <v>0</v>
      </c>
      <c r="AS31" s="2">
        <f t="shared" ca="1" si="7"/>
        <v>5000</v>
      </c>
      <c r="AT31" s="2">
        <f t="shared" ca="1" si="7"/>
        <v>5000</v>
      </c>
      <c r="AU31" s="2">
        <f t="shared" ca="1" si="7"/>
        <v>0</v>
      </c>
      <c r="AV31" s="2">
        <f t="shared" ca="1" si="7"/>
        <v>5000</v>
      </c>
      <c r="AW31" s="2">
        <f t="shared" ca="1" si="7"/>
        <v>5000</v>
      </c>
      <c r="AX31" s="2">
        <f t="shared" ca="1" si="7"/>
        <v>0</v>
      </c>
      <c r="AY31" s="2">
        <f t="shared" ca="1" si="7"/>
        <v>5000</v>
      </c>
      <c r="AZ31" s="2">
        <f t="shared" ca="1" si="7"/>
        <v>5000</v>
      </c>
      <c r="BA31" s="2">
        <f t="shared" ca="1" si="7"/>
        <v>5000</v>
      </c>
      <c r="BB31" s="2">
        <f t="shared" ca="1" si="7"/>
        <v>5000</v>
      </c>
      <c r="BC31" s="2">
        <f t="shared" ca="1" si="7"/>
        <v>5000</v>
      </c>
      <c r="BD31" s="2">
        <f t="shared" ca="1" si="7"/>
        <v>5000</v>
      </c>
      <c r="BE31" s="2">
        <f t="shared" ca="1" si="7"/>
        <v>5000</v>
      </c>
      <c r="BF31" s="2">
        <f t="shared" ca="1" si="7"/>
        <v>5000</v>
      </c>
      <c r="BG31" s="2">
        <f t="shared" ca="1" si="7"/>
        <v>5000</v>
      </c>
      <c r="BH31" s="2">
        <f t="shared" ca="1" si="7"/>
        <v>5000</v>
      </c>
      <c r="BI31" s="2">
        <f t="shared" ca="1" si="7"/>
        <v>5000</v>
      </c>
      <c r="BJ31" s="2">
        <f t="shared" ca="1" si="7"/>
        <v>5000</v>
      </c>
      <c r="BK31" s="2">
        <f t="shared" ca="1" si="7"/>
        <v>5000</v>
      </c>
      <c r="BL31" s="2">
        <f t="shared" ca="1" si="7"/>
        <v>5000</v>
      </c>
      <c r="BM31" s="2">
        <f t="shared" ca="1" si="7"/>
        <v>5000</v>
      </c>
      <c r="BN31" s="2">
        <f t="shared" ca="1" si="7"/>
        <v>5000</v>
      </c>
      <c r="BO31" s="2">
        <f t="shared" ca="1" si="7"/>
        <v>5000</v>
      </c>
      <c r="BP31" s="2">
        <f t="shared" ca="1" si="7"/>
        <v>5000</v>
      </c>
      <c r="BQ31" s="2">
        <f t="shared" ca="1" si="7"/>
        <v>5000</v>
      </c>
    </row>
    <row r="32" spans="1:69">
      <c r="A32" s="31"/>
      <c r="B32" s="31"/>
      <c r="C32" s="51"/>
      <c r="D32" s="50"/>
      <c r="E32" s="3" t="s">
        <v>195</v>
      </c>
      <c r="F32" s="3"/>
      <c r="G32" s="3" t="s">
        <v>122</v>
      </c>
      <c r="H32" s="3">
        <f ca="1">SUM(J32:BQ32)</f>
        <v>135000</v>
      </c>
      <c r="I32" s="3"/>
      <c r="J32" s="3">
        <f ca="1">IF(Time!J28&lt;1+$F30,0,OFFSET(J31,0,-1*($F30)))</f>
        <v>0</v>
      </c>
      <c r="K32" s="3">
        <f ca="1">IF(Time!K28&lt;1+$F30,0,OFFSET(K31,0,-1*($F30)))</f>
        <v>0</v>
      </c>
      <c r="L32" s="3">
        <f ca="1">IF(Time!L28&lt;1+$F30,0,OFFSET(L31,0,-1*($F30)))</f>
        <v>0</v>
      </c>
      <c r="M32" s="3">
        <f ca="1">IF(Time!M28&lt;1+$F30,0,OFFSET(M31,0,-1*($F30)))</f>
        <v>0</v>
      </c>
      <c r="N32" s="3">
        <f ca="1">IF(Time!N28&lt;1+$F30,0,OFFSET(N31,0,-1*($F30)))</f>
        <v>0</v>
      </c>
      <c r="O32" s="3">
        <f ca="1">IF(Time!O28&lt;1+$F30,0,OFFSET(O31,0,-1*($F30)))</f>
        <v>0</v>
      </c>
      <c r="P32" s="3">
        <f ca="1">IF(Time!P28&lt;1+$F30,0,OFFSET(P31,0,-1*($F30)))</f>
        <v>5000</v>
      </c>
      <c r="Q32" s="3">
        <f ca="1">IF(Time!Q28&lt;1+$F30,0,OFFSET(Q31,0,-1*($F30)))</f>
        <v>0</v>
      </c>
      <c r="R32" s="3">
        <f ca="1">IF(Time!R28&lt;1+$F30,0,OFFSET(R31,0,-1*($F30)))</f>
        <v>0</v>
      </c>
      <c r="S32" s="3">
        <f ca="1">IF(Time!S28&lt;1+$F30,0,OFFSET(S31,0,-1*($F30)))</f>
        <v>0</v>
      </c>
      <c r="T32" s="3">
        <f ca="1">IF(Time!T28&lt;1+$F30,0,OFFSET(T31,0,-1*($F30)))</f>
        <v>0</v>
      </c>
      <c r="U32" s="3">
        <f ca="1">IF(Time!U28&lt;1+$F30,0,OFFSET(U31,0,-1*($F30)))</f>
        <v>0</v>
      </c>
      <c r="V32" s="3">
        <f ca="1">IF(Time!V28&lt;1+$F30,0,OFFSET(V31,0,-1*($F30)))</f>
        <v>5000</v>
      </c>
      <c r="W32" s="3">
        <f ca="1">IF(Time!W28&lt;1+$F30,0,OFFSET(W31,0,-1*($F30)))</f>
        <v>0</v>
      </c>
      <c r="X32" s="3">
        <f ca="1">IF(Time!X28&lt;1+$F30,0,OFFSET(X31,0,-1*($F30)))</f>
        <v>0</v>
      </c>
      <c r="Y32" s="3">
        <f ca="1">IF(Time!Y28&lt;1+$F30,0,OFFSET(Y31,0,-1*($F30)))</f>
        <v>0</v>
      </c>
      <c r="Z32" s="3">
        <f ca="1">IF(Time!Z28&lt;1+$F30,0,OFFSET(Z31,0,-1*($F30)))</f>
        <v>0</v>
      </c>
      <c r="AA32" s="3">
        <f ca="1">IF(Time!AA28&lt;1+$F30,0,OFFSET(AA31,0,-1*($F30)))</f>
        <v>0</v>
      </c>
      <c r="AB32" s="3">
        <f ca="1">IF(Time!AB28&lt;1+$F30,0,OFFSET(AB31,0,-1*($F30)))</f>
        <v>5000</v>
      </c>
      <c r="AC32" s="3">
        <f ca="1">IF(Time!AC28&lt;1+$F30,0,OFFSET(AC31,0,-1*($F30)))</f>
        <v>0</v>
      </c>
      <c r="AD32" s="3">
        <f ca="1">IF(Time!AD28&lt;1+$F30,0,OFFSET(AD31,0,-1*($F30)))</f>
        <v>0</v>
      </c>
      <c r="AE32" s="3">
        <f ca="1">IF(Time!AE28&lt;1+$F30,0,OFFSET(AE31,0,-1*($F30)))</f>
        <v>0</v>
      </c>
      <c r="AF32" s="3">
        <f ca="1">IF(Time!AF28&lt;1+$F30,0,OFFSET(AF31,0,-1*($F30)))</f>
        <v>5000</v>
      </c>
      <c r="AG32" s="3">
        <f ca="1">IF(Time!AG28&lt;1+$F30,0,OFFSET(AG31,0,-1*($F30)))</f>
        <v>0</v>
      </c>
      <c r="AH32" s="3">
        <f ca="1">IF(Time!AH28&lt;1+$F30,0,OFFSET(AH31,0,-1*($F30)))</f>
        <v>0</v>
      </c>
      <c r="AI32" s="3">
        <f ca="1">IF(Time!AI28&lt;1+$F30,0,OFFSET(AI31,0,-1*($F30)))</f>
        <v>0</v>
      </c>
      <c r="AJ32" s="3">
        <f ca="1">IF(Time!AJ28&lt;1+$F30,0,OFFSET(AJ31,0,-1*($F30)))</f>
        <v>5000</v>
      </c>
      <c r="AK32" s="3">
        <f ca="1">IF(Time!AK28&lt;1+$F30,0,OFFSET(AK31,0,-1*($F30)))</f>
        <v>0</v>
      </c>
      <c r="AL32" s="3">
        <f ca="1">IF(Time!AL28&lt;1+$F30,0,OFFSET(AL31,0,-1*($F30)))</f>
        <v>0</v>
      </c>
      <c r="AM32" s="3">
        <f ca="1">IF(Time!AM28&lt;1+$F30,0,OFFSET(AM31,0,-1*($F30)))</f>
        <v>5000</v>
      </c>
      <c r="AN32" s="3">
        <f ca="1">IF(Time!AN28&lt;1+$F30,0,OFFSET(AN31,0,-1*($F30)))</f>
        <v>0</v>
      </c>
      <c r="AO32" s="3">
        <f ca="1">IF(Time!AO28&lt;1+$F30,0,OFFSET(AO31,0,-1*($F30)))</f>
        <v>5000</v>
      </c>
      <c r="AP32" s="3">
        <f ca="1">IF(Time!AP28&lt;1+$F30,0,OFFSET(AP31,0,-1*($F30)))</f>
        <v>0</v>
      </c>
      <c r="AQ32" s="3">
        <f ca="1">IF(Time!AQ28&lt;1+$F30,0,OFFSET(AQ31,0,-1*($F30)))</f>
        <v>0</v>
      </c>
      <c r="AR32" s="3">
        <f ca="1">IF(Time!AR28&lt;1+$F30,0,OFFSET(AR31,0,-1*($F30)))</f>
        <v>5000</v>
      </c>
      <c r="AS32" s="3">
        <f ca="1">IF(Time!AS28&lt;1+$F30,0,OFFSET(AS31,0,-1*($F30)))</f>
        <v>0</v>
      </c>
      <c r="AT32" s="3">
        <f ca="1">IF(Time!AT28&lt;1+$F30,0,OFFSET(AT31,0,-1*($F30)))</f>
        <v>0</v>
      </c>
      <c r="AU32" s="3">
        <f ca="1">IF(Time!AU28&lt;1+$F30,0,OFFSET(AU31,0,-1*($F30)))</f>
        <v>5000</v>
      </c>
      <c r="AV32" s="3">
        <f ca="1">IF(Time!AV28&lt;1+$F30,0,OFFSET(AV31,0,-1*($F30)))</f>
        <v>0</v>
      </c>
      <c r="AW32" s="3">
        <f ca="1">IF(Time!AW28&lt;1+$F30,0,OFFSET(AW31,0,-1*($F30)))</f>
        <v>5000</v>
      </c>
      <c r="AX32" s="3">
        <f ca="1">IF(Time!AX28&lt;1+$F30,0,OFFSET(AX31,0,-1*($F30)))</f>
        <v>0</v>
      </c>
      <c r="AY32" s="3">
        <f ca="1">IF(Time!AY28&lt;1+$F30,0,OFFSET(AY31,0,-1*($F30)))</f>
        <v>5000</v>
      </c>
      <c r="AZ32" s="3">
        <f ca="1">IF(Time!AZ28&lt;1+$F30,0,OFFSET(AZ31,0,-1*($F30)))</f>
        <v>5000</v>
      </c>
      <c r="BA32" s="3">
        <f ca="1">IF(Time!BA28&lt;1+$F30,0,OFFSET(BA31,0,-1*($F30)))</f>
        <v>0</v>
      </c>
      <c r="BB32" s="3">
        <f ca="1">IF(Time!BB28&lt;1+$F30,0,OFFSET(BB31,0,-1*($F30)))</f>
        <v>5000</v>
      </c>
      <c r="BC32" s="3">
        <f ca="1">IF(Time!BC28&lt;1+$F30,0,OFFSET(BC31,0,-1*($F30)))</f>
        <v>5000</v>
      </c>
      <c r="BD32" s="3">
        <f ca="1">IF(Time!BD28&lt;1+$F30,0,OFFSET(BD31,0,-1*($F30)))</f>
        <v>0</v>
      </c>
      <c r="BE32" s="3">
        <f ca="1">IF(Time!BE28&lt;1+$F30,0,OFFSET(BE31,0,-1*($F30)))</f>
        <v>5000</v>
      </c>
      <c r="BF32" s="3">
        <f ca="1">IF(Time!BF28&lt;1+$F30,0,OFFSET(BF31,0,-1*($F30)))</f>
        <v>5000</v>
      </c>
      <c r="BG32" s="3">
        <f ca="1">IF(Time!BG28&lt;1+$F30,0,OFFSET(BG31,0,-1*($F30)))</f>
        <v>5000</v>
      </c>
      <c r="BH32" s="3">
        <f ca="1">IF(Time!BH28&lt;1+$F30,0,OFFSET(BH31,0,-1*($F30)))</f>
        <v>5000</v>
      </c>
      <c r="BI32" s="3">
        <f ca="1">IF(Time!BI28&lt;1+$F30,0,OFFSET(BI31,0,-1*($F30)))</f>
        <v>5000</v>
      </c>
      <c r="BJ32" s="3">
        <f ca="1">IF(Time!BJ28&lt;1+$F30,0,OFFSET(BJ31,0,-1*($F30)))</f>
        <v>5000</v>
      </c>
      <c r="BK32" s="3">
        <f ca="1">IF(Time!BK28&lt;1+$F30,0,OFFSET(BK31,0,-1*($F30)))</f>
        <v>5000</v>
      </c>
      <c r="BL32" s="3">
        <f ca="1">IF(Time!BL28&lt;1+$F30,0,OFFSET(BL31,0,-1*($F30)))</f>
        <v>5000</v>
      </c>
      <c r="BM32" s="3">
        <f ca="1">IF(Time!BM28&lt;1+$F30,0,OFFSET(BM31,0,-1*($F30)))</f>
        <v>5000</v>
      </c>
      <c r="BN32" s="3">
        <f ca="1">IF(Time!BN28&lt;1+$F30,0,OFFSET(BN31,0,-1*($F30)))</f>
        <v>5000</v>
      </c>
      <c r="BO32" s="3">
        <f ca="1">IF(Time!BO28&lt;1+$F30,0,OFFSET(BO31,0,-1*($F30)))</f>
        <v>5000</v>
      </c>
      <c r="BP32" s="3">
        <f ca="1">IF(Time!BP28&lt;1+$F30,0,OFFSET(BP31,0,-1*($F30)))</f>
        <v>5000</v>
      </c>
      <c r="BQ32" s="3">
        <f ca="1">IF(Time!BQ28&lt;1+$F30,0,OFFSET(BQ31,0,-1*($F30)))</f>
        <v>5000</v>
      </c>
    </row>
    <row r="35" spans="1:69">
      <c r="B35" s="22" t="s">
        <v>171</v>
      </c>
    </row>
    <row r="36" spans="1:69" s="64" customFormat="1">
      <c r="A36" s="46"/>
      <c r="B36" s="46"/>
      <c r="C36" s="65"/>
      <c r="D36" s="63"/>
      <c r="E36" s="34" t="str">
        <f>InpC!E$39</f>
        <v>Opening Units on order</v>
      </c>
      <c r="F36" s="34">
        <f>InpC!F$39</f>
        <v>0</v>
      </c>
      <c r="G36" s="34" t="str">
        <f>InpC!G$39</f>
        <v>Units</v>
      </c>
    </row>
    <row r="37" spans="1:69">
      <c r="A37" s="17"/>
      <c r="B37" s="17"/>
      <c r="C37" s="26"/>
      <c r="D37" s="27"/>
      <c r="E37" s="10" t="str">
        <f>Time!E$28</f>
        <v>Period number</v>
      </c>
      <c r="F37" s="10">
        <f>Time!F$28</f>
        <v>0</v>
      </c>
      <c r="G37" s="10" t="str">
        <f>Time!G$28</f>
        <v>Counter</v>
      </c>
      <c r="H37" s="10">
        <f>Time!H$28</f>
        <v>0</v>
      </c>
      <c r="I37" s="10">
        <f>Time!I$28</f>
        <v>0</v>
      </c>
      <c r="J37" s="10">
        <f>Time!J$28</f>
        <v>1</v>
      </c>
      <c r="K37" s="10">
        <f>Time!K$28</f>
        <v>2</v>
      </c>
      <c r="L37" s="10">
        <f>Time!L$28</f>
        <v>3</v>
      </c>
      <c r="M37" s="10">
        <f>Time!M$28</f>
        <v>4</v>
      </c>
      <c r="N37" s="10">
        <f>Time!N$28</f>
        <v>5</v>
      </c>
      <c r="O37" s="10">
        <f>Time!O$28</f>
        <v>6</v>
      </c>
      <c r="P37" s="10">
        <f>Time!P$28</f>
        <v>7</v>
      </c>
      <c r="Q37" s="10">
        <f>Time!Q$28</f>
        <v>8</v>
      </c>
      <c r="R37" s="10">
        <f>Time!R$28</f>
        <v>9</v>
      </c>
      <c r="S37" s="10">
        <f>Time!S$28</f>
        <v>10</v>
      </c>
      <c r="T37" s="10">
        <f>Time!T$28</f>
        <v>11</v>
      </c>
      <c r="U37" s="10">
        <f>Time!U$28</f>
        <v>12</v>
      </c>
      <c r="V37" s="10">
        <f>Time!V$28</f>
        <v>13</v>
      </c>
      <c r="W37" s="10">
        <f>Time!W$28</f>
        <v>14</v>
      </c>
      <c r="X37" s="10">
        <f>Time!X$28</f>
        <v>15</v>
      </c>
      <c r="Y37" s="10">
        <f>Time!Y$28</f>
        <v>16</v>
      </c>
      <c r="Z37" s="10">
        <f>Time!Z$28</f>
        <v>17</v>
      </c>
      <c r="AA37" s="10">
        <f>Time!AA$28</f>
        <v>18</v>
      </c>
      <c r="AB37" s="10">
        <f>Time!AB$28</f>
        <v>19</v>
      </c>
      <c r="AC37" s="10">
        <f>Time!AC$28</f>
        <v>20</v>
      </c>
      <c r="AD37" s="10">
        <f>Time!AD$28</f>
        <v>21</v>
      </c>
      <c r="AE37" s="10">
        <f>Time!AE$28</f>
        <v>22</v>
      </c>
      <c r="AF37" s="10">
        <f>Time!AF$28</f>
        <v>23</v>
      </c>
      <c r="AG37" s="10">
        <f>Time!AG$28</f>
        <v>24</v>
      </c>
      <c r="AH37" s="10">
        <f>Time!AH$28</f>
        <v>25</v>
      </c>
      <c r="AI37" s="10">
        <f>Time!AI$28</f>
        <v>26</v>
      </c>
      <c r="AJ37" s="10">
        <f>Time!AJ$28</f>
        <v>27</v>
      </c>
      <c r="AK37" s="10">
        <f>Time!AK$28</f>
        <v>28</v>
      </c>
      <c r="AL37" s="10">
        <f>Time!AL$28</f>
        <v>29</v>
      </c>
      <c r="AM37" s="10">
        <f>Time!AM$28</f>
        <v>30</v>
      </c>
      <c r="AN37" s="10">
        <f>Time!AN$28</f>
        <v>31</v>
      </c>
      <c r="AO37" s="10">
        <f>Time!AO$28</f>
        <v>32</v>
      </c>
      <c r="AP37" s="10">
        <f>Time!AP$28</f>
        <v>33</v>
      </c>
      <c r="AQ37" s="10">
        <f>Time!AQ$28</f>
        <v>34</v>
      </c>
      <c r="AR37" s="10">
        <f>Time!AR$28</f>
        <v>35</v>
      </c>
      <c r="AS37" s="10">
        <f>Time!AS$28</f>
        <v>36</v>
      </c>
      <c r="AT37" s="10">
        <f>Time!AT$28</f>
        <v>37</v>
      </c>
      <c r="AU37" s="10">
        <f>Time!AU$28</f>
        <v>38</v>
      </c>
      <c r="AV37" s="10">
        <f>Time!AV$28</f>
        <v>39</v>
      </c>
      <c r="AW37" s="10">
        <f>Time!AW$28</f>
        <v>40</v>
      </c>
      <c r="AX37" s="10">
        <f>Time!AX$28</f>
        <v>41</v>
      </c>
      <c r="AY37" s="10">
        <f>Time!AY$28</f>
        <v>42</v>
      </c>
      <c r="AZ37" s="10">
        <f>Time!AZ$28</f>
        <v>43</v>
      </c>
      <c r="BA37" s="10">
        <f>Time!BA$28</f>
        <v>44</v>
      </c>
      <c r="BB37" s="10">
        <f>Time!BB$28</f>
        <v>45</v>
      </c>
      <c r="BC37" s="10">
        <f>Time!BC$28</f>
        <v>46</v>
      </c>
      <c r="BD37" s="10">
        <f>Time!BD$28</f>
        <v>47</v>
      </c>
      <c r="BE37" s="10">
        <f>Time!BE$28</f>
        <v>48</v>
      </c>
      <c r="BF37" s="10">
        <f>Time!BF$28</f>
        <v>49</v>
      </c>
      <c r="BG37" s="10">
        <f>Time!BG$28</f>
        <v>50</v>
      </c>
      <c r="BH37" s="10">
        <f>Time!BH$28</f>
        <v>51</v>
      </c>
      <c r="BI37" s="10">
        <f>Time!BI$28</f>
        <v>52</v>
      </c>
      <c r="BJ37" s="10">
        <f>Time!BJ$28</f>
        <v>53</v>
      </c>
      <c r="BK37" s="10">
        <f>Time!BK$28</f>
        <v>54</v>
      </c>
      <c r="BL37" s="10">
        <f>Time!BL$28</f>
        <v>55</v>
      </c>
      <c r="BM37" s="10">
        <f>Time!BM$28</f>
        <v>56</v>
      </c>
      <c r="BN37" s="10">
        <f>Time!BN$28</f>
        <v>57</v>
      </c>
      <c r="BO37" s="10">
        <f>Time!BO$28</f>
        <v>58</v>
      </c>
      <c r="BP37" s="10">
        <f>Time!BP$28</f>
        <v>59</v>
      </c>
      <c r="BQ37" s="10">
        <f>Time!BQ$28</f>
        <v>60</v>
      </c>
    </row>
    <row r="38" spans="1:69" ht="14.5">
      <c r="E38" s="2" t="s">
        <v>223</v>
      </c>
      <c r="F38"/>
      <c r="G38" s="2" t="s">
        <v>122</v>
      </c>
      <c r="H38"/>
      <c r="I38"/>
      <c r="J38" s="2">
        <f t="shared" ref="J38:AO38" si="8">I41</f>
        <v>0</v>
      </c>
      <c r="K38" s="2">
        <f t="shared" ca="1" si="8"/>
        <v>5000</v>
      </c>
      <c r="L38" s="2">
        <f t="shared" ca="1" si="8"/>
        <v>5000</v>
      </c>
      <c r="M38" s="2">
        <f t="shared" ca="1" si="8"/>
        <v>5000</v>
      </c>
      <c r="N38" s="2">
        <f t="shared" ca="1" si="8"/>
        <v>5000</v>
      </c>
      <c r="O38" s="2">
        <f t="shared" ca="1" si="8"/>
        <v>5000</v>
      </c>
      <c r="P38" s="2">
        <f t="shared" ca="1" si="8"/>
        <v>5000</v>
      </c>
      <c r="Q38" s="2">
        <f t="shared" ca="1" si="8"/>
        <v>5000</v>
      </c>
      <c r="R38" s="2">
        <f t="shared" ca="1" si="8"/>
        <v>5000</v>
      </c>
      <c r="S38" s="2">
        <f t="shared" ca="1" si="8"/>
        <v>5000</v>
      </c>
      <c r="T38" s="2">
        <f t="shared" ca="1" si="8"/>
        <v>5000</v>
      </c>
      <c r="U38" s="2">
        <f t="shared" ca="1" si="8"/>
        <v>5000</v>
      </c>
      <c r="V38" s="2">
        <f t="shared" ca="1" si="8"/>
        <v>5000</v>
      </c>
      <c r="W38" s="2">
        <f t="shared" ca="1" si="8"/>
        <v>5000</v>
      </c>
      <c r="X38" s="2">
        <f t="shared" ca="1" si="8"/>
        <v>5000</v>
      </c>
      <c r="Y38" s="2">
        <f t="shared" ca="1" si="8"/>
        <v>5000</v>
      </c>
      <c r="Z38" s="2">
        <f t="shared" ca="1" si="8"/>
        <v>5000</v>
      </c>
      <c r="AA38" s="2">
        <f t="shared" ca="1" si="8"/>
        <v>10000</v>
      </c>
      <c r="AB38" s="2">
        <f t="shared" ca="1" si="8"/>
        <v>10000</v>
      </c>
      <c r="AC38" s="2">
        <f t="shared" ca="1" si="8"/>
        <v>5000</v>
      </c>
      <c r="AD38" s="2">
        <f t="shared" ca="1" si="8"/>
        <v>5000</v>
      </c>
      <c r="AE38" s="2">
        <f t="shared" ca="1" si="8"/>
        <v>10000</v>
      </c>
      <c r="AF38" s="2">
        <f t="shared" ca="1" si="8"/>
        <v>10000</v>
      </c>
      <c r="AG38" s="2">
        <f t="shared" ca="1" si="8"/>
        <v>5000</v>
      </c>
      <c r="AH38" s="2">
        <f t="shared" ca="1" si="8"/>
        <v>10000</v>
      </c>
      <c r="AI38" s="2">
        <f t="shared" ca="1" si="8"/>
        <v>10000</v>
      </c>
      <c r="AJ38" s="2">
        <f t="shared" ca="1" si="8"/>
        <v>15000</v>
      </c>
      <c r="AK38" s="2">
        <f t="shared" ca="1" si="8"/>
        <v>10000</v>
      </c>
      <c r="AL38" s="2">
        <f t="shared" ca="1" si="8"/>
        <v>10000</v>
      </c>
      <c r="AM38" s="2">
        <f t="shared" ca="1" si="8"/>
        <v>15000</v>
      </c>
      <c r="AN38" s="2">
        <f t="shared" ca="1" si="8"/>
        <v>10000</v>
      </c>
      <c r="AO38" s="2">
        <f t="shared" ca="1" si="8"/>
        <v>10000</v>
      </c>
      <c r="AP38" s="2">
        <f t="shared" ref="AP38:BQ38" ca="1" si="9">AO41</f>
        <v>10000</v>
      </c>
      <c r="AQ38" s="2">
        <f t="shared" ca="1" si="9"/>
        <v>10000</v>
      </c>
      <c r="AR38" s="2">
        <f t="shared" ca="1" si="9"/>
        <v>15000</v>
      </c>
      <c r="AS38" s="2">
        <f t="shared" ca="1" si="9"/>
        <v>10000</v>
      </c>
      <c r="AT38" s="2">
        <f t="shared" ca="1" si="9"/>
        <v>15000</v>
      </c>
      <c r="AU38" s="2">
        <f t="shared" ca="1" si="9"/>
        <v>20000</v>
      </c>
      <c r="AV38" s="2">
        <f t="shared" ca="1" si="9"/>
        <v>15000</v>
      </c>
      <c r="AW38" s="2">
        <f t="shared" ca="1" si="9"/>
        <v>20000</v>
      </c>
      <c r="AX38" s="2">
        <f t="shared" ca="1" si="9"/>
        <v>20000</v>
      </c>
      <c r="AY38" s="2">
        <f t="shared" ca="1" si="9"/>
        <v>20000</v>
      </c>
      <c r="AZ38" s="2">
        <f t="shared" ca="1" si="9"/>
        <v>20000</v>
      </c>
      <c r="BA38" s="2">
        <f t="shared" ca="1" si="9"/>
        <v>20000</v>
      </c>
      <c r="BB38" s="2">
        <f t="shared" ca="1" si="9"/>
        <v>25000</v>
      </c>
      <c r="BC38" s="2">
        <f t="shared" ca="1" si="9"/>
        <v>25000</v>
      </c>
      <c r="BD38" s="2">
        <f t="shared" ca="1" si="9"/>
        <v>25000</v>
      </c>
      <c r="BE38" s="2">
        <f t="shared" ca="1" si="9"/>
        <v>30000</v>
      </c>
      <c r="BF38" s="2">
        <f t="shared" ca="1" si="9"/>
        <v>30000</v>
      </c>
      <c r="BG38" s="2">
        <f t="shared" ca="1" si="9"/>
        <v>30000</v>
      </c>
      <c r="BH38" s="2">
        <f t="shared" ca="1" si="9"/>
        <v>30000</v>
      </c>
      <c r="BI38" s="2">
        <f t="shared" ca="1" si="9"/>
        <v>30000</v>
      </c>
      <c r="BJ38" s="2">
        <f t="shared" ca="1" si="9"/>
        <v>30000</v>
      </c>
      <c r="BK38" s="2">
        <f t="shared" ca="1" si="9"/>
        <v>30000</v>
      </c>
      <c r="BL38" s="2">
        <f t="shared" ca="1" si="9"/>
        <v>30000</v>
      </c>
      <c r="BM38" s="2">
        <f t="shared" ca="1" si="9"/>
        <v>30000</v>
      </c>
      <c r="BN38" s="2">
        <f t="shared" ca="1" si="9"/>
        <v>30000</v>
      </c>
      <c r="BO38" s="2">
        <f t="shared" ca="1" si="9"/>
        <v>30000</v>
      </c>
      <c r="BP38" s="2">
        <f t="shared" ca="1" si="9"/>
        <v>30000</v>
      </c>
      <c r="BQ38" s="2">
        <f t="shared" ca="1" si="9"/>
        <v>30000</v>
      </c>
    </row>
    <row r="39" spans="1:69">
      <c r="D39" s="66" t="s">
        <v>216</v>
      </c>
      <c r="E39" s="2" t="str">
        <f t="shared" ref="E39:AJ39" si="10">E$26</f>
        <v>Units ordered</v>
      </c>
      <c r="F39" s="2">
        <f t="shared" si="10"/>
        <v>0</v>
      </c>
      <c r="G39" s="2" t="str">
        <f t="shared" si="10"/>
        <v>Units</v>
      </c>
      <c r="H39" s="2">
        <f t="shared" ca="1" si="10"/>
        <v>165000</v>
      </c>
      <c r="I39" s="2">
        <f t="shared" si="10"/>
        <v>0</v>
      </c>
      <c r="J39" s="2">
        <f t="shared" ca="1" si="10"/>
        <v>5000</v>
      </c>
      <c r="K39" s="2">
        <f t="shared" ca="1" si="10"/>
        <v>0</v>
      </c>
      <c r="L39" s="2">
        <f t="shared" ca="1" si="10"/>
        <v>0</v>
      </c>
      <c r="M39" s="2">
        <f t="shared" ca="1" si="10"/>
        <v>0</v>
      </c>
      <c r="N39" s="2">
        <f t="shared" ca="1" si="10"/>
        <v>0</v>
      </c>
      <c r="O39" s="2">
        <f t="shared" ca="1" si="10"/>
        <v>0</v>
      </c>
      <c r="P39" s="2">
        <f t="shared" ca="1" si="10"/>
        <v>5000</v>
      </c>
      <c r="Q39" s="2">
        <f t="shared" ca="1" si="10"/>
        <v>0</v>
      </c>
      <c r="R39" s="2">
        <f t="shared" ca="1" si="10"/>
        <v>0</v>
      </c>
      <c r="S39" s="2">
        <f t="shared" ca="1" si="10"/>
        <v>0</v>
      </c>
      <c r="T39" s="2">
        <f t="shared" ca="1" si="10"/>
        <v>0</v>
      </c>
      <c r="U39" s="2">
        <f t="shared" ca="1" si="10"/>
        <v>0</v>
      </c>
      <c r="V39" s="2">
        <f t="shared" ca="1" si="10"/>
        <v>5000</v>
      </c>
      <c r="W39" s="2">
        <f t="shared" ca="1" si="10"/>
        <v>0</v>
      </c>
      <c r="X39" s="2">
        <f t="shared" ca="1" si="10"/>
        <v>0</v>
      </c>
      <c r="Y39" s="2">
        <f t="shared" ca="1" si="10"/>
        <v>0</v>
      </c>
      <c r="Z39" s="2">
        <f t="shared" ca="1" si="10"/>
        <v>5000</v>
      </c>
      <c r="AA39" s="2">
        <f t="shared" ca="1" si="10"/>
        <v>0</v>
      </c>
      <c r="AB39" s="2">
        <f t="shared" ca="1" si="10"/>
        <v>0</v>
      </c>
      <c r="AC39" s="2">
        <f t="shared" ca="1" si="10"/>
        <v>0</v>
      </c>
      <c r="AD39" s="2">
        <f t="shared" ca="1" si="10"/>
        <v>5000</v>
      </c>
      <c r="AE39" s="2">
        <f t="shared" ca="1" si="10"/>
        <v>0</v>
      </c>
      <c r="AF39" s="2">
        <f t="shared" ca="1" si="10"/>
        <v>0</v>
      </c>
      <c r="AG39" s="2">
        <f t="shared" ca="1" si="10"/>
        <v>5000</v>
      </c>
      <c r="AH39" s="2">
        <f t="shared" ca="1" si="10"/>
        <v>0</v>
      </c>
      <c r="AI39" s="2">
        <f t="shared" ca="1" si="10"/>
        <v>5000</v>
      </c>
      <c r="AJ39" s="2">
        <f t="shared" ca="1" si="10"/>
        <v>0</v>
      </c>
      <c r="AK39" s="2">
        <f t="shared" ref="AK39:BQ39" ca="1" si="11">AK$26</f>
        <v>0</v>
      </c>
      <c r="AL39" s="2">
        <f t="shared" ca="1" si="11"/>
        <v>5000</v>
      </c>
      <c r="AM39" s="2">
        <f t="shared" ca="1" si="11"/>
        <v>0</v>
      </c>
      <c r="AN39" s="2">
        <f t="shared" ca="1" si="11"/>
        <v>0</v>
      </c>
      <c r="AO39" s="2">
        <f t="shared" ca="1" si="11"/>
        <v>5000</v>
      </c>
      <c r="AP39" s="2">
        <f t="shared" ca="1" si="11"/>
        <v>0</v>
      </c>
      <c r="AQ39" s="2">
        <f t="shared" ca="1" si="11"/>
        <v>5000</v>
      </c>
      <c r="AR39" s="2">
        <f t="shared" ca="1" si="11"/>
        <v>0</v>
      </c>
      <c r="AS39" s="2">
        <f t="shared" ca="1" si="11"/>
        <v>5000</v>
      </c>
      <c r="AT39" s="2">
        <f t="shared" ca="1" si="11"/>
        <v>5000</v>
      </c>
      <c r="AU39" s="2">
        <f t="shared" ca="1" si="11"/>
        <v>0</v>
      </c>
      <c r="AV39" s="2">
        <f t="shared" ca="1" si="11"/>
        <v>5000</v>
      </c>
      <c r="AW39" s="2">
        <f t="shared" ca="1" si="11"/>
        <v>5000</v>
      </c>
      <c r="AX39" s="2">
        <f t="shared" ca="1" si="11"/>
        <v>0</v>
      </c>
      <c r="AY39" s="2">
        <f t="shared" ca="1" si="11"/>
        <v>5000</v>
      </c>
      <c r="AZ39" s="2">
        <f t="shared" ca="1" si="11"/>
        <v>5000</v>
      </c>
      <c r="BA39" s="2">
        <f t="shared" ca="1" si="11"/>
        <v>5000</v>
      </c>
      <c r="BB39" s="2">
        <f t="shared" ca="1" si="11"/>
        <v>5000</v>
      </c>
      <c r="BC39" s="2">
        <f t="shared" ca="1" si="11"/>
        <v>5000</v>
      </c>
      <c r="BD39" s="2">
        <f t="shared" ca="1" si="11"/>
        <v>5000</v>
      </c>
      <c r="BE39" s="2">
        <f t="shared" ca="1" si="11"/>
        <v>5000</v>
      </c>
      <c r="BF39" s="2">
        <f t="shared" ca="1" si="11"/>
        <v>5000</v>
      </c>
      <c r="BG39" s="2">
        <f t="shared" ca="1" si="11"/>
        <v>5000</v>
      </c>
      <c r="BH39" s="2">
        <f t="shared" ca="1" si="11"/>
        <v>5000</v>
      </c>
      <c r="BI39" s="2">
        <f t="shared" ca="1" si="11"/>
        <v>5000</v>
      </c>
      <c r="BJ39" s="2">
        <f t="shared" ca="1" si="11"/>
        <v>5000</v>
      </c>
      <c r="BK39" s="2">
        <f t="shared" ca="1" si="11"/>
        <v>5000</v>
      </c>
      <c r="BL39" s="2">
        <f t="shared" ca="1" si="11"/>
        <v>5000</v>
      </c>
      <c r="BM39" s="2">
        <f t="shared" ca="1" si="11"/>
        <v>5000</v>
      </c>
      <c r="BN39" s="2">
        <f t="shared" ca="1" si="11"/>
        <v>5000</v>
      </c>
      <c r="BO39" s="2">
        <f t="shared" ca="1" si="11"/>
        <v>5000</v>
      </c>
      <c r="BP39" s="2">
        <f t="shared" ca="1" si="11"/>
        <v>5000</v>
      </c>
      <c r="BQ39" s="2">
        <f t="shared" ca="1" si="11"/>
        <v>5000</v>
      </c>
    </row>
    <row r="40" spans="1:69">
      <c r="D40" s="66" t="s">
        <v>293</v>
      </c>
      <c r="E40" s="2" t="str">
        <f t="shared" ref="E40:AJ40" si="12">E$32</f>
        <v>Units delivered</v>
      </c>
      <c r="F40" s="2">
        <f t="shared" si="12"/>
        <v>0</v>
      </c>
      <c r="G40" s="2" t="str">
        <f t="shared" si="12"/>
        <v>Units</v>
      </c>
      <c r="H40" s="2">
        <f t="shared" ca="1" si="12"/>
        <v>135000</v>
      </c>
      <c r="I40" s="2">
        <f t="shared" si="12"/>
        <v>0</v>
      </c>
      <c r="J40" s="2">
        <f t="shared" ca="1" si="12"/>
        <v>0</v>
      </c>
      <c r="K40" s="2">
        <f t="shared" ca="1" si="12"/>
        <v>0</v>
      </c>
      <c r="L40" s="2">
        <f t="shared" ca="1" si="12"/>
        <v>0</v>
      </c>
      <c r="M40" s="2">
        <f t="shared" ca="1" si="12"/>
        <v>0</v>
      </c>
      <c r="N40" s="2">
        <f t="shared" ca="1" si="12"/>
        <v>0</v>
      </c>
      <c r="O40" s="2">
        <f t="shared" ca="1" si="12"/>
        <v>0</v>
      </c>
      <c r="P40" s="2">
        <f t="shared" ca="1" si="12"/>
        <v>5000</v>
      </c>
      <c r="Q40" s="2">
        <f t="shared" ca="1" si="12"/>
        <v>0</v>
      </c>
      <c r="R40" s="2">
        <f t="shared" ca="1" si="12"/>
        <v>0</v>
      </c>
      <c r="S40" s="2">
        <f t="shared" ca="1" si="12"/>
        <v>0</v>
      </c>
      <c r="T40" s="2">
        <f t="shared" ca="1" si="12"/>
        <v>0</v>
      </c>
      <c r="U40" s="2">
        <f t="shared" ca="1" si="12"/>
        <v>0</v>
      </c>
      <c r="V40" s="2">
        <f t="shared" ca="1" si="12"/>
        <v>5000</v>
      </c>
      <c r="W40" s="2">
        <f t="shared" ca="1" si="12"/>
        <v>0</v>
      </c>
      <c r="X40" s="2">
        <f t="shared" ca="1" si="12"/>
        <v>0</v>
      </c>
      <c r="Y40" s="2">
        <f t="shared" ca="1" si="12"/>
        <v>0</v>
      </c>
      <c r="Z40" s="2">
        <f t="shared" ca="1" si="12"/>
        <v>0</v>
      </c>
      <c r="AA40" s="2">
        <f t="shared" ca="1" si="12"/>
        <v>0</v>
      </c>
      <c r="AB40" s="2">
        <f t="shared" ca="1" si="12"/>
        <v>5000</v>
      </c>
      <c r="AC40" s="2">
        <f t="shared" ca="1" si="12"/>
        <v>0</v>
      </c>
      <c r="AD40" s="2">
        <f t="shared" ca="1" si="12"/>
        <v>0</v>
      </c>
      <c r="AE40" s="2">
        <f t="shared" ca="1" si="12"/>
        <v>0</v>
      </c>
      <c r="AF40" s="2">
        <f t="shared" ca="1" si="12"/>
        <v>5000</v>
      </c>
      <c r="AG40" s="2">
        <f t="shared" ca="1" si="12"/>
        <v>0</v>
      </c>
      <c r="AH40" s="2">
        <f t="shared" ca="1" si="12"/>
        <v>0</v>
      </c>
      <c r="AI40" s="2">
        <f t="shared" ca="1" si="12"/>
        <v>0</v>
      </c>
      <c r="AJ40" s="2">
        <f t="shared" ca="1" si="12"/>
        <v>5000</v>
      </c>
      <c r="AK40" s="2">
        <f t="shared" ref="AK40:BQ40" ca="1" si="13">AK$32</f>
        <v>0</v>
      </c>
      <c r="AL40" s="2">
        <f t="shared" ca="1" si="13"/>
        <v>0</v>
      </c>
      <c r="AM40" s="2">
        <f t="shared" ca="1" si="13"/>
        <v>5000</v>
      </c>
      <c r="AN40" s="2">
        <f t="shared" ca="1" si="13"/>
        <v>0</v>
      </c>
      <c r="AO40" s="2">
        <f t="shared" ca="1" si="13"/>
        <v>5000</v>
      </c>
      <c r="AP40" s="2">
        <f t="shared" ca="1" si="13"/>
        <v>0</v>
      </c>
      <c r="AQ40" s="2">
        <f t="shared" ca="1" si="13"/>
        <v>0</v>
      </c>
      <c r="AR40" s="2">
        <f t="shared" ca="1" si="13"/>
        <v>5000</v>
      </c>
      <c r="AS40" s="2">
        <f t="shared" ca="1" si="13"/>
        <v>0</v>
      </c>
      <c r="AT40" s="2">
        <f t="shared" ca="1" si="13"/>
        <v>0</v>
      </c>
      <c r="AU40" s="2">
        <f t="shared" ca="1" si="13"/>
        <v>5000</v>
      </c>
      <c r="AV40" s="2">
        <f t="shared" ca="1" si="13"/>
        <v>0</v>
      </c>
      <c r="AW40" s="2">
        <f t="shared" ca="1" si="13"/>
        <v>5000</v>
      </c>
      <c r="AX40" s="2">
        <f t="shared" ca="1" si="13"/>
        <v>0</v>
      </c>
      <c r="AY40" s="2">
        <f t="shared" ca="1" si="13"/>
        <v>5000</v>
      </c>
      <c r="AZ40" s="2">
        <f t="shared" ca="1" si="13"/>
        <v>5000</v>
      </c>
      <c r="BA40" s="2">
        <f t="shared" ca="1" si="13"/>
        <v>0</v>
      </c>
      <c r="BB40" s="2">
        <f t="shared" ca="1" si="13"/>
        <v>5000</v>
      </c>
      <c r="BC40" s="2">
        <f t="shared" ca="1" si="13"/>
        <v>5000</v>
      </c>
      <c r="BD40" s="2">
        <f t="shared" ca="1" si="13"/>
        <v>0</v>
      </c>
      <c r="BE40" s="2">
        <f t="shared" ca="1" si="13"/>
        <v>5000</v>
      </c>
      <c r="BF40" s="2">
        <f t="shared" ca="1" si="13"/>
        <v>5000</v>
      </c>
      <c r="BG40" s="2">
        <f t="shared" ca="1" si="13"/>
        <v>5000</v>
      </c>
      <c r="BH40" s="2">
        <f t="shared" ca="1" si="13"/>
        <v>5000</v>
      </c>
      <c r="BI40" s="2">
        <f t="shared" ca="1" si="13"/>
        <v>5000</v>
      </c>
      <c r="BJ40" s="2">
        <f t="shared" ca="1" si="13"/>
        <v>5000</v>
      </c>
      <c r="BK40" s="2">
        <f t="shared" ca="1" si="13"/>
        <v>5000</v>
      </c>
      <c r="BL40" s="2">
        <f t="shared" ca="1" si="13"/>
        <v>5000</v>
      </c>
      <c r="BM40" s="2">
        <f t="shared" ca="1" si="13"/>
        <v>5000</v>
      </c>
      <c r="BN40" s="2">
        <f t="shared" ca="1" si="13"/>
        <v>5000</v>
      </c>
      <c r="BO40" s="2">
        <f t="shared" ca="1" si="13"/>
        <v>5000</v>
      </c>
      <c r="BP40" s="2">
        <f t="shared" ca="1" si="13"/>
        <v>5000</v>
      </c>
      <c r="BQ40" s="2">
        <f t="shared" ca="1" si="13"/>
        <v>5000</v>
      </c>
    </row>
    <row r="41" spans="1:69" s="32" customFormat="1">
      <c r="A41" s="48"/>
      <c r="B41" s="48"/>
      <c r="C41" s="68"/>
      <c r="D41" s="69"/>
      <c r="E41" s="11" t="s">
        <v>171</v>
      </c>
      <c r="F41" s="11"/>
      <c r="G41" s="11" t="s">
        <v>122</v>
      </c>
      <c r="H41" s="11"/>
      <c r="I41" s="11">
        <f t="shared" ref="I41:AN41" si="14">IF(I37=0,$F36,I38+I39-I40)</f>
        <v>0</v>
      </c>
      <c r="J41" s="11">
        <f t="shared" ca="1" si="14"/>
        <v>5000</v>
      </c>
      <c r="K41" s="11">
        <f t="shared" ca="1" si="14"/>
        <v>5000</v>
      </c>
      <c r="L41" s="11">
        <f t="shared" ca="1" si="14"/>
        <v>5000</v>
      </c>
      <c r="M41" s="11">
        <f t="shared" ca="1" si="14"/>
        <v>5000</v>
      </c>
      <c r="N41" s="11">
        <f t="shared" ca="1" si="14"/>
        <v>5000</v>
      </c>
      <c r="O41" s="11">
        <f t="shared" ca="1" si="14"/>
        <v>5000</v>
      </c>
      <c r="P41" s="11">
        <f t="shared" ca="1" si="14"/>
        <v>5000</v>
      </c>
      <c r="Q41" s="11">
        <f t="shared" ca="1" si="14"/>
        <v>5000</v>
      </c>
      <c r="R41" s="11">
        <f t="shared" ca="1" si="14"/>
        <v>5000</v>
      </c>
      <c r="S41" s="11">
        <f t="shared" ca="1" si="14"/>
        <v>5000</v>
      </c>
      <c r="T41" s="11">
        <f t="shared" ca="1" si="14"/>
        <v>5000</v>
      </c>
      <c r="U41" s="11">
        <f t="shared" ca="1" si="14"/>
        <v>5000</v>
      </c>
      <c r="V41" s="11">
        <f t="shared" ca="1" si="14"/>
        <v>5000</v>
      </c>
      <c r="W41" s="11">
        <f t="shared" ca="1" si="14"/>
        <v>5000</v>
      </c>
      <c r="X41" s="11">
        <f t="shared" ca="1" si="14"/>
        <v>5000</v>
      </c>
      <c r="Y41" s="11">
        <f t="shared" ca="1" si="14"/>
        <v>5000</v>
      </c>
      <c r="Z41" s="11">
        <f t="shared" ca="1" si="14"/>
        <v>10000</v>
      </c>
      <c r="AA41" s="11">
        <f t="shared" ca="1" si="14"/>
        <v>10000</v>
      </c>
      <c r="AB41" s="11">
        <f t="shared" ca="1" si="14"/>
        <v>5000</v>
      </c>
      <c r="AC41" s="11">
        <f t="shared" ca="1" si="14"/>
        <v>5000</v>
      </c>
      <c r="AD41" s="11">
        <f t="shared" ca="1" si="14"/>
        <v>10000</v>
      </c>
      <c r="AE41" s="11">
        <f t="shared" ca="1" si="14"/>
        <v>10000</v>
      </c>
      <c r="AF41" s="11">
        <f t="shared" ca="1" si="14"/>
        <v>5000</v>
      </c>
      <c r="AG41" s="11">
        <f t="shared" ca="1" si="14"/>
        <v>10000</v>
      </c>
      <c r="AH41" s="11">
        <f t="shared" ca="1" si="14"/>
        <v>10000</v>
      </c>
      <c r="AI41" s="11">
        <f t="shared" ca="1" si="14"/>
        <v>15000</v>
      </c>
      <c r="AJ41" s="11">
        <f t="shared" ca="1" si="14"/>
        <v>10000</v>
      </c>
      <c r="AK41" s="11">
        <f t="shared" ca="1" si="14"/>
        <v>10000</v>
      </c>
      <c r="AL41" s="11">
        <f t="shared" ca="1" si="14"/>
        <v>15000</v>
      </c>
      <c r="AM41" s="11">
        <f t="shared" ca="1" si="14"/>
        <v>10000</v>
      </c>
      <c r="AN41" s="11">
        <f t="shared" ca="1" si="14"/>
        <v>10000</v>
      </c>
      <c r="AO41" s="11">
        <f t="shared" ref="AO41:BT41" ca="1" si="15">IF(AO37=0,$F36,AO38+AO39-AO40)</f>
        <v>10000</v>
      </c>
      <c r="AP41" s="11">
        <f t="shared" ca="1" si="15"/>
        <v>10000</v>
      </c>
      <c r="AQ41" s="11">
        <f t="shared" ca="1" si="15"/>
        <v>15000</v>
      </c>
      <c r="AR41" s="11">
        <f t="shared" ca="1" si="15"/>
        <v>10000</v>
      </c>
      <c r="AS41" s="11">
        <f t="shared" ca="1" si="15"/>
        <v>15000</v>
      </c>
      <c r="AT41" s="11">
        <f t="shared" ca="1" si="15"/>
        <v>20000</v>
      </c>
      <c r="AU41" s="11">
        <f t="shared" ca="1" si="15"/>
        <v>15000</v>
      </c>
      <c r="AV41" s="11">
        <f t="shared" ca="1" si="15"/>
        <v>20000</v>
      </c>
      <c r="AW41" s="11">
        <f t="shared" ca="1" si="15"/>
        <v>20000</v>
      </c>
      <c r="AX41" s="11">
        <f t="shared" ca="1" si="15"/>
        <v>20000</v>
      </c>
      <c r="AY41" s="11">
        <f t="shared" ca="1" si="15"/>
        <v>20000</v>
      </c>
      <c r="AZ41" s="11">
        <f t="shared" ca="1" si="15"/>
        <v>20000</v>
      </c>
      <c r="BA41" s="11">
        <f t="shared" ca="1" si="15"/>
        <v>25000</v>
      </c>
      <c r="BB41" s="11">
        <f t="shared" ca="1" si="15"/>
        <v>25000</v>
      </c>
      <c r="BC41" s="11">
        <f t="shared" ca="1" si="15"/>
        <v>25000</v>
      </c>
      <c r="BD41" s="11">
        <f t="shared" ca="1" si="15"/>
        <v>30000</v>
      </c>
      <c r="BE41" s="11">
        <f t="shared" ca="1" si="15"/>
        <v>30000</v>
      </c>
      <c r="BF41" s="11">
        <f t="shared" ca="1" si="15"/>
        <v>30000</v>
      </c>
      <c r="BG41" s="11">
        <f t="shared" ca="1" si="15"/>
        <v>30000</v>
      </c>
      <c r="BH41" s="11">
        <f t="shared" ca="1" si="15"/>
        <v>30000</v>
      </c>
      <c r="BI41" s="11">
        <f t="shared" ca="1" si="15"/>
        <v>30000</v>
      </c>
      <c r="BJ41" s="11">
        <f t="shared" ca="1" si="15"/>
        <v>30000</v>
      </c>
      <c r="BK41" s="11">
        <f t="shared" ca="1" si="15"/>
        <v>30000</v>
      </c>
      <c r="BL41" s="11">
        <f t="shared" ca="1" si="15"/>
        <v>30000</v>
      </c>
      <c r="BM41" s="11">
        <f t="shared" ca="1" si="15"/>
        <v>30000</v>
      </c>
      <c r="BN41" s="11">
        <f t="shared" ca="1" si="15"/>
        <v>30000</v>
      </c>
      <c r="BO41" s="11">
        <f t="shared" ca="1" si="15"/>
        <v>30000</v>
      </c>
      <c r="BP41" s="11">
        <f t="shared" ca="1" si="15"/>
        <v>30000</v>
      </c>
      <c r="BQ41" s="11">
        <f t="shared" ca="1" si="15"/>
        <v>30000</v>
      </c>
    </row>
    <row r="43" spans="1:69">
      <c r="B43" s="22" t="s">
        <v>240</v>
      </c>
    </row>
    <row r="44" spans="1:69">
      <c r="A44" s="17"/>
      <c r="B44" s="17"/>
      <c r="C44" s="26"/>
      <c r="D44" s="27"/>
      <c r="E44" s="4" t="str">
        <f>Customers!E$26</f>
        <v>Customer orders fullfilled</v>
      </c>
      <c r="F44" s="4">
        <f>Customers!F$26</f>
        <v>0</v>
      </c>
      <c r="G44" s="4" t="str">
        <f>Customers!G$26</f>
        <v>Units</v>
      </c>
      <c r="H44" s="4">
        <f ca="1">Customers!H$26</f>
        <v>253879.33897738747</v>
      </c>
      <c r="I44" s="4">
        <f>Customers!I$26</f>
        <v>0</v>
      </c>
      <c r="J44" s="4">
        <f>Customers!J$26</f>
        <v>0</v>
      </c>
      <c r="K44" s="4">
        <f ca="1">Customers!K$26</f>
        <v>0</v>
      </c>
      <c r="L44" s="4">
        <f ca="1">Customers!L$26</f>
        <v>0</v>
      </c>
      <c r="M44" s="4">
        <f ca="1">Customers!M$26</f>
        <v>0</v>
      </c>
      <c r="N44" s="4">
        <f ca="1">Customers!N$26</f>
        <v>0</v>
      </c>
      <c r="O44" s="4">
        <f ca="1">Customers!O$26</f>
        <v>0</v>
      </c>
      <c r="P44" s="4">
        <f ca="1">Customers!P$26</f>
        <v>0</v>
      </c>
      <c r="Q44" s="4">
        <f ca="1">Customers!Q$26</f>
        <v>4196.4427041678455</v>
      </c>
      <c r="R44" s="4">
        <f ca="1">Customers!R$26</f>
        <v>750.69634809527088</v>
      </c>
      <c r="S44" s="4">
        <f ca="1">Customers!S$26</f>
        <v>52.860947736883645</v>
      </c>
      <c r="T44" s="4">
        <f ca="1">Customers!T$26</f>
        <v>0</v>
      </c>
      <c r="U44" s="4">
        <f ca="1">Customers!U$26</f>
        <v>0</v>
      </c>
      <c r="V44" s="4">
        <f ca="1">Customers!V$26</f>
        <v>0</v>
      </c>
      <c r="W44" s="4">
        <f ca="1">Customers!W$26</f>
        <v>4423.5199996978354</v>
      </c>
      <c r="X44" s="4">
        <f ca="1">Customers!X$26</f>
        <v>576.48000030216463</v>
      </c>
      <c r="Y44" s="4">
        <f ca="1">Customers!Y$26</f>
        <v>0</v>
      </c>
      <c r="Z44" s="4">
        <f ca="1">Customers!Z$26</f>
        <v>0</v>
      </c>
      <c r="AA44" s="4">
        <f ca="1">Customers!AA$26</f>
        <v>0</v>
      </c>
      <c r="AB44" s="4">
        <f ca="1">Customers!AB$26</f>
        <v>0</v>
      </c>
      <c r="AC44" s="4">
        <f ca="1">Customers!AC$26</f>
        <v>5000</v>
      </c>
      <c r="AD44" s="4">
        <f ca="1">Customers!AD$26</f>
        <v>0</v>
      </c>
      <c r="AE44" s="4">
        <f ca="1">Customers!AE$26</f>
        <v>0</v>
      </c>
      <c r="AF44" s="4">
        <f ca="1">Customers!AF$26</f>
        <v>0</v>
      </c>
      <c r="AG44" s="4">
        <f ca="1">Customers!AG$26</f>
        <v>5000</v>
      </c>
      <c r="AH44" s="4">
        <f ca="1">Customers!AH$26</f>
        <v>0</v>
      </c>
      <c r="AI44" s="4">
        <f ca="1">Customers!AI$26</f>
        <v>1000</v>
      </c>
      <c r="AJ44" s="4">
        <f ca="1">Customers!AJ$26</f>
        <v>1060.637385528132</v>
      </c>
      <c r="AK44" s="4">
        <f ca="1">Customers!AK$26</f>
        <v>6122.817370018367</v>
      </c>
      <c r="AL44" s="4">
        <f ca="1">Customers!AL$26</f>
        <v>1190.9020797618532</v>
      </c>
      <c r="AM44" s="4">
        <f ca="1">Customers!AM$26</f>
        <v>1263.1152682986267</v>
      </c>
      <c r="AN44" s="4">
        <f ca="1">Customers!AN$26</f>
        <v>6337.1655411476058</v>
      </c>
      <c r="AO44" s="4">
        <f ca="1">Customers!AO$26</f>
        <v>1418.2477635811072</v>
      </c>
      <c r="AP44" s="4">
        <f ca="1">Customers!AP$26</f>
        <v>6501.3926961905418</v>
      </c>
      <c r="AQ44" s="4">
        <f ca="1">Customers!AQ$26</f>
        <v>1592.4332239385687</v>
      </c>
      <c r="AR44" s="4">
        <f ca="1">Customers!AR$26</f>
        <v>1688.9942112663377</v>
      </c>
      <c r="AS44" s="4">
        <f ca="1">Customers!AS$26</f>
        <v>6781.7974362806781</v>
      </c>
      <c r="AT44" s="4">
        <f ca="1">Customers!AT$26</f>
        <v>1889.5370233838521</v>
      </c>
      <c r="AU44" s="4">
        <f ca="1">Customers!AU$26</f>
        <v>2000</v>
      </c>
      <c r="AV44" s="4">
        <f ca="1">Customers!AV$26</f>
        <v>7123.1161664062074</v>
      </c>
      <c r="AW44" s="4">
        <f ca="1">Customers!AW$26</f>
        <v>2247.4089271664079</v>
      </c>
      <c r="AX44" s="4">
        <f ca="1">Customers!AX$26</f>
        <v>7383.4939697312529</v>
      </c>
      <c r="AY44" s="4">
        <f ca="1">Customers!AY$26</f>
        <v>2527.8192299912498</v>
      </c>
      <c r="AZ44" s="4">
        <f ca="1">Customers!AZ$26</f>
        <v>7675.8043641867862</v>
      </c>
      <c r="BA44" s="4">
        <f ca="1">Customers!BA$26</f>
        <v>7837.8295952846602</v>
      </c>
      <c r="BB44" s="4">
        <f ca="1">Customers!BB$26</f>
        <v>3003.9635452521661</v>
      </c>
      <c r="BC44" s="4">
        <f ca="1">Customers!BC$26</f>
        <v>8187.5439973292669</v>
      </c>
      <c r="BD44" s="4">
        <f ca="1">Customers!BD$26</f>
        <v>8380.6467402188136</v>
      </c>
      <c r="BE44" s="4">
        <f ca="1">Customers!BE$26</f>
        <v>3565.0976806730232</v>
      </c>
      <c r="BF44" s="4">
        <f ca="1">Customers!BF$26</f>
        <v>8781.0727829410807</v>
      </c>
      <c r="BG44" s="4">
        <f ca="1">Customers!BG$26</f>
        <v>9902.530534348698</v>
      </c>
      <c r="BH44" s="4">
        <f ca="1">Customers!BH$26</f>
        <v>10199.579148047453</v>
      </c>
      <c r="BI44" s="4">
        <f ca="1">Customers!BI$26</f>
        <v>10504.171463878069</v>
      </c>
      <c r="BJ44" s="4">
        <f ca="1">Customers!BJ$26</f>
        <v>10837.674032766308</v>
      </c>
      <c r="BK44" s="4">
        <f ca="1">Customers!BK$26</f>
        <v>11191.383817022494</v>
      </c>
      <c r="BL44" s="4">
        <f ca="1">Customers!BL$26</f>
        <v>11554.076243400472</v>
      </c>
      <c r="BM44" s="4">
        <f ca="1">Customers!BM$26</f>
        <v>11951.193471182105</v>
      </c>
      <c r="BN44" s="4">
        <f ca="1">Customers!BN$26</f>
        <v>12358.395695808518</v>
      </c>
      <c r="BO44" s="4">
        <f ca="1">Customers!BO$26</f>
        <v>12806.939616088344</v>
      </c>
      <c r="BP44" s="4">
        <f ca="1">Customers!BP$26</f>
        <v>13280.059629556923</v>
      </c>
      <c r="BQ44" s="4">
        <f ca="1">Customers!BQ$26</f>
        <v>13732.498326711473</v>
      </c>
    </row>
    <row r="45" spans="1:69">
      <c r="A45" s="31"/>
      <c r="B45" s="31"/>
      <c r="C45" s="51"/>
      <c r="D45" s="50"/>
      <c r="E45" s="3" t="s">
        <v>240</v>
      </c>
      <c r="F45" s="3"/>
      <c r="G45" s="3" t="s">
        <v>122</v>
      </c>
      <c r="H45" s="3">
        <f ca="1">SUM(J45:BQ45)</f>
        <v>253879.33897738747</v>
      </c>
      <c r="I45" s="3"/>
      <c r="J45" s="3">
        <f t="shared" ref="J45:AO45" si="16">J44</f>
        <v>0</v>
      </c>
      <c r="K45" s="3">
        <f t="shared" ca="1" si="16"/>
        <v>0</v>
      </c>
      <c r="L45" s="3">
        <f t="shared" ca="1" si="16"/>
        <v>0</v>
      </c>
      <c r="M45" s="3">
        <f t="shared" ca="1" si="16"/>
        <v>0</v>
      </c>
      <c r="N45" s="3">
        <f t="shared" ca="1" si="16"/>
        <v>0</v>
      </c>
      <c r="O45" s="3">
        <f t="shared" ca="1" si="16"/>
        <v>0</v>
      </c>
      <c r="P45" s="3">
        <f t="shared" ca="1" si="16"/>
        <v>0</v>
      </c>
      <c r="Q45" s="3">
        <f t="shared" ca="1" si="16"/>
        <v>4196.4427041678455</v>
      </c>
      <c r="R45" s="3">
        <f t="shared" ca="1" si="16"/>
        <v>750.69634809527088</v>
      </c>
      <c r="S45" s="3">
        <f t="shared" ca="1" si="16"/>
        <v>52.860947736883645</v>
      </c>
      <c r="T45" s="3">
        <f t="shared" ca="1" si="16"/>
        <v>0</v>
      </c>
      <c r="U45" s="3">
        <f t="shared" ca="1" si="16"/>
        <v>0</v>
      </c>
      <c r="V45" s="3">
        <f t="shared" ca="1" si="16"/>
        <v>0</v>
      </c>
      <c r="W45" s="3">
        <f t="shared" ca="1" si="16"/>
        <v>4423.5199996978354</v>
      </c>
      <c r="X45" s="3">
        <f t="shared" ca="1" si="16"/>
        <v>576.48000030216463</v>
      </c>
      <c r="Y45" s="3">
        <f t="shared" ca="1" si="16"/>
        <v>0</v>
      </c>
      <c r="Z45" s="3">
        <f t="shared" ca="1" si="16"/>
        <v>0</v>
      </c>
      <c r="AA45" s="3">
        <f t="shared" ca="1" si="16"/>
        <v>0</v>
      </c>
      <c r="AB45" s="3">
        <f t="shared" ca="1" si="16"/>
        <v>0</v>
      </c>
      <c r="AC45" s="3">
        <f t="shared" ca="1" si="16"/>
        <v>5000</v>
      </c>
      <c r="AD45" s="3">
        <f t="shared" ca="1" si="16"/>
        <v>0</v>
      </c>
      <c r="AE45" s="3">
        <f t="shared" ca="1" si="16"/>
        <v>0</v>
      </c>
      <c r="AF45" s="3">
        <f t="shared" ca="1" si="16"/>
        <v>0</v>
      </c>
      <c r="AG45" s="3">
        <f t="shared" ca="1" si="16"/>
        <v>5000</v>
      </c>
      <c r="AH45" s="3">
        <f t="shared" ca="1" si="16"/>
        <v>0</v>
      </c>
      <c r="AI45" s="3">
        <f t="shared" ca="1" si="16"/>
        <v>1000</v>
      </c>
      <c r="AJ45" s="3">
        <f t="shared" ca="1" si="16"/>
        <v>1060.637385528132</v>
      </c>
      <c r="AK45" s="3">
        <f t="shared" ca="1" si="16"/>
        <v>6122.817370018367</v>
      </c>
      <c r="AL45" s="3">
        <f t="shared" ca="1" si="16"/>
        <v>1190.9020797618532</v>
      </c>
      <c r="AM45" s="3">
        <f t="shared" ca="1" si="16"/>
        <v>1263.1152682986267</v>
      </c>
      <c r="AN45" s="3">
        <f t="shared" ca="1" si="16"/>
        <v>6337.1655411476058</v>
      </c>
      <c r="AO45" s="3">
        <f t="shared" ca="1" si="16"/>
        <v>1418.2477635811072</v>
      </c>
      <c r="AP45" s="3">
        <f t="shared" ref="AP45:BU45" ca="1" si="17">AP44</f>
        <v>6501.3926961905418</v>
      </c>
      <c r="AQ45" s="3">
        <f t="shared" ca="1" si="17"/>
        <v>1592.4332239385687</v>
      </c>
      <c r="AR45" s="3">
        <f t="shared" ca="1" si="17"/>
        <v>1688.9942112663377</v>
      </c>
      <c r="AS45" s="3">
        <f t="shared" ca="1" si="17"/>
        <v>6781.7974362806781</v>
      </c>
      <c r="AT45" s="3">
        <f t="shared" ca="1" si="17"/>
        <v>1889.5370233838521</v>
      </c>
      <c r="AU45" s="3">
        <f t="shared" ca="1" si="17"/>
        <v>2000</v>
      </c>
      <c r="AV45" s="3">
        <f t="shared" ca="1" si="17"/>
        <v>7123.1161664062074</v>
      </c>
      <c r="AW45" s="3">
        <f t="shared" ca="1" si="17"/>
        <v>2247.4089271664079</v>
      </c>
      <c r="AX45" s="3">
        <f t="shared" ca="1" si="17"/>
        <v>7383.4939697312529</v>
      </c>
      <c r="AY45" s="3">
        <f t="shared" ca="1" si="17"/>
        <v>2527.8192299912498</v>
      </c>
      <c r="AZ45" s="3">
        <f t="shared" ca="1" si="17"/>
        <v>7675.8043641867862</v>
      </c>
      <c r="BA45" s="3">
        <f t="shared" ca="1" si="17"/>
        <v>7837.8295952846602</v>
      </c>
      <c r="BB45" s="3">
        <f t="shared" ca="1" si="17"/>
        <v>3003.9635452521661</v>
      </c>
      <c r="BC45" s="3">
        <f t="shared" ca="1" si="17"/>
        <v>8187.5439973292669</v>
      </c>
      <c r="BD45" s="3">
        <f t="shared" ca="1" si="17"/>
        <v>8380.6467402188136</v>
      </c>
      <c r="BE45" s="3">
        <f t="shared" ca="1" si="17"/>
        <v>3565.0976806730232</v>
      </c>
      <c r="BF45" s="3">
        <f t="shared" ca="1" si="17"/>
        <v>8781.0727829410807</v>
      </c>
      <c r="BG45" s="3">
        <f t="shared" ca="1" si="17"/>
        <v>9902.530534348698</v>
      </c>
      <c r="BH45" s="3">
        <f t="shared" ca="1" si="17"/>
        <v>10199.579148047453</v>
      </c>
      <c r="BI45" s="3">
        <f t="shared" ca="1" si="17"/>
        <v>10504.171463878069</v>
      </c>
      <c r="BJ45" s="3">
        <f t="shared" ca="1" si="17"/>
        <v>10837.674032766308</v>
      </c>
      <c r="BK45" s="3">
        <f t="shared" ca="1" si="17"/>
        <v>11191.383817022494</v>
      </c>
      <c r="BL45" s="3">
        <f t="shared" ca="1" si="17"/>
        <v>11554.076243400472</v>
      </c>
      <c r="BM45" s="3">
        <f t="shared" ca="1" si="17"/>
        <v>11951.193471182105</v>
      </c>
      <c r="BN45" s="3">
        <f t="shared" ca="1" si="17"/>
        <v>12358.395695808518</v>
      </c>
      <c r="BO45" s="3">
        <f t="shared" ca="1" si="17"/>
        <v>12806.939616088344</v>
      </c>
      <c r="BP45" s="3">
        <f t="shared" ca="1" si="17"/>
        <v>13280.059629556923</v>
      </c>
      <c r="BQ45" s="3">
        <f t="shared" ca="1" si="17"/>
        <v>13732.498326711473</v>
      </c>
    </row>
    <row r="48" spans="1:69">
      <c r="B48" s="22" t="s">
        <v>130</v>
      </c>
    </row>
    <row r="49" spans="1:69" s="64" customFormat="1">
      <c r="A49" s="46"/>
      <c r="B49" s="46"/>
      <c r="C49" s="65"/>
      <c r="D49" s="63"/>
      <c r="E49" s="34" t="str">
        <f>InpC!E$40</f>
        <v>Opening Units in stock</v>
      </c>
      <c r="F49" s="34">
        <f>InpC!F$40</f>
        <v>0</v>
      </c>
      <c r="G49" s="34" t="str">
        <f>InpC!G$40</f>
        <v>Units</v>
      </c>
    </row>
    <row r="50" spans="1:69">
      <c r="A50" s="17"/>
      <c r="B50" s="17"/>
      <c r="C50" s="26"/>
      <c r="D50" s="27"/>
      <c r="E50" s="10" t="str">
        <f>Time!E$28</f>
        <v>Period number</v>
      </c>
      <c r="F50" s="10">
        <f>Time!F$28</f>
        <v>0</v>
      </c>
      <c r="G50" s="10" t="str">
        <f>Time!G$28</f>
        <v>Counter</v>
      </c>
      <c r="H50" s="10">
        <f>Time!H$28</f>
        <v>0</v>
      </c>
      <c r="I50" s="10">
        <f>Time!I$28</f>
        <v>0</v>
      </c>
      <c r="J50" s="10">
        <f>Time!J$28</f>
        <v>1</v>
      </c>
      <c r="K50" s="10">
        <f>Time!K$28</f>
        <v>2</v>
      </c>
      <c r="L50" s="10">
        <f>Time!L$28</f>
        <v>3</v>
      </c>
      <c r="M50" s="10">
        <f>Time!M$28</f>
        <v>4</v>
      </c>
      <c r="N50" s="10">
        <f>Time!N$28</f>
        <v>5</v>
      </c>
      <c r="O50" s="10">
        <f>Time!O$28</f>
        <v>6</v>
      </c>
      <c r="P50" s="10">
        <f>Time!P$28</f>
        <v>7</v>
      </c>
      <c r="Q50" s="10">
        <f>Time!Q$28</f>
        <v>8</v>
      </c>
      <c r="R50" s="10">
        <f>Time!R$28</f>
        <v>9</v>
      </c>
      <c r="S50" s="10">
        <f>Time!S$28</f>
        <v>10</v>
      </c>
      <c r="T50" s="10">
        <f>Time!T$28</f>
        <v>11</v>
      </c>
      <c r="U50" s="10">
        <f>Time!U$28</f>
        <v>12</v>
      </c>
      <c r="V50" s="10">
        <f>Time!V$28</f>
        <v>13</v>
      </c>
      <c r="W50" s="10">
        <f>Time!W$28</f>
        <v>14</v>
      </c>
      <c r="X50" s="10">
        <f>Time!X$28</f>
        <v>15</v>
      </c>
      <c r="Y50" s="10">
        <f>Time!Y$28</f>
        <v>16</v>
      </c>
      <c r="Z50" s="10">
        <f>Time!Z$28</f>
        <v>17</v>
      </c>
      <c r="AA50" s="10">
        <f>Time!AA$28</f>
        <v>18</v>
      </c>
      <c r="AB50" s="10">
        <f>Time!AB$28</f>
        <v>19</v>
      </c>
      <c r="AC50" s="10">
        <f>Time!AC$28</f>
        <v>20</v>
      </c>
      <c r="AD50" s="10">
        <f>Time!AD$28</f>
        <v>21</v>
      </c>
      <c r="AE50" s="10">
        <f>Time!AE$28</f>
        <v>22</v>
      </c>
      <c r="AF50" s="10">
        <f>Time!AF$28</f>
        <v>23</v>
      </c>
      <c r="AG50" s="10">
        <f>Time!AG$28</f>
        <v>24</v>
      </c>
      <c r="AH50" s="10">
        <f>Time!AH$28</f>
        <v>25</v>
      </c>
      <c r="AI50" s="10">
        <f>Time!AI$28</f>
        <v>26</v>
      </c>
      <c r="AJ50" s="10">
        <f>Time!AJ$28</f>
        <v>27</v>
      </c>
      <c r="AK50" s="10">
        <f>Time!AK$28</f>
        <v>28</v>
      </c>
      <c r="AL50" s="10">
        <f>Time!AL$28</f>
        <v>29</v>
      </c>
      <c r="AM50" s="10">
        <f>Time!AM$28</f>
        <v>30</v>
      </c>
      <c r="AN50" s="10">
        <f>Time!AN$28</f>
        <v>31</v>
      </c>
      <c r="AO50" s="10">
        <f>Time!AO$28</f>
        <v>32</v>
      </c>
      <c r="AP50" s="10">
        <f>Time!AP$28</f>
        <v>33</v>
      </c>
      <c r="AQ50" s="10">
        <f>Time!AQ$28</f>
        <v>34</v>
      </c>
      <c r="AR50" s="10">
        <f>Time!AR$28</f>
        <v>35</v>
      </c>
      <c r="AS50" s="10">
        <f>Time!AS$28</f>
        <v>36</v>
      </c>
      <c r="AT50" s="10">
        <f>Time!AT$28</f>
        <v>37</v>
      </c>
      <c r="AU50" s="10">
        <f>Time!AU$28</f>
        <v>38</v>
      </c>
      <c r="AV50" s="10">
        <f>Time!AV$28</f>
        <v>39</v>
      </c>
      <c r="AW50" s="10">
        <f>Time!AW$28</f>
        <v>40</v>
      </c>
      <c r="AX50" s="10">
        <f>Time!AX$28</f>
        <v>41</v>
      </c>
      <c r="AY50" s="10">
        <f>Time!AY$28</f>
        <v>42</v>
      </c>
      <c r="AZ50" s="10">
        <f>Time!AZ$28</f>
        <v>43</v>
      </c>
      <c r="BA50" s="10">
        <f>Time!BA$28</f>
        <v>44</v>
      </c>
      <c r="BB50" s="10">
        <f>Time!BB$28</f>
        <v>45</v>
      </c>
      <c r="BC50" s="10">
        <f>Time!BC$28</f>
        <v>46</v>
      </c>
      <c r="BD50" s="10">
        <f>Time!BD$28</f>
        <v>47</v>
      </c>
      <c r="BE50" s="10">
        <f>Time!BE$28</f>
        <v>48</v>
      </c>
      <c r="BF50" s="10">
        <f>Time!BF$28</f>
        <v>49</v>
      </c>
      <c r="BG50" s="10">
        <f>Time!BG$28</f>
        <v>50</v>
      </c>
      <c r="BH50" s="10">
        <f>Time!BH$28</f>
        <v>51</v>
      </c>
      <c r="BI50" s="10">
        <f>Time!BI$28</f>
        <v>52</v>
      </c>
      <c r="BJ50" s="10">
        <f>Time!BJ$28</f>
        <v>53</v>
      </c>
      <c r="BK50" s="10">
        <f>Time!BK$28</f>
        <v>54</v>
      </c>
      <c r="BL50" s="10">
        <f>Time!BL$28</f>
        <v>55</v>
      </c>
      <c r="BM50" s="10">
        <f>Time!BM$28</f>
        <v>56</v>
      </c>
      <c r="BN50" s="10">
        <f>Time!BN$28</f>
        <v>57</v>
      </c>
      <c r="BO50" s="10">
        <f>Time!BO$28</f>
        <v>58</v>
      </c>
      <c r="BP50" s="10">
        <f>Time!BP$28</f>
        <v>59</v>
      </c>
      <c r="BQ50" s="10">
        <f>Time!BQ$28</f>
        <v>60</v>
      </c>
    </row>
    <row r="51" spans="1:69">
      <c r="A51" s="31"/>
      <c r="B51" s="31"/>
      <c r="C51" s="51"/>
      <c r="D51" s="50"/>
      <c r="E51" s="3" t="s">
        <v>138</v>
      </c>
      <c r="F51" s="3"/>
      <c r="G51" s="3" t="s">
        <v>122</v>
      </c>
      <c r="H51" s="3"/>
      <c r="I51" s="3"/>
      <c r="J51" s="3">
        <f t="shared" ref="J51:AO51" si="18">I56</f>
        <v>0</v>
      </c>
      <c r="K51" s="3">
        <f t="shared" ca="1" si="18"/>
        <v>0</v>
      </c>
      <c r="L51" s="3">
        <f t="shared" ca="1" si="18"/>
        <v>0</v>
      </c>
      <c r="M51" s="3">
        <f t="shared" ca="1" si="18"/>
        <v>0</v>
      </c>
      <c r="N51" s="3">
        <f t="shared" ca="1" si="18"/>
        <v>0</v>
      </c>
      <c r="O51" s="3">
        <f t="shared" ca="1" si="18"/>
        <v>0</v>
      </c>
      <c r="P51" s="3">
        <f t="shared" ca="1" si="18"/>
        <v>0</v>
      </c>
      <c r="Q51" s="3">
        <f t="shared" ca="1" si="18"/>
        <v>5000</v>
      </c>
      <c r="R51" s="3">
        <f t="shared" ca="1" si="18"/>
        <v>803.55729583215452</v>
      </c>
      <c r="S51" s="3">
        <f t="shared" ca="1" si="18"/>
        <v>52.860947736883645</v>
      </c>
      <c r="T51" s="3">
        <f t="shared" ca="1" si="18"/>
        <v>0</v>
      </c>
      <c r="U51" s="3">
        <f t="shared" ca="1" si="18"/>
        <v>0</v>
      </c>
      <c r="V51" s="3">
        <f t="shared" ca="1" si="18"/>
        <v>0</v>
      </c>
      <c r="W51" s="3">
        <f t="shared" ca="1" si="18"/>
        <v>5000</v>
      </c>
      <c r="X51" s="3">
        <f t="shared" ca="1" si="18"/>
        <v>576.48000030216463</v>
      </c>
      <c r="Y51" s="3">
        <f t="shared" ca="1" si="18"/>
        <v>0</v>
      </c>
      <c r="Z51" s="3">
        <f t="shared" ca="1" si="18"/>
        <v>0</v>
      </c>
      <c r="AA51" s="3">
        <f t="shared" ca="1" si="18"/>
        <v>0</v>
      </c>
      <c r="AB51" s="3">
        <f t="shared" ca="1" si="18"/>
        <v>0</v>
      </c>
      <c r="AC51" s="3">
        <f t="shared" ca="1" si="18"/>
        <v>5000</v>
      </c>
      <c r="AD51" s="3">
        <f t="shared" ca="1" si="18"/>
        <v>0</v>
      </c>
      <c r="AE51" s="3">
        <f t="shared" ca="1" si="18"/>
        <v>0</v>
      </c>
      <c r="AF51" s="3">
        <f t="shared" ca="1" si="18"/>
        <v>0</v>
      </c>
      <c r="AG51" s="3">
        <f t="shared" ca="1" si="18"/>
        <v>5000</v>
      </c>
      <c r="AH51" s="3">
        <f t="shared" ca="1" si="18"/>
        <v>0</v>
      </c>
      <c r="AI51" s="3">
        <f t="shared" ca="1" si="18"/>
        <v>1000</v>
      </c>
      <c r="AJ51" s="3">
        <f t="shared" ca="1" si="18"/>
        <v>1060.637385528132</v>
      </c>
      <c r="AK51" s="3">
        <f t="shared" ca="1" si="18"/>
        <v>6122.817370018367</v>
      </c>
      <c r="AL51" s="3">
        <f t="shared" ca="1" si="18"/>
        <v>1190.9020797618532</v>
      </c>
      <c r="AM51" s="3">
        <f t="shared" ca="1" si="18"/>
        <v>1263.1152682986267</v>
      </c>
      <c r="AN51" s="3">
        <f t="shared" ca="1" si="18"/>
        <v>6337.1655411476058</v>
      </c>
      <c r="AO51" s="3">
        <f t="shared" ca="1" si="18"/>
        <v>1418.2477635811072</v>
      </c>
      <c r="AP51" s="3">
        <f t="shared" ref="AP51:BQ51" ca="1" si="19">AO56</f>
        <v>6501.3926961905418</v>
      </c>
      <c r="AQ51" s="3">
        <f t="shared" ca="1" si="19"/>
        <v>1592.4332239385687</v>
      </c>
      <c r="AR51" s="3">
        <f t="shared" ca="1" si="19"/>
        <v>1688.9942112663377</v>
      </c>
      <c r="AS51" s="3">
        <f t="shared" ca="1" si="19"/>
        <v>6781.7974362806781</v>
      </c>
      <c r="AT51" s="3">
        <f t="shared" ca="1" si="19"/>
        <v>1889.5370233838521</v>
      </c>
      <c r="AU51" s="3">
        <f t="shared" ca="1" si="19"/>
        <v>2000</v>
      </c>
      <c r="AV51" s="3">
        <f t="shared" ca="1" si="19"/>
        <v>7123.1161664062074</v>
      </c>
      <c r="AW51" s="3">
        <f t="shared" ca="1" si="19"/>
        <v>2247.4089271664079</v>
      </c>
      <c r="AX51" s="3">
        <f t="shared" ca="1" si="19"/>
        <v>7383.4939697312529</v>
      </c>
      <c r="AY51" s="3">
        <f t="shared" ca="1" si="19"/>
        <v>2527.8192299912498</v>
      </c>
      <c r="AZ51" s="3">
        <f t="shared" ca="1" si="19"/>
        <v>7675.8043641867862</v>
      </c>
      <c r="BA51" s="3">
        <f t="shared" ca="1" si="19"/>
        <v>7837.8295952846602</v>
      </c>
      <c r="BB51" s="3">
        <f t="shared" ca="1" si="19"/>
        <v>3003.9635452521661</v>
      </c>
      <c r="BC51" s="3">
        <f t="shared" ca="1" si="19"/>
        <v>8187.5439973292669</v>
      </c>
      <c r="BD51" s="3">
        <f t="shared" ca="1" si="19"/>
        <v>8380.6467402188136</v>
      </c>
      <c r="BE51" s="3">
        <f t="shared" ca="1" si="19"/>
        <v>3565.0976806730232</v>
      </c>
      <c r="BF51" s="3">
        <f t="shared" ca="1" si="19"/>
        <v>8781.0727829410807</v>
      </c>
      <c r="BG51" s="3">
        <f t="shared" ca="1" si="19"/>
        <v>9902.530534348698</v>
      </c>
      <c r="BH51" s="3">
        <f t="shared" ca="1" si="19"/>
        <v>10199.579148047453</v>
      </c>
      <c r="BI51" s="3">
        <f t="shared" ca="1" si="19"/>
        <v>10504.171463878069</v>
      </c>
      <c r="BJ51" s="3">
        <f t="shared" ca="1" si="19"/>
        <v>10837.674032766308</v>
      </c>
      <c r="BK51" s="3">
        <f t="shared" ca="1" si="19"/>
        <v>11191.383817022494</v>
      </c>
      <c r="BL51" s="3">
        <f t="shared" ca="1" si="19"/>
        <v>11554.076243400472</v>
      </c>
      <c r="BM51" s="3">
        <f t="shared" ca="1" si="19"/>
        <v>11951.193471182105</v>
      </c>
      <c r="BN51" s="3">
        <f t="shared" ca="1" si="19"/>
        <v>12358.395695808518</v>
      </c>
      <c r="BO51" s="3">
        <f t="shared" ca="1" si="19"/>
        <v>12806.939616088344</v>
      </c>
      <c r="BP51" s="3">
        <f t="shared" ca="1" si="19"/>
        <v>13280.059629556923</v>
      </c>
      <c r="BQ51" s="3">
        <f t="shared" ca="1" si="19"/>
        <v>13732.498326711473</v>
      </c>
    </row>
    <row r="52" spans="1:69">
      <c r="D52" s="66" t="s">
        <v>216</v>
      </c>
      <c r="E52" s="2" t="str">
        <f t="shared" ref="E52:AJ52" si="20">E$32</f>
        <v>Units delivered</v>
      </c>
      <c r="F52" s="2">
        <f t="shared" si="20"/>
        <v>0</v>
      </c>
      <c r="G52" s="2" t="str">
        <f t="shared" si="20"/>
        <v>Units</v>
      </c>
      <c r="H52" s="2">
        <f t="shared" ca="1" si="20"/>
        <v>135000</v>
      </c>
      <c r="I52" s="2">
        <f t="shared" si="20"/>
        <v>0</v>
      </c>
      <c r="J52" s="2">
        <f t="shared" ca="1" si="20"/>
        <v>0</v>
      </c>
      <c r="K52" s="2">
        <f t="shared" ca="1" si="20"/>
        <v>0</v>
      </c>
      <c r="L52" s="2">
        <f t="shared" ca="1" si="20"/>
        <v>0</v>
      </c>
      <c r="M52" s="2">
        <f t="shared" ca="1" si="20"/>
        <v>0</v>
      </c>
      <c r="N52" s="2">
        <f t="shared" ca="1" si="20"/>
        <v>0</v>
      </c>
      <c r="O52" s="2">
        <f t="shared" ca="1" si="20"/>
        <v>0</v>
      </c>
      <c r="P52" s="2">
        <f t="shared" ca="1" si="20"/>
        <v>5000</v>
      </c>
      <c r="Q52" s="2">
        <f t="shared" ca="1" si="20"/>
        <v>0</v>
      </c>
      <c r="R52" s="2">
        <f t="shared" ca="1" si="20"/>
        <v>0</v>
      </c>
      <c r="S52" s="2">
        <f t="shared" ca="1" si="20"/>
        <v>0</v>
      </c>
      <c r="T52" s="2">
        <f t="shared" ca="1" si="20"/>
        <v>0</v>
      </c>
      <c r="U52" s="2">
        <f t="shared" ca="1" si="20"/>
        <v>0</v>
      </c>
      <c r="V52" s="2">
        <f t="shared" ca="1" si="20"/>
        <v>5000</v>
      </c>
      <c r="W52" s="2">
        <f t="shared" ca="1" si="20"/>
        <v>0</v>
      </c>
      <c r="X52" s="2">
        <f t="shared" ca="1" si="20"/>
        <v>0</v>
      </c>
      <c r="Y52" s="2">
        <f t="shared" ca="1" si="20"/>
        <v>0</v>
      </c>
      <c r="Z52" s="2">
        <f t="shared" ca="1" si="20"/>
        <v>0</v>
      </c>
      <c r="AA52" s="2">
        <f t="shared" ca="1" si="20"/>
        <v>0</v>
      </c>
      <c r="AB52" s="2">
        <f t="shared" ca="1" si="20"/>
        <v>5000</v>
      </c>
      <c r="AC52" s="2">
        <f t="shared" ca="1" si="20"/>
        <v>0</v>
      </c>
      <c r="AD52" s="2">
        <f t="shared" ca="1" si="20"/>
        <v>0</v>
      </c>
      <c r="AE52" s="2">
        <f t="shared" ca="1" si="20"/>
        <v>0</v>
      </c>
      <c r="AF52" s="2">
        <f t="shared" ca="1" si="20"/>
        <v>5000</v>
      </c>
      <c r="AG52" s="2">
        <f t="shared" ca="1" si="20"/>
        <v>0</v>
      </c>
      <c r="AH52" s="2">
        <f t="shared" ca="1" si="20"/>
        <v>0</v>
      </c>
      <c r="AI52" s="2">
        <f t="shared" ca="1" si="20"/>
        <v>0</v>
      </c>
      <c r="AJ52" s="2">
        <f t="shared" ca="1" si="20"/>
        <v>5000</v>
      </c>
      <c r="AK52" s="2">
        <f t="shared" ref="AK52:BQ52" ca="1" si="21">AK$32</f>
        <v>0</v>
      </c>
      <c r="AL52" s="2">
        <f t="shared" ca="1" si="21"/>
        <v>0</v>
      </c>
      <c r="AM52" s="2">
        <f t="shared" ca="1" si="21"/>
        <v>5000</v>
      </c>
      <c r="AN52" s="2">
        <f t="shared" ca="1" si="21"/>
        <v>0</v>
      </c>
      <c r="AO52" s="2">
        <f t="shared" ca="1" si="21"/>
        <v>5000</v>
      </c>
      <c r="AP52" s="2">
        <f t="shared" ca="1" si="21"/>
        <v>0</v>
      </c>
      <c r="AQ52" s="2">
        <f t="shared" ca="1" si="21"/>
        <v>0</v>
      </c>
      <c r="AR52" s="2">
        <f t="shared" ca="1" si="21"/>
        <v>5000</v>
      </c>
      <c r="AS52" s="2">
        <f t="shared" ca="1" si="21"/>
        <v>0</v>
      </c>
      <c r="AT52" s="2">
        <f t="shared" ca="1" si="21"/>
        <v>0</v>
      </c>
      <c r="AU52" s="2">
        <f t="shared" ca="1" si="21"/>
        <v>5000</v>
      </c>
      <c r="AV52" s="2">
        <f t="shared" ca="1" si="21"/>
        <v>0</v>
      </c>
      <c r="AW52" s="2">
        <f t="shared" ca="1" si="21"/>
        <v>5000</v>
      </c>
      <c r="AX52" s="2">
        <f t="shared" ca="1" si="21"/>
        <v>0</v>
      </c>
      <c r="AY52" s="2">
        <f t="shared" ca="1" si="21"/>
        <v>5000</v>
      </c>
      <c r="AZ52" s="2">
        <f t="shared" ca="1" si="21"/>
        <v>5000</v>
      </c>
      <c r="BA52" s="2">
        <f t="shared" ca="1" si="21"/>
        <v>0</v>
      </c>
      <c r="BB52" s="2">
        <f t="shared" ca="1" si="21"/>
        <v>5000</v>
      </c>
      <c r="BC52" s="2">
        <f t="shared" ca="1" si="21"/>
        <v>5000</v>
      </c>
      <c r="BD52" s="2">
        <f t="shared" ca="1" si="21"/>
        <v>0</v>
      </c>
      <c r="BE52" s="2">
        <f t="shared" ca="1" si="21"/>
        <v>5000</v>
      </c>
      <c r="BF52" s="2">
        <f t="shared" ca="1" si="21"/>
        <v>5000</v>
      </c>
      <c r="BG52" s="2">
        <f t="shared" ca="1" si="21"/>
        <v>5000</v>
      </c>
      <c r="BH52" s="2">
        <f t="shared" ca="1" si="21"/>
        <v>5000</v>
      </c>
      <c r="BI52" s="2">
        <f t="shared" ca="1" si="21"/>
        <v>5000</v>
      </c>
      <c r="BJ52" s="2">
        <f t="shared" ca="1" si="21"/>
        <v>5000</v>
      </c>
      <c r="BK52" s="2">
        <f t="shared" ca="1" si="21"/>
        <v>5000</v>
      </c>
      <c r="BL52" s="2">
        <f t="shared" ca="1" si="21"/>
        <v>5000</v>
      </c>
      <c r="BM52" s="2">
        <f t="shared" ca="1" si="21"/>
        <v>5000</v>
      </c>
      <c r="BN52" s="2">
        <f t="shared" ca="1" si="21"/>
        <v>5000</v>
      </c>
      <c r="BO52" s="2">
        <f t="shared" ca="1" si="21"/>
        <v>5000</v>
      </c>
      <c r="BP52" s="2">
        <f t="shared" ca="1" si="21"/>
        <v>5000</v>
      </c>
      <c r="BQ52" s="2">
        <f t="shared" ca="1" si="21"/>
        <v>5000</v>
      </c>
    </row>
    <row r="53" spans="1:69">
      <c r="D53" s="66" t="s">
        <v>293</v>
      </c>
      <c r="E53" s="2" t="str">
        <f t="shared" ref="E53:AJ53" si="22">E$45</f>
        <v>Units deployed</v>
      </c>
      <c r="F53" s="2">
        <f t="shared" si="22"/>
        <v>0</v>
      </c>
      <c r="G53" s="2" t="str">
        <f t="shared" si="22"/>
        <v>Units</v>
      </c>
      <c r="H53" s="2">
        <f t="shared" ca="1" si="22"/>
        <v>253879.33897738747</v>
      </c>
      <c r="I53" s="2">
        <f t="shared" si="22"/>
        <v>0</v>
      </c>
      <c r="J53" s="2">
        <f t="shared" si="22"/>
        <v>0</v>
      </c>
      <c r="K53" s="2">
        <f t="shared" ca="1" si="22"/>
        <v>0</v>
      </c>
      <c r="L53" s="2">
        <f t="shared" ca="1" si="22"/>
        <v>0</v>
      </c>
      <c r="M53" s="2">
        <f t="shared" ca="1" si="22"/>
        <v>0</v>
      </c>
      <c r="N53" s="2">
        <f t="shared" ca="1" si="22"/>
        <v>0</v>
      </c>
      <c r="O53" s="2">
        <f t="shared" ca="1" si="22"/>
        <v>0</v>
      </c>
      <c r="P53" s="2">
        <f t="shared" ca="1" si="22"/>
        <v>0</v>
      </c>
      <c r="Q53" s="2">
        <f t="shared" ca="1" si="22"/>
        <v>4196.4427041678455</v>
      </c>
      <c r="R53" s="2">
        <f t="shared" ca="1" si="22"/>
        <v>750.69634809527088</v>
      </c>
      <c r="S53" s="2">
        <f t="shared" ca="1" si="22"/>
        <v>52.860947736883645</v>
      </c>
      <c r="T53" s="2">
        <f t="shared" ca="1" si="22"/>
        <v>0</v>
      </c>
      <c r="U53" s="2">
        <f t="shared" ca="1" si="22"/>
        <v>0</v>
      </c>
      <c r="V53" s="2">
        <f t="shared" ca="1" si="22"/>
        <v>0</v>
      </c>
      <c r="W53" s="2">
        <f t="shared" ca="1" si="22"/>
        <v>4423.5199996978354</v>
      </c>
      <c r="X53" s="2">
        <f t="shared" ca="1" si="22"/>
        <v>576.48000030216463</v>
      </c>
      <c r="Y53" s="2">
        <f t="shared" ca="1" si="22"/>
        <v>0</v>
      </c>
      <c r="Z53" s="2">
        <f t="shared" ca="1" si="22"/>
        <v>0</v>
      </c>
      <c r="AA53" s="2">
        <f t="shared" ca="1" si="22"/>
        <v>0</v>
      </c>
      <c r="AB53" s="2">
        <f t="shared" ca="1" si="22"/>
        <v>0</v>
      </c>
      <c r="AC53" s="2">
        <f t="shared" ca="1" si="22"/>
        <v>5000</v>
      </c>
      <c r="AD53" s="2">
        <f t="shared" ca="1" si="22"/>
        <v>0</v>
      </c>
      <c r="AE53" s="2">
        <f t="shared" ca="1" si="22"/>
        <v>0</v>
      </c>
      <c r="AF53" s="2">
        <f t="shared" ca="1" si="22"/>
        <v>0</v>
      </c>
      <c r="AG53" s="2">
        <f t="shared" ca="1" si="22"/>
        <v>5000</v>
      </c>
      <c r="AH53" s="2">
        <f t="shared" ca="1" si="22"/>
        <v>0</v>
      </c>
      <c r="AI53" s="2">
        <f t="shared" ca="1" si="22"/>
        <v>1000</v>
      </c>
      <c r="AJ53" s="2">
        <f t="shared" ca="1" si="22"/>
        <v>1060.637385528132</v>
      </c>
      <c r="AK53" s="2">
        <f t="shared" ref="AK53:BQ53" ca="1" si="23">AK$45</f>
        <v>6122.817370018367</v>
      </c>
      <c r="AL53" s="2">
        <f t="shared" ca="1" si="23"/>
        <v>1190.9020797618532</v>
      </c>
      <c r="AM53" s="2">
        <f t="shared" ca="1" si="23"/>
        <v>1263.1152682986267</v>
      </c>
      <c r="AN53" s="2">
        <f t="shared" ca="1" si="23"/>
        <v>6337.1655411476058</v>
      </c>
      <c r="AO53" s="2">
        <f t="shared" ca="1" si="23"/>
        <v>1418.2477635811072</v>
      </c>
      <c r="AP53" s="2">
        <f t="shared" ca="1" si="23"/>
        <v>6501.3926961905418</v>
      </c>
      <c r="AQ53" s="2">
        <f t="shared" ca="1" si="23"/>
        <v>1592.4332239385687</v>
      </c>
      <c r="AR53" s="2">
        <f t="shared" ca="1" si="23"/>
        <v>1688.9942112663377</v>
      </c>
      <c r="AS53" s="2">
        <f t="shared" ca="1" si="23"/>
        <v>6781.7974362806781</v>
      </c>
      <c r="AT53" s="2">
        <f t="shared" ca="1" si="23"/>
        <v>1889.5370233838521</v>
      </c>
      <c r="AU53" s="2">
        <f t="shared" ca="1" si="23"/>
        <v>2000</v>
      </c>
      <c r="AV53" s="2">
        <f t="shared" ca="1" si="23"/>
        <v>7123.1161664062074</v>
      </c>
      <c r="AW53" s="2">
        <f t="shared" ca="1" si="23"/>
        <v>2247.4089271664079</v>
      </c>
      <c r="AX53" s="2">
        <f t="shared" ca="1" si="23"/>
        <v>7383.4939697312529</v>
      </c>
      <c r="AY53" s="2">
        <f t="shared" ca="1" si="23"/>
        <v>2527.8192299912498</v>
      </c>
      <c r="AZ53" s="2">
        <f t="shared" ca="1" si="23"/>
        <v>7675.8043641867862</v>
      </c>
      <c r="BA53" s="2">
        <f t="shared" ca="1" si="23"/>
        <v>7837.8295952846602</v>
      </c>
      <c r="BB53" s="2">
        <f t="shared" ca="1" si="23"/>
        <v>3003.9635452521661</v>
      </c>
      <c r="BC53" s="2">
        <f t="shared" ca="1" si="23"/>
        <v>8187.5439973292669</v>
      </c>
      <c r="BD53" s="2">
        <f t="shared" ca="1" si="23"/>
        <v>8380.6467402188136</v>
      </c>
      <c r="BE53" s="2">
        <f t="shared" ca="1" si="23"/>
        <v>3565.0976806730232</v>
      </c>
      <c r="BF53" s="2">
        <f t="shared" ca="1" si="23"/>
        <v>8781.0727829410807</v>
      </c>
      <c r="BG53" s="2">
        <f t="shared" ca="1" si="23"/>
        <v>9902.530534348698</v>
      </c>
      <c r="BH53" s="2">
        <f t="shared" ca="1" si="23"/>
        <v>10199.579148047453</v>
      </c>
      <c r="BI53" s="2">
        <f t="shared" ca="1" si="23"/>
        <v>10504.171463878069</v>
      </c>
      <c r="BJ53" s="2">
        <f t="shared" ca="1" si="23"/>
        <v>10837.674032766308</v>
      </c>
      <c r="BK53" s="2">
        <f t="shared" ca="1" si="23"/>
        <v>11191.383817022494</v>
      </c>
      <c r="BL53" s="2">
        <f t="shared" ca="1" si="23"/>
        <v>11554.076243400472</v>
      </c>
      <c r="BM53" s="2">
        <f t="shared" ca="1" si="23"/>
        <v>11951.193471182105</v>
      </c>
      <c r="BN53" s="2">
        <f t="shared" ca="1" si="23"/>
        <v>12358.395695808518</v>
      </c>
      <c r="BO53" s="2">
        <f t="shared" ca="1" si="23"/>
        <v>12806.939616088344</v>
      </c>
      <c r="BP53" s="2">
        <f t="shared" ca="1" si="23"/>
        <v>13280.059629556923</v>
      </c>
      <c r="BQ53" s="2">
        <f t="shared" ca="1" si="23"/>
        <v>13732.498326711473</v>
      </c>
    </row>
    <row r="54" spans="1:69">
      <c r="D54" s="66" t="s">
        <v>293</v>
      </c>
      <c r="E54" s="2" t="str">
        <f t="shared" ref="E54:AJ54" si="24">E$18</f>
        <v>Deployed units returned</v>
      </c>
      <c r="F54" s="2">
        <f t="shared" si="24"/>
        <v>0</v>
      </c>
      <c r="G54" s="2" t="str">
        <f t="shared" si="24"/>
        <v>Units</v>
      </c>
      <c r="H54" s="2">
        <f t="shared" ca="1" si="24"/>
        <v>66570.387475079086</v>
      </c>
      <c r="I54" s="2">
        <f t="shared" si="24"/>
        <v>0</v>
      </c>
      <c r="J54" s="2">
        <f t="shared" ca="1" si="24"/>
        <v>0</v>
      </c>
      <c r="K54" s="2">
        <f t="shared" ca="1" si="24"/>
        <v>0</v>
      </c>
      <c r="L54" s="2">
        <f t="shared" ca="1" si="24"/>
        <v>0</v>
      </c>
      <c r="M54" s="2">
        <f t="shared" ca="1" si="24"/>
        <v>0</v>
      </c>
      <c r="N54" s="2">
        <f t="shared" ca="1" si="24"/>
        <v>0</v>
      </c>
      <c r="O54" s="2">
        <f t="shared" ca="1" si="24"/>
        <v>0</v>
      </c>
      <c r="P54" s="2">
        <f t="shared" ca="1" si="24"/>
        <v>0</v>
      </c>
      <c r="Q54" s="2">
        <f t="shared" ca="1" si="24"/>
        <v>0</v>
      </c>
      <c r="R54" s="2">
        <f t="shared" ca="1" si="24"/>
        <v>0</v>
      </c>
      <c r="S54" s="2">
        <f t="shared" ca="1" si="24"/>
        <v>0</v>
      </c>
      <c r="T54" s="2">
        <f t="shared" ca="1" si="24"/>
        <v>0</v>
      </c>
      <c r="U54" s="2">
        <f t="shared" ca="1" si="24"/>
        <v>0</v>
      </c>
      <c r="V54" s="2">
        <f t="shared" ca="1" si="24"/>
        <v>0</v>
      </c>
      <c r="W54" s="2">
        <f t="shared" ca="1" si="24"/>
        <v>0</v>
      </c>
      <c r="X54" s="2">
        <f t="shared" ca="1" si="24"/>
        <v>0</v>
      </c>
      <c r="Y54" s="2">
        <f t="shared" ca="1" si="24"/>
        <v>0</v>
      </c>
      <c r="Z54" s="2">
        <f t="shared" ca="1" si="24"/>
        <v>0</v>
      </c>
      <c r="AA54" s="2">
        <f t="shared" ca="1" si="24"/>
        <v>0</v>
      </c>
      <c r="AB54" s="2">
        <f t="shared" ca="1" si="24"/>
        <v>0</v>
      </c>
      <c r="AC54" s="2">
        <f t="shared" ca="1" si="24"/>
        <v>0</v>
      </c>
      <c r="AD54" s="2">
        <f t="shared" ca="1" si="24"/>
        <v>0</v>
      </c>
      <c r="AE54" s="2">
        <f t="shared" ca="1" si="24"/>
        <v>0</v>
      </c>
      <c r="AF54" s="2">
        <f t="shared" ca="1" si="24"/>
        <v>0</v>
      </c>
      <c r="AG54" s="2">
        <f t="shared" ca="1" si="24"/>
        <v>0</v>
      </c>
      <c r="AH54" s="2">
        <f t="shared" ca="1" si="24"/>
        <v>500</v>
      </c>
      <c r="AI54" s="2">
        <f t="shared" ca="1" si="24"/>
        <v>530.31869276406599</v>
      </c>
      <c r="AJ54" s="2">
        <f t="shared" ca="1" si="24"/>
        <v>561.40868500918316</v>
      </c>
      <c r="AK54" s="2">
        <f t="shared" ref="AK54:BQ54" ca="1" si="25">AK$18</f>
        <v>595.4510398809266</v>
      </c>
      <c r="AL54" s="2">
        <f t="shared" ca="1" si="25"/>
        <v>631.55763414931334</v>
      </c>
      <c r="AM54" s="2">
        <f t="shared" ca="1" si="25"/>
        <v>668.58277057380337</v>
      </c>
      <c r="AN54" s="2">
        <f t="shared" ca="1" si="25"/>
        <v>709.12388179055358</v>
      </c>
      <c r="AO54" s="2">
        <f t="shared" ca="1" si="25"/>
        <v>750.69634809527076</v>
      </c>
      <c r="AP54" s="2">
        <f t="shared" ca="1" si="25"/>
        <v>796.21661196928437</v>
      </c>
      <c r="AQ54" s="2">
        <f t="shared" ca="1" si="25"/>
        <v>844.49710563316887</v>
      </c>
      <c r="AR54" s="2">
        <f t="shared" ca="1" si="25"/>
        <v>890.89871814033927</v>
      </c>
      <c r="AS54" s="2">
        <f t="shared" ca="1" si="25"/>
        <v>944.76851169192605</v>
      </c>
      <c r="AT54" s="2">
        <f t="shared" ca="1" si="25"/>
        <v>1000</v>
      </c>
      <c r="AU54" s="2">
        <f t="shared" ca="1" si="25"/>
        <v>1061.5580832031035</v>
      </c>
      <c r="AV54" s="2">
        <f t="shared" ca="1" si="25"/>
        <v>1123.704463583204</v>
      </c>
      <c r="AW54" s="2">
        <f t="shared" ca="1" si="25"/>
        <v>1191.7469848656265</v>
      </c>
      <c r="AX54" s="2">
        <f t="shared" ca="1" si="25"/>
        <v>1263.9096149956249</v>
      </c>
      <c r="AY54" s="2">
        <f t="shared" ca="1" si="25"/>
        <v>1337.9021820933933</v>
      </c>
      <c r="AZ54" s="2">
        <f t="shared" ca="1" si="25"/>
        <v>1418.9147976423296</v>
      </c>
      <c r="BA54" s="2">
        <f t="shared" ca="1" si="25"/>
        <v>1501.9817726260831</v>
      </c>
      <c r="BB54" s="2">
        <f t="shared" ca="1" si="25"/>
        <v>1593.7719986646332</v>
      </c>
      <c r="BC54" s="2">
        <f t="shared" ca="1" si="25"/>
        <v>1690.3233701094071</v>
      </c>
      <c r="BD54" s="2">
        <f t="shared" ca="1" si="25"/>
        <v>1782.5488403365116</v>
      </c>
      <c r="BE54" s="2">
        <f t="shared" ca="1" si="25"/>
        <v>1890.5363914705406</v>
      </c>
      <c r="BF54" s="2">
        <f t="shared" ca="1" si="25"/>
        <v>2451.2652671743485</v>
      </c>
      <c r="BG54" s="2">
        <f t="shared" ca="1" si="25"/>
        <v>2599.7895740237263</v>
      </c>
      <c r="BH54" s="2">
        <f t="shared" ca="1" si="25"/>
        <v>2752.0857319390348</v>
      </c>
      <c r="BI54" s="2">
        <f t="shared" ca="1" si="25"/>
        <v>2918.8370163831542</v>
      </c>
      <c r="BJ54" s="2">
        <f t="shared" ca="1" si="25"/>
        <v>3095.6919085112468</v>
      </c>
      <c r="BK54" s="2">
        <f t="shared" ca="1" si="25"/>
        <v>3277.0381217002355</v>
      </c>
      <c r="BL54" s="2">
        <f t="shared" ca="1" si="25"/>
        <v>3475.596735591052</v>
      </c>
      <c r="BM54" s="2">
        <f t="shared" ca="1" si="25"/>
        <v>3679.1978479042591</v>
      </c>
      <c r="BN54" s="2">
        <f t="shared" ca="1" si="25"/>
        <v>3903.4698080441717</v>
      </c>
      <c r="BO54" s="2">
        <f t="shared" ca="1" si="25"/>
        <v>4140.0298147784615</v>
      </c>
      <c r="BP54" s="2">
        <f t="shared" ca="1" si="25"/>
        <v>4366.2491633557374</v>
      </c>
      <c r="BQ54" s="2">
        <f t="shared" ca="1" si="25"/>
        <v>4630.7179863853571</v>
      </c>
    </row>
    <row r="55" spans="1:69">
      <c r="D55" s="66" t="s">
        <v>293</v>
      </c>
      <c r="E55" s="2" t="str">
        <f t="shared" ref="E55:AJ55" si="26">E$68</f>
        <v>Units retired</v>
      </c>
      <c r="F55" s="2">
        <f t="shared" si="26"/>
        <v>0</v>
      </c>
      <c r="G55" s="2" t="str">
        <f t="shared" si="26"/>
        <v>Units</v>
      </c>
      <c r="H55" s="2">
        <f t="shared" ca="1" si="26"/>
        <v>66570.387475079086</v>
      </c>
      <c r="I55" s="2">
        <f t="shared" si="26"/>
        <v>0</v>
      </c>
      <c r="J55" s="2">
        <f t="shared" ca="1" si="26"/>
        <v>0</v>
      </c>
      <c r="K55" s="2">
        <f t="shared" ca="1" si="26"/>
        <v>0</v>
      </c>
      <c r="L55" s="2">
        <f t="shared" ca="1" si="26"/>
        <v>0</v>
      </c>
      <c r="M55" s="2">
        <f t="shared" ca="1" si="26"/>
        <v>0</v>
      </c>
      <c r="N55" s="2">
        <f t="shared" ca="1" si="26"/>
        <v>0</v>
      </c>
      <c r="O55" s="2">
        <f t="shared" ca="1" si="26"/>
        <v>0</v>
      </c>
      <c r="P55" s="2">
        <f t="shared" ca="1" si="26"/>
        <v>0</v>
      </c>
      <c r="Q55" s="2">
        <f t="shared" ca="1" si="26"/>
        <v>0</v>
      </c>
      <c r="R55" s="2">
        <f t="shared" ca="1" si="26"/>
        <v>0</v>
      </c>
      <c r="S55" s="2">
        <f t="shared" ca="1" si="26"/>
        <v>0</v>
      </c>
      <c r="T55" s="2">
        <f t="shared" ca="1" si="26"/>
        <v>0</v>
      </c>
      <c r="U55" s="2">
        <f t="shared" ca="1" si="26"/>
        <v>0</v>
      </c>
      <c r="V55" s="2">
        <f t="shared" ca="1" si="26"/>
        <v>0</v>
      </c>
      <c r="W55" s="2">
        <f t="shared" ca="1" si="26"/>
        <v>0</v>
      </c>
      <c r="X55" s="2">
        <f t="shared" ca="1" si="26"/>
        <v>0</v>
      </c>
      <c r="Y55" s="2">
        <f t="shared" ca="1" si="26"/>
        <v>0</v>
      </c>
      <c r="Z55" s="2">
        <f t="shared" ca="1" si="26"/>
        <v>0</v>
      </c>
      <c r="AA55" s="2">
        <f t="shared" ca="1" si="26"/>
        <v>0</v>
      </c>
      <c r="AB55" s="2">
        <f t="shared" ca="1" si="26"/>
        <v>0</v>
      </c>
      <c r="AC55" s="2">
        <f t="shared" ca="1" si="26"/>
        <v>0</v>
      </c>
      <c r="AD55" s="2">
        <f t="shared" ca="1" si="26"/>
        <v>0</v>
      </c>
      <c r="AE55" s="2">
        <f t="shared" ca="1" si="26"/>
        <v>0</v>
      </c>
      <c r="AF55" s="2">
        <f t="shared" ca="1" si="26"/>
        <v>0</v>
      </c>
      <c r="AG55" s="2">
        <f t="shared" ca="1" si="26"/>
        <v>0</v>
      </c>
      <c r="AH55" s="2">
        <f t="shared" ca="1" si="26"/>
        <v>500</v>
      </c>
      <c r="AI55" s="2">
        <f t="shared" ca="1" si="26"/>
        <v>530.31869276406599</v>
      </c>
      <c r="AJ55" s="2">
        <f t="shared" ca="1" si="26"/>
        <v>561.40868500918316</v>
      </c>
      <c r="AK55" s="2">
        <f t="shared" ref="AK55:BQ55" ca="1" si="27">AK$68</f>
        <v>595.4510398809266</v>
      </c>
      <c r="AL55" s="2">
        <f t="shared" ca="1" si="27"/>
        <v>631.55763414931334</v>
      </c>
      <c r="AM55" s="2">
        <f t="shared" ca="1" si="27"/>
        <v>668.58277057380337</v>
      </c>
      <c r="AN55" s="2">
        <f t="shared" ca="1" si="27"/>
        <v>709.12388179055358</v>
      </c>
      <c r="AO55" s="2">
        <f t="shared" ca="1" si="27"/>
        <v>750.69634809527076</v>
      </c>
      <c r="AP55" s="2">
        <f t="shared" ca="1" si="27"/>
        <v>796.21661196928437</v>
      </c>
      <c r="AQ55" s="2">
        <f t="shared" ca="1" si="27"/>
        <v>844.49710563316887</v>
      </c>
      <c r="AR55" s="2">
        <f t="shared" ca="1" si="27"/>
        <v>890.89871814033927</v>
      </c>
      <c r="AS55" s="2">
        <f t="shared" ca="1" si="27"/>
        <v>944.76851169192605</v>
      </c>
      <c r="AT55" s="2">
        <f t="shared" ca="1" si="27"/>
        <v>1000</v>
      </c>
      <c r="AU55" s="2">
        <f t="shared" ca="1" si="27"/>
        <v>1061.5580832031035</v>
      </c>
      <c r="AV55" s="2">
        <f t="shared" ca="1" si="27"/>
        <v>1123.704463583204</v>
      </c>
      <c r="AW55" s="2">
        <f t="shared" ca="1" si="27"/>
        <v>1191.7469848656265</v>
      </c>
      <c r="AX55" s="2">
        <f t="shared" ca="1" si="27"/>
        <v>1263.9096149956249</v>
      </c>
      <c r="AY55" s="2">
        <f t="shared" ca="1" si="27"/>
        <v>1337.9021820933933</v>
      </c>
      <c r="AZ55" s="2">
        <f t="shared" ca="1" si="27"/>
        <v>1418.9147976423296</v>
      </c>
      <c r="BA55" s="2">
        <f t="shared" ca="1" si="27"/>
        <v>1501.9817726260831</v>
      </c>
      <c r="BB55" s="2">
        <f t="shared" ca="1" si="27"/>
        <v>1593.7719986646332</v>
      </c>
      <c r="BC55" s="2">
        <f t="shared" ca="1" si="27"/>
        <v>1690.3233701094071</v>
      </c>
      <c r="BD55" s="2">
        <f t="shared" ca="1" si="27"/>
        <v>1782.5488403365116</v>
      </c>
      <c r="BE55" s="2">
        <f t="shared" ca="1" si="27"/>
        <v>1890.5363914705406</v>
      </c>
      <c r="BF55" s="2">
        <f t="shared" ca="1" si="27"/>
        <v>2451.2652671743485</v>
      </c>
      <c r="BG55" s="2">
        <f t="shared" ca="1" si="27"/>
        <v>2599.7895740237263</v>
      </c>
      <c r="BH55" s="2">
        <f t="shared" ca="1" si="27"/>
        <v>2752.0857319390348</v>
      </c>
      <c r="BI55" s="2">
        <f t="shared" ca="1" si="27"/>
        <v>2918.8370163831542</v>
      </c>
      <c r="BJ55" s="2">
        <f t="shared" ca="1" si="27"/>
        <v>3095.6919085112468</v>
      </c>
      <c r="BK55" s="2">
        <f t="shared" ca="1" si="27"/>
        <v>3277.0381217002355</v>
      </c>
      <c r="BL55" s="2">
        <f t="shared" ca="1" si="27"/>
        <v>3475.596735591052</v>
      </c>
      <c r="BM55" s="2">
        <f t="shared" ca="1" si="27"/>
        <v>3679.1978479042591</v>
      </c>
      <c r="BN55" s="2">
        <f t="shared" ca="1" si="27"/>
        <v>3903.4698080441717</v>
      </c>
      <c r="BO55" s="2">
        <f t="shared" ca="1" si="27"/>
        <v>4140.0298147784615</v>
      </c>
      <c r="BP55" s="2">
        <f t="shared" ca="1" si="27"/>
        <v>4366.2491633557374</v>
      </c>
      <c r="BQ55" s="2">
        <f t="shared" ca="1" si="27"/>
        <v>4630.7179863853571</v>
      </c>
    </row>
    <row r="56" spans="1:69" s="32" customFormat="1">
      <c r="A56" s="48"/>
      <c r="B56" s="48"/>
      <c r="C56" s="68"/>
      <c r="D56" s="69"/>
      <c r="E56" s="11" t="s">
        <v>130</v>
      </c>
      <c r="F56" s="11"/>
      <c r="G56" s="11" t="s">
        <v>122</v>
      </c>
      <c r="H56" s="11"/>
      <c r="I56" s="11">
        <f t="shared" ref="I56:AN56" si="28">IF(I50=0,$F49,I51+I52-I53+I54+I55)</f>
        <v>0</v>
      </c>
      <c r="J56" s="11">
        <f t="shared" ca="1" si="28"/>
        <v>0</v>
      </c>
      <c r="K56" s="11">
        <f t="shared" ca="1" si="28"/>
        <v>0</v>
      </c>
      <c r="L56" s="11">
        <f t="shared" ca="1" si="28"/>
        <v>0</v>
      </c>
      <c r="M56" s="11">
        <f t="shared" ca="1" si="28"/>
        <v>0</v>
      </c>
      <c r="N56" s="11">
        <f t="shared" ca="1" si="28"/>
        <v>0</v>
      </c>
      <c r="O56" s="11">
        <f t="shared" ca="1" si="28"/>
        <v>0</v>
      </c>
      <c r="P56" s="11">
        <f t="shared" ca="1" si="28"/>
        <v>5000</v>
      </c>
      <c r="Q56" s="11">
        <f t="shared" ca="1" si="28"/>
        <v>803.55729583215452</v>
      </c>
      <c r="R56" s="11">
        <f t="shared" ca="1" si="28"/>
        <v>52.860947736883645</v>
      </c>
      <c r="S56" s="11">
        <f t="shared" ca="1" si="28"/>
        <v>0</v>
      </c>
      <c r="T56" s="11">
        <f t="shared" ca="1" si="28"/>
        <v>0</v>
      </c>
      <c r="U56" s="11">
        <f t="shared" ca="1" si="28"/>
        <v>0</v>
      </c>
      <c r="V56" s="11">
        <f t="shared" ca="1" si="28"/>
        <v>5000</v>
      </c>
      <c r="W56" s="11">
        <f t="shared" ca="1" si="28"/>
        <v>576.48000030216463</v>
      </c>
      <c r="X56" s="11">
        <f t="shared" ca="1" si="28"/>
        <v>0</v>
      </c>
      <c r="Y56" s="11">
        <f t="shared" ca="1" si="28"/>
        <v>0</v>
      </c>
      <c r="Z56" s="11">
        <f t="shared" ca="1" si="28"/>
        <v>0</v>
      </c>
      <c r="AA56" s="11">
        <f t="shared" ca="1" si="28"/>
        <v>0</v>
      </c>
      <c r="AB56" s="11">
        <f t="shared" ca="1" si="28"/>
        <v>5000</v>
      </c>
      <c r="AC56" s="11">
        <f t="shared" ca="1" si="28"/>
        <v>0</v>
      </c>
      <c r="AD56" s="11">
        <f t="shared" ca="1" si="28"/>
        <v>0</v>
      </c>
      <c r="AE56" s="11">
        <f t="shared" ca="1" si="28"/>
        <v>0</v>
      </c>
      <c r="AF56" s="11">
        <f t="shared" ca="1" si="28"/>
        <v>5000</v>
      </c>
      <c r="AG56" s="11">
        <f t="shared" ca="1" si="28"/>
        <v>0</v>
      </c>
      <c r="AH56" s="11">
        <f t="shared" ca="1" si="28"/>
        <v>1000</v>
      </c>
      <c r="AI56" s="11">
        <f t="shared" ca="1" si="28"/>
        <v>1060.637385528132</v>
      </c>
      <c r="AJ56" s="11">
        <f t="shared" ca="1" si="28"/>
        <v>6122.817370018367</v>
      </c>
      <c r="AK56" s="11">
        <f t="shared" ca="1" si="28"/>
        <v>1190.9020797618532</v>
      </c>
      <c r="AL56" s="11">
        <f t="shared" ca="1" si="28"/>
        <v>1263.1152682986267</v>
      </c>
      <c r="AM56" s="11">
        <f t="shared" ca="1" si="28"/>
        <v>6337.1655411476058</v>
      </c>
      <c r="AN56" s="11">
        <f t="shared" ca="1" si="28"/>
        <v>1418.2477635811072</v>
      </c>
      <c r="AO56" s="11">
        <f t="shared" ref="AO56:BT56" ca="1" si="29">IF(AO50=0,$F49,AO51+AO52-AO53+AO54+AO55)</f>
        <v>6501.3926961905418</v>
      </c>
      <c r="AP56" s="11">
        <f t="shared" ca="1" si="29"/>
        <v>1592.4332239385687</v>
      </c>
      <c r="AQ56" s="11">
        <f t="shared" ca="1" si="29"/>
        <v>1688.9942112663377</v>
      </c>
      <c r="AR56" s="11">
        <f t="shared" ca="1" si="29"/>
        <v>6781.7974362806781</v>
      </c>
      <c r="AS56" s="11">
        <f t="shared" ca="1" si="29"/>
        <v>1889.5370233838521</v>
      </c>
      <c r="AT56" s="11">
        <f t="shared" ca="1" si="29"/>
        <v>2000</v>
      </c>
      <c r="AU56" s="11">
        <f t="shared" ca="1" si="29"/>
        <v>7123.1161664062074</v>
      </c>
      <c r="AV56" s="11">
        <f t="shared" ca="1" si="29"/>
        <v>2247.4089271664079</v>
      </c>
      <c r="AW56" s="11">
        <f t="shared" ca="1" si="29"/>
        <v>7383.4939697312529</v>
      </c>
      <c r="AX56" s="11">
        <f t="shared" ca="1" si="29"/>
        <v>2527.8192299912498</v>
      </c>
      <c r="AY56" s="11">
        <f t="shared" ca="1" si="29"/>
        <v>7675.8043641867862</v>
      </c>
      <c r="AZ56" s="11">
        <f t="shared" ca="1" si="29"/>
        <v>7837.8295952846602</v>
      </c>
      <c r="BA56" s="11">
        <f t="shared" ca="1" si="29"/>
        <v>3003.9635452521661</v>
      </c>
      <c r="BB56" s="11">
        <f t="shared" ca="1" si="29"/>
        <v>8187.5439973292669</v>
      </c>
      <c r="BC56" s="11">
        <f t="shared" ca="1" si="29"/>
        <v>8380.6467402188136</v>
      </c>
      <c r="BD56" s="11">
        <f t="shared" ca="1" si="29"/>
        <v>3565.0976806730232</v>
      </c>
      <c r="BE56" s="11">
        <f t="shared" ca="1" si="29"/>
        <v>8781.0727829410807</v>
      </c>
      <c r="BF56" s="11">
        <f t="shared" ca="1" si="29"/>
        <v>9902.530534348698</v>
      </c>
      <c r="BG56" s="11">
        <f t="shared" ca="1" si="29"/>
        <v>10199.579148047453</v>
      </c>
      <c r="BH56" s="11">
        <f t="shared" ca="1" si="29"/>
        <v>10504.171463878069</v>
      </c>
      <c r="BI56" s="11">
        <f t="shared" ca="1" si="29"/>
        <v>10837.674032766308</v>
      </c>
      <c r="BJ56" s="11">
        <f t="shared" ca="1" si="29"/>
        <v>11191.383817022494</v>
      </c>
      <c r="BK56" s="11">
        <f t="shared" ca="1" si="29"/>
        <v>11554.076243400472</v>
      </c>
      <c r="BL56" s="11">
        <f t="shared" ca="1" si="29"/>
        <v>11951.193471182105</v>
      </c>
      <c r="BM56" s="11">
        <f t="shared" ca="1" si="29"/>
        <v>12358.395695808518</v>
      </c>
      <c r="BN56" s="11">
        <f t="shared" ca="1" si="29"/>
        <v>12806.939616088344</v>
      </c>
      <c r="BO56" s="11">
        <f t="shared" ca="1" si="29"/>
        <v>13280.059629556923</v>
      </c>
      <c r="BP56" s="11">
        <f t="shared" ca="1" si="29"/>
        <v>13732.498326711473</v>
      </c>
      <c r="BQ56" s="11">
        <f t="shared" ca="1" si="29"/>
        <v>14261.435972770712</v>
      </c>
    </row>
    <row r="58" spans="1:69">
      <c r="B58" s="22" t="s">
        <v>218</v>
      </c>
    </row>
    <row r="59" spans="1:69" s="64" customFormat="1">
      <c r="A59" s="46"/>
      <c r="B59" s="46"/>
      <c r="C59" s="65"/>
      <c r="D59" s="63"/>
      <c r="E59" s="34" t="str">
        <f>InpC!E$41</f>
        <v>Opening Units in use</v>
      </c>
      <c r="F59" s="34">
        <f>InpC!F$41</f>
        <v>0</v>
      </c>
      <c r="G59" s="34" t="str">
        <f>InpC!G$41</f>
        <v>Units</v>
      </c>
    </row>
    <row r="60" spans="1:69">
      <c r="A60" s="17"/>
      <c r="B60" s="17"/>
      <c r="C60" s="26"/>
      <c r="D60" s="27"/>
      <c r="E60" s="10" t="str">
        <f>Time!E$28</f>
        <v>Period number</v>
      </c>
      <c r="F60" s="10">
        <f>Time!F$28</f>
        <v>0</v>
      </c>
      <c r="G60" s="10" t="str">
        <f>Time!G$28</f>
        <v>Counter</v>
      </c>
      <c r="H60" s="10">
        <f>Time!H$28</f>
        <v>0</v>
      </c>
      <c r="I60" s="10">
        <f>Time!I$28</f>
        <v>0</v>
      </c>
      <c r="J60" s="10">
        <f>Time!J$28</f>
        <v>1</v>
      </c>
      <c r="K60" s="10">
        <f>Time!K$28</f>
        <v>2</v>
      </c>
      <c r="L60" s="10">
        <f>Time!L$28</f>
        <v>3</v>
      </c>
      <c r="M60" s="10">
        <f>Time!M$28</f>
        <v>4</v>
      </c>
      <c r="N60" s="10">
        <f>Time!N$28</f>
        <v>5</v>
      </c>
      <c r="O60" s="10">
        <f>Time!O$28</f>
        <v>6</v>
      </c>
      <c r="P60" s="10">
        <f>Time!P$28</f>
        <v>7</v>
      </c>
      <c r="Q60" s="10">
        <f>Time!Q$28</f>
        <v>8</v>
      </c>
      <c r="R60" s="10">
        <f>Time!R$28</f>
        <v>9</v>
      </c>
      <c r="S60" s="10">
        <f>Time!S$28</f>
        <v>10</v>
      </c>
      <c r="T60" s="10">
        <f>Time!T$28</f>
        <v>11</v>
      </c>
      <c r="U60" s="10">
        <f>Time!U$28</f>
        <v>12</v>
      </c>
      <c r="V60" s="10">
        <f>Time!V$28</f>
        <v>13</v>
      </c>
      <c r="W60" s="10">
        <f>Time!W$28</f>
        <v>14</v>
      </c>
      <c r="X60" s="10">
        <f>Time!X$28</f>
        <v>15</v>
      </c>
      <c r="Y60" s="10">
        <f>Time!Y$28</f>
        <v>16</v>
      </c>
      <c r="Z60" s="10">
        <f>Time!Z$28</f>
        <v>17</v>
      </c>
      <c r="AA60" s="10">
        <f>Time!AA$28</f>
        <v>18</v>
      </c>
      <c r="AB60" s="10">
        <f>Time!AB$28</f>
        <v>19</v>
      </c>
      <c r="AC60" s="10">
        <f>Time!AC$28</f>
        <v>20</v>
      </c>
      <c r="AD60" s="10">
        <f>Time!AD$28</f>
        <v>21</v>
      </c>
      <c r="AE60" s="10">
        <f>Time!AE$28</f>
        <v>22</v>
      </c>
      <c r="AF60" s="10">
        <f>Time!AF$28</f>
        <v>23</v>
      </c>
      <c r="AG60" s="10">
        <f>Time!AG$28</f>
        <v>24</v>
      </c>
      <c r="AH60" s="10">
        <f>Time!AH$28</f>
        <v>25</v>
      </c>
      <c r="AI60" s="10">
        <f>Time!AI$28</f>
        <v>26</v>
      </c>
      <c r="AJ60" s="10">
        <f>Time!AJ$28</f>
        <v>27</v>
      </c>
      <c r="AK60" s="10">
        <f>Time!AK$28</f>
        <v>28</v>
      </c>
      <c r="AL60" s="10">
        <f>Time!AL$28</f>
        <v>29</v>
      </c>
      <c r="AM60" s="10">
        <f>Time!AM$28</f>
        <v>30</v>
      </c>
      <c r="AN60" s="10">
        <f>Time!AN$28</f>
        <v>31</v>
      </c>
      <c r="AO60" s="10">
        <f>Time!AO$28</f>
        <v>32</v>
      </c>
      <c r="AP60" s="10">
        <f>Time!AP$28</f>
        <v>33</v>
      </c>
      <c r="AQ60" s="10">
        <f>Time!AQ$28</f>
        <v>34</v>
      </c>
      <c r="AR60" s="10">
        <f>Time!AR$28</f>
        <v>35</v>
      </c>
      <c r="AS60" s="10">
        <f>Time!AS$28</f>
        <v>36</v>
      </c>
      <c r="AT60" s="10">
        <f>Time!AT$28</f>
        <v>37</v>
      </c>
      <c r="AU60" s="10">
        <f>Time!AU$28</f>
        <v>38</v>
      </c>
      <c r="AV60" s="10">
        <f>Time!AV$28</f>
        <v>39</v>
      </c>
      <c r="AW60" s="10">
        <f>Time!AW$28</f>
        <v>40</v>
      </c>
      <c r="AX60" s="10">
        <f>Time!AX$28</f>
        <v>41</v>
      </c>
      <c r="AY60" s="10">
        <f>Time!AY$28</f>
        <v>42</v>
      </c>
      <c r="AZ60" s="10">
        <f>Time!AZ$28</f>
        <v>43</v>
      </c>
      <c r="BA60" s="10">
        <f>Time!BA$28</f>
        <v>44</v>
      </c>
      <c r="BB60" s="10">
        <f>Time!BB$28</f>
        <v>45</v>
      </c>
      <c r="BC60" s="10">
        <f>Time!BC$28</f>
        <v>46</v>
      </c>
      <c r="BD60" s="10">
        <f>Time!BD$28</f>
        <v>47</v>
      </c>
      <c r="BE60" s="10">
        <f>Time!BE$28</f>
        <v>48</v>
      </c>
      <c r="BF60" s="10">
        <f>Time!BF$28</f>
        <v>49</v>
      </c>
      <c r="BG60" s="10">
        <f>Time!BG$28</f>
        <v>50</v>
      </c>
      <c r="BH60" s="10">
        <f>Time!BH$28</f>
        <v>51</v>
      </c>
      <c r="BI60" s="10">
        <f>Time!BI$28</f>
        <v>52</v>
      </c>
      <c r="BJ60" s="10">
        <f>Time!BJ$28</f>
        <v>53</v>
      </c>
      <c r="BK60" s="10">
        <f>Time!BK$28</f>
        <v>54</v>
      </c>
      <c r="BL60" s="10">
        <f>Time!BL$28</f>
        <v>55</v>
      </c>
      <c r="BM60" s="10">
        <f>Time!BM$28</f>
        <v>56</v>
      </c>
      <c r="BN60" s="10">
        <f>Time!BN$28</f>
        <v>57</v>
      </c>
      <c r="BO60" s="10">
        <f>Time!BO$28</f>
        <v>58</v>
      </c>
      <c r="BP60" s="10">
        <f>Time!BP$28</f>
        <v>59</v>
      </c>
      <c r="BQ60" s="10">
        <f>Time!BQ$28</f>
        <v>60</v>
      </c>
    </row>
    <row r="61" spans="1:69" ht="14.5">
      <c r="E61" s="2" t="s">
        <v>339</v>
      </c>
      <c r="G61" s="2" t="s">
        <v>122</v>
      </c>
      <c r="I61"/>
      <c r="J61" s="2">
        <f t="shared" ref="J61:AO61" si="30">I64</f>
        <v>0</v>
      </c>
      <c r="K61" s="2">
        <f t="shared" ca="1" si="30"/>
        <v>0</v>
      </c>
      <c r="L61" s="2">
        <f t="shared" ca="1" si="30"/>
        <v>0</v>
      </c>
      <c r="M61" s="2">
        <f t="shared" ca="1" si="30"/>
        <v>0</v>
      </c>
      <c r="N61" s="2">
        <f t="shared" ca="1" si="30"/>
        <v>0</v>
      </c>
      <c r="O61" s="2">
        <f t="shared" ca="1" si="30"/>
        <v>0</v>
      </c>
      <c r="P61" s="2">
        <f t="shared" ca="1" si="30"/>
        <v>0</v>
      </c>
      <c r="Q61" s="2">
        <f t="shared" ca="1" si="30"/>
        <v>0</v>
      </c>
      <c r="R61" s="2">
        <f t="shared" ca="1" si="30"/>
        <v>4196.4427041678455</v>
      </c>
      <c r="S61" s="2">
        <f t="shared" ca="1" si="30"/>
        <v>4947.1390522631164</v>
      </c>
      <c r="T61" s="2">
        <f t="shared" ca="1" si="30"/>
        <v>5000</v>
      </c>
      <c r="U61" s="2">
        <f t="shared" ca="1" si="30"/>
        <v>5000</v>
      </c>
      <c r="V61" s="2">
        <f t="shared" ca="1" si="30"/>
        <v>5000</v>
      </c>
      <c r="W61" s="2">
        <f t="shared" ca="1" si="30"/>
        <v>5000</v>
      </c>
      <c r="X61" s="2">
        <f t="shared" ca="1" si="30"/>
        <v>9423.5199996978354</v>
      </c>
      <c r="Y61" s="2">
        <f t="shared" ca="1" si="30"/>
        <v>10000</v>
      </c>
      <c r="Z61" s="2">
        <f t="shared" ca="1" si="30"/>
        <v>10000</v>
      </c>
      <c r="AA61" s="2">
        <f t="shared" ca="1" si="30"/>
        <v>10000</v>
      </c>
      <c r="AB61" s="2">
        <f t="shared" ca="1" si="30"/>
        <v>10000</v>
      </c>
      <c r="AC61" s="2">
        <f t="shared" ca="1" si="30"/>
        <v>10000</v>
      </c>
      <c r="AD61" s="2">
        <f t="shared" ca="1" si="30"/>
        <v>15000</v>
      </c>
      <c r="AE61" s="2">
        <f t="shared" ca="1" si="30"/>
        <v>15000</v>
      </c>
      <c r="AF61" s="2">
        <f t="shared" ca="1" si="30"/>
        <v>15000</v>
      </c>
      <c r="AG61" s="2">
        <f t="shared" ca="1" si="30"/>
        <v>15000</v>
      </c>
      <c r="AH61" s="2">
        <f t="shared" ca="1" si="30"/>
        <v>20000</v>
      </c>
      <c r="AI61" s="2">
        <f t="shared" ca="1" si="30"/>
        <v>19500</v>
      </c>
      <c r="AJ61" s="2">
        <f t="shared" ca="1" si="30"/>
        <v>19969.681307235933</v>
      </c>
      <c r="AK61" s="2">
        <f t="shared" ca="1" si="30"/>
        <v>20468.910007754879</v>
      </c>
      <c r="AL61" s="2">
        <f t="shared" ca="1" si="30"/>
        <v>25996.276337892323</v>
      </c>
      <c r="AM61" s="2">
        <f t="shared" ca="1" si="30"/>
        <v>26555.620783504863</v>
      </c>
      <c r="AN61" s="2">
        <f t="shared" ca="1" si="30"/>
        <v>27150.153281229686</v>
      </c>
      <c r="AO61" s="2">
        <f t="shared" ca="1" si="30"/>
        <v>32778.194940586734</v>
      </c>
      <c r="AP61" s="2">
        <f t="shared" ref="AP61:BQ61" ca="1" si="31">AO64</f>
        <v>33445.746356072574</v>
      </c>
      <c r="AQ61" s="2">
        <f t="shared" ca="1" si="31"/>
        <v>39150.922440293827</v>
      </c>
      <c r="AR61" s="2">
        <f t="shared" ca="1" si="31"/>
        <v>39898.858558599226</v>
      </c>
      <c r="AS61" s="2">
        <f t="shared" ca="1" si="31"/>
        <v>40696.954051725224</v>
      </c>
      <c r="AT61" s="2">
        <f t="shared" ca="1" si="31"/>
        <v>46533.982976313979</v>
      </c>
      <c r="AU61" s="2">
        <f t="shared" ca="1" si="31"/>
        <v>47423.519999697834</v>
      </c>
      <c r="AV61" s="2">
        <f t="shared" ca="1" si="31"/>
        <v>48361.961916494729</v>
      </c>
      <c r="AW61" s="2">
        <f t="shared" ca="1" si="31"/>
        <v>54361.373619317732</v>
      </c>
      <c r="AX61" s="2">
        <f t="shared" ca="1" si="31"/>
        <v>55417.035561618512</v>
      </c>
      <c r="AY61" s="2">
        <f t="shared" ca="1" si="31"/>
        <v>61536.619916354139</v>
      </c>
      <c r="AZ61" s="2">
        <f t="shared" ca="1" si="31"/>
        <v>62726.536964251995</v>
      </c>
      <c r="BA61" s="2">
        <f t="shared" ca="1" si="31"/>
        <v>68983.426530796452</v>
      </c>
      <c r="BB61" s="2">
        <f t="shared" ca="1" si="31"/>
        <v>75319.274353455025</v>
      </c>
      <c r="BC61" s="2">
        <f t="shared" ca="1" si="31"/>
        <v>76729.46590004256</v>
      </c>
      <c r="BD61" s="2">
        <f t="shared" ca="1" si="31"/>
        <v>83226.686527262413</v>
      </c>
      <c r="BE61" s="2">
        <f t="shared" ca="1" si="31"/>
        <v>89824.78442714471</v>
      </c>
      <c r="BF61" s="2">
        <f t="shared" ca="1" si="31"/>
        <v>91499.34571634719</v>
      </c>
      <c r="BG61" s="2">
        <f t="shared" ca="1" si="31"/>
        <v>97829.153232113924</v>
      </c>
      <c r="BH61" s="2">
        <f t="shared" ca="1" si="31"/>
        <v>105131.89419243889</v>
      </c>
      <c r="BI61" s="2">
        <f t="shared" ca="1" si="31"/>
        <v>112579.38760854732</v>
      </c>
      <c r="BJ61" s="2">
        <f t="shared" ca="1" si="31"/>
        <v>120164.72205604223</v>
      </c>
      <c r="BK61" s="2">
        <f t="shared" ca="1" si="31"/>
        <v>127906.7041802973</v>
      </c>
      <c r="BL61" s="2">
        <f t="shared" ca="1" si="31"/>
        <v>135821.04987561956</v>
      </c>
      <c r="BM61" s="2">
        <f t="shared" ca="1" si="31"/>
        <v>143899.52938342901</v>
      </c>
      <c r="BN61" s="2">
        <f t="shared" ca="1" si="31"/>
        <v>152171.52500670686</v>
      </c>
      <c r="BO61" s="2">
        <f t="shared" ca="1" si="31"/>
        <v>160626.4508944712</v>
      </c>
      <c r="BP61" s="2">
        <f t="shared" ca="1" si="31"/>
        <v>169293.3606957811</v>
      </c>
      <c r="BQ61" s="2">
        <f t="shared" ca="1" si="31"/>
        <v>178207.17116198229</v>
      </c>
    </row>
    <row r="62" spans="1:69">
      <c r="D62" s="66" t="s">
        <v>216</v>
      </c>
      <c r="E62" s="2" t="str">
        <f t="shared" ref="E62:AJ62" si="32">E$45</f>
        <v>Units deployed</v>
      </c>
      <c r="F62" s="2">
        <f t="shared" si="32"/>
        <v>0</v>
      </c>
      <c r="G62" s="2" t="str">
        <f t="shared" si="32"/>
        <v>Units</v>
      </c>
      <c r="H62" s="2">
        <f t="shared" ca="1" si="32"/>
        <v>253879.33897738747</v>
      </c>
      <c r="I62" s="2">
        <f t="shared" si="32"/>
        <v>0</v>
      </c>
      <c r="J62" s="2">
        <f t="shared" si="32"/>
        <v>0</v>
      </c>
      <c r="K62" s="2">
        <f t="shared" ca="1" si="32"/>
        <v>0</v>
      </c>
      <c r="L62" s="2">
        <f t="shared" ca="1" si="32"/>
        <v>0</v>
      </c>
      <c r="M62" s="2">
        <f t="shared" ca="1" si="32"/>
        <v>0</v>
      </c>
      <c r="N62" s="2">
        <f t="shared" ca="1" si="32"/>
        <v>0</v>
      </c>
      <c r="O62" s="2">
        <f t="shared" ca="1" si="32"/>
        <v>0</v>
      </c>
      <c r="P62" s="2">
        <f t="shared" ca="1" si="32"/>
        <v>0</v>
      </c>
      <c r="Q62" s="2">
        <f t="shared" ca="1" si="32"/>
        <v>4196.4427041678455</v>
      </c>
      <c r="R62" s="2">
        <f t="shared" ca="1" si="32"/>
        <v>750.69634809527088</v>
      </c>
      <c r="S62" s="2">
        <f t="shared" ca="1" si="32"/>
        <v>52.860947736883645</v>
      </c>
      <c r="T62" s="2">
        <f t="shared" ca="1" si="32"/>
        <v>0</v>
      </c>
      <c r="U62" s="2">
        <f t="shared" ca="1" si="32"/>
        <v>0</v>
      </c>
      <c r="V62" s="2">
        <f t="shared" ca="1" si="32"/>
        <v>0</v>
      </c>
      <c r="W62" s="2">
        <f t="shared" ca="1" si="32"/>
        <v>4423.5199996978354</v>
      </c>
      <c r="X62" s="2">
        <f t="shared" ca="1" si="32"/>
        <v>576.48000030216463</v>
      </c>
      <c r="Y62" s="2">
        <f t="shared" ca="1" si="32"/>
        <v>0</v>
      </c>
      <c r="Z62" s="2">
        <f t="shared" ca="1" si="32"/>
        <v>0</v>
      </c>
      <c r="AA62" s="2">
        <f t="shared" ca="1" si="32"/>
        <v>0</v>
      </c>
      <c r="AB62" s="2">
        <f t="shared" ca="1" si="32"/>
        <v>0</v>
      </c>
      <c r="AC62" s="2">
        <f t="shared" ca="1" si="32"/>
        <v>5000</v>
      </c>
      <c r="AD62" s="2">
        <f t="shared" ca="1" si="32"/>
        <v>0</v>
      </c>
      <c r="AE62" s="2">
        <f t="shared" ca="1" si="32"/>
        <v>0</v>
      </c>
      <c r="AF62" s="2">
        <f t="shared" ca="1" si="32"/>
        <v>0</v>
      </c>
      <c r="AG62" s="2">
        <f t="shared" ca="1" si="32"/>
        <v>5000</v>
      </c>
      <c r="AH62" s="2">
        <f t="shared" ca="1" si="32"/>
        <v>0</v>
      </c>
      <c r="AI62" s="2">
        <f t="shared" ca="1" si="32"/>
        <v>1000</v>
      </c>
      <c r="AJ62" s="2">
        <f t="shared" ca="1" si="32"/>
        <v>1060.637385528132</v>
      </c>
      <c r="AK62" s="2">
        <f t="shared" ref="AK62:BQ62" ca="1" si="33">AK$45</f>
        <v>6122.817370018367</v>
      </c>
      <c r="AL62" s="2">
        <f t="shared" ca="1" si="33"/>
        <v>1190.9020797618532</v>
      </c>
      <c r="AM62" s="2">
        <f t="shared" ca="1" si="33"/>
        <v>1263.1152682986267</v>
      </c>
      <c r="AN62" s="2">
        <f t="shared" ca="1" si="33"/>
        <v>6337.1655411476058</v>
      </c>
      <c r="AO62" s="2">
        <f t="shared" ca="1" si="33"/>
        <v>1418.2477635811072</v>
      </c>
      <c r="AP62" s="2">
        <f t="shared" ca="1" si="33"/>
        <v>6501.3926961905418</v>
      </c>
      <c r="AQ62" s="2">
        <f t="shared" ca="1" si="33"/>
        <v>1592.4332239385687</v>
      </c>
      <c r="AR62" s="2">
        <f t="shared" ca="1" si="33"/>
        <v>1688.9942112663377</v>
      </c>
      <c r="AS62" s="2">
        <f t="shared" ca="1" si="33"/>
        <v>6781.7974362806781</v>
      </c>
      <c r="AT62" s="2">
        <f t="shared" ca="1" si="33"/>
        <v>1889.5370233838521</v>
      </c>
      <c r="AU62" s="2">
        <f t="shared" ca="1" si="33"/>
        <v>2000</v>
      </c>
      <c r="AV62" s="2">
        <f t="shared" ca="1" si="33"/>
        <v>7123.1161664062074</v>
      </c>
      <c r="AW62" s="2">
        <f t="shared" ca="1" si="33"/>
        <v>2247.4089271664079</v>
      </c>
      <c r="AX62" s="2">
        <f t="shared" ca="1" si="33"/>
        <v>7383.4939697312529</v>
      </c>
      <c r="AY62" s="2">
        <f t="shared" ca="1" si="33"/>
        <v>2527.8192299912498</v>
      </c>
      <c r="AZ62" s="2">
        <f t="shared" ca="1" si="33"/>
        <v>7675.8043641867862</v>
      </c>
      <c r="BA62" s="2">
        <f t="shared" ca="1" si="33"/>
        <v>7837.8295952846602</v>
      </c>
      <c r="BB62" s="2">
        <f t="shared" ca="1" si="33"/>
        <v>3003.9635452521661</v>
      </c>
      <c r="BC62" s="2">
        <f t="shared" ca="1" si="33"/>
        <v>8187.5439973292669</v>
      </c>
      <c r="BD62" s="2">
        <f t="shared" ca="1" si="33"/>
        <v>8380.6467402188136</v>
      </c>
      <c r="BE62" s="2">
        <f t="shared" ca="1" si="33"/>
        <v>3565.0976806730232</v>
      </c>
      <c r="BF62" s="2">
        <f t="shared" ca="1" si="33"/>
        <v>8781.0727829410807</v>
      </c>
      <c r="BG62" s="2">
        <f t="shared" ca="1" si="33"/>
        <v>9902.530534348698</v>
      </c>
      <c r="BH62" s="2">
        <f t="shared" ca="1" si="33"/>
        <v>10199.579148047453</v>
      </c>
      <c r="BI62" s="2">
        <f t="shared" ca="1" si="33"/>
        <v>10504.171463878069</v>
      </c>
      <c r="BJ62" s="2">
        <f t="shared" ca="1" si="33"/>
        <v>10837.674032766308</v>
      </c>
      <c r="BK62" s="2">
        <f t="shared" ca="1" si="33"/>
        <v>11191.383817022494</v>
      </c>
      <c r="BL62" s="2">
        <f t="shared" ca="1" si="33"/>
        <v>11554.076243400472</v>
      </c>
      <c r="BM62" s="2">
        <f t="shared" ca="1" si="33"/>
        <v>11951.193471182105</v>
      </c>
      <c r="BN62" s="2">
        <f t="shared" ca="1" si="33"/>
        <v>12358.395695808518</v>
      </c>
      <c r="BO62" s="2">
        <f t="shared" ca="1" si="33"/>
        <v>12806.939616088344</v>
      </c>
      <c r="BP62" s="2">
        <f t="shared" ca="1" si="33"/>
        <v>13280.059629556923</v>
      </c>
      <c r="BQ62" s="2">
        <f t="shared" ca="1" si="33"/>
        <v>13732.498326711473</v>
      </c>
    </row>
    <row r="63" spans="1:69">
      <c r="D63" s="66" t="s">
        <v>293</v>
      </c>
      <c r="E63" s="2" t="str">
        <f t="shared" ref="E63:AJ63" si="34">E$18</f>
        <v>Deployed units returned</v>
      </c>
      <c r="F63" s="2">
        <f t="shared" si="34"/>
        <v>0</v>
      </c>
      <c r="G63" s="2" t="str">
        <f t="shared" si="34"/>
        <v>Units</v>
      </c>
      <c r="H63" s="2">
        <f t="shared" ca="1" si="34"/>
        <v>66570.387475079086</v>
      </c>
      <c r="I63" s="2">
        <f t="shared" si="34"/>
        <v>0</v>
      </c>
      <c r="J63" s="2">
        <f t="shared" ca="1" si="34"/>
        <v>0</v>
      </c>
      <c r="K63" s="2">
        <f t="shared" ca="1" si="34"/>
        <v>0</v>
      </c>
      <c r="L63" s="2">
        <f t="shared" ca="1" si="34"/>
        <v>0</v>
      </c>
      <c r="M63" s="2">
        <f t="shared" ca="1" si="34"/>
        <v>0</v>
      </c>
      <c r="N63" s="2">
        <f t="shared" ca="1" si="34"/>
        <v>0</v>
      </c>
      <c r="O63" s="2">
        <f t="shared" ca="1" si="34"/>
        <v>0</v>
      </c>
      <c r="P63" s="2">
        <f t="shared" ca="1" si="34"/>
        <v>0</v>
      </c>
      <c r="Q63" s="2">
        <f t="shared" ca="1" si="34"/>
        <v>0</v>
      </c>
      <c r="R63" s="2">
        <f t="shared" ca="1" si="34"/>
        <v>0</v>
      </c>
      <c r="S63" s="2">
        <f t="shared" ca="1" si="34"/>
        <v>0</v>
      </c>
      <c r="T63" s="2">
        <f t="shared" ca="1" si="34"/>
        <v>0</v>
      </c>
      <c r="U63" s="2">
        <f t="shared" ca="1" si="34"/>
        <v>0</v>
      </c>
      <c r="V63" s="2">
        <f t="shared" ca="1" si="34"/>
        <v>0</v>
      </c>
      <c r="W63" s="2">
        <f t="shared" ca="1" si="34"/>
        <v>0</v>
      </c>
      <c r="X63" s="2">
        <f t="shared" ca="1" si="34"/>
        <v>0</v>
      </c>
      <c r="Y63" s="2">
        <f t="shared" ca="1" si="34"/>
        <v>0</v>
      </c>
      <c r="Z63" s="2">
        <f t="shared" ca="1" si="34"/>
        <v>0</v>
      </c>
      <c r="AA63" s="2">
        <f t="shared" ca="1" si="34"/>
        <v>0</v>
      </c>
      <c r="AB63" s="2">
        <f t="shared" ca="1" si="34"/>
        <v>0</v>
      </c>
      <c r="AC63" s="2">
        <f t="shared" ca="1" si="34"/>
        <v>0</v>
      </c>
      <c r="AD63" s="2">
        <f t="shared" ca="1" si="34"/>
        <v>0</v>
      </c>
      <c r="AE63" s="2">
        <f t="shared" ca="1" si="34"/>
        <v>0</v>
      </c>
      <c r="AF63" s="2">
        <f t="shared" ca="1" si="34"/>
        <v>0</v>
      </c>
      <c r="AG63" s="2">
        <f t="shared" ca="1" si="34"/>
        <v>0</v>
      </c>
      <c r="AH63" s="2">
        <f t="shared" ca="1" si="34"/>
        <v>500</v>
      </c>
      <c r="AI63" s="2">
        <f t="shared" ca="1" si="34"/>
        <v>530.31869276406599</v>
      </c>
      <c r="AJ63" s="2">
        <f t="shared" ca="1" si="34"/>
        <v>561.40868500918316</v>
      </c>
      <c r="AK63" s="2">
        <f t="shared" ref="AK63:BQ63" ca="1" si="35">AK$18</f>
        <v>595.4510398809266</v>
      </c>
      <c r="AL63" s="2">
        <f t="shared" ca="1" si="35"/>
        <v>631.55763414931334</v>
      </c>
      <c r="AM63" s="2">
        <f t="shared" ca="1" si="35"/>
        <v>668.58277057380337</v>
      </c>
      <c r="AN63" s="2">
        <f t="shared" ca="1" si="35"/>
        <v>709.12388179055358</v>
      </c>
      <c r="AO63" s="2">
        <f t="shared" ca="1" si="35"/>
        <v>750.69634809527076</v>
      </c>
      <c r="AP63" s="2">
        <f t="shared" ca="1" si="35"/>
        <v>796.21661196928437</v>
      </c>
      <c r="AQ63" s="2">
        <f t="shared" ca="1" si="35"/>
        <v>844.49710563316887</v>
      </c>
      <c r="AR63" s="2">
        <f t="shared" ca="1" si="35"/>
        <v>890.89871814033927</v>
      </c>
      <c r="AS63" s="2">
        <f t="shared" ca="1" si="35"/>
        <v>944.76851169192605</v>
      </c>
      <c r="AT63" s="2">
        <f t="shared" ca="1" si="35"/>
        <v>1000</v>
      </c>
      <c r="AU63" s="2">
        <f t="shared" ca="1" si="35"/>
        <v>1061.5580832031035</v>
      </c>
      <c r="AV63" s="2">
        <f t="shared" ca="1" si="35"/>
        <v>1123.704463583204</v>
      </c>
      <c r="AW63" s="2">
        <f t="shared" ca="1" si="35"/>
        <v>1191.7469848656265</v>
      </c>
      <c r="AX63" s="2">
        <f t="shared" ca="1" si="35"/>
        <v>1263.9096149956249</v>
      </c>
      <c r="AY63" s="2">
        <f t="shared" ca="1" si="35"/>
        <v>1337.9021820933933</v>
      </c>
      <c r="AZ63" s="2">
        <f t="shared" ca="1" si="35"/>
        <v>1418.9147976423296</v>
      </c>
      <c r="BA63" s="2">
        <f t="shared" ca="1" si="35"/>
        <v>1501.9817726260831</v>
      </c>
      <c r="BB63" s="2">
        <f t="shared" ca="1" si="35"/>
        <v>1593.7719986646332</v>
      </c>
      <c r="BC63" s="2">
        <f t="shared" ca="1" si="35"/>
        <v>1690.3233701094071</v>
      </c>
      <c r="BD63" s="2">
        <f t="shared" ca="1" si="35"/>
        <v>1782.5488403365116</v>
      </c>
      <c r="BE63" s="2">
        <f t="shared" ca="1" si="35"/>
        <v>1890.5363914705406</v>
      </c>
      <c r="BF63" s="2">
        <f t="shared" ca="1" si="35"/>
        <v>2451.2652671743485</v>
      </c>
      <c r="BG63" s="2">
        <f t="shared" ca="1" si="35"/>
        <v>2599.7895740237263</v>
      </c>
      <c r="BH63" s="2">
        <f t="shared" ca="1" si="35"/>
        <v>2752.0857319390348</v>
      </c>
      <c r="BI63" s="2">
        <f t="shared" ca="1" si="35"/>
        <v>2918.8370163831542</v>
      </c>
      <c r="BJ63" s="2">
        <f t="shared" ca="1" si="35"/>
        <v>3095.6919085112468</v>
      </c>
      <c r="BK63" s="2">
        <f t="shared" ca="1" si="35"/>
        <v>3277.0381217002355</v>
      </c>
      <c r="BL63" s="2">
        <f t="shared" ca="1" si="35"/>
        <v>3475.596735591052</v>
      </c>
      <c r="BM63" s="2">
        <f t="shared" ca="1" si="35"/>
        <v>3679.1978479042591</v>
      </c>
      <c r="BN63" s="2">
        <f t="shared" ca="1" si="35"/>
        <v>3903.4698080441717</v>
      </c>
      <c r="BO63" s="2">
        <f t="shared" ca="1" si="35"/>
        <v>4140.0298147784615</v>
      </c>
      <c r="BP63" s="2">
        <f t="shared" ca="1" si="35"/>
        <v>4366.2491633557374</v>
      </c>
      <c r="BQ63" s="2">
        <f t="shared" ca="1" si="35"/>
        <v>4630.7179863853571</v>
      </c>
    </row>
    <row r="64" spans="1:69" s="32" customFormat="1">
      <c r="A64" s="48"/>
      <c r="B64" s="48"/>
      <c r="C64" s="68"/>
      <c r="D64" s="69"/>
      <c r="E64" s="11" t="s">
        <v>218</v>
      </c>
      <c r="F64" s="11"/>
      <c r="G64" s="11" t="s">
        <v>122</v>
      </c>
      <c r="H64" s="11"/>
      <c r="I64" s="11">
        <f t="shared" ref="I64:AN64" si="36">IF(I60=0,$F59,I61+I62-I63)</f>
        <v>0</v>
      </c>
      <c r="J64" s="11">
        <f t="shared" ca="1" si="36"/>
        <v>0</v>
      </c>
      <c r="K64" s="11">
        <f t="shared" ca="1" si="36"/>
        <v>0</v>
      </c>
      <c r="L64" s="11">
        <f t="shared" ca="1" si="36"/>
        <v>0</v>
      </c>
      <c r="M64" s="11">
        <f t="shared" ca="1" si="36"/>
        <v>0</v>
      </c>
      <c r="N64" s="11">
        <f t="shared" ca="1" si="36"/>
        <v>0</v>
      </c>
      <c r="O64" s="11">
        <f t="shared" ca="1" si="36"/>
        <v>0</v>
      </c>
      <c r="P64" s="11">
        <f t="shared" ca="1" si="36"/>
        <v>0</v>
      </c>
      <c r="Q64" s="11">
        <f t="shared" ca="1" si="36"/>
        <v>4196.4427041678455</v>
      </c>
      <c r="R64" s="11">
        <f t="shared" ca="1" si="36"/>
        <v>4947.1390522631164</v>
      </c>
      <c r="S64" s="11">
        <f t="shared" ca="1" si="36"/>
        <v>5000</v>
      </c>
      <c r="T64" s="11">
        <f t="shared" ca="1" si="36"/>
        <v>5000</v>
      </c>
      <c r="U64" s="11">
        <f t="shared" ca="1" si="36"/>
        <v>5000</v>
      </c>
      <c r="V64" s="11">
        <f t="shared" ca="1" si="36"/>
        <v>5000</v>
      </c>
      <c r="W64" s="11">
        <f t="shared" ca="1" si="36"/>
        <v>9423.5199996978354</v>
      </c>
      <c r="X64" s="11">
        <f t="shared" ca="1" si="36"/>
        <v>10000</v>
      </c>
      <c r="Y64" s="11">
        <f t="shared" ca="1" si="36"/>
        <v>10000</v>
      </c>
      <c r="Z64" s="11">
        <f t="shared" ca="1" si="36"/>
        <v>10000</v>
      </c>
      <c r="AA64" s="11">
        <f t="shared" ca="1" si="36"/>
        <v>10000</v>
      </c>
      <c r="AB64" s="11">
        <f t="shared" ca="1" si="36"/>
        <v>10000</v>
      </c>
      <c r="AC64" s="11">
        <f t="shared" ca="1" si="36"/>
        <v>15000</v>
      </c>
      <c r="AD64" s="11">
        <f t="shared" ca="1" si="36"/>
        <v>15000</v>
      </c>
      <c r="AE64" s="11">
        <f t="shared" ca="1" si="36"/>
        <v>15000</v>
      </c>
      <c r="AF64" s="11">
        <f t="shared" ca="1" si="36"/>
        <v>15000</v>
      </c>
      <c r="AG64" s="11">
        <f t="shared" ca="1" si="36"/>
        <v>20000</v>
      </c>
      <c r="AH64" s="11">
        <f t="shared" ca="1" si="36"/>
        <v>19500</v>
      </c>
      <c r="AI64" s="11">
        <f t="shared" ca="1" si="36"/>
        <v>19969.681307235933</v>
      </c>
      <c r="AJ64" s="11">
        <f t="shared" ca="1" si="36"/>
        <v>20468.910007754879</v>
      </c>
      <c r="AK64" s="11">
        <f t="shared" ca="1" si="36"/>
        <v>25996.276337892323</v>
      </c>
      <c r="AL64" s="11">
        <f t="shared" ca="1" si="36"/>
        <v>26555.620783504863</v>
      </c>
      <c r="AM64" s="11">
        <f t="shared" ca="1" si="36"/>
        <v>27150.153281229686</v>
      </c>
      <c r="AN64" s="11">
        <f t="shared" ca="1" si="36"/>
        <v>32778.194940586734</v>
      </c>
      <c r="AO64" s="11">
        <f t="shared" ref="AO64:BT64" ca="1" si="37">IF(AO60=0,$F59,AO61+AO62-AO63)</f>
        <v>33445.746356072574</v>
      </c>
      <c r="AP64" s="11">
        <f t="shared" ca="1" si="37"/>
        <v>39150.922440293827</v>
      </c>
      <c r="AQ64" s="11">
        <f t="shared" ca="1" si="37"/>
        <v>39898.858558599226</v>
      </c>
      <c r="AR64" s="11">
        <f t="shared" ca="1" si="37"/>
        <v>40696.954051725224</v>
      </c>
      <c r="AS64" s="11">
        <f t="shared" ca="1" si="37"/>
        <v>46533.982976313979</v>
      </c>
      <c r="AT64" s="11">
        <f t="shared" ca="1" si="37"/>
        <v>47423.519999697834</v>
      </c>
      <c r="AU64" s="11">
        <f t="shared" ca="1" si="37"/>
        <v>48361.961916494729</v>
      </c>
      <c r="AV64" s="11">
        <f t="shared" ca="1" si="37"/>
        <v>54361.373619317732</v>
      </c>
      <c r="AW64" s="11">
        <f t="shared" ca="1" si="37"/>
        <v>55417.035561618512</v>
      </c>
      <c r="AX64" s="11">
        <f t="shared" ca="1" si="37"/>
        <v>61536.619916354139</v>
      </c>
      <c r="AY64" s="11">
        <f t="shared" ca="1" si="37"/>
        <v>62726.536964251995</v>
      </c>
      <c r="AZ64" s="11">
        <f t="shared" ca="1" si="37"/>
        <v>68983.426530796452</v>
      </c>
      <c r="BA64" s="11">
        <f t="shared" ca="1" si="37"/>
        <v>75319.274353455025</v>
      </c>
      <c r="BB64" s="11">
        <f t="shared" ca="1" si="37"/>
        <v>76729.46590004256</v>
      </c>
      <c r="BC64" s="11">
        <f t="shared" ca="1" si="37"/>
        <v>83226.686527262413</v>
      </c>
      <c r="BD64" s="11">
        <f t="shared" ca="1" si="37"/>
        <v>89824.78442714471</v>
      </c>
      <c r="BE64" s="11">
        <f t="shared" ca="1" si="37"/>
        <v>91499.34571634719</v>
      </c>
      <c r="BF64" s="11">
        <f t="shared" ca="1" si="37"/>
        <v>97829.153232113924</v>
      </c>
      <c r="BG64" s="11">
        <f t="shared" ca="1" si="37"/>
        <v>105131.89419243889</v>
      </c>
      <c r="BH64" s="11">
        <f t="shared" ca="1" si="37"/>
        <v>112579.38760854732</v>
      </c>
      <c r="BI64" s="11">
        <f t="shared" ca="1" si="37"/>
        <v>120164.72205604223</v>
      </c>
      <c r="BJ64" s="11">
        <f t="shared" ca="1" si="37"/>
        <v>127906.7041802973</v>
      </c>
      <c r="BK64" s="11">
        <f t="shared" ca="1" si="37"/>
        <v>135821.04987561956</v>
      </c>
      <c r="BL64" s="11">
        <f t="shared" ca="1" si="37"/>
        <v>143899.52938342901</v>
      </c>
      <c r="BM64" s="11">
        <f t="shared" ca="1" si="37"/>
        <v>152171.52500670686</v>
      </c>
      <c r="BN64" s="11">
        <f t="shared" ca="1" si="37"/>
        <v>160626.4508944712</v>
      </c>
      <c r="BO64" s="11">
        <f t="shared" ca="1" si="37"/>
        <v>169293.3606957811</v>
      </c>
      <c r="BP64" s="11">
        <f t="shared" ca="1" si="37"/>
        <v>178207.17116198229</v>
      </c>
      <c r="BQ64" s="11">
        <f t="shared" ca="1" si="37"/>
        <v>187308.95150230839</v>
      </c>
    </row>
    <row r="66" spans="1:69">
      <c r="B66" s="22" t="s">
        <v>294</v>
      </c>
    </row>
    <row r="67" spans="1:69">
      <c r="E67" s="2" t="str">
        <f t="shared" ref="E67:AJ67" si="38">E$18</f>
        <v>Deployed units returned</v>
      </c>
      <c r="F67" s="2">
        <f t="shared" si="38"/>
        <v>0</v>
      </c>
      <c r="G67" s="2" t="str">
        <f t="shared" si="38"/>
        <v>Units</v>
      </c>
      <c r="H67" s="2">
        <f t="shared" ca="1" si="38"/>
        <v>66570.387475079086</v>
      </c>
      <c r="I67" s="2">
        <f t="shared" si="38"/>
        <v>0</v>
      </c>
      <c r="J67" s="2">
        <f t="shared" ca="1" si="38"/>
        <v>0</v>
      </c>
      <c r="K67" s="2">
        <f t="shared" ca="1" si="38"/>
        <v>0</v>
      </c>
      <c r="L67" s="2">
        <f t="shared" ca="1" si="38"/>
        <v>0</v>
      </c>
      <c r="M67" s="2">
        <f t="shared" ca="1" si="38"/>
        <v>0</v>
      </c>
      <c r="N67" s="2">
        <f t="shared" ca="1" si="38"/>
        <v>0</v>
      </c>
      <c r="O67" s="2">
        <f t="shared" ca="1" si="38"/>
        <v>0</v>
      </c>
      <c r="P67" s="2">
        <f t="shared" ca="1" si="38"/>
        <v>0</v>
      </c>
      <c r="Q67" s="2">
        <f t="shared" ca="1" si="38"/>
        <v>0</v>
      </c>
      <c r="R67" s="2">
        <f t="shared" ca="1" si="38"/>
        <v>0</v>
      </c>
      <c r="S67" s="2">
        <f t="shared" ca="1" si="38"/>
        <v>0</v>
      </c>
      <c r="T67" s="2">
        <f t="shared" ca="1" si="38"/>
        <v>0</v>
      </c>
      <c r="U67" s="2">
        <f t="shared" ca="1" si="38"/>
        <v>0</v>
      </c>
      <c r="V67" s="2">
        <f t="shared" ca="1" si="38"/>
        <v>0</v>
      </c>
      <c r="W67" s="2">
        <f t="shared" ca="1" si="38"/>
        <v>0</v>
      </c>
      <c r="X67" s="2">
        <f t="shared" ca="1" si="38"/>
        <v>0</v>
      </c>
      <c r="Y67" s="2">
        <f t="shared" ca="1" si="38"/>
        <v>0</v>
      </c>
      <c r="Z67" s="2">
        <f t="shared" ca="1" si="38"/>
        <v>0</v>
      </c>
      <c r="AA67" s="2">
        <f t="shared" ca="1" si="38"/>
        <v>0</v>
      </c>
      <c r="AB67" s="2">
        <f t="shared" ca="1" si="38"/>
        <v>0</v>
      </c>
      <c r="AC67" s="2">
        <f t="shared" ca="1" si="38"/>
        <v>0</v>
      </c>
      <c r="AD67" s="2">
        <f t="shared" ca="1" si="38"/>
        <v>0</v>
      </c>
      <c r="AE67" s="2">
        <f t="shared" ca="1" si="38"/>
        <v>0</v>
      </c>
      <c r="AF67" s="2">
        <f t="shared" ca="1" si="38"/>
        <v>0</v>
      </c>
      <c r="AG67" s="2">
        <f t="shared" ca="1" si="38"/>
        <v>0</v>
      </c>
      <c r="AH67" s="2">
        <f t="shared" ca="1" si="38"/>
        <v>500</v>
      </c>
      <c r="AI67" s="2">
        <f t="shared" ca="1" si="38"/>
        <v>530.31869276406599</v>
      </c>
      <c r="AJ67" s="2">
        <f t="shared" ca="1" si="38"/>
        <v>561.40868500918316</v>
      </c>
      <c r="AK67" s="2">
        <f t="shared" ref="AK67:BQ67" ca="1" si="39">AK$18</f>
        <v>595.4510398809266</v>
      </c>
      <c r="AL67" s="2">
        <f t="shared" ca="1" si="39"/>
        <v>631.55763414931334</v>
      </c>
      <c r="AM67" s="2">
        <f t="shared" ca="1" si="39"/>
        <v>668.58277057380337</v>
      </c>
      <c r="AN67" s="2">
        <f t="shared" ca="1" si="39"/>
        <v>709.12388179055358</v>
      </c>
      <c r="AO67" s="2">
        <f t="shared" ca="1" si="39"/>
        <v>750.69634809527076</v>
      </c>
      <c r="AP67" s="2">
        <f t="shared" ca="1" si="39"/>
        <v>796.21661196928437</v>
      </c>
      <c r="AQ67" s="2">
        <f t="shared" ca="1" si="39"/>
        <v>844.49710563316887</v>
      </c>
      <c r="AR67" s="2">
        <f t="shared" ca="1" si="39"/>
        <v>890.89871814033927</v>
      </c>
      <c r="AS67" s="2">
        <f t="shared" ca="1" si="39"/>
        <v>944.76851169192605</v>
      </c>
      <c r="AT67" s="2">
        <f t="shared" ca="1" si="39"/>
        <v>1000</v>
      </c>
      <c r="AU67" s="2">
        <f t="shared" ca="1" si="39"/>
        <v>1061.5580832031035</v>
      </c>
      <c r="AV67" s="2">
        <f t="shared" ca="1" si="39"/>
        <v>1123.704463583204</v>
      </c>
      <c r="AW67" s="2">
        <f t="shared" ca="1" si="39"/>
        <v>1191.7469848656265</v>
      </c>
      <c r="AX67" s="2">
        <f t="shared" ca="1" si="39"/>
        <v>1263.9096149956249</v>
      </c>
      <c r="AY67" s="2">
        <f t="shared" ca="1" si="39"/>
        <v>1337.9021820933933</v>
      </c>
      <c r="AZ67" s="2">
        <f t="shared" ca="1" si="39"/>
        <v>1418.9147976423296</v>
      </c>
      <c r="BA67" s="2">
        <f t="shared" ca="1" si="39"/>
        <v>1501.9817726260831</v>
      </c>
      <c r="BB67" s="2">
        <f t="shared" ca="1" si="39"/>
        <v>1593.7719986646332</v>
      </c>
      <c r="BC67" s="2">
        <f t="shared" ca="1" si="39"/>
        <v>1690.3233701094071</v>
      </c>
      <c r="BD67" s="2">
        <f t="shared" ca="1" si="39"/>
        <v>1782.5488403365116</v>
      </c>
      <c r="BE67" s="2">
        <f t="shared" ca="1" si="39"/>
        <v>1890.5363914705406</v>
      </c>
      <c r="BF67" s="2">
        <f t="shared" ca="1" si="39"/>
        <v>2451.2652671743485</v>
      </c>
      <c r="BG67" s="2">
        <f t="shared" ca="1" si="39"/>
        <v>2599.7895740237263</v>
      </c>
      <c r="BH67" s="2">
        <f t="shared" ca="1" si="39"/>
        <v>2752.0857319390348</v>
      </c>
      <c r="BI67" s="2">
        <f t="shared" ca="1" si="39"/>
        <v>2918.8370163831542</v>
      </c>
      <c r="BJ67" s="2">
        <f t="shared" ca="1" si="39"/>
        <v>3095.6919085112468</v>
      </c>
      <c r="BK67" s="2">
        <f t="shared" ca="1" si="39"/>
        <v>3277.0381217002355</v>
      </c>
      <c r="BL67" s="2">
        <f t="shared" ca="1" si="39"/>
        <v>3475.596735591052</v>
      </c>
      <c r="BM67" s="2">
        <f t="shared" ca="1" si="39"/>
        <v>3679.1978479042591</v>
      </c>
      <c r="BN67" s="2">
        <f t="shared" ca="1" si="39"/>
        <v>3903.4698080441717</v>
      </c>
      <c r="BO67" s="2">
        <f t="shared" ca="1" si="39"/>
        <v>4140.0298147784615</v>
      </c>
      <c r="BP67" s="2">
        <f t="shared" ca="1" si="39"/>
        <v>4366.2491633557374</v>
      </c>
      <c r="BQ67" s="2">
        <f t="shared" ca="1" si="39"/>
        <v>4630.7179863853571</v>
      </c>
    </row>
    <row r="68" spans="1:69">
      <c r="A68" s="31"/>
      <c r="B68" s="31"/>
      <c r="C68" s="51"/>
      <c r="D68" s="50"/>
      <c r="E68" s="3" t="s">
        <v>294</v>
      </c>
      <c r="F68" s="3"/>
      <c r="G68" s="3" t="s">
        <v>122</v>
      </c>
      <c r="H68" s="3">
        <f ca="1">SUM(J68:BQ68)</f>
        <v>66570.387475079086</v>
      </c>
      <c r="I68" s="3"/>
      <c r="J68" s="3">
        <f t="shared" ref="J68:AO68" ca="1" si="40">J67</f>
        <v>0</v>
      </c>
      <c r="K68" s="3">
        <f t="shared" ca="1" si="40"/>
        <v>0</v>
      </c>
      <c r="L68" s="3">
        <f t="shared" ca="1" si="40"/>
        <v>0</v>
      </c>
      <c r="M68" s="3">
        <f t="shared" ca="1" si="40"/>
        <v>0</v>
      </c>
      <c r="N68" s="3">
        <f t="shared" ca="1" si="40"/>
        <v>0</v>
      </c>
      <c r="O68" s="3">
        <f t="shared" ca="1" si="40"/>
        <v>0</v>
      </c>
      <c r="P68" s="3">
        <f t="shared" ca="1" si="40"/>
        <v>0</v>
      </c>
      <c r="Q68" s="3">
        <f t="shared" ca="1" si="40"/>
        <v>0</v>
      </c>
      <c r="R68" s="3">
        <f t="shared" ca="1" si="40"/>
        <v>0</v>
      </c>
      <c r="S68" s="3">
        <f t="shared" ca="1" si="40"/>
        <v>0</v>
      </c>
      <c r="T68" s="3">
        <f t="shared" ca="1" si="40"/>
        <v>0</v>
      </c>
      <c r="U68" s="3">
        <f t="shared" ca="1" si="40"/>
        <v>0</v>
      </c>
      <c r="V68" s="3">
        <f t="shared" ca="1" si="40"/>
        <v>0</v>
      </c>
      <c r="W68" s="3">
        <f t="shared" ca="1" si="40"/>
        <v>0</v>
      </c>
      <c r="X68" s="3">
        <f t="shared" ca="1" si="40"/>
        <v>0</v>
      </c>
      <c r="Y68" s="3">
        <f t="shared" ca="1" si="40"/>
        <v>0</v>
      </c>
      <c r="Z68" s="3">
        <f t="shared" ca="1" si="40"/>
        <v>0</v>
      </c>
      <c r="AA68" s="3">
        <f t="shared" ca="1" si="40"/>
        <v>0</v>
      </c>
      <c r="AB68" s="3">
        <f t="shared" ca="1" si="40"/>
        <v>0</v>
      </c>
      <c r="AC68" s="3">
        <f t="shared" ca="1" si="40"/>
        <v>0</v>
      </c>
      <c r="AD68" s="3">
        <f t="shared" ca="1" si="40"/>
        <v>0</v>
      </c>
      <c r="AE68" s="3">
        <f t="shared" ca="1" si="40"/>
        <v>0</v>
      </c>
      <c r="AF68" s="3">
        <f t="shared" ca="1" si="40"/>
        <v>0</v>
      </c>
      <c r="AG68" s="3">
        <f t="shared" ca="1" si="40"/>
        <v>0</v>
      </c>
      <c r="AH68" s="3">
        <f t="shared" ca="1" si="40"/>
        <v>500</v>
      </c>
      <c r="AI68" s="3">
        <f t="shared" ca="1" si="40"/>
        <v>530.31869276406599</v>
      </c>
      <c r="AJ68" s="3">
        <f t="shared" ca="1" si="40"/>
        <v>561.40868500918316</v>
      </c>
      <c r="AK68" s="3">
        <f t="shared" ca="1" si="40"/>
        <v>595.4510398809266</v>
      </c>
      <c r="AL68" s="3">
        <f t="shared" ca="1" si="40"/>
        <v>631.55763414931334</v>
      </c>
      <c r="AM68" s="3">
        <f t="shared" ca="1" si="40"/>
        <v>668.58277057380337</v>
      </c>
      <c r="AN68" s="3">
        <f t="shared" ca="1" si="40"/>
        <v>709.12388179055358</v>
      </c>
      <c r="AO68" s="3">
        <f t="shared" ca="1" si="40"/>
        <v>750.69634809527076</v>
      </c>
      <c r="AP68" s="3">
        <f t="shared" ref="AP68:BU68" ca="1" si="41">AP67</f>
        <v>796.21661196928437</v>
      </c>
      <c r="AQ68" s="3">
        <f t="shared" ca="1" si="41"/>
        <v>844.49710563316887</v>
      </c>
      <c r="AR68" s="3">
        <f t="shared" ca="1" si="41"/>
        <v>890.89871814033927</v>
      </c>
      <c r="AS68" s="3">
        <f t="shared" ca="1" si="41"/>
        <v>944.76851169192605</v>
      </c>
      <c r="AT68" s="3">
        <f t="shared" ca="1" si="41"/>
        <v>1000</v>
      </c>
      <c r="AU68" s="3">
        <f t="shared" ca="1" si="41"/>
        <v>1061.5580832031035</v>
      </c>
      <c r="AV68" s="3">
        <f t="shared" ca="1" si="41"/>
        <v>1123.704463583204</v>
      </c>
      <c r="AW68" s="3">
        <f t="shared" ca="1" si="41"/>
        <v>1191.7469848656265</v>
      </c>
      <c r="AX68" s="3">
        <f t="shared" ca="1" si="41"/>
        <v>1263.9096149956249</v>
      </c>
      <c r="AY68" s="3">
        <f t="shared" ca="1" si="41"/>
        <v>1337.9021820933933</v>
      </c>
      <c r="AZ68" s="3">
        <f t="shared" ca="1" si="41"/>
        <v>1418.9147976423296</v>
      </c>
      <c r="BA68" s="3">
        <f t="shared" ca="1" si="41"/>
        <v>1501.9817726260831</v>
      </c>
      <c r="BB68" s="3">
        <f t="shared" ca="1" si="41"/>
        <v>1593.7719986646332</v>
      </c>
      <c r="BC68" s="3">
        <f t="shared" ca="1" si="41"/>
        <v>1690.3233701094071</v>
      </c>
      <c r="BD68" s="3">
        <f t="shared" ca="1" si="41"/>
        <v>1782.5488403365116</v>
      </c>
      <c r="BE68" s="3">
        <f t="shared" ca="1" si="41"/>
        <v>1890.5363914705406</v>
      </c>
      <c r="BF68" s="3">
        <f t="shared" ca="1" si="41"/>
        <v>2451.2652671743485</v>
      </c>
      <c r="BG68" s="3">
        <f t="shared" ca="1" si="41"/>
        <v>2599.7895740237263</v>
      </c>
      <c r="BH68" s="3">
        <f t="shared" ca="1" si="41"/>
        <v>2752.0857319390348</v>
      </c>
      <c r="BI68" s="3">
        <f t="shared" ca="1" si="41"/>
        <v>2918.8370163831542</v>
      </c>
      <c r="BJ68" s="3">
        <f t="shared" ca="1" si="41"/>
        <v>3095.6919085112468</v>
      </c>
      <c r="BK68" s="3">
        <f t="shared" ca="1" si="41"/>
        <v>3277.0381217002355</v>
      </c>
      <c r="BL68" s="3">
        <f t="shared" ca="1" si="41"/>
        <v>3475.596735591052</v>
      </c>
      <c r="BM68" s="3">
        <f t="shared" ca="1" si="41"/>
        <v>3679.1978479042591</v>
      </c>
      <c r="BN68" s="3">
        <f t="shared" ca="1" si="41"/>
        <v>3903.4698080441717</v>
      </c>
      <c r="BO68" s="3">
        <f t="shared" ca="1" si="41"/>
        <v>4140.0298147784615</v>
      </c>
      <c r="BP68" s="3">
        <f t="shared" ca="1" si="41"/>
        <v>4366.2491633557374</v>
      </c>
      <c r="BQ68" s="3">
        <f t="shared" ca="1" si="41"/>
        <v>4630.7179863853571</v>
      </c>
    </row>
    <row r="71" spans="1:69">
      <c r="B71" s="22" t="s">
        <v>265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Q33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31.7265625" style="2" customWidth="1"/>
    <col min="6" max="6" width="20.7265625" style="2" customWidth="1"/>
    <col min="7" max="7" width="13.7265625" style="2" customWidth="1"/>
    <col min="8" max="8" width="12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48" width="11.7265625" style="2" customWidth="1"/>
    <col min="49" max="50" width="12.7265625" style="2" customWidth="1"/>
    <col min="51" max="51" width="11.7265625" style="2" customWidth="1"/>
    <col min="52" max="69" width="12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Assets</v>
      </c>
      <c r="B1" s="37"/>
      <c r="C1" s="58"/>
      <c r="D1" s="67"/>
      <c r="F1" s="42" t="str">
        <f>HYPERLINK("#Contents!A1","Go to contents")</f>
        <v>Go to contents</v>
      </c>
      <c r="H1" s="38"/>
      <c r="J1" s="38"/>
    </row>
    <row r="2" spans="1:69" s="43" customFormat="1">
      <c r="A2" s="39"/>
      <c r="B2" s="39"/>
      <c r="C2" s="56"/>
      <c r="D2" s="62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>
      <c r="A3" s="39"/>
      <c r="B3" s="39"/>
      <c r="C3" s="56"/>
      <c r="D3" s="62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62"/>
      <c r="E4" s="20" t="s">
        <v>325</v>
      </c>
      <c r="F4" s="22"/>
      <c r="G4" s="20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>
      <c r="A5" s="39"/>
      <c r="B5" s="39"/>
      <c r="C5" s="56"/>
      <c r="D5" s="62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6" spans="1:69">
      <c r="F6" s="22"/>
      <c r="G6" s="22"/>
      <c r="H6" s="22"/>
    </row>
    <row r="8" spans="1:69">
      <c r="B8" s="22" t="s">
        <v>172</v>
      </c>
    </row>
    <row r="9" spans="1:69">
      <c r="A9" s="17"/>
      <c r="B9" s="17"/>
      <c r="C9" s="26"/>
      <c r="D9" s="27"/>
      <c r="E9" s="4" t="str">
        <f>InpC!E$38</f>
        <v>Depreciation Term</v>
      </c>
      <c r="F9" s="4">
        <f>InpC!F$38</f>
        <v>24</v>
      </c>
      <c r="G9" s="4" t="str">
        <f>InpC!G$38</f>
        <v>Months</v>
      </c>
    </row>
    <row r="10" spans="1:69">
      <c r="E10" s="2" t="str">
        <f t="shared" ref="E10:AJ10" si="0">E$18</f>
        <v>Inventory BEG</v>
      </c>
      <c r="F10" s="2">
        <f t="shared" si="0"/>
        <v>0</v>
      </c>
      <c r="G10" s="2" t="str">
        <f t="shared" si="0"/>
        <v>GBP</v>
      </c>
      <c r="H10" s="2">
        <f t="shared" si="0"/>
        <v>0</v>
      </c>
      <c r="I10" s="2">
        <f t="shared" si="0"/>
        <v>0</v>
      </c>
      <c r="J10" s="2">
        <f t="shared" si="0"/>
        <v>0</v>
      </c>
      <c r="K10" s="2">
        <f t="shared" ca="1" si="0"/>
        <v>175000</v>
      </c>
      <c r="L10" s="2">
        <f t="shared" ca="1" si="0"/>
        <v>175000</v>
      </c>
      <c r="M10" s="2">
        <f t="shared" ca="1" si="0"/>
        <v>175000</v>
      </c>
      <c r="N10" s="2">
        <f t="shared" ca="1" si="0"/>
        <v>175000</v>
      </c>
      <c r="O10" s="2">
        <f t="shared" ca="1" si="0"/>
        <v>175000</v>
      </c>
      <c r="P10" s="2">
        <f t="shared" ca="1" si="0"/>
        <v>175000</v>
      </c>
      <c r="Q10" s="2">
        <f t="shared" ca="1" si="0"/>
        <v>350000</v>
      </c>
      <c r="R10" s="2">
        <f t="shared" ca="1" si="0"/>
        <v>350000</v>
      </c>
      <c r="S10" s="2">
        <f t="shared" ca="1" si="0"/>
        <v>350000</v>
      </c>
      <c r="T10" s="2">
        <f t="shared" ca="1" si="0"/>
        <v>350000</v>
      </c>
      <c r="U10" s="2">
        <f t="shared" ca="1" si="0"/>
        <v>350000</v>
      </c>
      <c r="V10" s="2">
        <f t="shared" ca="1" si="0"/>
        <v>350000</v>
      </c>
      <c r="W10" s="2">
        <f t="shared" ca="1" si="0"/>
        <v>525000</v>
      </c>
      <c r="X10" s="2">
        <f t="shared" ca="1" si="0"/>
        <v>525000</v>
      </c>
      <c r="Y10" s="2">
        <f t="shared" ca="1" si="0"/>
        <v>525000</v>
      </c>
      <c r="Z10" s="2">
        <f t="shared" ca="1" si="0"/>
        <v>525000</v>
      </c>
      <c r="AA10" s="2">
        <f t="shared" ca="1" si="0"/>
        <v>700000</v>
      </c>
      <c r="AB10" s="2">
        <f t="shared" ca="1" si="0"/>
        <v>700000</v>
      </c>
      <c r="AC10" s="2">
        <f t="shared" ca="1" si="0"/>
        <v>700000</v>
      </c>
      <c r="AD10" s="2">
        <f t="shared" ca="1" si="0"/>
        <v>700000</v>
      </c>
      <c r="AE10" s="2">
        <f t="shared" ca="1" si="0"/>
        <v>875000</v>
      </c>
      <c r="AF10" s="2">
        <f t="shared" ca="1" si="0"/>
        <v>875000</v>
      </c>
      <c r="AG10" s="2">
        <f t="shared" ca="1" si="0"/>
        <v>875000</v>
      </c>
      <c r="AH10" s="2">
        <f t="shared" ca="1" si="0"/>
        <v>1050000</v>
      </c>
      <c r="AI10" s="2">
        <f t="shared" ca="1" si="0"/>
        <v>1032500</v>
      </c>
      <c r="AJ10" s="2">
        <f t="shared" ca="1" si="0"/>
        <v>1188938.8457532576</v>
      </c>
      <c r="AK10" s="2">
        <f t="shared" ref="AK10:BQ10" ca="1" si="1">AK$18</f>
        <v>1169289.5417779363</v>
      </c>
      <c r="AL10" s="2">
        <f t="shared" ca="1" si="1"/>
        <v>1148448.7553821038</v>
      </c>
      <c r="AM10" s="2">
        <f t="shared" ca="1" si="1"/>
        <v>1301344.2381868779</v>
      </c>
      <c r="AN10" s="2">
        <f t="shared" ca="1" si="1"/>
        <v>1277943.8412167949</v>
      </c>
      <c r="AO10" s="2">
        <f t="shared" ca="1" si="1"/>
        <v>1253124.5053541255</v>
      </c>
      <c r="AP10" s="2">
        <f t="shared" ca="1" si="1"/>
        <v>1401850.133170791</v>
      </c>
      <c r="AQ10" s="2">
        <f t="shared" ca="1" si="1"/>
        <v>1373982.551751866</v>
      </c>
      <c r="AR10" s="2">
        <f t="shared" ca="1" si="1"/>
        <v>1519425.1530547051</v>
      </c>
      <c r="AS10" s="2">
        <f t="shared" ca="1" si="1"/>
        <v>1488243.6979197932</v>
      </c>
      <c r="AT10" s="2">
        <f t="shared" ca="1" si="1"/>
        <v>1630176.8000105759</v>
      </c>
      <c r="AU10" s="2">
        <f t="shared" ca="1" si="1"/>
        <v>1770176.8000105759</v>
      </c>
      <c r="AV10" s="2">
        <f t="shared" ca="1" si="1"/>
        <v>1733022.2670984673</v>
      </c>
      <c r="AW10" s="2">
        <f t="shared" ca="1" si="1"/>
        <v>1868692.6108730552</v>
      </c>
      <c r="AX10" s="2">
        <f t="shared" ca="1" si="1"/>
        <v>2001981.4664027584</v>
      </c>
      <c r="AY10" s="2">
        <f t="shared" ca="1" si="1"/>
        <v>1957744.6298779114</v>
      </c>
      <c r="AZ10" s="2">
        <f t="shared" ca="1" si="1"/>
        <v>2085918.0535046426</v>
      </c>
      <c r="BA10" s="2">
        <f t="shared" ca="1" si="1"/>
        <v>2211256.0355871608</v>
      </c>
      <c r="BB10" s="2">
        <f t="shared" ca="1" si="1"/>
        <v>2333686.6735452479</v>
      </c>
      <c r="BC10" s="2">
        <f t="shared" ca="1" si="1"/>
        <v>2452904.6535919858</v>
      </c>
      <c r="BD10" s="2">
        <f t="shared" ca="1" si="1"/>
        <v>2568743.3356381566</v>
      </c>
      <c r="BE10" s="2">
        <f t="shared" ca="1" si="1"/>
        <v>2681354.1262263786</v>
      </c>
      <c r="BF10" s="2">
        <f t="shared" ca="1" si="1"/>
        <v>2790185.3525249097</v>
      </c>
      <c r="BG10" s="2">
        <f t="shared" ca="1" si="1"/>
        <v>2879391.0681738076</v>
      </c>
      <c r="BH10" s="2">
        <f t="shared" ca="1" si="1"/>
        <v>2963398.4330829773</v>
      </c>
      <c r="BI10" s="2">
        <f t="shared" ca="1" si="1"/>
        <v>3042075.4324651109</v>
      </c>
      <c r="BJ10" s="2">
        <f t="shared" ca="1" si="1"/>
        <v>3114916.1368917003</v>
      </c>
      <c r="BK10" s="2">
        <f t="shared" ca="1" si="1"/>
        <v>3181566.9200938065</v>
      </c>
      <c r="BL10" s="2">
        <f t="shared" ca="1" si="1"/>
        <v>3241870.5858342983</v>
      </c>
      <c r="BM10" s="2">
        <f t="shared" ca="1" si="1"/>
        <v>3295224.7000886113</v>
      </c>
      <c r="BN10" s="2">
        <f t="shared" ca="1" si="1"/>
        <v>3341452.7754119621</v>
      </c>
      <c r="BO10" s="2">
        <f t="shared" ca="1" si="1"/>
        <v>3379831.3321304158</v>
      </c>
      <c r="BP10" s="2">
        <f t="shared" ca="1" si="1"/>
        <v>3409930.2886131695</v>
      </c>
      <c r="BQ10" s="2">
        <f t="shared" ca="1" si="1"/>
        <v>3432111.5678957189</v>
      </c>
    </row>
    <row r="11" spans="1:69" ht="14.5">
      <c r="E11" s="2" t="s">
        <v>22</v>
      </c>
      <c r="F11"/>
      <c r="G11" s="2" t="s">
        <v>252</v>
      </c>
      <c r="H11" s="2">
        <f ca="1">SUM(J11:BQ11)</f>
        <v>3718654.3045475697</v>
      </c>
      <c r="I11"/>
      <c r="J11" s="2">
        <f t="shared" ref="J11:AO11" si="2">J10/$F9</f>
        <v>0</v>
      </c>
      <c r="K11" s="2">
        <f t="shared" ca="1" si="2"/>
        <v>7291.666666666667</v>
      </c>
      <c r="L11" s="2">
        <f t="shared" ca="1" si="2"/>
        <v>7291.666666666667</v>
      </c>
      <c r="M11" s="2">
        <f t="shared" ca="1" si="2"/>
        <v>7291.666666666667</v>
      </c>
      <c r="N11" s="2">
        <f t="shared" ca="1" si="2"/>
        <v>7291.666666666667</v>
      </c>
      <c r="O11" s="2">
        <f t="shared" ca="1" si="2"/>
        <v>7291.666666666667</v>
      </c>
      <c r="P11" s="2">
        <f t="shared" ca="1" si="2"/>
        <v>7291.666666666667</v>
      </c>
      <c r="Q11" s="2">
        <f t="shared" ca="1" si="2"/>
        <v>14583.333333333334</v>
      </c>
      <c r="R11" s="2">
        <f t="shared" ca="1" si="2"/>
        <v>14583.333333333334</v>
      </c>
      <c r="S11" s="2">
        <f t="shared" ca="1" si="2"/>
        <v>14583.333333333334</v>
      </c>
      <c r="T11" s="2">
        <f t="shared" ca="1" si="2"/>
        <v>14583.333333333334</v>
      </c>
      <c r="U11" s="2">
        <f t="shared" ca="1" si="2"/>
        <v>14583.333333333334</v>
      </c>
      <c r="V11" s="2">
        <f t="shared" ca="1" si="2"/>
        <v>14583.333333333334</v>
      </c>
      <c r="W11" s="2">
        <f t="shared" ca="1" si="2"/>
        <v>21875</v>
      </c>
      <c r="X11" s="2">
        <f t="shared" ca="1" si="2"/>
        <v>21875</v>
      </c>
      <c r="Y11" s="2">
        <f t="shared" ca="1" si="2"/>
        <v>21875</v>
      </c>
      <c r="Z11" s="2">
        <f t="shared" ca="1" si="2"/>
        <v>21875</v>
      </c>
      <c r="AA11" s="2">
        <f t="shared" ca="1" si="2"/>
        <v>29166.666666666668</v>
      </c>
      <c r="AB11" s="2">
        <f t="shared" ca="1" si="2"/>
        <v>29166.666666666668</v>
      </c>
      <c r="AC11" s="2">
        <f t="shared" ca="1" si="2"/>
        <v>29166.666666666668</v>
      </c>
      <c r="AD11" s="2">
        <f t="shared" ca="1" si="2"/>
        <v>29166.666666666668</v>
      </c>
      <c r="AE11" s="2">
        <f t="shared" ca="1" si="2"/>
        <v>36458.333333333336</v>
      </c>
      <c r="AF11" s="2">
        <f t="shared" ca="1" si="2"/>
        <v>36458.333333333336</v>
      </c>
      <c r="AG11" s="2">
        <f t="shared" ca="1" si="2"/>
        <v>36458.333333333336</v>
      </c>
      <c r="AH11" s="2">
        <f t="shared" ca="1" si="2"/>
        <v>43750</v>
      </c>
      <c r="AI11" s="2">
        <f t="shared" ca="1" si="2"/>
        <v>43020.833333333336</v>
      </c>
      <c r="AJ11" s="2">
        <f t="shared" ca="1" si="2"/>
        <v>49539.118573052401</v>
      </c>
      <c r="AK11" s="2">
        <f t="shared" ca="1" si="2"/>
        <v>48720.397574080678</v>
      </c>
      <c r="AL11" s="2">
        <f t="shared" ca="1" si="2"/>
        <v>47852.031474254327</v>
      </c>
      <c r="AM11" s="2">
        <f t="shared" ca="1" si="2"/>
        <v>54222.676591119911</v>
      </c>
      <c r="AN11" s="2">
        <f t="shared" ca="1" si="2"/>
        <v>53247.660050699786</v>
      </c>
      <c r="AO11" s="2">
        <f t="shared" ca="1" si="2"/>
        <v>52213.521056421894</v>
      </c>
      <c r="AP11" s="2">
        <f t="shared" ref="AP11:BU11" ca="1" si="3">AP10/$F9</f>
        <v>58410.422215449624</v>
      </c>
      <c r="AQ11" s="2">
        <f t="shared" ca="1" si="3"/>
        <v>57249.272989661084</v>
      </c>
      <c r="AR11" s="2">
        <f t="shared" ca="1" si="3"/>
        <v>63309.38137727938</v>
      </c>
      <c r="AS11" s="2">
        <f t="shared" ca="1" si="3"/>
        <v>62010.154079991386</v>
      </c>
      <c r="AT11" s="2">
        <f t="shared" ca="1" si="3"/>
        <v>67924.033333774001</v>
      </c>
      <c r="AU11" s="2">
        <f t="shared" ca="1" si="3"/>
        <v>73757.36666710733</v>
      </c>
      <c r="AV11" s="2">
        <f t="shared" ca="1" si="3"/>
        <v>72209.261129102801</v>
      </c>
      <c r="AW11" s="2">
        <f t="shared" ca="1" si="3"/>
        <v>77862.192119710628</v>
      </c>
      <c r="AX11" s="2">
        <f t="shared" ca="1" si="3"/>
        <v>83415.894433448266</v>
      </c>
      <c r="AY11" s="2">
        <f t="shared" ca="1" si="3"/>
        <v>81572.692911579637</v>
      </c>
      <c r="AZ11" s="2">
        <f t="shared" ca="1" si="3"/>
        <v>86913.252229360107</v>
      </c>
      <c r="BA11" s="2">
        <f t="shared" ca="1" si="3"/>
        <v>92135.66814946504</v>
      </c>
      <c r="BB11" s="2">
        <f t="shared" ca="1" si="3"/>
        <v>97236.94473105199</v>
      </c>
      <c r="BC11" s="2">
        <f t="shared" ca="1" si="3"/>
        <v>102204.36056633275</v>
      </c>
      <c r="BD11" s="2">
        <f t="shared" ca="1" si="3"/>
        <v>107030.97231825652</v>
      </c>
      <c r="BE11" s="2">
        <f t="shared" ca="1" si="3"/>
        <v>111723.08859276578</v>
      </c>
      <c r="BF11" s="2">
        <f t="shared" ca="1" si="3"/>
        <v>116257.72302187124</v>
      </c>
      <c r="BG11" s="2">
        <f t="shared" ca="1" si="3"/>
        <v>119974.62784057531</v>
      </c>
      <c r="BH11" s="2">
        <f t="shared" ca="1" si="3"/>
        <v>123474.93471179072</v>
      </c>
      <c r="BI11" s="2">
        <f t="shared" ca="1" si="3"/>
        <v>126753.14301937963</v>
      </c>
      <c r="BJ11" s="2">
        <f t="shared" ca="1" si="3"/>
        <v>129788.17237048752</v>
      </c>
      <c r="BK11" s="2">
        <f t="shared" ca="1" si="3"/>
        <v>132565.28833724195</v>
      </c>
      <c r="BL11" s="2">
        <f t="shared" ca="1" si="3"/>
        <v>135077.9410764291</v>
      </c>
      <c r="BM11" s="2">
        <f t="shared" ca="1" si="3"/>
        <v>137301.02917035882</v>
      </c>
      <c r="BN11" s="2">
        <f t="shared" ca="1" si="3"/>
        <v>139227.19897549841</v>
      </c>
      <c r="BO11" s="2">
        <f t="shared" ca="1" si="3"/>
        <v>140826.30550543399</v>
      </c>
      <c r="BP11" s="2">
        <f t="shared" ca="1" si="3"/>
        <v>142080.42869221538</v>
      </c>
      <c r="BQ11" s="2">
        <f t="shared" ca="1" si="3"/>
        <v>143004.64866232162</v>
      </c>
    </row>
    <row r="12" spans="1:69">
      <c r="A12" s="31"/>
      <c r="B12" s="31"/>
      <c r="C12" s="51"/>
      <c r="D12" s="50"/>
      <c r="E12" s="3" t="str">
        <f>LEFT($E$11,LEN($E$11)-3)</f>
        <v xml:space="preserve">Depreciation this period </v>
      </c>
      <c r="F12" s="3"/>
      <c r="G12" s="3" t="str">
        <f>G$11</f>
        <v>GBP</v>
      </c>
      <c r="H12" s="3">
        <f ca="1">SUM(J12:BQ12)</f>
        <v>-3718654.3045475697</v>
      </c>
      <c r="I12" s="3"/>
      <c r="J12" s="3">
        <f t="shared" ref="J12:AO12" si="4">-1*J11</f>
        <v>0</v>
      </c>
      <c r="K12" s="3">
        <f t="shared" ca="1" si="4"/>
        <v>-7291.666666666667</v>
      </c>
      <c r="L12" s="3">
        <f t="shared" ca="1" si="4"/>
        <v>-7291.666666666667</v>
      </c>
      <c r="M12" s="3">
        <f t="shared" ca="1" si="4"/>
        <v>-7291.666666666667</v>
      </c>
      <c r="N12" s="3">
        <f t="shared" ca="1" si="4"/>
        <v>-7291.666666666667</v>
      </c>
      <c r="O12" s="3">
        <f t="shared" ca="1" si="4"/>
        <v>-7291.666666666667</v>
      </c>
      <c r="P12" s="3">
        <f t="shared" ca="1" si="4"/>
        <v>-7291.666666666667</v>
      </c>
      <c r="Q12" s="3">
        <f t="shared" ca="1" si="4"/>
        <v>-14583.333333333334</v>
      </c>
      <c r="R12" s="3">
        <f t="shared" ca="1" si="4"/>
        <v>-14583.333333333334</v>
      </c>
      <c r="S12" s="3">
        <f t="shared" ca="1" si="4"/>
        <v>-14583.333333333334</v>
      </c>
      <c r="T12" s="3">
        <f t="shared" ca="1" si="4"/>
        <v>-14583.333333333334</v>
      </c>
      <c r="U12" s="3">
        <f t="shared" ca="1" si="4"/>
        <v>-14583.333333333334</v>
      </c>
      <c r="V12" s="3">
        <f t="shared" ca="1" si="4"/>
        <v>-14583.333333333334</v>
      </c>
      <c r="W12" s="3">
        <f t="shared" ca="1" si="4"/>
        <v>-21875</v>
      </c>
      <c r="X12" s="3">
        <f t="shared" ca="1" si="4"/>
        <v>-21875</v>
      </c>
      <c r="Y12" s="3">
        <f t="shared" ca="1" si="4"/>
        <v>-21875</v>
      </c>
      <c r="Z12" s="3">
        <f t="shared" ca="1" si="4"/>
        <v>-21875</v>
      </c>
      <c r="AA12" s="3">
        <f t="shared" ca="1" si="4"/>
        <v>-29166.666666666668</v>
      </c>
      <c r="AB12" s="3">
        <f t="shared" ca="1" si="4"/>
        <v>-29166.666666666668</v>
      </c>
      <c r="AC12" s="3">
        <f t="shared" ca="1" si="4"/>
        <v>-29166.666666666668</v>
      </c>
      <c r="AD12" s="3">
        <f t="shared" ca="1" si="4"/>
        <v>-29166.666666666668</v>
      </c>
      <c r="AE12" s="3">
        <f t="shared" ca="1" si="4"/>
        <v>-36458.333333333336</v>
      </c>
      <c r="AF12" s="3">
        <f t="shared" ca="1" si="4"/>
        <v>-36458.333333333336</v>
      </c>
      <c r="AG12" s="3">
        <f t="shared" ca="1" si="4"/>
        <v>-36458.333333333336</v>
      </c>
      <c r="AH12" s="3">
        <f t="shared" ca="1" si="4"/>
        <v>-43750</v>
      </c>
      <c r="AI12" s="3">
        <f t="shared" ca="1" si="4"/>
        <v>-43020.833333333336</v>
      </c>
      <c r="AJ12" s="3">
        <f t="shared" ca="1" si="4"/>
        <v>-49539.118573052401</v>
      </c>
      <c r="AK12" s="3">
        <f t="shared" ca="1" si="4"/>
        <v>-48720.397574080678</v>
      </c>
      <c r="AL12" s="3">
        <f t="shared" ca="1" si="4"/>
        <v>-47852.031474254327</v>
      </c>
      <c r="AM12" s="3">
        <f t="shared" ca="1" si="4"/>
        <v>-54222.676591119911</v>
      </c>
      <c r="AN12" s="3">
        <f t="shared" ca="1" si="4"/>
        <v>-53247.660050699786</v>
      </c>
      <c r="AO12" s="3">
        <f t="shared" ca="1" si="4"/>
        <v>-52213.521056421894</v>
      </c>
      <c r="AP12" s="3">
        <f t="shared" ref="AP12:BU12" ca="1" si="5">-1*AP11</f>
        <v>-58410.422215449624</v>
      </c>
      <c r="AQ12" s="3">
        <f t="shared" ca="1" si="5"/>
        <v>-57249.272989661084</v>
      </c>
      <c r="AR12" s="3">
        <f t="shared" ca="1" si="5"/>
        <v>-63309.38137727938</v>
      </c>
      <c r="AS12" s="3">
        <f t="shared" ca="1" si="5"/>
        <v>-62010.154079991386</v>
      </c>
      <c r="AT12" s="3">
        <f t="shared" ca="1" si="5"/>
        <v>-67924.033333774001</v>
      </c>
      <c r="AU12" s="3">
        <f t="shared" ca="1" si="5"/>
        <v>-73757.36666710733</v>
      </c>
      <c r="AV12" s="3">
        <f t="shared" ca="1" si="5"/>
        <v>-72209.261129102801</v>
      </c>
      <c r="AW12" s="3">
        <f t="shared" ca="1" si="5"/>
        <v>-77862.192119710628</v>
      </c>
      <c r="AX12" s="3">
        <f t="shared" ca="1" si="5"/>
        <v>-83415.894433448266</v>
      </c>
      <c r="AY12" s="3">
        <f t="shared" ca="1" si="5"/>
        <v>-81572.692911579637</v>
      </c>
      <c r="AZ12" s="3">
        <f t="shared" ca="1" si="5"/>
        <v>-86913.252229360107</v>
      </c>
      <c r="BA12" s="3">
        <f t="shared" ca="1" si="5"/>
        <v>-92135.66814946504</v>
      </c>
      <c r="BB12" s="3">
        <f t="shared" ca="1" si="5"/>
        <v>-97236.94473105199</v>
      </c>
      <c r="BC12" s="3">
        <f t="shared" ca="1" si="5"/>
        <v>-102204.36056633275</v>
      </c>
      <c r="BD12" s="3">
        <f t="shared" ca="1" si="5"/>
        <v>-107030.97231825652</v>
      </c>
      <c r="BE12" s="3">
        <f t="shared" ca="1" si="5"/>
        <v>-111723.08859276578</v>
      </c>
      <c r="BF12" s="3">
        <f t="shared" ca="1" si="5"/>
        <v>-116257.72302187124</v>
      </c>
      <c r="BG12" s="3">
        <f t="shared" ca="1" si="5"/>
        <v>-119974.62784057531</v>
      </c>
      <c r="BH12" s="3">
        <f t="shared" ca="1" si="5"/>
        <v>-123474.93471179072</v>
      </c>
      <c r="BI12" s="3">
        <f t="shared" ca="1" si="5"/>
        <v>-126753.14301937963</v>
      </c>
      <c r="BJ12" s="3">
        <f t="shared" ca="1" si="5"/>
        <v>-129788.17237048752</v>
      </c>
      <c r="BK12" s="3">
        <f t="shared" ca="1" si="5"/>
        <v>-132565.28833724195</v>
      </c>
      <c r="BL12" s="3">
        <f t="shared" ca="1" si="5"/>
        <v>-135077.9410764291</v>
      </c>
      <c r="BM12" s="3">
        <f t="shared" ca="1" si="5"/>
        <v>-137301.02917035882</v>
      </c>
      <c r="BN12" s="3">
        <f t="shared" ca="1" si="5"/>
        <v>-139227.19897549841</v>
      </c>
      <c r="BO12" s="3">
        <f t="shared" ca="1" si="5"/>
        <v>-140826.30550543399</v>
      </c>
      <c r="BP12" s="3">
        <f t="shared" ca="1" si="5"/>
        <v>-142080.42869221538</v>
      </c>
      <c r="BQ12" s="3">
        <f t="shared" ca="1" si="5"/>
        <v>-143004.64866232162</v>
      </c>
    </row>
    <row r="15" spans="1:69">
      <c r="B15" s="22" t="s">
        <v>109</v>
      </c>
    </row>
    <row r="16" spans="1:69" s="64" customFormat="1">
      <c r="A16" s="46"/>
      <c r="B16" s="46"/>
      <c r="C16" s="65"/>
      <c r="D16" s="63"/>
      <c r="E16" s="34" t="str">
        <f>InpC!E$49</f>
        <v>Opening Inventory</v>
      </c>
      <c r="F16" s="34">
        <f>InpC!F$49</f>
        <v>0</v>
      </c>
      <c r="G16" s="34" t="str">
        <f>InpC!G$49</f>
        <v>GBP</v>
      </c>
    </row>
    <row r="17" spans="1:69">
      <c r="A17" s="17"/>
      <c r="B17" s="17"/>
      <c r="C17" s="26"/>
      <c r="D17" s="27"/>
      <c r="E17" s="10" t="str">
        <f>Time!E$28</f>
        <v>Period number</v>
      </c>
      <c r="F17" s="10">
        <f>Time!F$28</f>
        <v>0</v>
      </c>
      <c r="G17" s="10" t="str">
        <f>Time!G$28</f>
        <v>Counter</v>
      </c>
      <c r="H17" s="10">
        <f>Time!H$28</f>
        <v>0</v>
      </c>
      <c r="I17" s="10">
        <f>Time!I$28</f>
        <v>0</v>
      </c>
      <c r="J17" s="10">
        <f>Time!J$28</f>
        <v>1</v>
      </c>
      <c r="K17" s="10">
        <f>Time!K$28</f>
        <v>2</v>
      </c>
      <c r="L17" s="10">
        <f>Time!L$28</f>
        <v>3</v>
      </c>
      <c r="M17" s="10">
        <f>Time!M$28</f>
        <v>4</v>
      </c>
      <c r="N17" s="10">
        <f>Time!N$28</f>
        <v>5</v>
      </c>
      <c r="O17" s="10">
        <f>Time!O$28</f>
        <v>6</v>
      </c>
      <c r="P17" s="10">
        <f>Time!P$28</f>
        <v>7</v>
      </c>
      <c r="Q17" s="10">
        <f>Time!Q$28</f>
        <v>8</v>
      </c>
      <c r="R17" s="10">
        <f>Time!R$28</f>
        <v>9</v>
      </c>
      <c r="S17" s="10">
        <f>Time!S$28</f>
        <v>10</v>
      </c>
      <c r="T17" s="10">
        <f>Time!T$28</f>
        <v>11</v>
      </c>
      <c r="U17" s="10">
        <f>Time!U$28</f>
        <v>12</v>
      </c>
      <c r="V17" s="10">
        <f>Time!V$28</f>
        <v>13</v>
      </c>
      <c r="W17" s="10">
        <f>Time!W$28</f>
        <v>14</v>
      </c>
      <c r="X17" s="10">
        <f>Time!X$28</f>
        <v>15</v>
      </c>
      <c r="Y17" s="10">
        <f>Time!Y$28</f>
        <v>16</v>
      </c>
      <c r="Z17" s="10">
        <f>Time!Z$28</f>
        <v>17</v>
      </c>
      <c r="AA17" s="10">
        <f>Time!AA$28</f>
        <v>18</v>
      </c>
      <c r="AB17" s="10">
        <f>Time!AB$28</f>
        <v>19</v>
      </c>
      <c r="AC17" s="10">
        <f>Time!AC$28</f>
        <v>20</v>
      </c>
      <c r="AD17" s="10">
        <f>Time!AD$28</f>
        <v>21</v>
      </c>
      <c r="AE17" s="10">
        <f>Time!AE$28</f>
        <v>22</v>
      </c>
      <c r="AF17" s="10">
        <f>Time!AF$28</f>
        <v>23</v>
      </c>
      <c r="AG17" s="10">
        <f>Time!AG$28</f>
        <v>24</v>
      </c>
      <c r="AH17" s="10">
        <f>Time!AH$28</f>
        <v>25</v>
      </c>
      <c r="AI17" s="10">
        <f>Time!AI$28</f>
        <v>26</v>
      </c>
      <c r="AJ17" s="10">
        <f>Time!AJ$28</f>
        <v>27</v>
      </c>
      <c r="AK17" s="10">
        <f>Time!AK$28</f>
        <v>28</v>
      </c>
      <c r="AL17" s="10">
        <f>Time!AL$28</f>
        <v>29</v>
      </c>
      <c r="AM17" s="10">
        <f>Time!AM$28</f>
        <v>30</v>
      </c>
      <c r="AN17" s="10">
        <f>Time!AN$28</f>
        <v>31</v>
      </c>
      <c r="AO17" s="10">
        <f>Time!AO$28</f>
        <v>32</v>
      </c>
      <c r="AP17" s="10">
        <f>Time!AP$28</f>
        <v>33</v>
      </c>
      <c r="AQ17" s="10">
        <f>Time!AQ$28</f>
        <v>34</v>
      </c>
      <c r="AR17" s="10">
        <f>Time!AR$28</f>
        <v>35</v>
      </c>
      <c r="AS17" s="10">
        <f>Time!AS$28</f>
        <v>36</v>
      </c>
      <c r="AT17" s="10">
        <f>Time!AT$28</f>
        <v>37</v>
      </c>
      <c r="AU17" s="10">
        <f>Time!AU$28</f>
        <v>38</v>
      </c>
      <c r="AV17" s="10">
        <f>Time!AV$28</f>
        <v>39</v>
      </c>
      <c r="AW17" s="10">
        <f>Time!AW$28</f>
        <v>40</v>
      </c>
      <c r="AX17" s="10">
        <f>Time!AX$28</f>
        <v>41</v>
      </c>
      <c r="AY17" s="10">
        <f>Time!AY$28</f>
        <v>42</v>
      </c>
      <c r="AZ17" s="10">
        <f>Time!AZ$28</f>
        <v>43</v>
      </c>
      <c r="BA17" s="10">
        <f>Time!BA$28</f>
        <v>44</v>
      </c>
      <c r="BB17" s="10">
        <f>Time!BB$28</f>
        <v>45</v>
      </c>
      <c r="BC17" s="10">
        <f>Time!BC$28</f>
        <v>46</v>
      </c>
      <c r="BD17" s="10">
        <f>Time!BD$28</f>
        <v>47</v>
      </c>
      <c r="BE17" s="10">
        <f>Time!BE$28</f>
        <v>48</v>
      </c>
      <c r="BF17" s="10">
        <f>Time!BF$28</f>
        <v>49</v>
      </c>
      <c r="BG17" s="10">
        <f>Time!BG$28</f>
        <v>50</v>
      </c>
      <c r="BH17" s="10">
        <f>Time!BH$28</f>
        <v>51</v>
      </c>
      <c r="BI17" s="10">
        <f>Time!BI$28</f>
        <v>52</v>
      </c>
      <c r="BJ17" s="10">
        <f>Time!BJ$28</f>
        <v>53</v>
      </c>
      <c r="BK17" s="10">
        <f>Time!BK$28</f>
        <v>54</v>
      </c>
      <c r="BL17" s="10">
        <f>Time!BL$28</f>
        <v>55</v>
      </c>
      <c r="BM17" s="10">
        <f>Time!BM$28</f>
        <v>56</v>
      </c>
      <c r="BN17" s="10">
        <f>Time!BN$28</f>
        <v>57</v>
      </c>
      <c r="BO17" s="10">
        <f>Time!BO$28</f>
        <v>58</v>
      </c>
      <c r="BP17" s="10">
        <f>Time!BP$28</f>
        <v>59</v>
      </c>
      <c r="BQ17" s="10">
        <f>Time!BQ$28</f>
        <v>60</v>
      </c>
    </row>
    <row r="18" spans="1:69" ht="14.5">
      <c r="E18" s="2" t="s">
        <v>199</v>
      </c>
      <c r="F18"/>
      <c r="G18" s="2" t="s">
        <v>252</v>
      </c>
      <c r="H18"/>
      <c r="I18"/>
      <c r="J18" s="2">
        <f t="shared" ref="J18:AO18" si="6">I21</f>
        <v>0</v>
      </c>
      <c r="K18" s="2">
        <f t="shared" ca="1" si="6"/>
        <v>175000</v>
      </c>
      <c r="L18" s="2">
        <f t="shared" ca="1" si="6"/>
        <v>175000</v>
      </c>
      <c r="M18" s="2">
        <f t="shared" ca="1" si="6"/>
        <v>175000</v>
      </c>
      <c r="N18" s="2">
        <f t="shared" ca="1" si="6"/>
        <v>175000</v>
      </c>
      <c r="O18" s="2">
        <f t="shared" ca="1" si="6"/>
        <v>175000</v>
      </c>
      <c r="P18" s="2">
        <f t="shared" ca="1" si="6"/>
        <v>175000</v>
      </c>
      <c r="Q18" s="2">
        <f t="shared" ca="1" si="6"/>
        <v>350000</v>
      </c>
      <c r="R18" s="2">
        <f t="shared" ca="1" si="6"/>
        <v>350000</v>
      </c>
      <c r="S18" s="2">
        <f t="shared" ca="1" si="6"/>
        <v>350000</v>
      </c>
      <c r="T18" s="2">
        <f t="shared" ca="1" si="6"/>
        <v>350000</v>
      </c>
      <c r="U18" s="2">
        <f t="shared" ca="1" si="6"/>
        <v>350000</v>
      </c>
      <c r="V18" s="2">
        <f t="shared" ca="1" si="6"/>
        <v>350000</v>
      </c>
      <c r="W18" s="2">
        <f t="shared" ca="1" si="6"/>
        <v>525000</v>
      </c>
      <c r="X18" s="2">
        <f t="shared" ca="1" si="6"/>
        <v>525000</v>
      </c>
      <c r="Y18" s="2">
        <f t="shared" ca="1" si="6"/>
        <v>525000</v>
      </c>
      <c r="Z18" s="2">
        <f t="shared" ca="1" si="6"/>
        <v>525000</v>
      </c>
      <c r="AA18" s="2">
        <f t="shared" ca="1" si="6"/>
        <v>700000</v>
      </c>
      <c r="AB18" s="2">
        <f t="shared" ca="1" si="6"/>
        <v>700000</v>
      </c>
      <c r="AC18" s="2">
        <f t="shared" ca="1" si="6"/>
        <v>700000</v>
      </c>
      <c r="AD18" s="2">
        <f t="shared" ca="1" si="6"/>
        <v>700000</v>
      </c>
      <c r="AE18" s="2">
        <f t="shared" ca="1" si="6"/>
        <v>875000</v>
      </c>
      <c r="AF18" s="2">
        <f t="shared" ca="1" si="6"/>
        <v>875000</v>
      </c>
      <c r="AG18" s="2">
        <f t="shared" ca="1" si="6"/>
        <v>875000</v>
      </c>
      <c r="AH18" s="2">
        <f t="shared" ca="1" si="6"/>
        <v>1050000</v>
      </c>
      <c r="AI18" s="2">
        <f t="shared" ca="1" si="6"/>
        <v>1032500</v>
      </c>
      <c r="AJ18" s="2">
        <f t="shared" ca="1" si="6"/>
        <v>1188938.8457532576</v>
      </c>
      <c r="AK18" s="2">
        <f t="shared" ca="1" si="6"/>
        <v>1169289.5417779363</v>
      </c>
      <c r="AL18" s="2">
        <f t="shared" ca="1" si="6"/>
        <v>1148448.7553821038</v>
      </c>
      <c r="AM18" s="2">
        <f t="shared" ca="1" si="6"/>
        <v>1301344.2381868779</v>
      </c>
      <c r="AN18" s="2">
        <f t="shared" ca="1" si="6"/>
        <v>1277943.8412167949</v>
      </c>
      <c r="AO18" s="2">
        <f t="shared" ca="1" si="6"/>
        <v>1253124.5053541255</v>
      </c>
      <c r="AP18" s="2">
        <f t="shared" ref="AP18:BQ18" ca="1" si="7">AO21</f>
        <v>1401850.133170791</v>
      </c>
      <c r="AQ18" s="2">
        <f t="shared" ca="1" si="7"/>
        <v>1373982.551751866</v>
      </c>
      <c r="AR18" s="2">
        <f t="shared" ca="1" si="7"/>
        <v>1519425.1530547051</v>
      </c>
      <c r="AS18" s="2">
        <f t="shared" ca="1" si="7"/>
        <v>1488243.6979197932</v>
      </c>
      <c r="AT18" s="2">
        <f t="shared" ca="1" si="7"/>
        <v>1630176.8000105759</v>
      </c>
      <c r="AU18" s="2">
        <f t="shared" ca="1" si="7"/>
        <v>1770176.8000105759</v>
      </c>
      <c r="AV18" s="2">
        <f t="shared" ca="1" si="7"/>
        <v>1733022.2670984673</v>
      </c>
      <c r="AW18" s="2">
        <f t="shared" ca="1" si="7"/>
        <v>1868692.6108730552</v>
      </c>
      <c r="AX18" s="2">
        <f t="shared" ca="1" si="7"/>
        <v>2001981.4664027584</v>
      </c>
      <c r="AY18" s="2">
        <f t="shared" ca="1" si="7"/>
        <v>1957744.6298779114</v>
      </c>
      <c r="AZ18" s="2">
        <f t="shared" ca="1" si="7"/>
        <v>2085918.0535046426</v>
      </c>
      <c r="BA18" s="2">
        <f t="shared" ca="1" si="7"/>
        <v>2211256.0355871608</v>
      </c>
      <c r="BB18" s="2">
        <f t="shared" ca="1" si="7"/>
        <v>2333686.6735452479</v>
      </c>
      <c r="BC18" s="2">
        <f t="shared" ca="1" si="7"/>
        <v>2452904.6535919858</v>
      </c>
      <c r="BD18" s="2">
        <f t="shared" ca="1" si="7"/>
        <v>2568743.3356381566</v>
      </c>
      <c r="BE18" s="2">
        <f t="shared" ca="1" si="7"/>
        <v>2681354.1262263786</v>
      </c>
      <c r="BF18" s="2">
        <f t="shared" ca="1" si="7"/>
        <v>2790185.3525249097</v>
      </c>
      <c r="BG18" s="2">
        <f t="shared" ca="1" si="7"/>
        <v>2879391.0681738076</v>
      </c>
      <c r="BH18" s="2">
        <f t="shared" ca="1" si="7"/>
        <v>2963398.4330829773</v>
      </c>
      <c r="BI18" s="2">
        <f t="shared" ca="1" si="7"/>
        <v>3042075.4324651109</v>
      </c>
      <c r="BJ18" s="2">
        <f t="shared" ca="1" si="7"/>
        <v>3114916.1368917003</v>
      </c>
      <c r="BK18" s="2">
        <f t="shared" ca="1" si="7"/>
        <v>3181566.9200938065</v>
      </c>
      <c r="BL18" s="2">
        <f t="shared" ca="1" si="7"/>
        <v>3241870.5858342983</v>
      </c>
      <c r="BM18" s="2">
        <f t="shared" ca="1" si="7"/>
        <v>3295224.7000886113</v>
      </c>
      <c r="BN18" s="2">
        <f t="shared" ca="1" si="7"/>
        <v>3341452.7754119621</v>
      </c>
      <c r="BO18" s="2">
        <f t="shared" ca="1" si="7"/>
        <v>3379831.3321304158</v>
      </c>
      <c r="BP18" s="2">
        <f t="shared" ca="1" si="7"/>
        <v>3409930.2886131695</v>
      </c>
      <c r="BQ18" s="2">
        <f t="shared" ca="1" si="7"/>
        <v>3432111.5678957189</v>
      </c>
    </row>
    <row r="19" spans="1:69">
      <c r="A19" s="17"/>
      <c r="B19" s="17"/>
      <c r="C19" s="26"/>
      <c r="D19" s="27" t="s">
        <v>216</v>
      </c>
      <c r="E19" s="4" t="str">
        <f>Inventory!E$26</f>
        <v>Units ordered</v>
      </c>
      <c r="F19" s="4">
        <f>Inventory!F$26</f>
        <v>0</v>
      </c>
      <c r="G19" s="4" t="str">
        <f>Inventory!G$26</f>
        <v>Units</v>
      </c>
      <c r="H19" s="4">
        <f ca="1">Inventory!H$26</f>
        <v>165000</v>
      </c>
      <c r="I19" s="4">
        <f>Inventory!I$26</f>
        <v>0</v>
      </c>
      <c r="J19" s="4">
        <f ca="1">Inventory!J$26</f>
        <v>5000</v>
      </c>
      <c r="K19" s="4">
        <f ca="1">Inventory!K$26</f>
        <v>0</v>
      </c>
      <c r="L19" s="4">
        <f ca="1">Inventory!L$26</f>
        <v>0</v>
      </c>
      <c r="M19" s="4">
        <f ca="1">Inventory!M$26</f>
        <v>0</v>
      </c>
      <c r="N19" s="4">
        <f ca="1">Inventory!N$26</f>
        <v>0</v>
      </c>
      <c r="O19" s="4">
        <f ca="1">Inventory!O$26</f>
        <v>0</v>
      </c>
      <c r="P19" s="4">
        <f ca="1">Inventory!P$26</f>
        <v>5000</v>
      </c>
      <c r="Q19" s="4">
        <f ca="1">Inventory!Q$26</f>
        <v>0</v>
      </c>
      <c r="R19" s="4">
        <f ca="1">Inventory!R$26</f>
        <v>0</v>
      </c>
      <c r="S19" s="4">
        <f ca="1">Inventory!S$26</f>
        <v>0</v>
      </c>
      <c r="T19" s="4">
        <f ca="1">Inventory!T$26</f>
        <v>0</v>
      </c>
      <c r="U19" s="4">
        <f ca="1">Inventory!U$26</f>
        <v>0</v>
      </c>
      <c r="V19" s="4">
        <f ca="1">Inventory!V$26</f>
        <v>5000</v>
      </c>
      <c r="W19" s="4">
        <f ca="1">Inventory!W$26</f>
        <v>0</v>
      </c>
      <c r="X19" s="4">
        <f ca="1">Inventory!X$26</f>
        <v>0</v>
      </c>
      <c r="Y19" s="4">
        <f ca="1">Inventory!Y$26</f>
        <v>0</v>
      </c>
      <c r="Z19" s="4">
        <f ca="1">Inventory!Z$26</f>
        <v>5000</v>
      </c>
      <c r="AA19" s="4">
        <f ca="1">Inventory!AA$26</f>
        <v>0</v>
      </c>
      <c r="AB19" s="4">
        <f ca="1">Inventory!AB$26</f>
        <v>0</v>
      </c>
      <c r="AC19" s="4">
        <f ca="1">Inventory!AC$26</f>
        <v>0</v>
      </c>
      <c r="AD19" s="4">
        <f ca="1">Inventory!AD$26</f>
        <v>5000</v>
      </c>
      <c r="AE19" s="4">
        <f ca="1">Inventory!AE$26</f>
        <v>0</v>
      </c>
      <c r="AF19" s="4">
        <f ca="1">Inventory!AF$26</f>
        <v>0</v>
      </c>
      <c r="AG19" s="4">
        <f ca="1">Inventory!AG$26</f>
        <v>5000</v>
      </c>
      <c r="AH19" s="4">
        <f ca="1">Inventory!AH$26</f>
        <v>0</v>
      </c>
      <c r="AI19" s="4">
        <f ca="1">Inventory!AI$26</f>
        <v>5000</v>
      </c>
      <c r="AJ19" s="4">
        <f ca="1">Inventory!AJ$26</f>
        <v>0</v>
      </c>
      <c r="AK19" s="4">
        <f ca="1">Inventory!AK$26</f>
        <v>0</v>
      </c>
      <c r="AL19" s="4">
        <f ca="1">Inventory!AL$26</f>
        <v>5000</v>
      </c>
      <c r="AM19" s="4">
        <f ca="1">Inventory!AM$26</f>
        <v>0</v>
      </c>
      <c r="AN19" s="4">
        <f ca="1">Inventory!AN$26</f>
        <v>0</v>
      </c>
      <c r="AO19" s="4">
        <f ca="1">Inventory!AO$26</f>
        <v>5000</v>
      </c>
      <c r="AP19" s="4">
        <f ca="1">Inventory!AP$26</f>
        <v>0</v>
      </c>
      <c r="AQ19" s="4">
        <f ca="1">Inventory!AQ$26</f>
        <v>5000</v>
      </c>
      <c r="AR19" s="4">
        <f ca="1">Inventory!AR$26</f>
        <v>0</v>
      </c>
      <c r="AS19" s="4">
        <f ca="1">Inventory!AS$26</f>
        <v>5000</v>
      </c>
      <c r="AT19" s="4">
        <f ca="1">Inventory!AT$26</f>
        <v>5000</v>
      </c>
      <c r="AU19" s="4">
        <f ca="1">Inventory!AU$26</f>
        <v>0</v>
      </c>
      <c r="AV19" s="4">
        <f ca="1">Inventory!AV$26</f>
        <v>5000</v>
      </c>
      <c r="AW19" s="4">
        <f ca="1">Inventory!AW$26</f>
        <v>5000</v>
      </c>
      <c r="AX19" s="4">
        <f ca="1">Inventory!AX$26</f>
        <v>0</v>
      </c>
      <c r="AY19" s="4">
        <f ca="1">Inventory!AY$26</f>
        <v>5000</v>
      </c>
      <c r="AZ19" s="4">
        <f ca="1">Inventory!AZ$26</f>
        <v>5000</v>
      </c>
      <c r="BA19" s="4">
        <f ca="1">Inventory!BA$26</f>
        <v>5000</v>
      </c>
      <c r="BB19" s="4">
        <f ca="1">Inventory!BB$26</f>
        <v>5000</v>
      </c>
      <c r="BC19" s="4">
        <f ca="1">Inventory!BC$26</f>
        <v>5000</v>
      </c>
      <c r="BD19" s="4">
        <f ca="1">Inventory!BD$26</f>
        <v>5000</v>
      </c>
      <c r="BE19" s="4">
        <f ca="1">Inventory!BE$26</f>
        <v>5000</v>
      </c>
      <c r="BF19" s="4">
        <f ca="1">Inventory!BF$26</f>
        <v>5000</v>
      </c>
      <c r="BG19" s="4">
        <f ca="1">Inventory!BG$26</f>
        <v>5000</v>
      </c>
      <c r="BH19" s="4">
        <f ca="1">Inventory!BH$26</f>
        <v>5000</v>
      </c>
      <c r="BI19" s="4">
        <f ca="1">Inventory!BI$26</f>
        <v>5000</v>
      </c>
      <c r="BJ19" s="4">
        <f ca="1">Inventory!BJ$26</f>
        <v>5000</v>
      </c>
      <c r="BK19" s="4">
        <f ca="1">Inventory!BK$26</f>
        <v>5000</v>
      </c>
      <c r="BL19" s="4">
        <f ca="1">Inventory!BL$26</f>
        <v>5000</v>
      </c>
      <c r="BM19" s="4">
        <f ca="1">Inventory!BM$26</f>
        <v>5000</v>
      </c>
      <c r="BN19" s="4">
        <f ca="1">Inventory!BN$26</f>
        <v>5000</v>
      </c>
      <c r="BO19" s="4">
        <f ca="1">Inventory!BO$26</f>
        <v>5000</v>
      </c>
      <c r="BP19" s="4">
        <f ca="1">Inventory!BP$26</f>
        <v>5000</v>
      </c>
      <c r="BQ19" s="4">
        <f ca="1">Inventory!BQ$26</f>
        <v>5000</v>
      </c>
    </row>
    <row r="20" spans="1:69">
      <c r="A20" s="17"/>
      <c r="B20" s="17"/>
      <c r="C20" s="26"/>
      <c r="D20" s="27" t="s">
        <v>293</v>
      </c>
      <c r="E20" s="4" t="str">
        <f>Inventory!E$68</f>
        <v>Units retired</v>
      </c>
      <c r="F20" s="4">
        <f>Inventory!F$68</f>
        <v>0</v>
      </c>
      <c r="G20" s="4" t="str">
        <f>Inventory!G$68</f>
        <v>Units</v>
      </c>
      <c r="H20" s="4">
        <f ca="1">Inventory!H$68</f>
        <v>66570.387475079086</v>
      </c>
      <c r="I20" s="4">
        <f>Inventory!I$68</f>
        <v>0</v>
      </c>
      <c r="J20" s="4">
        <f ca="1">Inventory!J$68</f>
        <v>0</v>
      </c>
      <c r="K20" s="4">
        <f ca="1">Inventory!K$68</f>
        <v>0</v>
      </c>
      <c r="L20" s="4">
        <f ca="1">Inventory!L$68</f>
        <v>0</v>
      </c>
      <c r="M20" s="4">
        <f ca="1">Inventory!M$68</f>
        <v>0</v>
      </c>
      <c r="N20" s="4">
        <f ca="1">Inventory!N$68</f>
        <v>0</v>
      </c>
      <c r="O20" s="4">
        <f ca="1">Inventory!O$68</f>
        <v>0</v>
      </c>
      <c r="P20" s="4">
        <f ca="1">Inventory!P$68</f>
        <v>0</v>
      </c>
      <c r="Q20" s="4">
        <f ca="1">Inventory!Q$68</f>
        <v>0</v>
      </c>
      <c r="R20" s="4">
        <f ca="1">Inventory!R$68</f>
        <v>0</v>
      </c>
      <c r="S20" s="4">
        <f ca="1">Inventory!S$68</f>
        <v>0</v>
      </c>
      <c r="T20" s="4">
        <f ca="1">Inventory!T$68</f>
        <v>0</v>
      </c>
      <c r="U20" s="4">
        <f ca="1">Inventory!U$68</f>
        <v>0</v>
      </c>
      <c r="V20" s="4">
        <f ca="1">Inventory!V$68</f>
        <v>0</v>
      </c>
      <c r="W20" s="4">
        <f ca="1">Inventory!W$68</f>
        <v>0</v>
      </c>
      <c r="X20" s="4">
        <f ca="1">Inventory!X$68</f>
        <v>0</v>
      </c>
      <c r="Y20" s="4">
        <f ca="1">Inventory!Y$68</f>
        <v>0</v>
      </c>
      <c r="Z20" s="4">
        <f ca="1">Inventory!Z$68</f>
        <v>0</v>
      </c>
      <c r="AA20" s="4">
        <f ca="1">Inventory!AA$68</f>
        <v>0</v>
      </c>
      <c r="AB20" s="4">
        <f ca="1">Inventory!AB$68</f>
        <v>0</v>
      </c>
      <c r="AC20" s="4">
        <f ca="1">Inventory!AC$68</f>
        <v>0</v>
      </c>
      <c r="AD20" s="4">
        <f ca="1">Inventory!AD$68</f>
        <v>0</v>
      </c>
      <c r="AE20" s="4">
        <f ca="1">Inventory!AE$68</f>
        <v>0</v>
      </c>
      <c r="AF20" s="4">
        <f ca="1">Inventory!AF$68</f>
        <v>0</v>
      </c>
      <c r="AG20" s="4">
        <f ca="1">Inventory!AG$68</f>
        <v>0</v>
      </c>
      <c r="AH20" s="4">
        <f ca="1">Inventory!AH$68</f>
        <v>500</v>
      </c>
      <c r="AI20" s="4">
        <f ca="1">Inventory!AI$68</f>
        <v>530.31869276406599</v>
      </c>
      <c r="AJ20" s="4">
        <f ca="1">Inventory!AJ$68</f>
        <v>561.40868500918316</v>
      </c>
      <c r="AK20" s="4">
        <f ca="1">Inventory!AK$68</f>
        <v>595.4510398809266</v>
      </c>
      <c r="AL20" s="4">
        <f ca="1">Inventory!AL$68</f>
        <v>631.55763414931334</v>
      </c>
      <c r="AM20" s="4">
        <f ca="1">Inventory!AM$68</f>
        <v>668.58277057380337</v>
      </c>
      <c r="AN20" s="4">
        <f ca="1">Inventory!AN$68</f>
        <v>709.12388179055358</v>
      </c>
      <c r="AO20" s="4">
        <f ca="1">Inventory!AO$68</f>
        <v>750.69634809527076</v>
      </c>
      <c r="AP20" s="4">
        <f ca="1">Inventory!AP$68</f>
        <v>796.21661196928437</v>
      </c>
      <c r="AQ20" s="4">
        <f ca="1">Inventory!AQ$68</f>
        <v>844.49710563316887</v>
      </c>
      <c r="AR20" s="4">
        <f ca="1">Inventory!AR$68</f>
        <v>890.89871814033927</v>
      </c>
      <c r="AS20" s="4">
        <f ca="1">Inventory!AS$68</f>
        <v>944.76851169192605</v>
      </c>
      <c r="AT20" s="4">
        <f ca="1">Inventory!AT$68</f>
        <v>1000</v>
      </c>
      <c r="AU20" s="4">
        <f ca="1">Inventory!AU$68</f>
        <v>1061.5580832031035</v>
      </c>
      <c r="AV20" s="4">
        <f ca="1">Inventory!AV$68</f>
        <v>1123.704463583204</v>
      </c>
      <c r="AW20" s="4">
        <f ca="1">Inventory!AW$68</f>
        <v>1191.7469848656265</v>
      </c>
      <c r="AX20" s="4">
        <f ca="1">Inventory!AX$68</f>
        <v>1263.9096149956249</v>
      </c>
      <c r="AY20" s="4">
        <f ca="1">Inventory!AY$68</f>
        <v>1337.9021820933933</v>
      </c>
      <c r="AZ20" s="4">
        <f ca="1">Inventory!AZ$68</f>
        <v>1418.9147976423296</v>
      </c>
      <c r="BA20" s="4">
        <f ca="1">Inventory!BA$68</f>
        <v>1501.9817726260831</v>
      </c>
      <c r="BB20" s="4">
        <f ca="1">Inventory!BB$68</f>
        <v>1593.7719986646332</v>
      </c>
      <c r="BC20" s="4">
        <f ca="1">Inventory!BC$68</f>
        <v>1690.3233701094071</v>
      </c>
      <c r="BD20" s="4">
        <f ca="1">Inventory!BD$68</f>
        <v>1782.5488403365116</v>
      </c>
      <c r="BE20" s="4">
        <f ca="1">Inventory!BE$68</f>
        <v>1890.5363914705406</v>
      </c>
      <c r="BF20" s="4">
        <f ca="1">Inventory!BF$68</f>
        <v>2451.2652671743485</v>
      </c>
      <c r="BG20" s="4">
        <f ca="1">Inventory!BG$68</f>
        <v>2599.7895740237263</v>
      </c>
      <c r="BH20" s="4">
        <f ca="1">Inventory!BH$68</f>
        <v>2752.0857319390348</v>
      </c>
      <c r="BI20" s="4">
        <f ca="1">Inventory!BI$68</f>
        <v>2918.8370163831542</v>
      </c>
      <c r="BJ20" s="4">
        <f ca="1">Inventory!BJ$68</f>
        <v>3095.6919085112468</v>
      </c>
      <c r="BK20" s="4">
        <f ca="1">Inventory!BK$68</f>
        <v>3277.0381217002355</v>
      </c>
      <c r="BL20" s="4">
        <f ca="1">Inventory!BL$68</f>
        <v>3475.596735591052</v>
      </c>
      <c r="BM20" s="4">
        <f ca="1">Inventory!BM$68</f>
        <v>3679.1978479042591</v>
      </c>
      <c r="BN20" s="4">
        <f ca="1">Inventory!BN$68</f>
        <v>3903.4698080441717</v>
      </c>
      <c r="BO20" s="4">
        <f ca="1">Inventory!BO$68</f>
        <v>4140.0298147784615</v>
      </c>
      <c r="BP20" s="4">
        <f ca="1">Inventory!BP$68</f>
        <v>4366.2491633557374</v>
      </c>
      <c r="BQ20" s="4">
        <f ca="1">Inventory!BQ$68</f>
        <v>4630.7179863853571</v>
      </c>
    </row>
    <row r="21" spans="1:69" s="32" customFormat="1">
      <c r="A21" s="48"/>
      <c r="B21" s="48"/>
      <c r="C21" s="68"/>
      <c r="D21" s="69"/>
      <c r="E21" s="11" t="s">
        <v>109</v>
      </c>
      <c r="F21" s="11"/>
      <c r="G21" s="11" t="s">
        <v>252</v>
      </c>
      <c r="H21" s="11"/>
      <c r="I21" s="11">
        <f>IF(I17=0,$F16,I18+((I19-I20)*InpC!F34))</f>
        <v>0</v>
      </c>
      <c r="J21" s="11">
        <f ca="1">IF(J17=0,$F16,J18+((J19-J20)*InpC!F34))</f>
        <v>175000</v>
      </c>
      <c r="K21" s="11">
        <f ca="1">IF(K17=0,$F16,K18+((K19-K20)*InpC!F34))</f>
        <v>175000</v>
      </c>
      <c r="L21" s="11">
        <f ca="1">IF(L17=0,$F16,L18+((L19-L20)*InpC!F34))</f>
        <v>175000</v>
      </c>
      <c r="M21" s="11">
        <f ca="1">IF(M17=0,$F16,M18+((M19-M20)*InpC!F34))</f>
        <v>175000</v>
      </c>
      <c r="N21" s="11">
        <f ca="1">IF(N17=0,$F16,N18+((N19-N20)*InpC!F34))</f>
        <v>175000</v>
      </c>
      <c r="O21" s="11">
        <f ca="1">IF(O17=0,$F16,O18+((O19-O20)*InpC!F34))</f>
        <v>175000</v>
      </c>
      <c r="P21" s="11">
        <f ca="1">IF(P17=0,$F16,P18+((P19-P20)*InpC!F34))</f>
        <v>350000</v>
      </c>
      <c r="Q21" s="11">
        <f ca="1">IF(Q17=0,$F16,Q18+((Q19-Q20)*InpC!F34))</f>
        <v>350000</v>
      </c>
      <c r="R21" s="11">
        <f ca="1">IF(R17=0,$F16,R18+((R19-R20)*InpC!F34))</f>
        <v>350000</v>
      </c>
      <c r="S21" s="11">
        <f ca="1">IF(S17=0,$F16,S18+((S19-S20)*InpC!F34))</f>
        <v>350000</v>
      </c>
      <c r="T21" s="11">
        <f ca="1">IF(T17=0,$F16,T18+((T19-T20)*InpC!F34))</f>
        <v>350000</v>
      </c>
      <c r="U21" s="11">
        <f ca="1">IF(U17=0,$F16,U18+((U19-U20)*InpC!F34))</f>
        <v>350000</v>
      </c>
      <c r="V21" s="11">
        <f ca="1">IF(V17=0,$F16,V18+((V19-V20)*InpC!F34))</f>
        <v>525000</v>
      </c>
      <c r="W21" s="11">
        <f ca="1">IF(W17=0,$F16,W18+((W19-W20)*InpC!F34))</f>
        <v>525000</v>
      </c>
      <c r="X21" s="11">
        <f ca="1">IF(X17=0,$F16,X18+((X19-X20)*InpC!F34))</f>
        <v>525000</v>
      </c>
      <c r="Y21" s="11">
        <f ca="1">IF(Y17=0,$F16,Y18+((Y19-Y20)*InpC!F34))</f>
        <v>525000</v>
      </c>
      <c r="Z21" s="11">
        <f ca="1">IF(Z17=0,$F16,Z18+((Z19-Z20)*InpC!F34))</f>
        <v>700000</v>
      </c>
      <c r="AA21" s="11">
        <f ca="1">IF(AA17=0,$F16,AA18+((AA19-AA20)*InpC!F34))</f>
        <v>700000</v>
      </c>
      <c r="AB21" s="11">
        <f ca="1">IF(AB17=0,$F16,AB18+((AB19-AB20)*InpC!F34))</f>
        <v>700000</v>
      </c>
      <c r="AC21" s="11">
        <f ca="1">IF(AC17=0,$F16,AC18+((AC19-AC20)*InpC!F34))</f>
        <v>700000</v>
      </c>
      <c r="AD21" s="11">
        <f ca="1">IF(AD17=0,$F16,AD18+((AD19-AD20)*InpC!F34))</f>
        <v>875000</v>
      </c>
      <c r="AE21" s="11">
        <f ca="1">IF(AE17=0,$F16,AE18+((AE19-AE20)*InpC!F34))</f>
        <v>875000</v>
      </c>
      <c r="AF21" s="11">
        <f ca="1">IF(AF17=0,$F16,AF18+((AF19-AF20)*InpC!F34))</f>
        <v>875000</v>
      </c>
      <c r="AG21" s="11">
        <f ca="1">IF(AG17=0,$F16,AG18+((AG19-AG20)*InpC!F34))</f>
        <v>1050000</v>
      </c>
      <c r="AH21" s="11">
        <f ca="1">IF(AH17=0,$F16,AH18+((AH19-AH20)*InpC!F34))</f>
        <v>1032500</v>
      </c>
      <c r="AI21" s="11">
        <f ca="1">IF(AI17=0,$F16,AI18+((AI19-AI20)*InpC!F34))</f>
        <v>1188938.8457532576</v>
      </c>
      <c r="AJ21" s="11">
        <f ca="1">IF(AJ17=0,$F16,AJ18+((AJ19-AJ20)*InpC!F34))</f>
        <v>1169289.5417779363</v>
      </c>
      <c r="AK21" s="11">
        <f ca="1">IF(AK17=0,$F16,AK18+((AK19-AK20)*InpC!F34))</f>
        <v>1148448.7553821038</v>
      </c>
      <c r="AL21" s="11">
        <f ca="1">IF(AL17=0,$F16,AL18+((AL19-AL20)*InpC!F34))</f>
        <v>1301344.2381868779</v>
      </c>
      <c r="AM21" s="11">
        <f ca="1">IF(AM17=0,$F16,AM18+((AM19-AM20)*InpC!F34))</f>
        <v>1277943.8412167949</v>
      </c>
      <c r="AN21" s="11">
        <f ca="1">IF(AN17=0,$F16,AN18+((AN19-AN20)*InpC!F34))</f>
        <v>1253124.5053541255</v>
      </c>
      <c r="AO21" s="11">
        <f ca="1">IF(AO17=0,$F16,AO18+((AO19-AO20)*InpC!F34))</f>
        <v>1401850.133170791</v>
      </c>
      <c r="AP21" s="11">
        <f ca="1">IF(AP17=0,$F16,AP18+((AP19-AP20)*InpC!F34))</f>
        <v>1373982.551751866</v>
      </c>
      <c r="AQ21" s="11">
        <f ca="1">IF(AQ17=0,$F16,AQ18+((AQ19-AQ20)*InpC!F34))</f>
        <v>1519425.1530547051</v>
      </c>
      <c r="AR21" s="11">
        <f ca="1">IF(AR17=0,$F16,AR18+((AR19-AR20)*InpC!F34))</f>
        <v>1488243.6979197932</v>
      </c>
      <c r="AS21" s="11">
        <f ca="1">IF(AS17=0,$F16,AS18+((AS19-AS20)*InpC!F34))</f>
        <v>1630176.8000105759</v>
      </c>
      <c r="AT21" s="11">
        <f ca="1">IF(AT17=0,$F16,AT18+((AT19-AT20)*InpC!F34))</f>
        <v>1770176.8000105759</v>
      </c>
      <c r="AU21" s="11">
        <f ca="1">IF(AU17=0,$F16,AU18+((AU19-AU20)*InpC!F34))</f>
        <v>1733022.2670984673</v>
      </c>
      <c r="AV21" s="11">
        <f ca="1">IF(AV17=0,$F16,AV18+((AV19-AV20)*InpC!F34))</f>
        <v>1868692.6108730552</v>
      </c>
      <c r="AW21" s="11">
        <f ca="1">IF(AW17=0,$F16,AW18+((AW19-AW20)*InpC!F34))</f>
        <v>2001981.4664027584</v>
      </c>
      <c r="AX21" s="11">
        <f ca="1">IF(AX17=0,$F16,AX18+((AX19-AX20)*InpC!F34))</f>
        <v>1957744.6298779114</v>
      </c>
      <c r="AY21" s="11">
        <f ca="1">IF(AY17=0,$F16,AY18+((AY19-AY20)*InpC!F34))</f>
        <v>2085918.0535046426</v>
      </c>
      <c r="AZ21" s="11">
        <f ca="1">IF(AZ17=0,$F16,AZ18+((AZ19-AZ20)*InpC!F34))</f>
        <v>2211256.0355871608</v>
      </c>
      <c r="BA21" s="11">
        <f ca="1">IF(BA17=0,$F16,BA18+((BA19-BA20)*InpC!F34))</f>
        <v>2333686.6735452479</v>
      </c>
      <c r="BB21" s="11">
        <f ca="1">IF(BB17=0,$F16,BB18+((BB19-BB20)*InpC!F34))</f>
        <v>2452904.6535919858</v>
      </c>
      <c r="BC21" s="11">
        <f ca="1">IF(BC17=0,$F16,BC18+((BC19-BC20)*InpC!F34))</f>
        <v>2568743.3356381566</v>
      </c>
      <c r="BD21" s="11">
        <f ca="1">IF(BD17=0,$F16,BD18+((BD19-BD20)*InpC!F34))</f>
        <v>2681354.1262263786</v>
      </c>
      <c r="BE21" s="11">
        <f ca="1">IF(BE17=0,$F16,BE18+((BE19-BE20)*InpC!F34))</f>
        <v>2790185.3525249097</v>
      </c>
      <c r="BF21" s="11">
        <f ca="1">IF(BF17=0,$F16,BF18+((BF19-BF20)*InpC!F34))</f>
        <v>2879391.0681738076</v>
      </c>
      <c r="BG21" s="11">
        <f ca="1">IF(BG17=0,$F16,BG18+((BG19-BG20)*InpC!F34))</f>
        <v>2963398.4330829773</v>
      </c>
      <c r="BH21" s="11">
        <f ca="1">IF(BH17=0,$F16,BH18+((BH19-BH20)*InpC!F34))</f>
        <v>3042075.4324651109</v>
      </c>
      <c r="BI21" s="11">
        <f ca="1">IF(BI17=0,$F16,BI18+((BI19-BI20)*InpC!F34))</f>
        <v>3114916.1368917003</v>
      </c>
      <c r="BJ21" s="11">
        <f ca="1">IF(BJ17=0,$F16,BJ18+((BJ19-BJ20)*InpC!F34))</f>
        <v>3181566.9200938065</v>
      </c>
      <c r="BK21" s="11">
        <f ca="1">IF(BK17=0,$F16,BK18+((BK19-BK20)*InpC!F34))</f>
        <v>3241870.5858342983</v>
      </c>
      <c r="BL21" s="11">
        <f ca="1">IF(BL17=0,$F16,BL18+((BL19-BL20)*InpC!F34))</f>
        <v>3295224.7000886113</v>
      </c>
      <c r="BM21" s="11">
        <f ca="1">IF(BM17=0,$F16,BM18+((BM19-BM20)*InpC!F34))</f>
        <v>3341452.7754119621</v>
      </c>
      <c r="BN21" s="11">
        <f ca="1">IF(BN17=0,$F16,BN18+((BN19-BN20)*InpC!F34))</f>
        <v>3379831.3321304158</v>
      </c>
      <c r="BO21" s="11">
        <f ca="1">IF(BO17=0,$F16,BO18+((BO19-BO20)*InpC!F34))</f>
        <v>3409930.2886131695</v>
      </c>
      <c r="BP21" s="11">
        <f ca="1">IF(BP17=0,$F16,BP18+((BP19-BP20)*InpC!F34))</f>
        <v>3432111.5678957189</v>
      </c>
      <c r="BQ21" s="11">
        <f ca="1">IF(BQ17=0,$F16,BQ18+((BQ19-BQ20)*InpC!F34))</f>
        <v>3445036.4383722316</v>
      </c>
    </row>
    <row r="23" spans="1:69">
      <c r="B23" s="22" t="s">
        <v>60</v>
      </c>
    </row>
    <row r="24" spans="1:69" s="64" customFormat="1">
      <c r="A24" s="46"/>
      <c r="B24" s="46"/>
      <c r="C24" s="65"/>
      <c r="D24" s="63"/>
      <c r="E24" s="34" t="str">
        <f>InpC!E$45</f>
        <v>Opening Depreciation</v>
      </c>
      <c r="F24" s="34">
        <f>InpC!F$45</f>
        <v>0</v>
      </c>
      <c r="G24" s="34" t="str">
        <f>InpC!G$45</f>
        <v>GBP</v>
      </c>
    </row>
    <row r="25" spans="1:69">
      <c r="A25" s="17"/>
      <c r="B25" s="17"/>
      <c r="C25" s="26"/>
      <c r="D25" s="27"/>
      <c r="E25" s="10" t="str">
        <f>Time!E$28</f>
        <v>Period number</v>
      </c>
      <c r="F25" s="10">
        <f>Time!F$28</f>
        <v>0</v>
      </c>
      <c r="G25" s="10" t="str">
        <f>Time!G$28</f>
        <v>Counter</v>
      </c>
      <c r="H25" s="10">
        <f>Time!H$28</f>
        <v>0</v>
      </c>
      <c r="I25" s="10">
        <f>Time!I$28</f>
        <v>0</v>
      </c>
      <c r="J25" s="10">
        <f>Time!J$28</f>
        <v>1</v>
      </c>
      <c r="K25" s="10">
        <f>Time!K$28</f>
        <v>2</v>
      </c>
      <c r="L25" s="10">
        <f>Time!L$28</f>
        <v>3</v>
      </c>
      <c r="M25" s="10">
        <f>Time!M$28</f>
        <v>4</v>
      </c>
      <c r="N25" s="10">
        <f>Time!N$28</f>
        <v>5</v>
      </c>
      <c r="O25" s="10">
        <f>Time!O$28</f>
        <v>6</v>
      </c>
      <c r="P25" s="10">
        <f>Time!P$28</f>
        <v>7</v>
      </c>
      <c r="Q25" s="10">
        <f>Time!Q$28</f>
        <v>8</v>
      </c>
      <c r="R25" s="10">
        <f>Time!R$28</f>
        <v>9</v>
      </c>
      <c r="S25" s="10">
        <f>Time!S$28</f>
        <v>10</v>
      </c>
      <c r="T25" s="10">
        <f>Time!T$28</f>
        <v>11</v>
      </c>
      <c r="U25" s="10">
        <f>Time!U$28</f>
        <v>12</v>
      </c>
      <c r="V25" s="10">
        <f>Time!V$28</f>
        <v>13</v>
      </c>
      <c r="W25" s="10">
        <f>Time!W$28</f>
        <v>14</v>
      </c>
      <c r="X25" s="10">
        <f>Time!X$28</f>
        <v>15</v>
      </c>
      <c r="Y25" s="10">
        <f>Time!Y$28</f>
        <v>16</v>
      </c>
      <c r="Z25" s="10">
        <f>Time!Z$28</f>
        <v>17</v>
      </c>
      <c r="AA25" s="10">
        <f>Time!AA$28</f>
        <v>18</v>
      </c>
      <c r="AB25" s="10">
        <f>Time!AB$28</f>
        <v>19</v>
      </c>
      <c r="AC25" s="10">
        <f>Time!AC$28</f>
        <v>20</v>
      </c>
      <c r="AD25" s="10">
        <f>Time!AD$28</f>
        <v>21</v>
      </c>
      <c r="AE25" s="10">
        <f>Time!AE$28</f>
        <v>22</v>
      </c>
      <c r="AF25" s="10">
        <f>Time!AF$28</f>
        <v>23</v>
      </c>
      <c r="AG25" s="10">
        <f>Time!AG$28</f>
        <v>24</v>
      </c>
      <c r="AH25" s="10">
        <f>Time!AH$28</f>
        <v>25</v>
      </c>
      <c r="AI25" s="10">
        <f>Time!AI$28</f>
        <v>26</v>
      </c>
      <c r="AJ25" s="10">
        <f>Time!AJ$28</f>
        <v>27</v>
      </c>
      <c r="AK25" s="10">
        <f>Time!AK$28</f>
        <v>28</v>
      </c>
      <c r="AL25" s="10">
        <f>Time!AL$28</f>
        <v>29</v>
      </c>
      <c r="AM25" s="10">
        <f>Time!AM$28</f>
        <v>30</v>
      </c>
      <c r="AN25" s="10">
        <f>Time!AN$28</f>
        <v>31</v>
      </c>
      <c r="AO25" s="10">
        <f>Time!AO$28</f>
        <v>32</v>
      </c>
      <c r="AP25" s="10">
        <f>Time!AP$28</f>
        <v>33</v>
      </c>
      <c r="AQ25" s="10">
        <f>Time!AQ$28</f>
        <v>34</v>
      </c>
      <c r="AR25" s="10">
        <f>Time!AR$28</f>
        <v>35</v>
      </c>
      <c r="AS25" s="10">
        <f>Time!AS$28</f>
        <v>36</v>
      </c>
      <c r="AT25" s="10">
        <f>Time!AT$28</f>
        <v>37</v>
      </c>
      <c r="AU25" s="10">
        <f>Time!AU$28</f>
        <v>38</v>
      </c>
      <c r="AV25" s="10">
        <f>Time!AV$28</f>
        <v>39</v>
      </c>
      <c r="AW25" s="10">
        <f>Time!AW$28</f>
        <v>40</v>
      </c>
      <c r="AX25" s="10">
        <f>Time!AX$28</f>
        <v>41</v>
      </c>
      <c r="AY25" s="10">
        <f>Time!AY$28</f>
        <v>42</v>
      </c>
      <c r="AZ25" s="10">
        <f>Time!AZ$28</f>
        <v>43</v>
      </c>
      <c r="BA25" s="10">
        <f>Time!BA$28</f>
        <v>44</v>
      </c>
      <c r="BB25" s="10">
        <f>Time!BB$28</f>
        <v>45</v>
      </c>
      <c r="BC25" s="10">
        <f>Time!BC$28</f>
        <v>46</v>
      </c>
      <c r="BD25" s="10">
        <f>Time!BD$28</f>
        <v>47</v>
      </c>
      <c r="BE25" s="10">
        <f>Time!BE$28</f>
        <v>48</v>
      </c>
      <c r="BF25" s="10">
        <f>Time!BF$28</f>
        <v>49</v>
      </c>
      <c r="BG25" s="10">
        <f>Time!BG$28</f>
        <v>50</v>
      </c>
      <c r="BH25" s="10">
        <f>Time!BH$28</f>
        <v>51</v>
      </c>
      <c r="BI25" s="10">
        <f>Time!BI$28</f>
        <v>52</v>
      </c>
      <c r="BJ25" s="10">
        <f>Time!BJ$28</f>
        <v>53</v>
      </c>
      <c r="BK25" s="10">
        <f>Time!BK$28</f>
        <v>54</v>
      </c>
      <c r="BL25" s="10">
        <f>Time!BL$28</f>
        <v>55</v>
      </c>
      <c r="BM25" s="10">
        <f>Time!BM$28</f>
        <v>56</v>
      </c>
      <c r="BN25" s="10">
        <f>Time!BN$28</f>
        <v>57</v>
      </c>
      <c r="BO25" s="10">
        <f>Time!BO$28</f>
        <v>58</v>
      </c>
      <c r="BP25" s="10">
        <f>Time!BP$28</f>
        <v>59</v>
      </c>
      <c r="BQ25" s="10">
        <f>Time!BQ$28</f>
        <v>60</v>
      </c>
    </row>
    <row r="26" spans="1:69" ht="14.5">
      <c r="E26" s="2" t="s">
        <v>243</v>
      </c>
      <c r="G26" s="2" t="s">
        <v>252</v>
      </c>
      <c r="I26"/>
      <c r="J26" s="2">
        <f t="shared" ref="J26:AO26" si="8">I29</f>
        <v>0</v>
      </c>
      <c r="K26" s="2">
        <f t="shared" ca="1" si="8"/>
        <v>0</v>
      </c>
      <c r="L26" s="2">
        <f t="shared" ca="1" si="8"/>
        <v>7291.666666666667</v>
      </c>
      <c r="M26" s="2">
        <f t="shared" ca="1" si="8"/>
        <v>14583.333333333334</v>
      </c>
      <c r="N26" s="2">
        <f t="shared" ca="1" si="8"/>
        <v>21875</v>
      </c>
      <c r="O26" s="2">
        <f t="shared" ca="1" si="8"/>
        <v>29166.666666666668</v>
      </c>
      <c r="P26" s="2">
        <f t="shared" ca="1" si="8"/>
        <v>36458.333333333336</v>
      </c>
      <c r="Q26" s="2">
        <f t="shared" ca="1" si="8"/>
        <v>43750</v>
      </c>
      <c r="R26" s="2">
        <f t="shared" ca="1" si="8"/>
        <v>58333.333333333336</v>
      </c>
      <c r="S26" s="2">
        <f t="shared" ca="1" si="8"/>
        <v>72916.666666666672</v>
      </c>
      <c r="T26" s="2">
        <f t="shared" ca="1" si="8"/>
        <v>87500</v>
      </c>
      <c r="U26" s="2">
        <f t="shared" ca="1" si="8"/>
        <v>102083.33333333333</v>
      </c>
      <c r="V26" s="2">
        <f t="shared" ca="1" si="8"/>
        <v>116666.66666666666</v>
      </c>
      <c r="W26" s="2">
        <f t="shared" ca="1" si="8"/>
        <v>131250</v>
      </c>
      <c r="X26" s="2">
        <f t="shared" ca="1" si="8"/>
        <v>153125</v>
      </c>
      <c r="Y26" s="2">
        <f t="shared" ca="1" si="8"/>
        <v>175000</v>
      </c>
      <c r="Z26" s="2">
        <f t="shared" ca="1" si="8"/>
        <v>196875</v>
      </c>
      <c r="AA26" s="2">
        <f t="shared" ca="1" si="8"/>
        <v>218750</v>
      </c>
      <c r="AB26" s="2">
        <f t="shared" ca="1" si="8"/>
        <v>247916.66666666666</v>
      </c>
      <c r="AC26" s="2">
        <f t="shared" ca="1" si="8"/>
        <v>277083.33333333331</v>
      </c>
      <c r="AD26" s="2">
        <f t="shared" ca="1" si="8"/>
        <v>306250</v>
      </c>
      <c r="AE26" s="2">
        <f t="shared" ca="1" si="8"/>
        <v>335416.66666666669</v>
      </c>
      <c r="AF26" s="2">
        <f t="shared" ca="1" si="8"/>
        <v>371875</v>
      </c>
      <c r="AG26" s="2">
        <f t="shared" ca="1" si="8"/>
        <v>408333.33333333331</v>
      </c>
      <c r="AH26" s="2">
        <f t="shared" ca="1" si="8"/>
        <v>444791.66666666663</v>
      </c>
      <c r="AI26" s="2">
        <f t="shared" ca="1" si="8"/>
        <v>471041.66666666663</v>
      </c>
      <c r="AJ26" s="2">
        <f t="shared" ca="1" si="8"/>
        <v>495501.34575325763</v>
      </c>
      <c r="AK26" s="2">
        <f t="shared" ca="1" si="8"/>
        <v>525391.16035098862</v>
      </c>
      <c r="AL26" s="2">
        <f t="shared" ca="1" si="8"/>
        <v>553270.77152923681</v>
      </c>
      <c r="AM26" s="2">
        <f t="shared" ca="1" si="8"/>
        <v>579018.28580826521</v>
      </c>
      <c r="AN26" s="2">
        <f t="shared" ca="1" si="8"/>
        <v>609840.56542930205</v>
      </c>
      <c r="AO26" s="2">
        <f t="shared" ca="1" si="8"/>
        <v>638268.88961733249</v>
      </c>
      <c r="AP26" s="2">
        <f t="shared" ref="AP26:BQ26" ca="1" si="9">AO29</f>
        <v>664208.03849041997</v>
      </c>
      <c r="AQ26" s="2">
        <f t="shared" ca="1" si="9"/>
        <v>694750.87928694463</v>
      </c>
      <c r="AR26" s="2">
        <f t="shared" ca="1" si="9"/>
        <v>722442.75357944483</v>
      </c>
      <c r="AS26" s="2">
        <f t="shared" ca="1" si="9"/>
        <v>754570.67982181231</v>
      </c>
      <c r="AT26" s="2">
        <f t="shared" ca="1" si="9"/>
        <v>783513.93599258631</v>
      </c>
      <c r="AU26" s="2">
        <f t="shared" ca="1" si="9"/>
        <v>816437.96932636027</v>
      </c>
      <c r="AV26" s="2">
        <f t="shared" ca="1" si="9"/>
        <v>853040.80308135902</v>
      </c>
      <c r="AW26" s="2">
        <f t="shared" ca="1" si="9"/>
        <v>885920.40798504965</v>
      </c>
      <c r="AX26" s="2">
        <f t="shared" ca="1" si="9"/>
        <v>922071.45563446335</v>
      </c>
      <c r="AY26" s="2">
        <f t="shared" ca="1" si="9"/>
        <v>961250.51354306482</v>
      </c>
      <c r="AZ26" s="2">
        <f t="shared" ca="1" si="9"/>
        <v>995996.63008137571</v>
      </c>
      <c r="BA26" s="2">
        <f t="shared" ca="1" si="9"/>
        <v>1033247.8643932543</v>
      </c>
      <c r="BB26" s="2">
        <f t="shared" ca="1" si="9"/>
        <v>1072814.1705008063</v>
      </c>
      <c r="BC26" s="2">
        <f t="shared" ca="1" si="9"/>
        <v>1114269.0952785963</v>
      </c>
      <c r="BD26" s="2">
        <f t="shared" ca="1" si="9"/>
        <v>1157312.1378910998</v>
      </c>
      <c r="BE26" s="2">
        <f t="shared" ca="1" si="9"/>
        <v>1201953.9007975785</v>
      </c>
      <c r="BF26" s="2">
        <f t="shared" ca="1" si="9"/>
        <v>1247508.2156888754</v>
      </c>
      <c r="BG26" s="2">
        <f t="shared" ca="1" si="9"/>
        <v>1277971.6543596443</v>
      </c>
      <c r="BH26" s="2">
        <f t="shared" ca="1" si="9"/>
        <v>1306953.6471093891</v>
      </c>
      <c r="BI26" s="2">
        <f t="shared" ca="1" si="9"/>
        <v>1334105.5812033135</v>
      </c>
      <c r="BJ26" s="2">
        <f t="shared" ca="1" si="9"/>
        <v>1358699.4286492828</v>
      </c>
      <c r="BK26" s="2">
        <f t="shared" ca="1" si="9"/>
        <v>1380138.3842218767</v>
      </c>
      <c r="BL26" s="2">
        <f t="shared" ca="1" si="9"/>
        <v>1398007.3382996104</v>
      </c>
      <c r="BM26" s="2">
        <f t="shared" ca="1" si="9"/>
        <v>1411439.3936303528</v>
      </c>
      <c r="BN26" s="2">
        <f t="shared" ca="1" si="9"/>
        <v>1419968.4981240625</v>
      </c>
      <c r="BO26" s="2">
        <f t="shared" ca="1" si="9"/>
        <v>1422574.2538180149</v>
      </c>
      <c r="BP26" s="2">
        <f t="shared" ca="1" si="9"/>
        <v>1418499.5158062028</v>
      </c>
      <c r="BQ26" s="2">
        <f t="shared" ca="1" si="9"/>
        <v>1407761.2237809673</v>
      </c>
    </row>
    <row r="27" spans="1:69">
      <c r="D27" s="66" t="s">
        <v>216</v>
      </c>
      <c r="E27" s="2" t="str">
        <f t="shared" ref="E27:AJ27" si="10">E$11</f>
        <v>Depreciation this period POS</v>
      </c>
      <c r="F27" s="2">
        <f t="shared" si="10"/>
        <v>0</v>
      </c>
      <c r="G27" s="2" t="str">
        <f t="shared" si="10"/>
        <v>GBP</v>
      </c>
      <c r="H27" s="2">
        <f t="shared" ca="1" si="10"/>
        <v>3718654.3045475697</v>
      </c>
      <c r="I27" s="2">
        <f t="shared" si="10"/>
        <v>0</v>
      </c>
      <c r="J27" s="2">
        <f t="shared" si="10"/>
        <v>0</v>
      </c>
      <c r="K27" s="2">
        <f t="shared" ca="1" si="10"/>
        <v>7291.666666666667</v>
      </c>
      <c r="L27" s="2">
        <f t="shared" ca="1" si="10"/>
        <v>7291.666666666667</v>
      </c>
      <c r="M27" s="2">
        <f t="shared" ca="1" si="10"/>
        <v>7291.666666666667</v>
      </c>
      <c r="N27" s="2">
        <f t="shared" ca="1" si="10"/>
        <v>7291.666666666667</v>
      </c>
      <c r="O27" s="2">
        <f t="shared" ca="1" si="10"/>
        <v>7291.666666666667</v>
      </c>
      <c r="P27" s="2">
        <f t="shared" ca="1" si="10"/>
        <v>7291.666666666667</v>
      </c>
      <c r="Q27" s="2">
        <f t="shared" ca="1" si="10"/>
        <v>14583.333333333334</v>
      </c>
      <c r="R27" s="2">
        <f t="shared" ca="1" si="10"/>
        <v>14583.333333333334</v>
      </c>
      <c r="S27" s="2">
        <f t="shared" ca="1" si="10"/>
        <v>14583.333333333334</v>
      </c>
      <c r="T27" s="2">
        <f t="shared" ca="1" si="10"/>
        <v>14583.333333333334</v>
      </c>
      <c r="U27" s="2">
        <f t="shared" ca="1" si="10"/>
        <v>14583.333333333334</v>
      </c>
      <c r="V27" s="2">
        <f t="shared" ca="1" si="10"/>
        <v>14583.333333333334</v>
      </c>
      <c r="W27" s="2">
        <f t="shared" ca="1" si="10"/>
        <v>21875</v>
      </c>
      <c r="X27" s="2">
        <f t="shared" ca="1" si="10"/>
        <v>21875</v>
      </c>
      <c r="Y27" s="2">
        <f t="shared" ca="1" si="10"/>
        <v>21875</v>
      </c>
      <c r="Z27" s="2">
        <f t="shared" ca="1" si="10"/>
        <v>21875</v>
      </c>
      <c r="AA27" s="2">
        <f t="shared" ca="1" si="10"/>
        <v>29166.666666666668</v>
      </c>
      <c r="AB27" s="2">
        <f t="shared" ca="1" si="10"/>
        <v>29166.666666666668</v>
      </c>
      <c r="AC27" s="2">
        <f t="shared" ca="1" si="10"/>
        <v>29166.666666666668</v>
      </c>
      <c r="AD27" s="2">
        <f t="shared" ca="1" si="10"/>
        <v>29166.666666666668</v>
      </c>
      <c r="AE27" s="2">
        <f t="shared" ca="1" si="10"/>
        <v>36458.333333333336</v>
      </c>
      <c r="AF27" s="2">
        <f t="shared" ca="1" si="10"/>
        <v>36458.333333333336</v>
      </c>
      <c r="AG27" s="2">
        <f t="shared" ca="1" si="10"/>
        <v>36458.333333333336</v>
      </c>
      <c r="AH27" s="2">
        <f t="shared" ca="1" si="10"/>
        <v>43750</v>
      </c>
      <c r="AI27" s="2">
        <f t="shared" ca="1" si="10"/>
        <v>43020.833333333336</v>
      </c>
      <c r="AJ27" s="2">
        <f t="shared" ca="1" si="10"/>
        <v>49539.118573052401</v>
      </c>
      <c r="AK27" s="2">
        <f t="shared" ref="AK27:BQ27" ca="1" si="11">AK$11</f>
        <v>48720.397574080678</v>
      </c>
      <c r="AL27" s="2">
        <f t="shared" ca="1" si="11"/>
        <v>47852.031474254327</v>
      </c>
      <c r="AM27" s="2">
        <f t="shared" ca="1" si="11"/>
        <v>54222.676591119911</v>
      </c>
      <c r="AN27" s="2">
        <f t="shared" ca="1" si="11"/>
        <v>53247.660050699786</v>
      </c>
      <c r="AO27" s="2">
        <f t="shared" ca="1" si="11"/>
        <v>52213.521056421894</v>
      </c>
      <c r="AP27" s="2">
        <f t="shared" ca="1" si="11"/>
        <v>58410.422215449624</v>
      </c>
      <c r="AQ27" s="2">
        <f t="shared" ca="1" si="11"/>
        <v>57249.272989661084</v>
      </c>
      <c r="AR27" s="2">
        <f t="shared" ca="1" si="11"/>
        <v>63309.38137727938</v>
      </c>
      <c r="AS27" s="2">
        <f t="shared" ca="1" si="11"/>
        <v>62010.154079991386</v>
      </c>
      <c r="AT27" s="2">
        <f t="shared" ca="1" si="11"/>
        <v>67924.033333774001</v>
      </c>
      <c r="AU27" s="2">
        <f t="shared" ca="1" si="11"/>
        <v>73757.36666710733</v>
      </c>
      <c r="AV27" s="2">
        <f t="shared" ca="1" si="11"/>
        <v>72209.261129102801</v>
      </c>
      <c r="AW27" s="2">
        <f t="shared" ca="1" si="11"/>
        <v>77862.192119710628</v>
      </c>
      <c r="AX27" s="2">
        <f t="shared" ca="1" si="11"/>
        <v>83415.894433448266</v>
      </c>
      <c r="AY27" s="2">
        <f t="shared" ca="1" si="11"/>
        <v>81572.692911579637</v>
      </c>
      <c r="AZ27" s="2">
        <f t="shared" ca="1" si="11"/>
        <v>86913.252229360107</v>
      </c>
      <c r="BA27" s="2">
        <f t="shared" ca="1" si="11"/>
        <v>92135.66814946504</v>
      </c>
      <c r="BB27" s="2">
        <f t="shared" ca="1" si="11"/>
        <v>97236.94473105199</v>
      </c>
      <c r="BC27" s="2">
        <f t="shared" ca="1" si="11"/>
        <v>102204.36056633275</v>
      </c>
      <c r="BD27" s="2">
        <f t="shared" ca="1" si="11"/>
        <v>107030.97231825652</v>
      </c>
      <c r="BE27" s="2">
        <f t="shared" ca="1" si="11"/>
        <v>111723.08859276578</v>
      </c>
      <c r="BF27" s="2">
        <f t="shared" ca="1" si="11"/>
        <v>116257.72302187124</v>
      </c>
      <c r="BG27" s="2">
        <f t="shared" ca="1" si="11"/>
        <v>119974.62784057531</v>
      </c>
      <c r="BH27" s="2">
        <f t="shared" ca="1" si="11"/>
        <v>123474.93471179072</v>
      </c>
      <c r="BI27" s="2">
        <f t="shared" ca="1" si="11"/>
        <v>126753.14301937963</v>
      </c>
      <c r="BJ27" s="2">
        <f t="shared" ca="1" si="11"/>
        <v>129788.17237048752</v>
      </c>
      <c r="BK27" s="2">
        <f t="shared" ca="1" si="11"/>
        <v>132565.28833724195</v>
      </c>
      <c r="BL27" s="2">
        <f t="shared" ca="1" si="11"/>
        <v>135077.9410764291</v>
      </c>
      <c r="BM27" s="2">
        <f t="shared" ca="1" si="11"/>
        <v>137301.02917035882</v>
      </c>
      <c r="BN27" s="2">
        <f t="shared" ca="1" si="11"/>
        <v>139227.19897549841</v>
      </c>
      <c r="BO27" s="2">
        <f t="shared" ca="1" si="11"/>
        <v>140826.30550543399</v>
      </c>
      <c r="BP27" s="2">
        <f t="shared" ca="1" si="11"/>
        <v>142080.42869221538</v>
      </c>
      <c r="BQ27" s="2">
        <f t="shared" ca="1" si="11"/>
        <v>143004.64866232162</v>
      </c>
    </row>
    <row r="28" spans="1:69">
      <c r="A28" s="17"/>
      <c r="B28" s="17"/>
      <c r="C28" s="26"/>
      <c r="D28" s="27" t="s">
        <v>293</v>
      </c>
      <c r="E28" s="4" t="str">
        <f>Inventory!E$68</f>
        <v>Units retired</v>
      </c>
      <c r="F28" s="4">
        <f>Inventory!F$68</f>
        <v>0</v>
      </c>
      <c r="G28" s="4" t="str">
        <f>Inventory!G$68</f>
        <v>Units</v>
      </c>
      <c r="H28" s="4">
        <f ca="1">Inventory!H$68</f>
        <v>66570.387475079086</v>
      </c>
      <c r="I28" s="4">
        <f>Inventory!I$68</f>
        <v>0</v>
      </c>
      <c r="J28" s="4">
        <f ca="1">Inventory!J$68</f>
        <v>0</v>
      </c>
      <c r="K28" s="4">
        <f ca="1">Inventory!K$68</f>
        <v>0</v>
      </c>
      <c r="L28" s="4">
        <f ca="1">Inventory!L$68</f>
        <v>0</v>
      </c>
      <c r="M28" s="4">
        <f ca="1">Inventory!M$68</f>
        <v>0</v>
      </c>
      <c r="N28" s="4">
        <f ca="1">Inventory!N$68</f>
        <v>0</v>
      </c>
      <c r="O28" s="4">
        <f ca="1">Inventory!O$68</f>
        <v>0</v>
      </c>
      <c r="P28" s="4">
        <f ca="1">Inventory!P$68</f>
        <v>0</v>
      </c>
      <c r="Q28" s="4">
        <f ca="1">Inventory!Q$68</f>
        <v>0</v>
      </c>
      <c r="R28" s="4">
        <f ca="1">Inventory!R$68</f>
        <v>0</v>
      </c>
      <c r="S28" s="4">
        <f ca="1">Inventory!S$68</f>
        <v>0</v>
      </c>
      <c r="T28" s="4">
        <f ca="1">Inventory!T$68</f>
        <v>0</v>
      </c>
      <c r="U28" s="4">
        <f ca="1">Inventory!U$68</f>
        <v>0</v>
      </c>
      <c r="V28" s="4">
        <f ca="1">Inventory!V$68</f>
        <v>0</v>
      </c>
      <c r="W28" s="4">
        <f ca="1">Inventory!W$68</f>
        <v>0</v>
      </c>
      <c r="X28" s="4">
        <f ca="1">Inventory!X$68</f>
        <v>0</v>
      </c>
      <c r="Y28" s="4">
        <f ca="1">Inventory!Y$68</f>
        <v>0</v>
      </c>
      <c r="Z28" s="4">
        <f ca="1">Inventory!Z$68</f>
        <v>0</v>
      </c>
      <c r="AA28" s="4">
        <f ca="1">Inventory!AA$68</f>
        <v>0</v>
      </c>
      <c r="AB28" s="4">
        <f ca="1">Inventory!AB$68</f>
        <v>0</v>
      </c>
      <c r="AC28" s="4">
        <f ca="1">Inventory!AC$68</f>
        <v>0</v>
      </c>
      <c r="AD28" s="4">
        <f ca="1">Inventory!AD$68</f>
        <v>0</v>
      </c>
      <c r="AE28" s="4">
        <f ca="1">Inventory!AE$68</f>
        <v>0</v>
      </c>
      <c r="AF28" s="4">
        <f ca="1">Inventory!AF$68</f>
        <v>0</v>
      </c>
      <c r="AG28" s="4">
        <f ca="1">Inventory!AG$68</f>
        <v>0</v>
      </c>
      <c r="AH28" s="4">
        <f ca="1">Inventory!AH$68</f>
        <v>500</v>
      </c>
      <c r="AI28" s="4">
        <f ca="1">Inventory!AI$68</f>
        <v>530.31869276406599</v>
      </c>
      <c r="AJ28" s="4">
        <f ca="1">Inventory!AJ$68</f>
        <v>561.40868500918316</v>
      </c>
      <c r="AK28" s="4">
        <f ca="1">Inventory!AK$68</f>
        <v>595.4510398809266</v>
      </c>
      <c r="AL28" s="4">
        <f ca="1">Inventory!AL$68</f>
        <v>631.55763414931334</v>
      </c>
      <c r="AM28" s="4">
        <f ca="1">Inventory!AM$68</f>
        <v>668.58277057380337</v>
      </c>
      <c r="AN28" s="4">
        <f ca="1">Inventory!AN$68</f>
        <v>709.12388179055358</v>
      </c>
      <c r="AO28" s="4">
        <f ca="1">Inventory!AO$68</f>
        <v>750.69634809527076</v>
      </c>
      <c r="AP28" s="4">
        <f ca="1">Inventory!AP$68</f>
        <v>796.21661196928437</v>
      </c>
      <c r="AQ28" s="4">
        <f ca="1">Inventory!AQ$68</f>
        <v>844.49710563316887</v>
      </c>
      <c r="AR28" s="4">
        <f ca="1">Inventory!AR$68</f>
        <v>890.89871814033927</v>
      </c>
      <c r="AS28" s="4">
        <f ca="1">Inventory!AS$68</f>
        <v>944.76851169192605</v>
      </c>
      <c r="AT28" s="4">
        <f ca="1">Inventory!AT$68</f>
        <v>1000</v>
      </c>
      <c r="AU28" s="4">
        <f ca="1">Inventory!AU$68</f>
        <v>1061.5580832031035</v>
      </c>
      <c r="AV28" s="4">
        <f ca="1">Inventory!AV$68</f>
        <v>1123.704463583204</v>
      </c>
      <c r="AW28" s="4">
        <f ca="1">Inventory!AW$68</f>
        <v>1191.7469848656265</v>
      </c>
      <c r="AX28" s="4">
        <f ca="1">Inventory!AX$68</f>
        <v>1263.9096149956249</v>
      </c>
      <c r="AY28" s="4">
        <f ca="1">Inventory!AY$68</f>
        <v>1337.9021820933933</v>
      </c>
      <c r="AZ28" s="4">
        <f ca="1">Inventory!AZ$68</f>
        <v>1418.9147976423296</v>
      </c>
      <c r="BA28" s="4">
        <f ca="1">Inventory!BA$68</f>
        <v>1501.9817726260831</v>
      </c>
      <c r="BB28" s="4">
        <f ca="1">Inventory!BB$68</f>
        <v>1593.7719986646332</v>
      </c>
      <c r="BC28" s="4">
        <f ca="1">Inventory!BC$68</f>
        <v>1690.3233701094071</v>
      </c>
      <c r="BD28" s="4">
        <f ca="1">Inventory!BD$68</f>
        <v>1782.5488403365116</v>
      </c>
      <c r="BE28" s="4">
        <f ca="1">Inventory!BE$68</f>
        <v>1890.5363914705406</v>
      </c>
      <c r="BF28" s="4">
        <f ca="1">Inventory!BF$68</f>
        <v>2451.2652671743485</v>
      </c>
      <c r="BG28" s="4">
        <f ca="1">Inventory!BG$68</f>
        <v>2599.7895740237263</v>
      </c>
      <c r="BH28" s="4">
        <f ca="1">Inventory!BH$68</f>
        <v>2752.0857319390348</v>
      </c>
      <c r="BI28" s="4">
        <f ca="1">Inventory!BI$68</f>
        <v>2918.8370163831542</v>
      </c>
      <c r="BJ28" s="4">
        <f ca="1">Inventory!BJ$68</f>
        <v>3095.6919085112468</v>
      </c>
      <c r="BK28" s="4">
        <f ca="1">Inventory!BK$68</f>
        <v>3277.0381217002355</v>
      </c>
      <c r="BL28" s="4">
        <f ca="1">Inventory!BL$68</f>
        <v>3475.596735591052</v>
      </c>
      <c r="BM28" s="4">
        <f ca="1">Inventory!BM$68</f>
        <v>3679.1978479042591</v>
      </c>
      <c r="BN28" s="4">
        <f ca="1">Inventory!BN$68</f>
        <v>3903.4698080441717</v>
      </c>
      <c r="BO28" s="4">
        <f ca="1">Inventory!BO$68</f>
        <v>4140.0298147784615</v>
      </c>
      <c r="BP28" s="4">
        <f ca="1">Inventory!BP$68</f>
        <v>4366.2491633557374</v>
      </c>
      <c r="BQ28" s="4">
        <f ca="1">Inventory!BQ$68</f>
        <v>4630.7179863853571</v>
      </c>
    </row>
    <row r="29" spans="1:69">
      <c r="E29" s="2" t="s">
        <v>139</v>
      </c>
      <c r="G29" s="2" t="s">
        <v>252</v>
      </c>
      <c r="I29" s="2">
        <f>IF(I25=0,$F24,I26+I27-(I28*InpC!F34))</f>
        <v>0</v>
      </c>
      <c r="J29" s="2">
        <f ca="1">IF(J25=0,$F24,J26+J27-(J28*InpC!F34))</f>
        <v>0</v>
      </c>
      <c r="K29" s="2">
        <f ca="1">IF(K25=0,$F24,K26+K27-(K28*InpC!F34))</f>
        <v>7291.666666666667</v>
      </c>
      <c r="L29" s="2">
        <f ca="1">IF(L25=0,$F24,L26+L27-(L28*InpC!F34))</f>
        <v>14583.333333333334</v>
      </c>
      <c r="M29" s="2">
        <f ca="1">IF(M25=0,$F24,M26+M27-(M28*InpC!F34))</f>
        <v>21875</v>
      </c>
      <c r="N29" s="2">
        <f ca="1">IF(N25=0,$F24,N26+N27-(N28*InpC!F34))</f>
        <v>29166.666666666668</v>
      </c>
      <c r="O29" s="2">
        <f ca="1">IF(O25=0,$F24,O26+O27-(O28*InpC!F34))</f>
        <v>36458.333333333336</v>
      </c>
      <c r="P29" s="2">
        <f ca="1">IF(P25=0,$F24,P26+P27-(P28*InpC!F34))</f>
        <v>43750</v>
      </c>
      <c r="Q29" s="2">
        <f ca="1">IF(Q25=0,$F24,Q26+Q27-(Q28*InpC!F34))</f>
        <v>58333.333333333336</v>
      </c>
      <c r="R29" s="2">
        <f ca="1">IF(R25=0,$F24,R26+R27-(R28*InpC!F34))</f>
        <v>72916.666666666672</v>
      </c>
      <c r="S29" s="2">
        <f ca="1">IF(S25=0,$F24,S26+S27-(S28*InpC!F34))</f>
        <v>87500</v>
      </c>
      <c r="T29" s="2">
        <f ca="1">IF(T25=0,$F24,T26+T27-(T28*InpC!F34))</f>
        <v>102083.33333333333</v>
      </c>
      <c r="U29" s="2">
        <f ca="1">IF(U25=0,$F24,U26+U27-(U28*InpC!F34))</f>
        <v>116666.66666666666</v>
      </c>
      <c r="V29" s="2">
        <f ca="1">IF(V25=0,$F24,V26+V27-(V28*InpC!F34))</f>
        <v>131250</v>
      </c>
      <c r="W29" s="2">
        <f ca="1">IF(W25=0,$F24,W26+W27-(W28*InpC!F34))</f>
        <v>153125</v>
      </c>
      <c r="X29" s="2">
        <f ca="1">IF(X25=0,$F24,X26+X27-(X28*InpC!F34))</f>
        <v>175000</v>
      </c>
      <c r="Y29" s="2">
        <f ca="1">IF(Y25=0,$F24,Y26+Y27-(Y28*InpC!F34))</f>
        <v>196875</v>
      </c>
      <c r="Z29" s="2">
        <f ca="1">IF(Z25=0,$F24,Z26+Z27-(Z28*InpC!F34))</f>
        <v>218750</v>
      </c>
      <c r="AA29" s="2">
        <f ca="1">IF(AA25=0,$F24,AA26+AA27-(AA28*InpC!F34))</f>
        <v>247916.66666666666</v>
      </c>
      <c r="AB29" s="2">
        <f ca="1">IF(AB25=0,$F24,AB26+AB27-(AB28*InpC!F34))</f>
        <v>277083.33333333331</v>
      </c>
      <c r="AC29" s="2">
        <f ca="1">IF(AC25=0,$F24,AC26+AC27-(AC28*InpC!F34))</f>
        <v>306250</v>
      </c>
      <c r="AD29" s="2">
        <f ca="1">IF(AD25=0,$F24,AD26+AD27-(AD28*InpC!F34))</f>
        <v>335416.66666666669</v>
      </c>
      <c r="AE29" s="2">
        <f ca="1">IF(AE25=0,$F24,AE26+AE27-(AE28*InpC!F34))</f>
        <v>371875</v>
      </c>
      <c r="AF29" s="2">
        <f ca="1">IF(AF25=0,$F24,AF26+AF27-(AF28*InpC!F34))</f>
        <v>408333.33333333331</v>
      </c>
      <c r="AG29" s="2">
        <f ca="1">IF(AG25=0,$F24,AG26+AG27-(AG28*InpC!F34))</f>
        <v>444791.66666666663</v>
      </c>
      <c r="AH29" s="2">
        <f ca="1">IF(AH25=0,$F24,AH26+AH27-(AH28*InpC!F34))</f>
        <v>471041.66666666663</v>
      </c>
      <c r="AI29" s="2">
        <f ca="1">IF(AI25=0,$F24,AI26+AI27-(AI28*InpC!F34))</f>
        <v>495501.34575325763</v>
      </c>
      <c r="AJ29" s="2">
        <f ca="1">IF(AJ25=0,$F24,AJ26+AJ27-(AJ28*InpC!F34))</f>
        <v>525391.16035098862</v>
      </c>
      <c r="AK29" s="2">
        <f ca="1">IF(AK25=0,$F24,AK26+AK27-(AK28*InpC!F34))</f>
        <v>553270.77152923681</v>
      </c>
      <c r="AL29" s="2">
        <f ca="1">IF(AL25=0,$F24,AL26+AL27-(AL28*InpC!F34))</f>
        <v>579018.28580826521</v>
      </c>
      <c r="AM29" s="2">
        <f ca="1">IF(AM25=0,$F24,AM26+AM27-(AM28*InpC!F34))</f>
        <v>609840.56542930205</v>
      </c>
      <c r="AN29" s="2">
        <f ca="1">IF(AN25=0,$F24,AN26+AN27-(AN28*InpC!F34))</f>
        <v>638268.88961733249</v>
      </c>
      <c r="AO29" s="2">
        <f ca="1">IF(AO25=0,$F24,AO26+AO27-(AO28*InpC!F34))</f>
        <v>664208.03849041997</v>
      </c>
      <c r="AP29" s="2">
        <f ca="1">IF(AP25=0,$F24,AP26+AP27-(AP28*InpC!F34))</f>
        <v>694750.87928694463</v>
      </c>
      <c r="AQ29" s="2">
        <f ca="1">IF(AQ25=0,$F24,AQ26+AQ27-(AQ28*InpC!F34))</f>
        <v>722442.75357944483</v>
      </c>
      <c r="AR29" s="2">
        <f ca="1">IF(AR25=0,$F24,AR26+AR27-(AR28*InpC!F34))</f>
        <v>754570.67982181231</v>
      </c>
      <c r="AS29" s="2">
        <f ca="1">IF(AS25=0,$F24,AS26+AS27-(AS28*InpC!F34))</f>
        <v>783513.93599258631</v>
      </c>
      <c r="AT29" s="2">
        <f ca="1">IF(AT25=0,$F24,AT26+AT27-(AT28*InpC!F34))</f>
        <v>816437.96932636027</v>
      </c>
      <c r="AU29" s="2">
        <f ca="1">IF(AU25=0,$F24,AU26+AU27-(AU28*InpC!F34))</f>
        <v>853040.80308135902</v>
      </c>
      <c r="AV29" s="2">
        <f ca="1">IF(AV25=0,$F24,AV26+AV27-(AV28*InpC!F34))</f>
        <v>885920.40798504965</v>
      </c>
      <c r="AW29" s="2">
        <f ca="1">IF(AW25=0,$F24,AW26+AW27-(AW28*InpC!F34))</f>
        <v>922071.45563446335</v>
      </c>
      <c r="AX29" s="2">
        <f ca="1">IF(AX25=0,$F24,AX26+AX27-(AX28*InpC!F34))</f>
        <v>961250.51354306482</v>
      </c>
      <c r="AY29" s="2">
        <f ca="1">IF(AY25=0,$F24,AY26+AY27-(AY28*InpC!F34))</f>
        <v>995996.63008137571</v>
      </c>
      <c r="AZ29" s="2">
        <f ca="1">IF(AZ25=0,$F24,AZ26+AZ27-(AZ28*InpC!F34))</f>
        <v>1033247.8643932543</v>
      </c>
      <c r="BA29" s="2">
        <f ca="1">IF(BA25=0,$F24,BA26+BA27-(BA28*InpC!F34))</f>
        <v>1072814.1705008063</v>
      </c>
      <c r="BB29" s="2">
        <f ca="1">IF(BB25=0,$F24,BB26+BB27-(BB28*InpC!F34))</f>
        <v>1114269.0952785963</v>
      </c>
      <c r="BC29" s="2">
        <f ca="1">IF(BC25=0,$F24,BC26+BC27-(BC28*InpC!F34))</f>
        <v>1157312.1378910998</v>
      </c>
      <c r="BD29" s="2">
        <f ca="1">IF(BD25=0,$F24,BD26+BD27-(BD28*InpC!F34))</f>
        <v>1201953.9007975785</v>
      </c>
      <c r="BE29" s="2">
        <f ca="1">IF(BE25=0,$F24,BE26+BE27-(BE28*InpC!F34))</f>
        <v>1247508.2156888754</v>
      </c>
      <c r="BF29" s="2">
        <f ca="1">IF(BF25=0,$F24,BF26+BF27-(BF28*InpC!F34))</f>
        <v>1277971.6543596443</v>
      </c>
      <c r="BG29" s="2">
        <f ca="1">IF(BG25=0,$F24,BG26+BG27-(BG28*InpC!F34))</f>
        <v>1306953.6471093891</v>
      </c>
      <c r="BH29" s="2">
        <f ca="1">IF(BH25=0,$F24,BH26+BH27-(BH28*InpC!F34))</f>
        <v>1334105.5812033135</v>
      </c>
      <c r="BI29" s="2">
        <f ca="1">IF(BI25=0,$F24,BI26+BI27-(BI28*InpC!F34))</f>
        <v>1358699.4286492828</v>
      </c>
      <c r="BJ29" s="2">
        <f ca="1">IF(BJ25=0,$F24,BJ26+BJ27-(BJ28*InpC!F34))</f>
        <v>1380138.3842218767</v>
      </c>
      <c r="BK29" s="2">
        <f ca="1">IF(BK25=0,$F24,BK26+BK27-(BK28*InpC!F34))</f>
        <v>1398007.3382996104</v>
      </c>
      <c r="BL29" s="2">
        <f ca="1">IF(BL25=0,$F24,BL26+BL27-(BL28*InpC!F34))</f>
        <v>1411439.3936303528</v>
      </c>
      <c r="BM29" s="2">
        <f ca="1">IF(BM25=0,$F24,BM26+BM27-(BM28*InpC!F34))</f>
        <v>1419968.4981240625</v>
      </c>
      <c r="BN29" s="2">
        <f ca="1">IF(BN25=0,$F24,BN26+BN27-(BN28*InpC!F34))</f>
        <v>1422574.2538180149</v>
      </c>
      <c r="BO29" s="2">
        <f ca="1">IF(BO25=0,$F24,BO26+BO27-(BO28*InpC!F34))</f>
        <v>1418499.5158062028</v>
      </c>
      <c r="BP29" s="2">
        <f ca="1">IF(BP25=0,$F24,BP26+BP27-(BP28*InpC!F34))</f>
        <v>1407761.2237809673</v>
      </c>
      <c r="BQ29" s="2">
        <f ca="1">IF(BQ25=0,$F24,BQ26+BQ27-(BQ28*InpC!F34))</f>
        <v>1388690.7429198015</v>
      </c>
    </row>
    <row r="30" spans="1:69" s="32" customFormat="1">
      <c r="A30" s="48"/>
      <c r="B30" s="48"/>
      <c r="C30" s="68"/>
      <c r="D30" s="69"/>
      <c r="E30" s="11" t="str">
        <f>LEFT($E$29,LEN($E$29)-3)</f>
        <v xml:space="preserve">Depreciation </v>
      </c>
      <c r="F30" s="11"/>
      <c r="G30" s="11" t="str">
        <f>G$29</f>
        <v>GBP</v>
      </c>
      <c r="H30" s="11"/>
      <c r="I30" s="11"/>
      <c r="J30" s="11">
        <f t="shared" ref="J30:AO30" ca="1" si="12">-1*J29</f>
        <v>0</v>
      </c>
      <c r="K30" s="11">
        <f t="shared" ca="1" si="12"/>
        <v>-7291.666666666667</v>
      </c>
      <c r="L30" s="11">
        <f t="shared" ca="1" si="12"/>
        <v>-14583.333333333334</v>
      </c>
      <c r="M30" s="11">
        <f t="shared" ca="1" si="12"/>
        <v>-21875</v>
      </c>
      <c r="N30" s="11">
        <f t="shared" ca="1" si="12"/>
        <v>-29166.666666666668</v>
      </c>
      <c r="O30" s="11">
        <f t="shared" ca="1" si="12"/>
        <v>-36458.333333333336</v>
      </c>
      <c r="P30" s="11">
        <f t="shared" ca="1" si="12"/>
        <v>-43750</v>
      </c>
      <c r="Q30" s="11">
        <f t="shared" ca="1" si="12"/>
        <v>-58333.333333333336</v>
      </c>
      <c r="R30" s="11">
        <f t="shared" ca="1" si="12"/>
        <v>-72916.666666666672</v>
      </c>
      <c r="S30" s="11">
        <f t="shared" ca="1" si="12"/>
        <v>-87500</v>
      </c>
      <c r="T30" s="11">
        <f t="shared" ca="1" si="12"/>
        <v>-102083.33333333333</v>
      </c>
      <c r="U30" s="11">
        <f t="shared" ca="1" si="12"/>
        <v>-116666.66666666666</v>
      </c>
      <c r="V30" s="11">
        <f t="shared" ca="1" si="12"/>
        <v>-131250</v>
      </c>
      <c r="W30" s="11">
        <f t="shared" ca="1" si="12"/>
        <v>-153125</v>
      </c>
      <c r="X30" s="11">
        <f t="shared" ca="1" si="12"/>
        <v>-175000</v>
      </c>
      <c r="Y30" s="11">
        <f t="shared" ca="1" si="12"/>
        <v>-196875</v>
      </c>
      <c r="Z30" s="11">
        <f t="shared" ca="1" si="12"/>
        <v>-218750</v>
      </c>
      <c r="AA30" s="11">
        <f t="shared" ca="1" si="12"/>
        <v>-247916.66666666666</v>
      </c>
      <c r="AB30" s="11">
        <f t="shared" ca="1" si="12"/>
        <v>-277083.33333333331</v>
      </c>
      <c r="AC30" s="11">
        <f t="shared" ca="1" si="12"/>
        <v>-306250</v>
      </c>
      <c r="AD30" s="11">
        <f t="shared" ca="1" si="12"/>
        <v>-335416.66666666669</v>
      </c>
      <c r="AE30" s="11">
        <f t="shared" ca="1" si="12"/>
        <v>-371875</v>
      </c>
      <c r="AF30" s="11">
        <f t="shared" ca="1" si="12"/>
        <v>-408333.33333333331</v>
      </c>
      <c r="AG30" s="11">
        <f t="shared" ca="1" si="12"/>
        <v>-444791.66666666663</v>
      </c>
      <c r="AH30" s="11">
        <f t="shared" ca="1" si="12"/>
        <v>-471041.66666666663</v>
      </c>
      <c r="AI30" s="11">
        <f t="shared" ca="1" si="12"/>
        <v>-495501.34575325763</v>
      </c>
      <c r="AJ30" s="11">
        <f t="shared" ca="1" si="12"/>
        <v>-525391.16035098862</v>
      </c>
      <c r="AK30" s="11">
        <f t="shared" ca="1" si="12"/>
        <v>-553270.77152923681</v>
      </c>
      <c r="AL30" s="11">
        <f t="shared" ca="1" si="12"/>
        <v>-579018.28580826521</v>
      </c>
      <c r="AM30" s="11">
        <f t="shared" ca="1" si="12"/>
        <v>-609840.56542930205</v>
      </c>
      <c r="AN30" s="11">
        <f t="shared" ca="1" si="12"/>
        <v>-638268.88961733249</v>
      </c>
      <c r="AO30" s="11">
        <f t="shared" ca="1" si="12"/>
        <v>-664208.03849041997</v>
      </c>
      <c r="AP30" s="11">
        <f t="shared" ref="AP30:BU30" ca="1" si="13">-1*AP29</f>
        <v>-694750.87928694463</v>
      </c>
      <c r="AQ30" s="11">
        <f t="shared" ca="1" si="13"/>
        <v>-722442.75357944483</v>
      </c>
      <c r="AR30" s="11">
        <f t="shared" ca="1" si="13"/>
        <v>-754570.67982181231</v>
      </c>
      <c r="AS30" s="11">
        <f t="shared" ca="1" si="13"/>
        <v>-783513.93599258631</v>
      </c>
      <c r="AT30" s="11">
        <f t="shared" ca="1" si="13"/>
        <v>-816437.96932636027</v>
      </c>
      <c r="AU30" s="11">
        <f t="shared" ca="1" si="13"/>
        <v>-853040.80308135902</v>
      </c>
      <c r="AV30" s="11">
        <f t="shared" ca="1" si="13"/>
        <v>-885920.40798504965</v>
      </c>
      <c r="AW30" s="11">
        <f t="shared" ca="1" si="13"/>
        <v>-922071.45563446335</v>
      </c>
      <c r="AX30" s="11">
        <f t="shared" ca="1" si="13"/>
        <v>-961250.51354306482</v>
      </c>
      <c r="AY30" s="11">
        <f t="shared" ca="1" si="13"/>
        <v>-995996.63008137571</v>
      </c>
      <c r="AZ30" s="11">
        <f t="shared" ca="1" si="13"/>
        <v>-1033247.8643932543</v>
      </c>
      <c r="BA30" s="11">
        <f t="shared" ca="1" si="13"/>
        <v>-1072814.1705008063</v>
      </c>
      <c r="BB30" s="11">
        <f t="shared" ca="1" si="13"/>
        <v>-1114269.0952785963</v>
      </c>
      <c r="BC30" s="11">
        <f t="shared" ca="1" si="13"/>
        <v>-1157312.1378910998</v>
      </c>
      <c r="BD30" s="11">
        <f t="shared" ca="1" si="13"/>
        <v>-1201953.9007975785</v>
      </c>
      <c r="BE30" s="11">
        <f t="shared" ca="1" si="13"/>
        <v>-1247508.2156888754</v>
      </c>
      <c r="BF30" s="11">
        <f t="shared" ca="1" si="13"/>
        <v>-1277971.6543596443</v>
      </c>
      <c r="BG30" s="11">
        <f t="shared" ca="1" si="13"/>
        <v>-1306953.6471093891</v>
      </c>
      <c r="BH30" s="11">
        <f t="shared" ca="1" si="13"/>
        <v>-1334105.5812033135</v>
      </c>
      <c r="BI30" s="11">
        <f t="shared" ca="1" si="13"/>
        <v>-1358699.4286492828</v>
      </c>
      <c r="BJ30" s="11">
        <f t="shared" ca="1" si="13"/>
        <v>-1380138.3842218767</v>
      </c>
      <c r="BK30" s="11">
        <f t="shared" ca="1" si="13"/>
        <v>-1398007.3382996104</v>
      </c>
      <c r="BL30" s="11">
        <f t="shared" ca="1" si="13"/>
        <v>-1411439.3936303528</v>
      </c>
      <c r="BM30" s="11">
        <f t="shared" ca="1" si="13"/>
        <v>-1419968.4981240625</v>
      </c>
      <c r="BN30" s="11">
        <f t="shared" ca="1" si="13"/>
        <v>-1422574.2538180149</v>
      </c>
      <c r="BO30" s="11">
        <f t="shared" ca="1" si="13"/>
        <v>-1418499.5158062028</v>
      </c>
      <c r="BP30" s="11">
        <f t="shared" ca="1" si="13"/>
        <v>-1407761.2237809673</v>
      </c>
      <c r="BQ30" s="11">
        <f t="shared" ca="1" si="13"/>
        <v>-1388690.7429198015</v>
      </c>
    </row>
    <row r="33" spans="2:2">
      <c r="B33" s="22" t="s">
        <v>265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BQ30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64.7265625" style="2" customWidth="1"/>
    <col min="6" max="6" width="20.7265625" style="2" customWidth="1"/>
    <col min="7" max="8" width="13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48" width="11.7265625" style="2" customWidth="1"/>
    <col min="49" max="50" width="12.7265625" style="2" customWidth="1"/>
    <col min="51" max="51" width="11.7265625" style="2" customWidth="1"/>
    <col min="52" max="53" width="12.7265625" style="2" customWidth="1"/>
    <col min="54" max="54" width="11.7265625" style="2" customWidth="1"/>
    <col min="55" max="55" width="12.7265625" style="2" customWidth="1"/>
    <col min="56" max="57" width="11.7265625" style="2" customWidth="1"/>
    <col min="58" max="59" width="12.7265625" style="2" customWidth="1"/>
    <col min="60" max="60" width="11.7265625" style="2" customWidth="1"/>
    <col min="61" max="62" width="12.7265625" style="2" customWidth="1"/>
    <col min="63" max="63" width="11.7265625" style="2" customWidth="1"/>
    <col min="64" max="65" width="12.7265625" style="2" customWidth="1"/>
    <col min="66" max="66" width="11.7265625" style="2" customWidth="1"/>
    <col min="67" max="67" width="12.7265625" style="2" customWidth="1"/>
    <col min="68" max="69" width="11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Expense</v>
      </c>
      <c r="B1" s="37"/>
      <c r="C1" s="58"/>
      <c r="D1" s="67"/>
      <c r="F1" s="42" t="str">
        <f>HYPERLINK("#Contents!A1","Go to contents")</f>
        <v>Go to contents</v>
      </c>
      <c r="H1" s="38"/>
      <c r="J1" s="38"/>
    </row>
    <row r="2" spans="1:69" s="43" customFormat="1">
      <c r="A2" s="39"/>
      <c r="B2" s="39"/>
      <c r="C2" s="56"/>
      <c r="D2" s="62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>
      <c r="A3" s="39"/>
      <c r="B3" s="39"/>
      <c r="C3" s="56"/>
      <c r="D3" s="62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62"/>
      <c r="E4" s="20" t="s">
        <v>325</v>
      </c>
      <c r="F4" s="22"/>
      <c r="G4" s="20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>
      <c r="A5" s="39"/>
      <c r="B5" s="39"/>
      <c r="C5" s="56"/>
      <c r="D5" s="62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6" spans="1:69">
      <c r="F6" s="22"/>
      <c r="G6" s="22"/>
      <c r="H6" s="22"/>
    </row>
    <row r="8" spans="1:69">
      <c r="B8" s="22" t="s">
        <v>316</v>
      </c>
    </row>
    <row r="9" spans="1:69">
      <c r="A9" s="17"/>
      <c r="B9" s="17"/>
      <c r="C9" s="26"/>
      <c r="D9" s="27"/>
      <c r="E9" s="36" t="str">
        <f>InpC!E$84</f>
        <v>VAT rate</v>
      </c>
      <c r="F9" s="36">
        <f>InpC!F$84</f>
        <v>0.2</v>
      </c>
      <c r="G9" s="36" t="str">
        <f>InpC!G$84</f>
        <v>%</v>
      </c>
      <c r="M9" s="45"/>
    </row>
    <row r="10" spans="1:69">
      <c r="A10" s="17"/>
      <c r="B10" s="17"/>
      <c r="C10" s="26"/>
      <c r="D10" s="27"/>
      <c r="E10" s="36" t="str">
        <f>InpC!E$83</f>
        <v>Percentage of expense subject to VAT</v>
      </c>
      <c r="F10" s="36">
        <f>InpC!F$83</f>
        <v>0.5</v>
      </c>
      <c r="G10" s="36" t="str">
        <f>InpC!G$83</f>
        <v>%</v>
      </c>
      <c r="M10" s="45"/>
    </row>
    <row r="11" spans="1:69">
      <c r="E11" s="2" t="str">
        <f t="shared" ref="E11:AJ11" si="0">E$19</f>
        <v>Fixed operating expense POS</v>
      </c>
      <c r="F11" s="2">
        <f t="shared" si="0"/>
        <v>0</v>
      </c>
      <c r="G11" s="2" t="str">
        <f t="shared" si="0"/>
        <v>GBP</v>
      </c>
      <c r="H11" s="2">
        <f t="shared" si="0"/>
        <v>1899484.1637263105</v>
      </c>
      <c r="I11" s="2">
        <f t="shared" si="0"/>
        <v>0</v>
      </c>
      <c r="J11" s="2">
        <f t="shared" si="0"/>
        <v>25000</v>
      </c>
      <c r="K11" s="2">
        <f t="shared" si="0"/>
        <v>25000</v>
      </c>
      <c r="L11" s="2">
        <f t="shared" si="0"/>
        <v>25000</v>
      </c>
      <c r="M11" s="2">
        <f t="shared" si="0"/>
        <v>25607.856851345517</v>
      </c>
      <c r="N11" s="2">
        <f t="shared" si="0"/>
        <v>25607.856851345517</v>
      </c>
      <c r="O11" s="2">
        <f t="shared" si="0"/>
        <v>25607.856851345517</v>
      </c>
      <c r="P11" s="2">
        <f t="shared" si="0"/>
        <v>26230.493300760143</v>
      </c>
      <c r="Q11" s="2">
        <f t="shared" si="0"/>
        <v>26230.493300760143</v>
      </c>
      <c r="R11" s="2">
        <f t="shared" si="0"/>
        <v>26230.493300760143</v>
      </c>
      <c r="S11" s="2">
        <f t="shared" si="0"/>
        <v>26868.268703441732</v>
      </c>
      <c r="T11" s="2">
        <f t="shared" si="0"/>
        <v>26868.268703441732</v>
      </c>
      <c r="U11" s="2">
        <f t="shared" si="0"/>
        <v>26868.268703441732</v>
      </c>
      <c r="V11" s="2">
        <f t="shared" si="0"/>
        <v>27500.000000000004</v>
      </c>
      <c r="W11" s="2">
        <f t="shared" si="0"/>
        <v>27500.000000000004</v>
      </c>
      <c r="X11" s="2">
        <f t="shared" si="0"/>
        <v>27500.000000000004</v>
      </c>
      <c r="Y11" s="2">
        <f t="shared" si="0"/>
        <v>28171.389663808775</v>
      </c>
      <c r="Z11" s="2">
        <f t="shared" si="0"/>
        <v>28171.389663808775</v>
      </c>
      <c r="AA11" s="2">
        <f t="shared" si="0"/>
        <v>28171.389663808775</v>
      </c>
      <c r="AB11" s="2">
        <f t="shared" si="0"/>
        <v>28855.408240598044</v>
      </c>
      <c r="AC11" s="2">
        <f t="shared" si="0"/>
        <v>28855.408240598044</v>
      </c>
      <c r="AD11" s="2">
        <f t="shared" si="0"/>
        <v>28855.408240598044</v>
      </c>
      <c r="AE11" s="2">
        <f t="shared" si="0"/>
        <v>29558.292610174307</v>
      </c>
      <c r="AF11" s="2">
        <f t="shared" si="0"/>
        <v>29558.292610174307</v>
      </c>
      <c r="AG11" s="2">
        <f t="shared" si="0"/>
        <v>29558.292610174307</v>
      </c>
      <c r="AH11" s="2">
        <f t="shared" si="0"/>
        <v>30252.630710131383</v>
      </c>
      <c r="AI11" s="2">
        <f t="shared" si="0"/>
        <v>30252.630710131383</v>
      </c>
      <c r="AJ11" s="2">
        <f t="shared" si="0"/>
        <v>30252.630710131383</v>
      </c>
      <c r="AK11" s="2">
        <f t="shared" ref="AK11:BQ11" si="1">AK$19</f>
        <v>30987.522236491855</v>
      </c>
      <c r="AL11" s="2">
        <f t="shared" si="1"/>
        <v>30987.522236491855</v>
      </c>
      <c r="AM11" s="2">
        <f t="shared" si="1"/>
        <v>30987.522236491855</v>
      </c>
      <c r="AN11" s="2">
        <f t="shared" si="1"/>
        <v>31740.265617148605</v>
      </c>
      <c r="AO11" s="2">
        <f t="shared" si="1"/>
        <v>31740.265617148605</v>
      </c>
      <c r="AP11" s="2">
        <f t="shared" si="1"/>
        <v>31740.265617148605</v>
      </c>
      <c r="AQ11" s="2">
        <f t="shared" si="1"/>
        <v>32513.243252308428</v>
      </c>
      <c r="AR11" s="2">
        <f t="shared" si="1"/>
        <v>32513.243252308428</v>
      </c>
      <c r="AS11" s="2">
        <f t="shared" si="1"/>
        <v>32513.243252308428</v>
      </c>
      <c r="AT11" s="2">
        <f t="shared" si="1"/>
        <v>33277.170807448252</v>
      </c>
      <c r="AU11" s="2">
        <f t="shared" si="1"/>
        <v>33277.170807448252</v>
      </c>
      <c r="AV11" s="2">
        <f t="shared" si="1"/>
        <v>33277.170807448252</v>
      </c>
      <c r="AW11" s="2">
        <f t="shared" si="1"/>
        <v>34085.720578240354</v>
      </c>
      <c r="AX11" s="2">
        <f t="shared" si="1"/>
        <v>34085.720578240354</v>
      </c>
      <c r="AY11" s="2">
        <f t="shared" si="1"/>
        <v>34085.720578240354</v>
      </c>
      <c r="AZ11" s="2">
        <f t="shared" si="1"/>
        <v>34913.916031522422</v>
      </c>
      <c r="BA11" s="2">
        <f t="shared" si="1"/>
        <v>34913.916031522422</v>
      </c>
      <c r="BB11" s="2">
        <f t="shared" si="1"/>
        <v>34913.916031522422</v>
      </c>
      <c r="BC11" s="2">
        <f t="shared" si="1"/>
        <v>35763.987489903346</v>
      </c>
      <c r="BD11" s="2">
        <f t="shared" si="1"/>
        <v>35763.987489903346</v>
      </c>
      <c r="BE11" s="2">
        <f t="shared" si="1"/>
        <v>35763.987489903346</v>
      </c>
      <c r="BF11" s="2">
        <f t="shared" si="1"/>
        <v>36604.410559640419</v>
      </c>
      <c r="BG11" s="2">
        <f t="shared" si="1"/>
        <v>36604.410559640419</v>
      </c>
      <c r="BH11" s="2">
        <f t="shared" si="1"/>
        <v>36604.410559640419</v>
      </c>
      <c r="BI11" s="2">
        <f t="shared" si="1"/>
        <v>37493.926945298947</v>
      </c>
      <c r="BJ11" s="2">
        <f t="shared" si="1"/>
        <v>37493.926945298947</v>
      </c>
      <c r="BK11" s="2">
        <f t="shared" si="1"/>
        <v>37493.926945298947</v>
      </c>
      <c r="BL11" s="2">
        <f t="shared" si="1"/>
        <v>38405.059288932411</v>
      </c>
      <c r="BM11" s="2">
        <f t="shared" si="1"/>
        <v>38405.059288932411</v>
      </c>
      <c r="BN11" s="2">
        <f t="shared" si="1"/>
        <v>38405.059288932411</v>
      </c>
      <c r="BO11" s="2">
        <f t="shared" si="1"/>
        <v>39331.82502157487</v>
      </c>
      <c r="BP11" s="2">
        <f t="shared" si="1"/>
        <v>39331.82502157487</v>
      </c>
      <c r="BQ11" s="2">
        <f t="shared" si="1"/>
        <v>39331.82502157487</v>
      </c>
    </row>
    <row r="12" spans="1:69">
      <c r="E12" s="2" t="str">
        <f t="shared" ref="E12:AJ12" si="2">E$26</f>
        <v>Variable Operating expense POS</v>
      </c>
      <c r="F12" s="2">
        <f t="shared" si="2"/>
        <v>0</v>
      </c>
      <c r="G12" s="2" t="str">
        <f t="shared" si="2"/>
        <v>GBP</v>
      </c>
      <c r="H12" s="2">
        <f t="shared" ca="1" si="2"/>
        <v>13199424.859496675</v>
      </c>
      <c r="I12" s="2">
        <f t="shared" si="2"/>
        <v>0</v>
      </c>
      <c r="J12" s="2">
        <f t="shared" ca="1" si="2"/>
        <v>21000</v>
      </c>
      <c r="K12" s="2">
        <f t="shared" ca="1" si="2"/>
        <v>22273.385096090773</v>
      </c>
      <c r="L12" s="2">
        <f t="shared" ca="1" si="2"/>
        <v>23579.164770385694</v>
      </c>
      <c r="M12" s="2">
        <f t="shared" ca="1" si="2"/>
        <v>25008.943674998918</v>
      </c>
      <c r="N12" s="2">
        <f t="shared" ca="1" si="2"/>
        <v>26525.420634271159</v>
      </c>
      <c r="O12" s="2">
        <f t="shared" ca="1" si="2"/>
        <v>28080.476364099741</v>
      </c>
      <c r="P12" s="2">
        <f t="shared" ca="1" si="2"/>
        <v>29783.203035203253</v>
      </c>
      <c r="Q12" s="2">
        <f t="shared" ca="1" si="2"/>
        <v>31529.246620001373</v>
      </c>
      <c r="R12" s="2">
        <f t="shared" ca="1" si="2"/>
        <v>33441.097702709951</v>
      </c>
      <c r="S12" s="2">
        <f t="shared" ca="1" si="2"/>
        <v>35468.878436593099</v>
      </c>
      <c r="T12" s="2">
        <f t="shared" ca="1" si="2"/>
        <v>37417.746161894254</v>
      </c>
      <c r="U12" s="2">
        <f t="shared" ca="1" si="2"/>
        <v>39680.277491060901</v>
      </c>
      <c r="V12" s="2">
        <f t="shared" ca="1" si="2"/>
        <v>42000</v>
      </c>
      <c r="W12" s="2">
        <f t="shared" ca="1" si="2"/>
        <v>44585.43949453035</v>
      </c>
      <c r="X12" s="2">
        <f t="shared" ca="1" si="2"/>
        <v>47195.587470494567</v>
      </c>
      <c r="Y12" s="2">
        <f t="shared" ca="1" si="2"/>
        <v>50053.373364356317</v>
      </c>
      <c r="Z12" s="2">
        <f t="shared" ca="1" si="2"/>
        <v>53084.203829816244</v>
      </c>
      <c r="AA12" s="2">
        <f t="shared" ca="1" si="2"/>
        <v>56191.891647922515</v>
      </c>
      <c r="AB12" s="2">
        <f t="shared" ca="1" si="2"/>
        <v>59594.421500977842</v>
      </c>
      <c r="AC12" s="2">
        <f t="shared" ca="1" si="2"/>
        <v>63083.234450295487</v>
      </c>
      <c r="AD12" s="2">
        <f t="shared" ca="1" si="2"/>
        <v>66938.423943914589</v>
      </c>
      <c r="AE12" s="2">
        <f t="shared" ca="1" si="2"/>
        <v>70993.581544595101</v>
      </c>
      <c r="AF12" s="2">
        <f t="shared" ca="1" si="2"/>
        <v>74867.051294133489</v>
      </c>
      <c r="AG12" s="2">
        <f t="shared" ca="1" si="2"/>
        <v>79402.528441762712</v>
      </c>
      <c r="AH12" s="2">
        <f t="shared" ca="1" si="2"/>
        <v>102953.14122132264</v>
      </c>
      <c r="AI12" s="2">
        <f t="shared" ca="1" si="2"/>
        <v>109191.16210899652</v>
      </c>
      <c r="AJ12" s="2">
        <f t="shared" ca="1" si="2"/>
        <v>115587.60074143946</v>
      </c>
      <c r="AK12" s="2">
        <f t="shared" ref="AK12:BQ12" ca="1" si="3">AK$26</f>
        <v>122591.15468809247</v>
      </c>
      <c r="AL12" s="2">
        <f t="shared" ca="1" si="3"/>
        <v>130019.06015747237</v>
      </c>
      <c r="AM12" s="2">
        <f t="shared" ca="1" si="3"/>
        <v>137635.60111140989</v>
      </c>
      <c r="AN12" s="2">
        <f t="shared" ca="1" si="3"/>
        <v>145975.06289482419</v>
      </c>
      <c r="AO12" s="2">
        <f t="shared" ca="1" si="3"/>
        <v>154526.30961197891</v>
      </c>
      <c r="AP12" s="2">
        <f t="shared" ca="1" si="3"/>
        <v>163945.73193785522</v>
      </c>
      <c r="AQ12" s="2">
        <f t="shared" ca="1" si="3"/>
        <v>173881.25222069537</v>
      </c>
      <c r="AR12" s="2">
        <f t="shared" ca="1" si="3"/>
        <v>183382.46486094096</v>
      </c>
      <c r="AS12" s="2">
        <f t="shared" ca="1" si="3"/>
        <v>194490.15542818501</v>
      </c>
      <c r="AT12" s="2">
        <f t="shared" ca="1" si="3"/>
        <v>205879.7237195654</v>
      </c>
      <c r="AU12" s="2">
        <f t="shared" ca="1" si="3"/>
        <v>218391.35107752625</v>
      </c>
      <c r="AV12" s="2">
        <f t="shared" ca="1" si="3"/>
        <v>231183.89903711202</v>
      </c>
      <c r="AW12" s="2">
        <f t="shared" ca="1" si="3"/>
        <v>245190.59345073468</v>
      </c>
      <c r="AX12" s="2">
        <f t="shared" ca="1" si="3"/>
        <v>260045.90882720315</v>
      </c>
      <c r="AY12" s="2">
        <f t="shared" ca="1" si="3"/>
        <v>275278.42506871279</v>
      </c>
      <c r="AZ12" s="2">
        <f t="shared" ca="1" si="3"/>
        <v>291956.66625808872</v>
      </c>
      <c r="BA12" s="2">
        <f t="shared" ca="1" si="3"/>
        <v>309058.39540203923</v>
      </c>
      <c r="BB12" s="2">
        <f t="shared" ca="1" si="3"/>
        <v>327908.33825537481</v>
      </c>
      <c r="BC12" s="2">
        <f t="shared" ca="1" si="3"/>
        <v>347779.25793416298</v>
      </c>
      <c r="BD12" s="2">
        <f t="shared" ca="1" si="3"/>
        <v>366760.19446126604</v>
      </c>
      <c r="BE12" s="2">
        <f t="shared" ca="1" si="3"/>
        <v>388985.49809666211</v>
      </c>
      <c r="BF12" s="2">
        <f t="shared" ca="1" si="3"/>
        <v>411775.39646504144</v>
      </c>
      <c r="BG12" s="2">
        <f t="shared" ca="1" si="3"/>
        <v>436728.57670658681</v>
      </c>
      <c r="BH12" s="2">
        <f t="shared" ca="1" si="3"/>
        <v>462315.64858996338</v>
      </c>
      <c r="BI12" s="2">
        <f t="shared" ca="1" si="3"/>
        <v>490331.51800387161</v>
      </c>
      <c r="BJ12" s="2">
        <f t="shared" ca="1" si="3"/>
        <v>520045.12133190478</v>
      </c>
      <c r="BK12" s="2">
        <f t="shared" ca="1" si="3"/>
        <v>550513.54648102203</v>
      </c>
      <c r="BL12" s="2">
        <f t="shared" ca="1" si="3"/>
        <v>583874.12108244875</v>
      </c>
      <c r="BM12" s="2">
        <f t="shared" ca="1" si="3"/>
        <v>618082.16239907162</v>
      </c>
      <c r="BN12" s="2">
        <f t="shared" ca="1" si="3"/>
        <v>654956.20585686364</v>
      </c>
      <c r="BO12" s="2">
        <f t="shared" ca="1" si="3"/>
        <v>694635.44004964025</v>
      </c>
      <c r="BP12" s="2">
        <f t="shared" ca="1" si="3"/>
        <v>733672.25433678052</v>
      </c>
      <c r="BQ12" s="2">
        <f t="shared" ca="1" si="3"/>
        <v>778120.34265170898</v>
      </c>
    </row>
    <row r="13" spans="1:69">
      <c r="A13" s="31"/>
      <c r="B13" s="31"/>
      <c r="C13" s="51"/>
      <c r="D13" s="50"/>
      <c r="E13" s="3" t="s">
        <v>316</v>
      </c>
      <c r="F13" s="3"/>
      <c r="G13" s="3" t="s">
        <v>252</v>
      </c>
      <c r="H13" s="3">
        <f ca="1">SUM(J13:BQ13)</f>
        <v>1509890.9023222984</v>
      </c>
      <c r="I13" s="3"/>
      <c r="J13" s="3">
        <f t="shared" ref="J13:AO13" ca="1" si="4">$F9*$F10*(J11+J12)</f>
        <v>4600</v>
      </c>
      <c r="K13" s="3">
        <f t="shared" ca="1" si="4"/>
        <v>4727.3385096090778</v>
      </c>
      <c r="L13" s="3">
        <f t="shared" ca="1" si="4"/>
        <v>4857.9164770385696</v>
      </c>
      <c r="M13" s="3">
        <f t="shared" ca="1" si="4"/>
        <v>5061.6800526344441</v>
      </c>
      <c r="N13" s="3">
        <f t="shared" ca="1" si="4"/>
        <v>5213.3277485616682</v>
      </c>
      <c r="O13" s="3">
        <f t="shared" ca="1" si="4"/>
        <v>5368.8333215445264</v>
      </c>
      <c r="P13" s="3">
        <f t="shared" ca="1" si="4"/>
        <v>5601.3696335963396</v>
      </c>
      <c r="Q13" s="3">
        <f t="shared" ca="1" si="4"/>
        <v>5775.9739920761522</v>
      </c>
      <c r="R13" s="3">
        <f t="shared" ca="1" si="4"/>
        <v>5967.1591003470094</v>
      </c>
      <c r="S13" s="3">
        <f t="shared" ca="1" si="4"/>
        <v>6233.7147140034831</v>
      </c>
      <c r="T13" s="3">
        <f t="shared" ca="1" si="4"/>
        <v>6428.6014865335992</v>
      </c>
      <c r="U13" s="3">
        <f t="shared" ca="1" si="4"/>
        <v>6654.8546194502633</v>
      </c>
      <c r="V13" s="3">
        <f t="shared" ca="1" si="4"/>
        <v>6950</v>
      </c>
      <c r="W13" s="3">
        <f t="shared" ca="1" si="4"/>
        <v>7208.5439494530356</v>
      </c>
      <c r="X13" s="3">
        <f t="shared" ca="1" si="4"/>
        <v>7469.5587470494575</v>
      </c>
      <c r="Y13" s="3">
        <f t="shared" ca="1" si="4"/>
        <v>7822.4763028165098</v>
      </c>
      <c r="Z13" s="3">
        <f t="shared" ca="1" si="4"/>
        <v>8125.5593493625029</v>
      </c>
      <c r="AA13" s="3">
        <f t="shared" ca="1" si="4"/>
        <v>8436.3281311731298</v>
      </c>
      <c r="AB13" s="3">
        <f t="shared" ca="1" si="4"/>
        <v>8844.9829741575886</v>
      </c>
      <c r="AC13" s="3">
        <f t="shared" ca="1" si="4"/>
        <v>9193.8642690893521</v>
      </c>
      <c r="AD13" s="3">
        <f t="shared" ca="1" si="4"/>
        <v>9579.383218451263</v>
      </c>
      <c r="AE13" s="3">
        <f t="shared" ca="1" si="4"/>
        <v>10055.187415476941</v>
      </c>
      <c r="AF13" s="3">
        <f t="shared" ca="1" si="4"/>
        <v>10442.534390430781</v>
      </c>
      <c r="AG13" s="3">
        <f t="shared" ca="1" si="4"/>
        <v>10896.082105193702</v>
      </c>
      <c r="AH13" s="3">
        <f t="shared" ca="1" si="4"/>
        <v>13320.577193145402</v>
      </c>
      <c r="AI13" s="3">
        <f t="shared" ca="1" si="4"/>
        <v>13944.379281912792</v>
      </c>
      <c r="AJ13" s="3">
        <f t="shared" ca="1" si="4"/>
        <v>14584.023145157085</v>
      </c>
      <c r="AK13" s="3">
        <f t="shared" ca="1" si="4"/>
        <v>15357.867692458432</v>
      </c>
      <c r="AL13" s="3">
        <f t="shared" ca="1" si="4"/>
        <v>16100.658239396424</v>
      </c>
      <c r="AM13" s="3">
        <f t="shared" ca="1" si="4"/>
        <v>16862.312334790175</v>
      </c>
      <c r="AN13" s="3">
        <f t="shared" ca="1" si="4"/>
        <v>17771.53285119728</v>
      </c>
      <c r="AO13" s="3">
        <f t="shared" ca="1" si="4"/>
        <v>18626.657522912752</v>
      </c>
      <c r="AP13" s="3">
        <f t="shared" ref="AP13:BU13" ca="1" si="5">$F9*$F10*(AP11+AP12)</f>
        <v>19568.599755500381</v>
      </c>
      <c r="AQ13" s="3">
        <f t="shared" ca="1" si="5"/>
        <v>20639.449547300381</v>
      </c>
      <c r="AR13" s="3">
        <f t="shared" ca="1" si="5"/>
        <v>21589.570811324942</v>
      </c>
      <c r="AS13" s="3">
        <f t="shared" ca="1" si="5"/>
        <v>22700.339868049345</v>
      </c>
      <c r="AT13" s="3">
        <f t="shared" ca="1" si="5"/>
        <v>23915.689452701365</v>
      </c>
      <c r="AU13" s="3">
        <f t="shared" ca="1" si="5"/>
        <v>25166.852188497451</v>
      </c>
      <c r="AV13" s="3">
        <f t="shared" ca="1" si="5"/>
        <v>26446.10698445603</v>
      </c>
      <c r="AW13" s="3">
        <f t="shared" ca="1" si="5"/>
        <v>27927.631402897503</v>
      </c>
      <c r="AX13" s="3">
        <f t="shared" ca="1" si="5"/>
        <v>29413.162940544353</v>
      </c>
      <c r="AY13" s="3">
        <f t="shared" ca="1" si="5"/>
        <v>30936.414564695315</v>
      </c>
      <c r="AZ13" s="3">
        <f t="shared" ca="1" si="5"/>
        <v>32687.058228961119</v>
      </c>
      <c r="BA13" s="3">
        <f t="shared" ca="1" si="5"/>
        <v>34397.23114335617</v>
      </c>
      <c r="BB13" s="3">
        <f t="shared" ca="1" si="5"/>
        <v>36282.22542868973</v>
      </c>
      <c r="BC13" s="3">
        <f t="shared" ca="1" si="5"/>
        <v>38354.324542406634</v>
      </c>
      <c r="BD13" s="3">
        <f t="shared" ca="1" si="5"/>
        <v>40252.418195116945</v>
      </c>
      <c r="BE13" s="3">
        <f t="shared" ca="1" si="5"/>
        <v>42474.94855865655</v>
      </c>
      <c r="BF13" s="3">
        <f t="shared" ca="1" si="5"/>
        <v>44837.980702468194</v>
      </c>
      <c r="BG13" s="3">
        <f t="shared" ca="1" si="5"/>
        <v>47333.298726622728</v>
      </c>
      <c r="BH13" s="3">
        <f t="shared" ca="1" si="5"/>
        <v>49892.005914960384</v>
      </c>
      <c r="BI13" s="3">
        <f t="shared" ca="1" si="5"/>
        <v>52782.544494917063</v>
      </c>
      <c r="BJ13" s="3">
        <f t="shared" ca="1" si="5"/>
        <v>55753.904827720369</v>
      </c>
      <c r="BK13" s="3">
        <f t="shared" ca="1" si="5"/>
        <v>58800.747342632094</v>
      </c>
      <c r="BL13" s="3">
        <f t="shared" ca="1" si="5"/>
        <v>62227.918037138115</v>
      </c>
      <c r="BM13" s="3">
        <f t="shared" ca="1" si="5"/>
        <v>65648.722168800407</v>
      </c>
      <c r="BN13" s="3">
        <f t="shared" ca="1" si="5"/>
        <v>69336.126514579606</v>
      </c>
      <c r="BO13" s="3">
        <f t="shared" ca="1" si="5"/>
        <v>73396.726507121508</v>
      </c>
      <c r="BP13" s="3">
        <f t="shared" ca="1" si="5"/>
        <v>77300.407935835538</v>
      </c>
      <c r="BQ13" s="3">
        <f t="shared" ca="1" si="5"/>
        <v>81745.216767328384</v>
      </c>
    </row>
    <row r="16" spans="1:69">
      <c r="B16" s="22" t="s">
        <v>257</v>
      </c>
    </row>
    <row r="17" spans="1:69">
      <c r="A17" s="17"/>
      <c r="B17" s="17"/>
      <c r="C17" s="26"/>
      <c r="D17" s="27"/>
      <c r="E17" s="4" t="str">
        <f>InpC!E$25</f>
        <v>Fixed operating cost base</v>
      </c>
      <c r="F17" s="4">
        <f>InpC!F$25</f>
        <v>25000</v>
      </c>
      <c r="G17" s="4" t="str">
        <f>InpC!G$25</f>
        <v>GBP</v>
      </c>
    </row>
    <row r="18" spans="1:69">
      <c r="A18" s="17"/>
      <c r="B18" s="17"/>
      <c r="C18" s="26"/>
      <c r="D18" s="27"/>
      <c r="E18" s="21" t="str">
        <f>Time!E$220</f>
        <v>Fixed Operating Cost Growth Rate escalation indexation factor</v>
      </c>
      <c r="F18" s="21">
        <f>Time!F$220</f>
        <v>0</v>
      </c>
      <c r="G18" s="21" t="str">
        <f>Time!G$220</f>
        <v>index</v>
      </c>
      <c r="H18" s="21">
        <f>Time!H$220</f>
        <v>0</v>
      </c>
      <c r="I18" s="21">
        <f>Time!I$220</f>
        <v>0</v>
      </c>
      <c r="J18" s="21">
        <f>Time!J$220</f>
        <v>1</v>
      </c>
      <c r="K18" s="21">
        <f>Time!K$220</f>
        <v>1</v>
      </c>
      <c r="L18" s="21">
        <f>Time!L$220</f>
        <v>1</v>
      </c>
      <c r="M18" s="21">
        <f>Time!M$220</f>
        <v>1.0243142740538207</v>
      </c>
      <c r="N18" s="21">
        <f>Time!N$220</f>
        <v>1.0243142740538207</v>
      </c>
      <c r="O18" s="21">
        <f>Time!O$220</f>
        <v>1.0243142740538207</v>
      </c>
      <c r="P18" s="21">
        <f>Time!P$220</f>
        <v>1.0492197320304057</v>
      </c>
      <c r="Q18" s="21">
        <f>Time!Q$220</f>
        <v>1.0492197320304057</v>
      </c>
      <c r="R18" s="21">
        <f>Time!R$220</f>
        <v>1.0492197320304057</v>
      </c>
      <c r="S18" s="21">
        <f>Time!S$220</f>
        <v>1.0747307481376693</v>
      </c>
      <c r="T18" s="21">
        <f>Time!T$220</f>
        <v>1.0747307481376693</v>
      </c>
      <c r="U18" s="21">
        <f>Time!U$220</f>
        <v>1.0747307481376693</v>
      </c>
      <c r="V18" s="21">
        <f>Time!V$220</f>
        <v>1.1000000000000001</v>
      </c>
      <c r="W18" s="21">
        <f>Time!W$220</f>
        <v>1.1000000000000001</v>
      </c>
      <c r="X18" s="21">
        <f>Time!X$220</f>
        <v>1.1000000000000001</v>
      </c>
      <c r="Y18" s="21">
        <f>Time!Y$220</f>
        <v>1.1268555865523511</v>
      </c>
      <c r="Z18" s="21">
        <f>Time!Z$220</f>
        <v>1.1268555865523511</v>
      </c>
      <c r="AA18" s="21">
        <f>Time!AA$220</f>
        <v>1.1268555865523511</v>
      </c>
      <c r="AB18" s="21">
        <f>Time!AB$220</f>
        <v>1.1542163296239218</v>
      </c>
      <c r="AC18" s="21">
        <f>Time!AC$220</f>
        <v>1.1542163296239218</v>
      </c>
      <c r="AD18" s="21">
        <f>Time!AD$220</f>
        <v>1.1542163296239218</v>
      </c>
      <c r="AE18" s="21">
        <f>Time!AE$220</f>
        <v>1.1823317044069723</v>
      </c>
      <c r="AF18" s="21">
        <f>Time!AF$220</f>
        <v>1.1823317044069723</v>
      </c>
      <c r="AG18" s="21">
        <f>Time!AG$220</f>
        <v>1.1823317044069723</v>
      </c>
      <c r="AH18" s="21">
        <f>Time!AH$220</f>
        <v>1.2101052284052554</v>
      </c>
      <c r="AI18" s="21">
        <f>Time!AI$220</f>
        <v>1.2101052284052554</v>
      </c>
      <c r="AJ18" s="21">
        <f>Time!AJ$220</f>
        <v>1.2101052284052554</v>
      </c>
      <c r="AK18" s="21">
        <f>Time!AK$220</f>
        <v>1.2395008894596742</v>
      </c>
      <c r="AL18" s="21">
        <f>Time!AL$220</f>
        <v>1.2395008894596742</v>
      </c>
      <c r="AM18" s="21">
        <f>Time!AM$220</f>
        <v>1.2395008894596742</v>
      </c>
      <c r="AN18" s="21">
        <f>Time!AN$220</f>
        <v>1.2696106246859442</v>
      </c>
      <c r="AO18" s="21">
        <f>Time!AO$220</f>
        <v>1.2696106246859442</v>
      </c>
      <c r="AP18" s="21">
        <f>Time!AP$220</f>
        <v>1.2696106246859442</v>
      </c>
      <c r="AQ18" s="21">
        <f>Time!AQ$220</f>
        <v>1.3005297300923371</v>
      </c>
      <c r="AR18" s="21">
        <f>Time!AR$220</f>
        <v>1.3005297300923371</v>
      </c>
      <c r="AS18" s="21">
        <f>Time!AS$220</f>
        <v>1.3005297300923371</v>
      </c>
      <c r="AT18" s="21">
        <f>Time!AT$220</f>
        <v>1.3310868322979301</v>
      </c>
      <c r="AU18" s="21">
        <f>Time!AU$220</f>
        <v>1.3310868322979301</v>
      </c>
      <c r="AV18" s="21">
        <f>Time!AV$220</f>
        <v>1.3310868322979301</v>
      </c>
      <c r="AW18" s="21">
        <f>Time!AW$220</f>
        <v>1.3634288231296141</v>
      </c>
      <c r="AX18" s="21">
        <f>Time!AX$220</f>
        <v>1.3634288231296141</v>
      </c>
      <c r="AY18" s="21">
        <f>Time!AY$220</f>
        <v>1.3634288231296141</v>
      </c>
      <c r="AZ18" s="21">
        <f>Time!AZ$220</f>
        <v>1.396556641260897</v>
      </c>
      <c r="BA18" s="21">
        <f>Time!BA$220</f>
        <v>1.396556641260897</v>
      </c>
      <c r="BB18" s="21">
        <f>Time!BB$220</f>
        <v>1.396556641260897</v>
      </c>
      <c r="BC18" s="21">
        <f>Time!BC$220</f>
        <v>1.4305594995961339</v>
      </c>
      <c r="BD18" s="21">
        <f>Time!BD$220</f>
        <v>1.4305594995961339</v>
      </c>
      <c r="BE18" s="21">
        <f>Time!BE$220</f>
        <v>1.4305594995961339</v>
      </c>
      <c r="BF18" s="21">
        <f>Time!BF$220</f>
        <v>1.4641764223856168</v>
      </c>
      <c r="BG18" s="21">
        <f>Time!BG$220</f>
        <v>1.4641764223856168</v>
      </c>
      <c r="BH18" s="21">
        <f>Time!BH$220</f>
        <v>1.4641764223856168</v>
      </c>
      <c r="BI18" s="21">
        <f>Time!BI$220</f>
        <v>1.4997570778119578</v>
      </c>
      <c r="BJ18" s="21">
        <f>Time!BJ$220</f>
        <v>1.4997570778119578</v>
      </c>
      <c r="BK18" s="21">
        <f>Time!BK$220</f>
        <v>1.4997570778119578</v>
      </c>
      <c r="BL18" s="21">
        <f>Time!BL$220</f>
        <v>1.5362023715572966</v>
      </c>
      <c r="BM18" s="21">
        <f>Time!BM$220</f>
        <v>1.5362023715572966</v>
      </c>
      <c r="BN18" s="21">
        <f>Time!BN$220</f>
        <v>1.5362023715572966</v>
      </c>
      <c r="BO18" s="21">
        <f>Time!BO$220</f>
        <v>1.5732730008629947</v>
      </c>
      <c r="BP18" s="21">
        <f>Time!BP$220</f>
        <v>1.5732730008629947</v>
      </c>
      <c r="BQ18" s="21">
        <f>Time!BQ$220</f>
        <v>1.5732730008629947</v>
      </c>
    </row>
    <row r="19" spans="1:69">
      <c r="A19" s="31"/>
      <c r="B19" s="31"/>
      <c r="C19" s="51"/>
      <c r="D19" s="50"/>
      <c r="E19" s="3" t="s">
        <v>87</v>
      </c>
      <c r="F19" s="3"/>
      <c r="G19" s="3" t="s">
        <v>252</v>
      </c>
      <c r="H19" s="3">
        <f>SUM(J19:BQ19)</f>
        <v>1899484.1637263105</v>
      </c>
      <c r="I19" s="3"/>
      <c r="J19" s="3">
        <f t="shared" ref="J19:AO19" si="6">J18*$F17</f>
        <v>25000</v>
      </c>
      <c r="K19" s="3">
        <f t="shared" si="6"/>
        <v>25000</v>
      </c>
      <c r="L19" s="3">
        <f t="shared" si="6"/>
        <v>25000</v>
      </c>
      <c r="M19" s="3">
        <f t="shared" si="6"/>
        <v>25607.856851345517</v>
      </c>
      <c r="N19" s="3">
        <f t="shared" si="6"/>
        <v>25607.856851345517</v>
      </c>
      <c r="O19" s="3">
        <f t="shared" si="6"/>
        <v>25607.856851345517</v>
      </c>
      <c r="P19" s="3">
        <f t="shared" si="6"/>
        <v>26230.493300760143</v>
      </c>
      <c r="Q19" s="3">
        <f t="shared" si="6"/>
        <v>26230.493300760143</v>
      </c>
      <c r="R19" s="3">
        <f t="shared" si="6"/>
        <v>26230.493300760143</v>
      </c>
      <c r="S19" s="3">
        <f t="shared" si="6"/>
        <v>26868.268703441732</v>
      </c>
      <c r="T19" s="3">
        <f t="shared" si="6"/>
        <v>26868.268703441732</v>
      </c>
      <c r="U19" s="3">
        <f t="shared" si="6"/>
        <v>26868.268703441732</v>
      </c>
      <c r="V19" s="3">
        <f t="shared" si="6"/>
        <v>27500.000000000004</v>
      </c>
      <c r="W19" s="3">
        <f t="shared" si="6"/>
        <v>27500.000000000004</v>
      </c>
      <c r="X19" s="3">
        <f t="shared" si="6"/>
        <v>27500.000000000004</v>
      </c>
      <c r="Y19" s="3">
        <f t="shared" si="6"/>
        <v>28171.389663808775</v>
      </c>
      <c r="Z19" s="3">
        <f t="shared" si="6"/>
        <v>28171.389663808775</v>
      </c>
      <c r="AA19" s="3">
        <f t="shared" si="6"/>
        <v>28171.389663808775</v>
      </c>
      <c r="AB19" s="3">
        <f t="shared" si="6"/>
        <v>28855.408240598044</v>
      </c>
      <c r="AC19" s="3">
        <f t="shared" si="6"/>
        <v>28855.408240598044</v>
      </c>
      <c r="AD19" s="3">
        <f t="shared" si="6"/>
        <v>28855.408240598044</v>
      </c>
      <c r="AE19" s="3">
        <f t="shared" si="6"/>
        <v>29558.292610174307</v>
      </c>
      <c r="AF19" s="3">
        <f t="shared" si="6"/>
        <v>29558.292610174307</v>
      </c>
      <c r="AG19" s="3">
        <f t="shared" si="6"/>
        <v>29558.292610174307</v>
      </c>
      <c r="AH19" s="3">
        <f t="shared" si="6"/>
        <v>30252.630710131383</v>
      </c>
      <c r="AI19" s="3">
        <f t="shared" si="6"/>
        <v>30252.630710131383</v>
      </c>
      <c r="AJ19" s="3">
        <f t="shared" si="6"/>
        <v>30252.630710131383</v>
      </c>
      <c r="AK19" s="3">
        <f t="shared" si="6"/>
        <v>30987.522236491855</v>
      </c>
      <c r="AL19" s="3">
        <f t="shared" si="6"/>
        <v>30987.522236491855</v>
      </c>
      <c r="AM19" s="3">
        <f t="shared" si="6"/>
        <v>30987.522236491855</v>
      </c>
      <c r="AN19" s="3">
        <f t="shared" si="6"/>
        <v>31740.265617148605</v>
      </c>
      <c r="AO19" s="3">
        <f t="shared" si="6"/>
        <v>31740.265617148605</v>
      </c>
      <c r="AP19" s="3">
        <f t="shared" ref="AP19:BU19" si="7">AP18*$F17</f>
        <v>31740.265617148605</v>
      </c>
      <c r="AQ19" s="3">
        <f t="shared" si="7"/>
        <v>32513.243252308428</v>
      </c>
      <c r="AR19" s="3">
        <f t="shared" si="7"/>
        <v>32513.243252308428</v>
      </c>
      <c r="AS19" s="3">
        <f t="shared" si="7"/>
        <v>32513.243252308428</v>
      </c>
      <c r="AT19" s="3">
        <f t="shared" si="7"/>
        <v>33277.170807448252</v>
      </c>
      <c r="AU19" s="3">
        <f t="shared" si="7"/>
        <v>33277.170807448252</v>
      </c>
      <c r="AV19" s="3">
        <f t="shared" si="7"/>
        <v>33277.170807448252</v>
      </c>
      <c r="AW19" s="3">
        <f t="shared" si="7"/>
        <v>34085.720578240354</v>
      </c>
      <c r="AX19" s="3">
        <f t="shared" si="7"/>
        <v>34085.720578240354</v>
      </c>
      <c r="AY19" s="3">
        <f t="shared" si="7"/>
        <v>34085.720578240354</v>
      </c>
      <c r="AZ19" s="3">
        <f t="shared" si="7"/>
        <v>34913.916031522422</v>
      </c>
      <c r="BA19" s="3">
        <f t="shared" si="7"/>
        <v>34913.916031522422</v>
      </c>
      <c r="BB19" s="3">
        <f t="shared" si="7"/>
        <v>34913.916031522422</v>
      </c>
      <c r="BC19" s="3">
        <f t="shared" si="7"/>
        <v>35763.987489903346</v>
      </c>
      <c r="BD19" s="3">
        <f t="shared" si="7"/>
        <v>35763.987489903346</v>
      </c>
      <c r="BE19" s="3">
        <f t="shared" si="7"/>
        <v>35763.987489903346</v>
      </c>
      <c r="BF19" s="3">
        <f t="shared" si="7"/>
        <v>36604.410559640419</v>
      </c>
      <c r="BG19" s="3">
        <f t="shared" si="7"/>
        <v>36604.410559640419</v>
      </c>
      <c r="BH19" s="3">
        <f t="shared" si="7"/>
        <v>36604.410559640419</v>
      </c>
      <c r="BI19" s="3">
        <f t="shared" si="7"/>
        <v>37493.926945298947</v>
      </c>
      <c r="BJ19" s="3">
        <f t="shared" si="7"/>
        <v>37493.926945298947</v>
      </c>
      <c r="BK19" s="3">
        <f t="shared" si="7"/>
        <v>37493.926945298947</v>
      </c>
      <c r="BL19" s="3">
        <f t="shared" si="7"/>
        <v>38405.059288932411</v>
      </c>
      <c r="BM19" s="3">
        <f t="shared" si="7"/>
        <v>38405.059288932411</v>
      </c>
      <c r="BN19" s="3">
        <f t="shared" si="7"/>
        <v>38405.059288932411</v>
      </c>
      <c r="BO19" s="3">
        <f t="shared" si="7"/>
        <v>39331.82502157487</v>
      </c>
      <c r="BP19" s="3">
        <f t="shared" si="7"/>
        <v>39331.82502157487</v>
      </c>
      <c r="BQ19" s="3">
        <f t="shared" si="7"/>
        <v>39331.82502157487</v>
      </c>
    </row>
    <row r="20" spans="1:69">
      <c r="A20" s="31"/>
      <c r="B20" s="31"/>
      <c r="C20" s="51"/>
      <c r="D20" s="50"/>
      <c r="E20" s="3" t="str">
        <f>LEFT($E$19,LEN($E$19)-3)</f>
        <v xml:space="preserve">Fixed operating expense </v>
      </c>
      <c r="F20" s="3"/>
      <c r="G20" s="3" t="str">
        <f>G$19</f>
        <v>GBP</v>
      </c>
      <c r="H20" s="3">
        <f>SUM(J20:BQ20)</f>
        <v>-1899484.1637263105</v>
      </c>
      <c r="I20" s="3"/>
      <c r="J20" s="3">
        <f t="shared" ref="J20:AO20" si="8">-1*J19</f>
        <v>-25000</v>
      </c>
      <c r="K20" s="3">
        <f t="shared" si="8"/>
        <v>-25000</v>
      </c>
      <c r="L20" s="3">
        <f t="shared" si="8"/>
        <v>-25000</v>
      </c>
      <c r="M20" s="3">
        <f t="shared" si="8"/>
        <v>-25607.856851345517</v>
      </c>
      <c r="N20" s="3">
        <f t="shared" si="8"/>
        <v>-25607.856851345517</v>
      </c>
      <c r="O20" s="3">
        <f t="shared" si="8"/>
        <v>-25607.856851345517</v>
      </c>
      <c r="P20" s="3">
        <f t="shared" si="8"/>
        <v>-26230.493300760143</v>
      </c>
      <c r="Q20" s="3">
        <f t="shared" si="8"/>
        <v>-26230.493300760143</v>
      </c>
      <c r="R20" s="3">
        <f t="shared" si="8"/>
        <v>-26230.493300760143</v>
      </c>
      <c r="S20" s="3">
        <f t="shared" si="8"/>
        <v>-26868.268703441732</v>
      </c>
      <c r="T20" s="3">
        <f t="shared" si="8"/>
        <v>-26868.268703441732</v>
      </c>
      <c r="U20" s="3">
        <f t="shared" si="8"/>
        <v>-26868.268703441732</v>
      </c>
      <c r="V20" s="3">
        <f t="shared" si="8"/>
        <v>-27500.000000000004</v>
      </c>
      <c r="W20" s="3">
        <f t="shared" si="8"/>
        <v>-27500.000000000004</v>
      </c>
      <c r="X20" s="3">
        <f t="shared" si="8"/>
        <v>-27500.000000000004</v>
      </c>
      <c r="Y20" s="3">
        <f t="shared" si="8"/>
        <v>-28171.389663808775</v>
      </c>
      <c r="Z20" s="3">
        <f t="shared" si="8"/>
        <v>-28171.389663808775</v>
      </c>
      <c r="AA20" s="3">
        <f t="shared" si="8"/>
        <v>-28171.389663808775</v>
      </c>
      <c r="AB20" s="3">
        <f t="shared" si="8"/>
        <v>-28855.408240598044</v>
      </c>
      <c r="AC20" s="3">
        <f t="shared" si="8"/>
        <v>-28855.408240598044</v>
      </c>
      <c r="AD20" s="3">
        <f t="shared" si="8"/>
        <v>-28855.408240598044</v>
      </c>
      <c r="AE20" s="3">
        <f t="shared" si="8"/>
        <v>-29558.292610174307</v>
      </c>
      <c r="AF20" s="3">
        <f t="shared" si="8"/>
        <v>-29558.292610174307</v>
      </c>
      <c r="AG20" s="3">
        <f t="shared" si="8"/>
        <v>-29558.292610174307</v>
      </c>
      <c r="AH20" s="3">
        <f t="shared" si="8"/>
        <v>-30252.630710131383</v>
      </c>
      <c r="AI20" s="3">
        <f t="shared" si="8"/>
        <v>-30252.630710131383</v>
      </c>
      <c r="AJ20" s="3">
        <f t="shared" si="8"/>
        <v>-30252.630710131383</v>
      </c>
      <c r="AK20" s="3">
        <f t="shared" si="8"/>
        <v>-30987.522236491855</v>
      </c>
      <c r="AL20" s="3">
        <f t="shared" si="8"/>
        <v>-30987.522236491855</v>
      </c>
      <c r="AM20" s="3">
        <f t="shared" si="8"/>
        <v>-30987.522236491855</v>
      </c>
      <c r="AN20" s="3">
        <f t="shared" si="8"/>
        <v>-31740.265617148605</v>
      </c>
      <c r="AO20" s="3">
        <f t="shared" si="8"/>
        <v>-31740.265617148605</v>
      </c>
      <c r="AP20" s="3">
        <f t="shared" ref="AP20:BU20" si="9">-1*AP19</f>
        <v>-31740.265617148605</v>
      </c>
      <c r="AQ20" s="3">
        <f t="shared" si="9"/>
        <v>-32513.243252308428</v>
      </c>
      <c r="AR20" s="3">
        <f t="shared" si="9"/>
        <v>-32513.243252308428</v>
      </c>
      <c r="AS20" s="3">
        <f t="shared" si="9"/>
        <v>-32513.243252308428</v>
      </c>
      <c r="AT20" s="3">
        <f t="shared" si="9"/>
        <v>-33277.170807448252</v>
      </c>
      <c r="AU20" s="3">
        <f t="shared" si="9"/>
        <v>-33277.170807448252</v>
      </c>
      <c r="AV20" s="3">
        <f t="shared" si="9"/>
        <v>-33277.170807448252</v>
      </c>
      <c r="AW20" s="3">
        <f t="shared" si="9"/>
        <v>-34085.720578240354</v>
      </c>
      <c r="AX20" s="3">
        <f t="shared" si="9"/>
        <v>-34085.720578240354</v>
      </c>
      <c r="AY20" s="3">
        <f t="shared" si="9"/>
        <v>-34085.720578240354</v>
      </c>
      <c r="AZ20" s="3">
        <f t="shared" si="9"/>
        <v>-34913.916031522422</v>
      </c>
      <c r="BA20" s="3">
        <f t="shared" si="9"/>
        <v>-34913.916031522422</v>
      </c>
      <c r="BB20" s="3">
        <f t="shared" si="9"/>
        <v>-34913.916031522422</v>
      </c>
      <c r="BC20" s="3">
        <f t="shared" si="9"/>
        <v>-35763.987489903346</v>
      </c>
      <c r="BD20" s="3">
        <f t="shared" si="9"/>
        <v>-35763.987489903346</v>
      </c>
      <c r="BE20" s="3">
        <f t="shared" si="9"/>
        <v>-35763.987489903346</v>
      </c>
      <c r="BF20" s="3">
        <f t="shared" si="9"/>
        <v>-36604.410559640419</v>
      </c>
      <c r="BG20" s="3">
        <f t="shared" si="9"/>
        <v>-36604.410559640419</v>
      </c>
      <c r="BH20" s="3">
        <f t="shared" si="9"/>
        <v>-36604.410559640419</v>
      </c>
      <c r="BI20" s="3">
        <f t="shared" si="9"/>
        <v>-37493.926945298947</v>
      </c>
      <c r="BJ20" s="3">
        <f t="shared" si="9"/>
        <v>-37493.926945298947</v>
      </c>
      <c r="BK20" s="3">
        <f t="shared" si="9"/>
        <v>-37493.926945298947</v>
      </c>
      <c r="BL20" s="3">
        <f t="shared" si="9"/>
        <v>-38405.059288932411</v>
      </c>
      <c r="BM20" s="3">
        <f t="shared" si="9"/>
        <v>-38405.059288932411</v>
      </c>
      <c r="BN20" s="3">
        <f t="shared" si="9"/>
        <v>-38405.059288932411</v>
      </c>
      <c r="BO20" s="3">
        <f t="shared" si="9"/>
        <v>-39331.82502157487</v>
      </c>
      <c r="BP20" s="3">
        <f t="shared" si="9"/>
        <v>-39331.82502157487</v>
      </c>
      <c r="BQ20" s="3">
        <f t="shared" si="9"/>
        <v>-39331.82502157487</v>
      </c>
    </row>
    <row r="23" spans="1:69">
      <c r="B23" s="22" t="s">
        <v>80</v>
      </c>
    </row>
    <row r="24" spans="1:69">
      <c r="A24" s="17"/>
      <c r="B24" s="17"/>
      <c r="C24" s="26"/>
      <c r="D24" s="27"/>
      <c r="E24" s="36" t="str">
        <f>InpC!E$28</f>
        <v>Variable Operating Costs as a % of sales</v>
      </c>
      <c r="F24" s="36">
        <f>InpC!F$28</f>
        <v>0.05</v>
      </c>
      <c r="G24" s="36" t="str">
        <f>InpC!G$28</f>
        <v>%</v>
      </c>
      <c r="M24" s="45"/>
    </row>
    <row r="25" spans="1:69">
      <c r="A25" s="17"/>
      <c r="B25" s="17"/>
      <c r="C25" s="26"/>
      <c r="D25" s="27"/>
      <c r="E25" s="4" t="str">
        <f>Customers!E$40</f>
        <v>Sales</v>
      </c>
      <c r="F25" s="4">
        <f>Customers!F$40</f>
        <v>0</v>
      </c>
      <c r="G25" s="4" t="str">
        <f>Customers!G$40</f>
        <v>GBP</v>
      </c>
      <c r="H25" s="4">
        <f ca="1">Customers!H$40</f>
        <v>263988497.18993348</v>
      </c>
      <c r="I25" s="4">
        <f>Customers!I$40</f>
        <v>0</v>
      </c>
      <c r="J25" s="4">
        <f ca="1">Customers!J$40</f>
        <v>420000</v>
      </c>
      <c r="K25" s="4">
        <f ca="1">Customers!K$40</f>
        <v>445467.7019218154</v>
      </c>
      <c r="L25" s="4">
        <f ca="1">Customers!L$40</f>
        <v>471583.29540771386</v>
      </c>
      <c r="M25" s="4">
        <f ca="1">Customers!M$40</f>
        <v>500178.87349997833</v>
      </c>
      <c r="N25" s="4">
        <f ca="1">Customers!N$40</f>
        <v>530508.41268542316</v>
      </c>
      <c r="O25" s="4">
        <f ca="1">Customers!O$40</f>
        <v>561609.52728199481</v>
      </c>
      <c r="P25" s="4">
        <f ca="1">Customers!P$40</f>
        <v>595664.06070406502</v>
      </c>
      <c r="Q25" s="4">
        <f ca="1">Customers!Q$40</f>
        <v>630584.93240002741</v>
      </c>
      <c r="R25" s="4">
        <f ca="1">Customers!R$40</f>
        <v>668821.95405419893</v>
      </c>
      <c r="S25" s="4">
        <f ca="1">Customers!S$40</f>
        <v>709377.56873186189</v>
      </c>
      <c r="T25" s="4">
        <f ca="1">Customers!T$40</f>
        <v>748354.923237885</v>
      </c>
      <c r="U25" s="4">
        <f ca="1">Customers!U$40</f>
        <v>793605.54982121789</v>
      </c>
      <c r="V25" s="4">
        <f ca="1">Customers!V$40</f>
        <v>840000</v>
      </c>
      <c r="W25" s="4">
        <f ca="1">Customers!W$40</f>
        <v>891708.789890607</v>
      </c>
      <c r="X25" s="4">
        <f ca="1">Customers!X$40</f>
        <v>943911.74940989132</v>
      </c>
      <c r="Y25" s="4">
        <f ca="1">Customers!Y$40</f>
        <v>1001067.4672871262</v>
      </c>
      <c r="Z25" s="4">
        <f ca="1">Customers!Z$40</f>
        <v>1061684.0765963248</v>
      </c>
      <c r="AA25" s="4">
        <f ca="1">Customers!AA$40</f>
        <v>1123837.8329584503</v>
      </c>
      <c r="AB25" s="4">
        <f ca="1">Customers!AB$40</f>
        <v>1191888.4300195568</v>
      </c>
      <c r="AC25" s="4">
        <f ca="1">Customers!AC$40</f>
        <v>1261664.6890059097</v>
      </c>
      <c r="AD25" s="4">
        <f ca="1">Customers!AD$40</f>
        <v>1338768.4788782918</v>
      </c>
      <c r="AE25" s="4">
        <f ca="1">Customers!AE$40</f>
        <v>1419871.6308919019</v>
      </c>
      <c r="AF25" s="4">
        <f ca="1">Customers!AF$40</f>
        <v>1497341.0258826697</v>
      </c>
      <c r="AG25" s="4">
        <f ca="1">Customers!AG$40</f>
        <v>1588050.5688352541</v>
      </c>
      <c r="AH25" s="4">
        <f ca="1">Customers!AH$40</f>
        <v>2059062.8244264526</v>
      </c>
      <c r="AI25" s="4">
        <f ca="1">Customers!AI$40</f>
        <v>2183823.2421799302</v>
      </c>
      <c r="AJ25" s="4">
        <f ca="1">Customers!AJ$40</f>
        <v>2311752.014828789</v>
      </c>
      <c r="AK25" s="4">
        <f ca="1">Customers!AK$40</f>
        <v>2451823.0937618492</v>
      </c>
      <c r="AL25" s="4">
        <f ca="1">Customers!AL$40</f>
        <v>2600381.2031494472</v>
      </c>
      <c r="AM25" s="4">
        <f ca="1">Customers!AM$40</f>
        <v>2752712.0222281977</v>
      </c>
      <c r="AN25" s="4">
        <f ca="1">Customers!AN$40</f>
        <v>2919501.2578964839</v>
      </c>
      <c r="AO25" s="4">
        <f ca="1">Customers!AO$40</f>
        <v>3090526.1922395779</v>
      </c>
      <c r="AP25" s="4">
        <f ca="1">Customers!AP$40</f>
        <v>3278914.6387571041</v>
      </c>
      <c r="AQ25" s="4">
        <f ca="1">Customers!AQ$40</f>
        <v>3477625.0444139075</v>
      </c>
      <c r="AR25" s="4">
        <f ca="1">Customers!AR$40</f>
        <v>3667649.2972188191</v>
      </c>
      <c r="AS25" s="4">
        <f ca="1">Customers!AS$40</f>
        <v>3889803.1085636998</v>
      </c>
      <c r="AT25" s="4">
        <f ca="1">Customers!AT$40</f>
        <v>4117594.4743913077</v>
      </c>
      <c r="AU25" s="4">
        <f ca="1">Customers!AU$40</f>
        <v>4367827.021550525</v>
      </c>
      <c r="AV25" s="4">
        <f ca="1">Customers!AV$40</f>
        <v>4623677.9807422403</v>
      </c>
      <c r="AW25" s="4">
        <f ca="1">Customers!AW$40</f>
        <v>4903811.8690146934</v>
      </c>
      <c r="AX25" s="4">
        <f ca="1">Customers!AX$40</f>
        <v>5200918.1765440628</v>
      </c>
      <c r="AY25" s="4">
        <f ca="1">Customers!AY$40</f>
        <v>5505568.5013742559</v>
      </c>
      <c r="AZ25" s="4">
        <f ca="1">Customers!AZ$40</f>
        <v>5839133.3251617746</v>
      </c>
      <c r="BA25" s="4">
        <f ca="1">Customers!BA$40</f>
        <v>6181167.9080407843</v>
      </c>
      <c r="BB25" s="4">
        <f ca="1">Customers!BB$40</f>
        <v>6558166.7651074957</v>
      </c>
      <c r="BC25" s="4">
        <f ca="1">Customers!BC$40</f>
        <v>6955585.158683259</v>
      </c>
      <c r="BD25" s="4">
        <f ca="1">Customers!BD$40</f>
        <v>7335203.8892253209</v>
      </c>
      <c r="BE25" s="4">
        <f ca="1">Customers!BE$40</f>
        <v>7779709.9619332422</v>
      </c>
      <c r="BF25" s="4">
        <f ca="1">Customers!BF$40</f>
        <v>8235507.9293008279</v>
      </c>
      <c r="BG25" s="4">
        <f ca="1">Customers!BG$40</f>
        <v>8734571.5341317356</v>
      </c>
      <c r="BH25" s="4">
        <f ca="1">Customers!BH$40</f>
        <v>9246312.9717992675</v>
      </c>
      <c r="BI25" s="4">
        <f ca="1">Customers!BI$40</f>
        <v>9806630.3600774314</v>
      </c>
      <c r="BJ25" s="4">
        <f ca="1">Customers!BJ$40</f>
        <v>10400902.426638095</v>
      </c>
      <c r="BK25" s="4">
        <f ca="1">Customers!BK$40</f>
        <v>11010270.929620441</v>
      </c>
      <c r="BL25" s="4">
        <f ca="1">Customers!BL$40</f>
        <v>11677482.421648975</v>
      </c>
      <c r="BM25" s="4">
        <f ca="1">Customers!BM$40</f>
        <v>12361643.247981433</v>
      </c>
      <c r="BN25" s="4">
        <f ca="1">Customers!BN$40</f>
        <v>13099124.117137272</v>
      </c>
      <c r="BO25" s="4">
        <f ca="1">Customers!BO$40</f>
        <v>13892708.800992804</v>
      </c>
      <c r="BP25" s="4">
        <f ca="1">Customers!BP$40</f>
        <v>14673445.08673561</v>
      </c>
      <c r="BQ25" s="4">
        <f ca="1">Customers!BQ$40</f>
        <v>15562406.85303418</v>
      </c>
    </row>
    <row r="26" spans="1:69">
      <c r="A26" s="31"/>
      <c r="B26" s="31"/>
      <c r="C26" s="51"/>
      <c r="D26" s="50"/>
      <c r="E26" s="3" t="s">
        <v>88</v>
      </c>
      <c r="F26" s="3"/>
      <c r="G26" s="3" t="s">
        <v>252</v>
      </c>
      <c r="H26" s="3">
        <f ca="1">SUM(J26:BQ26)</f>
        <v>13199424.859496675</v>
      </c>
      <c r="I26" s="3"/>
      <c r="J26" s="3">
        <f t="shared" ref="J26:AO26" ca="1" si="10">J25*$F24</f>
        <v>21000</v>
      </c>
      <c r="K26" s="3">
        <f t="shared" ca="1" si="10"/>
        <v>22273.385096090773</v>
      </c>
      <c r="L26" s="3">
        <f t="shared" ca="1" si="10"/>
        <v>23579.164770385694</v>
      </c>
      <c r="M26" s="3">
        <f t="shared" ca="1" si="10"/>
        <v>25008.943674998918</v>
      </c>
      <c r="N26" s="3">
        <f t="shared" ca="1" si="10"/>
        <v>26525.420634271159</v>
      </c>
      <c r="O26" s="3">
        <f t="shared" ca="1" si="10"/>
        <v>28080.476364099741</v>
      </c>
      <c r="P26" s="3">
        <f t="shared" ca="1" si="10"/>
        <v>29783.203035203253</v>
      </c>
      <c r="Q26" s="3">
        <f t="shared" ca="1" si="10"/>
        <v>31529.246620001373</v>
      </c>
      <c r="R26" s="3">
        <f t="shared" ca="1" si="10"/>
        <v>33441.097702709951</v>
      </c>
      <c r="S26" s="3">
        <f t="shared" ca="1" si="10"/>
        <v>35468.878436593099</v>
      </c>
      <c r="T26" s="3">
        <f t="shared" ca="1" si="10"/>
        <v>37417.746161894254</v>
      </c>
      <c r="U26" s="3">
        <f t="shared" ca="1" si="10"/>
        <v>39680.277491060901</v>
      </c>
      <c r="V26" s="3">
        <f t="shared" ca="1" si="10"/>
        <v>42000</v>
      </c>
      <c r="W26" s="3">
        <f t="shared" ca="1" si="10"/>
        <v>44585.43949453035</v>
      </c>
      <c r="X26" s="3">
        <f t="shared" ca="1" si="10"/>
        <v>47195.587470494567</v>
      </c>
      <c r="Y26" s="3">
        <f t="shared" ca="1" si="10"/>
        <v>50053.373364356317</v>
      </c>
      <c r="Z26" s="3">
        <f t="shared" ca="1" si="10"/>
        <v>53084.203829816244</v>
      </c>
      <c r="AA26" s="3">
        <f t="shared" ca="1" si="10"/>
        <v>56191.891647922515</v>
      </c>
      <c r="AB26" s="3">
        <f t="shared" ca="1" si="10"/>
        <v>59594.421500977842</v>
      </c>
      <c r="AC26" s="3">
        <f t="shared" ca="1" si="10"/>
        <v>63083.234450295487</v>
      </c>
      <c r="AD26" s="3">
        <f t="shared" ca="1" si="10"/>
        <v>66938.423943914589</v>
      </c>
      <c r="AE26" s="3">
        <f t="shared" ca="1" si="10"/>
        <v>70993.581544595101</v>
      </c>
      <c r="AF26" s="3">
        <f t="shared" ca="1" si="10"/>
        <v>74867.051294133489</v>
      </c>
      <c r="AG26" s="3">
        <f t="shared" ca="1" si="10"/>
        <v>79402.528441762712</v>
      </c>
      <c r="AH26" s="3">
        <f t="shared" ca="1" si="10"/>
        <v>102953.14122132264</v>
      </c>
      <c r="AI26" s="3">
        <f t="shared" ca="1" si="10"/>
        <v>109191.16210899652</v>
      </c>
      <c r="AJ26" s="3">
        <f t="shared" ca="1" si="10"/>
        <v>115587.60074143946</v>
      </c>
      <c r="AK26" s="3">
        <f t="shared" ca="1" si="10"/>
        <v>122591.15468809247</v>
      </c>
      <c r="AL26" s="3">
        <f t="shared" ca="1" si="10"/>
        <v>130019.06015747237</v>
      </c>
      <c r="AM26" s="3">
        <f t="shared" ca="1" si="10"/>
        <v>137635.60111140989</v>
      </c>
      <c r="AN26" s="3">
        <f t="shared" ca="1" si="10"/>
        <v>145975.06289482419</v>
      </c>
      <c r="AO26" s="3">
        <f t="shared" ca="1" si="10"/>
        <v>154526.30961197891</v>
      </c>
      <c r="AP26" s="3">
        <f t="shared" ref="AP26:BU26" ca="1" si="11">AP25*$F24</f>
        <v>163945.73193785522</v>
      </c>
      <c r="AQ26" s="3">
        <f t="shared" ca="1" si="11"/>
        <v>173881.25222069537</v>
      </c>
      <c r="AR26" s="3">
        <f t="shared" ca="1" si="11"/>
        <v>183382.46486094096</v>
      </c>
      <c r="AS26" s="3">
        <f t="shared" ca="1" si="11"/>
        <v>194490.15542818501</v>
      </c>
      <c r="AT26" s="3">
        <f t="shared" ca="1" si="11"/>
        <v>205879.7237195654</v>
      </c>
      <c r="AU26" s="3">
        <f t="shared" ca="1" si="11"/>
        <v>218391.35107752625</v>
      </c>
      <c r="AV26" s="3">
        <f t="shared" ca="1" si="11"/>
        <v>231183.89903711202</v>
      </c>
      <c r="AW26" s="3">
        <f t="shared" ca="1" si="11"/>
        <v>245190.59345073468</v>
      </c>
      <c r="AX26" s="3">
        <f t="shared" ca="1" si="11"/>
        <v>260045.90882720315</v>
      </c>
      <c r="AY26" s="3">
        <f t="shared" ca="1" si="11"/>
        <v>275278.42506871279</v>
      </c>
      <c r="AZ26" s="3">
        <f t="shared" ca="1" si="11"/>
        <v>291956.66625808872</v>
      </c>
      <c r="BA26" s="3">
        <f t="shared" ca="1" si="11"/>
        <v>309058.39540203923</v>
      </c>
      <c r="BB26" s="3">
        <f t="shared" ca="1" si="11"/>
        <v>327908.33825537481</v>
      </c>
      <c r="BC26" s="3">
        <f t="shared" ca="1" si="11"/>
        <v>347779.25793416298</v>
      </c>
      <c r="BD26" s="3">
        <f t="shared" ca="1" si="11"/>
        <v>366760.19446126604</v>
      </c>
      <c r="BE26" s="3">
        <f t="shared" ca="1" si="11"/>
        <v>388985.49809666211</v>
      </c>
      <c r="BF26" s="3">
        <f t="shared" ca="1" si="11"/>
        <v>411775.39646504144</v>
      </c>
      <c r="BG26" s="3">
        <f t="shared" ca="1" si="11"/>
        <v>436728.57670658681</v>
      </c>
      <c r="BH26" s="3">
        <f t="shared" ca="1" si="11"/>
        <v>462315.64858996338</v>
      </c>
      <c r="BI26" s="3">
        <f t="shared" ca="1" si="11"/>
        <v>490331.51800387161</v>
      </c>
      <c r="BJ26" s="3">
        <f t="shared" ca="1" si="11"/>
        <v>520045.12133190478</v>
      </c>
      <c r="BK26" s="3">
        <f t="shared" ca="1" si="11"/>
        <v>550513.54648102203</v>
      </c>
      <c r="BL26" s="3">
        <f t="shared" ca="1" si="11"/>
        <v>583874.12108244875</v>
      </c>
      <c r="BM26" s="3">
        <f t="shared" ca="1" si="11"/>
        <v>618082.16239907162</v>
      </c>
      <c r="BN26" s="3">
        <f t="shared" ca="1" si="11"/>
        <v>654956.20585686364</v>
      </c>
      <c r="BO26" s="3">
        <f t="shared" ca="1" si="11"/>
        <v>694635.44004964025</v>
      </c>
      <c r="BP26" s="3">
        <f t="shared" ca="1" si="11"/>
        <v>733672.25433678052</v>
      </c>
      <c r="BQ26" s="3">
        <f t="shared" ca="1" si="11"/>
        <v>778120.34265170898</v>
      </c>
    </row>
    <row r="27" spans="1:69">
      <c r="A27" s="31"/>
      <c r="B27" s="31"/>
      <c r="C27" s="51"/>
      <c r="D27" s="50"/>
      <c r="E27" s="3" t="str">
        <f>LEFT($E$26,LEN($E$26)-3)</f>
        <v xml:space="preserve">Variable Operating expense </v>
      </c>
      <c r="F27" s="3"/>
      <c r="G27" s="3" t="str">
        <f>G$26</f>
        <v>GBP</v>
      </c>
      <c r="H27" s="3">
        <f ca="1">SUM(J27:BQ27)</f>
        <v>-13199424.859496675</v>
      </c>
      <c r="I27" s="3"/>
      <c r="J27" s="3">
        <f t="shared" ref="J27:AO27" ca="1" si="12">-1*J26</f>
        <v>-21000</v>
      </c>
      <c r="K27" s="3">
        <f t="shared" ca="1" si="12"/>
        <v>-22273.385096090773</v>
      </c>
      <c r="L27" s="3">
        <f t="shared" ca="1" si="12"/>
        <v>-23579.164770385694</v>
      </c>
      <c r="M27" s="3">
        <f t="shared" ca="1" si="12"/>
        <v>-25008.943674998918</v>
      </c>
      <c r="N27" s="3">
        <f t="shared" ca="1" si="12"/>
        <v>-26525.420634271159</v>
      </c>
      <c r="O27" s="3">
        <f t="shared" ca="1" si="12"/>
        <v>-28080.476364099741</v>
      </c>
      <c r="P27" s="3">
        <f t="shared" ca="1" si="12"/>
        <v>-29783.203035203253</v>
      </c>
      <c r="Q27" s="3">
        <f t="shared" ca="1" si="12"/>
        <v>-31529.246620001373</v>
      </c>
      <c r="R27" s="3">
        <f t="shared" ca="1" si="12"/>
        <v>-33441.097702709951</v>
      </c>
      <c r="S27" s="3">
        <f t="shared" ca="1" si="12"/>
        <v>-35468.878436593099</v>
      </c>
      <c r="T27" s="3">
        <f t="shared" ca="1" si="12"/>
        <v>-37417.746161894254</v>
      </c>
      <c r="U27" s="3">
        <f t="shared" ca="1" si="12"/>
        <v>-39680.277491060901</v>
      </c>
      <c r="V27" s="3">
        <f t="shared" ca="1" si="12"/>
        <v>-42000</v>
      </c>
      <c r="W27" s="3">
        <f t="shared" ca="1" si="12"/>
        <v>-44585.43949453035</v>
      </c>
      <c r="X27" s="3">
        <f t="shared" ca="1" si="12"/>
        <v>-47195.587470494567</v>
      </c>
      <c r="Y27" s="3">
        <f t="shared" ca="1" si="12"/>
        <v>-50053.373364356317</v>
      </c>
      <c r="Z27" s="3">
        <f t="shared" ca="1" si="12"/>
        <v>-53084.203829816244</v>
      </c>
      <c r="AA27" s="3">
        <f t="shared" ca="1" si="12"/>
        <v>-56191.891647922515</v>
      </c>
      <c r="AB27" s="3">
        <f t="shared" ca="1" si="12"/>
        <v>-59594.421500977842</v>
      </c>
      <c r="AC27" s="3">
        <f t="shared" ca="1" si="12"/>
        <v>-63083.234450295487</v>
      </c>
      <c r="AD27" s="3">
        <f t="shared" ca="1" si="12"/>
        <v>-66938.423943914589</v>
      </c>
      <c r="AE27" s="3">
        <f t="shared" ca="1" si="12"/>
        <v>-70993.581544595101</v>
      </c>
      <c r="AF27" s="3">
        <f t="shared" ca="1" si="12"/>
        <v>-74867.051294133489</v>
      </c>
      <c r="AG27" s="3">
        <f t="shared" ca="1" si="12"/>
        <v>-79402.528441762712</v>
      </c>
      <c r="AH27" s="3">
        <f t="shared" ca="1" si="12"/>
        <v>-102953.14122132264</v>
      </c>
      <c r="AI27" s="3">
        <f t="shared" ca="1" si="12"/>
        <v>-109191.16210899652</v>
      </c>
      <c r="AJ27" s="3">
        <f t="shared" ca="1" si="12"/>
        <v>-115587.60074143946</v>
      </c>
      <c r="AK27" s="3">
        <f t="shared" ca="1" si="12"/>
        <v>-122591.15468809247</v>
      </c>
      <c r="AL27" s="3">
        <f t="shared" ca="1" si="12"/>
        <v>-130019.06015747237</v>
      </c>
      <c r="AM27" s="3">
        <f t="shared" ca="1" si="12"/>
        <v>-137635.60111140989</v>
      </c>
      <c r="AN27" s="3">
        <f t="shared" ca="1" si="12"/>
        <v>-145975.06289482419</v>
      </c>
      <c r="AO27" s="3">
        <f t="shared" ca="1" si="12"/>
        <v>-154526.30961197891</v>
      </c>
      <c r="AP27" s="3">
        <f t="shared" ref="AP27:BU27" ca="1" si="13">-1*AP26</f>
        <v>-163945.73193785522</v>
      </c>
      <c r="AQ27" s="3">
        <f t="shared" ca="1" si="13"/>
        <v>-173881.25222069537</v>
      </c>
      <c r="AR27" s="3">
        <f t="shared" ca="1" si="13"/>
        <v>-183382.46486094096</v>
      </c>
      <c r="AS27" s="3">
        <f t="shared" ca="1" si="13"/>
        <v>-194490.15542818501</v>
      </c>
      <c r="AT27" s="3">
        <f t="shared" ca="1" si="13"/>
        <v>-205879.7237195654</v>
      </c>
      <c r="AU27" s="3">
        <f t="shared" ca="1" si="13"/>
        <v>-218391.35107752625</v>
      </c>
      <c r="AV27" s="3">
        <f t="shared" ca="1" si="13"/>
        <v>-231183.89903711202</v>
      </c>
      <c r="AW27" s="3">
        <f t="shared" ca="1" si="13"/>
        <v>-245190.59345073468</v>
      </c>
      <c r="AX27" s="3">
        <f t="shared" ca="1" si="13"/>
        <v>-260045.90882720315</v>
      </c>
      <c r="AY27" s="3">
        <f t="shared" ca="1" si="13"/>
        <v>-275278.42506871279</v>
      </c>
      <c r="AZ27" s="3">
        <f t="shared" ca="1" si="13"/>
        <v>-291956.66625808872</v>
      </c>
      <c r="BA27" s="3">
        <f t="shared" ca="1" si="13"/>
        <v>-309058.39540203923</v>
      </c>
      <c r="BB27" s="3">
        <f t="shared" ca="1" si="13"/>
        <v>-327908.33825537481</v>
      </c>
      <c r="BC27" s="3">
        <f t="shared" ca="1" si="13"/>
        <v>-347779.25793416298</v>
      </c>
      <c r="BD27" s="3">
        <f t="shared" ca="1" si="13"/>
        <v>-366760.19446126604</v>
      </c>
      <c r="BE27" s="3">
        <f t="shared" ca="1" si="13"/>
        <v>-388985.49809666211</v>
      </c>
      <c r="BF27" s="3">
        <f t="shared" ca="1" si="13"/>
        <v>-411775.39646504144</v>
      </c>
      <c r="BG27" s="3">
        <f t="shared" ca="1" si="13"/>
        <v>-436728.57670658681</v>
      </c>
      <c r="BH27" s="3">
        <f t="shared" ca="1" si="13"/>
        <v>-462315.64858996338</v>
      </c>
      <c r="BI27" s="3">
        <f t="shared" ca="1" si="13"/>
        <v>-490331.51800387161</v>
      </c>
      <c r="BJ27" s="3">
        <f t="shared" ca="1" si="13"/>
        <v>-520045.12133190478</v>
      </c>
      <c r="BK27" s="3">
        <f t="shared" ca="1" si="13"/>
        <v>-550513.54648102203</v>
      </c>
      <c r="BL27" s="3">
        <f t="shared" ca="1" si="13"/>
        <v>-583874.12108244875</v>
      </c>
      <c r="BM27" s="3">
        <f t="shared" ca="1" si="13"/>
        <v>-618082.16239907162</v>
      </c>
      <c r="BN27" s="3">
        <f t="shared" ca="1" si="13"/>
        <v>-654956.20585686364</v>
      </c>
      <c r="BO27" s="3">
        <f t="shared" ca="1" si="13"/>
        <v>-694635.44004964025</v>
      </c>
      <c r="BP27" s="3">
        <f t="shared" ca="1" si="13"/>
        <v>-733672.25433678052</v>
      </c>
      <c r="BQ27" s="3">
        <f t="shared" ca="1" si="13"/>
        <v>-778120.34265170898</v>
      </c>
    </row>
    <row r="30" spans="1:69">
      <c r="B30" s="22" t="s">
        <v>265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BQ55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46.7265625" style="2" customWidth="1"/>
    <col min="6" max="6" width="20.7265625" style="2" customWidth="1"/>
    <col min="7" max="8" width="13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48" width="11.7265625" style="2" customWidth="1"/>
    <col min="49" max="50" width="12.7265625" style="2" customWidth="1"/>
    <col min="51" max="51" width="11.7265625" style="2" customWidth="1"/>
    <col min="52" max="53" width="12.7265625" style="2" customWidth="1"/>
    <col min="54" max="54" width="11.7265625" style="2" customWidth="1"/>
    <col min="55" max="55" width="12.7265625" style="2" customWidth="1"/>
    <col min="56" max="57" width="11.7265625" style="2" customWidth="1"/>
    <col min="58" max="59" width="12.7265625" style="2" customWidth="1"/>
    <col min="60" max="60" width="11.7265625" style="2" customWidth="1"/>
    <col min="61" max="62" width="12.7265625" style="2" customWidth="1"/>
    <col min="63" max="63" width="11.7265625" style="2" customWidth="1"/>
    <col min="64" max="65" width="12.7265625" style="2" customWidth="1"/>
    <col min="66" max="66" width="11.7265625" style="2" customWidth="1"/>
    <col min="67" max="67" width="12.7265625" style="2" customWidth="1"/>
    <col min="68" max="69" width="11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Working Capital</v>
      </c>
      <c r="B1" s="37"/>
      <c r="C1" s="58"/>
      <c r="D1" s="67"/>
      <c r="F1" s="42" t="str">
        <f>HYPERLINK("#Contents!A1","Go to contents")</f>
        <v>Go to contents</v>
      </c>
      <c r="H1" s="38"/>
      <c r="J1" s="38"/>
    </row>
    <row r="2" spans="1:69" s="43" customFormat="1">
      <c r="A2" s="39"/>
      <c r="B2" s="39"/>
      <c r="C2" s="56"/>
      <c r="D2" s="62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>
      <c r="A3" s="39"/>
      <c r="B3" s="39"/>
      <c r="C3" s="56"/>
      <c r="D3" s="62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62"/>
      <c r="E4" s="20" t="s">
        <v>325</v>
      </c>
      <c r="F4" s="22"/>
      <c r="G4" s="20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>
      <c r="A5" s="39"/>
      <c r="B5" s="39"/>
      <c r="C5" s="56"/>
      <c r="D5" s="62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6" spans="1:69">
      <c r="F6" s="22"/>
      <c r="G6" s="22"/>
      <c r="H6" s="22"/>
    </row>
    <row r="8" spans="1:69">
      <c r="B8" s="22" t="s">
        <v>258</v>
      </c>
    </row>
    <row r="9" spans="1:69">
      <c r="A9" s="17"/>
      <c r="B9" s="17"/>
      <c r="C9" s="26"/>
      <c r="D9" s="27"/>
      <c r="E9" s="36" t="str">
        <f>InpC!E$84</f>
        <v>VAT rate</v>
      </c>
      <c r="F9" s="36">
        <f>InpC!F$84</f>
        <v>0.2</v>
      </c>
      <c r="G9" s="36" t="str">
        <f>InpC!G$84</f>
        <v>%</v>
      </c>
      <c r="M9" s="45"/>
    </row>
    <row r="10" spans="1:69">
      <c r="A10" s="17"/>
      <c r="B10" s="17"/>
      <c r="C10" s="26"/>
      <c r="D10" s="27"/>
      <c r="E10" s="4" t="str">
        <f>InpC!E$33</f>
        <v>Order lead time (months)</v>
      </c>
      <c r="F10" s="4">
        <f>InpC!F$33</f>
        <v>6</v>
      </c>
      <c r="G10" s="4" t="str">
        <f>InpC!G$33</f>
        <v>Months</v>
      </c>
    </row>
    <row r="11" spans="1:69">
      <c r="A11" s="17"/>
      <c r="B11" s="17"/>
      <c r="C11" s="26"/>
      <c r="D11" s="27"/>
      <c r="E11" s="4" t="str">
        <f>InpC!E$34</f>
        <v>Supplier price per unit</v>
      </c>
      <c r="F11" s="4">
        <f>InpC!F$34</f>
        <v>35</v>
      </c>
      <c r="G11" s="4" t="str">
        <f>InpC!G$34</f>
        <v>GBP</v>
      </c>
    </row>
    <row r="12" spans="1:69">
      <c r="A12" s="17"/>
      <c r="B12" s="17"/>
      <c r="C12" s="26"/>
      <c r="D12" s="27"/>
      <c r="E12" s="36" t="str">
        <f>InpC!E$32</f>
        <v>Supplier order deposit</v>
      </c>
      <c r="F12" s="36">
        <f>InpC!F$32</f>
        <v>0.3</v>
      </c>
      <c r="G12" s="36" t="str">
        <f>InpC!G$32</f>
        <v>%</v>
      </c>
      <c r="M12" s="45"/>
    </row>
    <row r="13" spans="1:69">
      <c r="A13" s="17"/>
      <c r="B13" s="17"/>
      <c r="C13" s="26"/>
      <c r="D13" s="27"/>
      <c r="E13" s="4" t="str">
        <f>Inventory!E$26</f>
        <v>Units ordered</v>
      </c>
      <c r="F13" s="4">
        <f>Inventory!F$26</f>
        <v>0</v>
      </c>
      <c r="G13" s="4" t="str">
        <f>Inventory!G$26</f>
        <v>Units</v>
      </c>
      <c r="H13" s="4">
        <f ca="1">Inventory!H$26</f>
        <v>165000</v>
      </c>
      <c r="I13" s="4">
        <f>Inventory!I$26</f>
        <v>0</v>
      </c>
      <c r="J13" s="4">
        <f ca="1">Inventory!J$26</f>
        <v>5000</v>
      </c>
      <c r="K13" s="4">
        <f ca="1">Inventory!K$26</f>
        <v>0</v>
      </c>
      <c r="L13" s="4">
        <f ca="1">Inventory!L$26</f>
        <v>0</v>
      </c>
      <c r="M13" s="4">
        <f ca="1">Inventory!M$26</f>
        <v>0</v>
      </c>
      <c r="N13" s="4">
        <f ca="1">Inventory!N$26</f>
        <v>0</v>
      </c>
      <c r="O13" s="4">
        <f ca="1">Inventory!O$26</f>
        <v>0</v>
      </c>
      <c r="P13" s="4">
        <f ca="1">Inventory!P$26</f>
        <v>5000</v>
      </c>
      <c r="Q13" s="4">
        <f ca="1">Inventory!Q$26</f>
        <v>0</v>
      </c>
      <c r="R13" s="4">
        <f ca="1">Inventory!R$26</f>
        <v>0</v>
      </c>
      <c r="S13" s="4">
        <f ca="1">Inventory!S$26</f>
        <v>0</v>
      </c>
      <c r="T13" s="4">
        <f ca="1">Inventory!T$26</f>
        <v>0</v>
      </c>
      <c r="U13" s="4">
        <f ca="1">Inventory!U$26</f>
        <v>0</v>
      </c>
      <c r="V13" s="4">
        <f ca="1">Inventory!V$26</f>
        <v>5000</v>
      </c>
      <c r="W13" s="4">
        <f ca="1">Inventory!W$26</f>
        <v>0</v>
      </c>
      <c r="X13" s="4">
        <f ca="1">Inventory!X$26</f>
        <v>0</v>
      </c>
      <c r="Y13" s="4">
        <f ca="1">Inventory!Y$26</f>
        <v>0</v>
      </c>
      <c r="Z13" s="4">
        <f ca="1">Inventory!Z$26</f>
        <v>5000</v>
      </c>
      <c r="AA13" s="4">
        <f ca="1">Inventory!AA$26</f>
        <v>0</v>
      </c>
      <c r="AB13" s="4">
        <f ca="1">Inventory!AB$26</f>
        <v>0</v>
      </c>
      <c r="AC13" s="4">
        <f ca="1">Inventory!AC$26</f>
        <v>0</v>
      </c>
      <c r="AD13" s="4">
        <f ca="1">Inventory!AD$26</f>
        <v>5000</v>
      </c>
      <c r="AE13" s="4">
        <f ca="1">Inventory!AE$26</f>
        <v>0</v>
      </c>
      <c r="AF13" s="4">
        <f ca="1">Inventory!AF$26</f>
        <v>0</v>
      </c>
      <c r="AG13" s="4">
        <f ca="1">Inventory!AG$26</f>
        <v>5000</v>
      </c>
      <c r="AH13" s="4">
        <f ca="1">Inventory!AH$26</f>
        <v>0</v>
      </c>
      <c r="AI13" s="4">
        <f ca="1">Inventory!AI$26</f>
        <v>5000</v>
      </c>
      <c r="AJ13" s="4">
        <f ca="1">Inventory!AJ$26</f>
        <v>0</v>
      </c>
      <c r="AK13" s="4">
        <f ca="1">Inventory!AK$26</f>
        <v>0</v>
      </c>
      <c r="AL13" s="4">
        <f ca="1">Inventory!AL$26</f>
        <v>5000</v>
      </c>
      <c r="AM13" s="4">
        <f ca="1">Inventory!AM$26</f>
        <v>0</v>
      </c>
      <c r="AN13" s="4">
        <f ca="1">Inventory!AN$26</f>
        <v>0</v>
      </c>
      <c r="AO13" s="4">
        <f ca="1">Inventory!AO$26</f>
        <v>5000</v>
      </c>
      <c r="AP13" s="4">
        <f ca="1">Inventory!AP$26</f>
        <v>0</v>
      </c>
      <c r="AQ13" s="4">
        <f ca="1">Inventory!AQ$26</f>
        <v>5000</v>
      </c>
      <c r="AR13" s="4">
        <f ca="1">Inventory!AR$26</f>
        <v>0</v>
      </c>
      <c r="AS13" s="4">
        <f ca="1">Inventory!AS$26</f>
        <v>5000</v>
      </c>
      <c r="AT13" s="4">
        <f ca="1">Inventory!AT$26</f>
        <v>5000</v>
      </c>
      <c r="AU13" s="4">
        <f ca="1">Inventory!AU$26</f>
        <v>0</v>
      </c>
      <c r="AV13" s="4">
        <f ca="1">Inventory!AV$26</f>
        <v>5000</v>
      </c>
      <c r="AW13" s="4">
        <f ca="1">Inventory!AW$26</f>
        <v>5000</v>
      </c>
      <c r="AX13" s="4">
        <f ca="1">Inventory!AX$26</f>
        <v>0</v>
      </c>
      <c r="AY13" s="4">
        <f ca="1">Inventory!AY$26</f>
        <v>5000</v>
      </c>
      <c r="AZ13" s="4">
        <f ca="1">Inventory!AZ$26</f>
        <v>5000</v>
      </c>
      <c r="BA13" s="4">
        <f ca="1">Inventory!BA$26</f>
        <v>5000</v>
      </c>
      <c r="BB13" s="4">
        <f ca="1">Inventory!BB$26</f>
        <v>5000</v>
      </c>
      <c r="BC13" s="4">
        <f ca="1">Inventory!BC$26</f>
        <v>5000</v>
      </c>
      <c r="BD13" s="4">
        <f ca="1">Inventory!BD$26</f>
        <v>5000</v>
      </c>
      <c r="BE13" s="4">
        <f ca="1">Inventory!BE$26</f>
        <v>5000</v>
      </c>
      <c r="BF13" s="4">
        <f ca="1">Inventory!BF$26</f>
        <v>5000</v>
      </c>
      <c r="BG13" s="4">
        <f ca="1">Inventory!BG$26</f>
        <v>5000</v>
      </c>
      <c r="BH13" s="4">
        <f ca="1">Inventory!BH$26</f>
        <v>5000</v>
      </c>
      <c r="BI13" s="4">
        <f ca="1">Inventory!BI$26</f>
        <v>5000</v>
      </c>
      <c r="BJ13" s="4">
        <f ca="1">Inventory!BJ$26</f>
        <v>5000</v>
      </c>
      <c r="BK13" s="4">
        <f ca="1">Inventory!BK$26</f>
        <v>5000</v>
      </c>
      <c r="BL13" s="4">
        <f ca="1">Inventory!BL$26</f>
        <v>5000</v>
      </c>
      <c r="BM13" s="4">
        <f ca="1">Inventory!BM$26</f>
        <v>5000</v>
      </c>
      <c r="BN13" s="4">
        <f ca="1">Inventory!BN$26</f>
        <v>5000</v>
      </c>
      <c r="BO13" s="4">
        <f ca="1">Inventory!BO$26</f>
        <v>5000</v>
      </c>
      <c r="BP13" s="4">
        <f ca="1">Inventory!BP$26</f>
        <v>5000</v>
      </c>
      <c r="BQ13" s="4">
        <f ca="1">Inventory!BQ$26</f>
        <v>5000</v>
      </c>
    </row>
    <row r="14" spans="1:69" ht="14.5">
      <c r="E14" s="2" t="s">
        <v>301</v>
      </c>
      <c r="F14"/>
      <c r="G14" s="2" t="s">
        <v>252</v>
      </c>
      <c r="H14" s="2">
        <f ca="1">SUM(J14:BQ14)</f>
        <v>5701499.9999999991</v>
      </c>
      <c r="I14"/>
      <c r="J14" s="2">
        <f ca="1">(1+$F9)*(IF(Time!J28&lt;1+$F10,0,OFFSET(J13,0,-1*($F10)))*$F11*(1-$F12))+(J13*$F11*$F12)</f>
        <v>52500</v>
      </c>
      <c r="K14" s="2">
        <f ca="1">(1+$F9)*(IF(Time!K28&lt;1+$F10,0,OFFSET(K13,0,-1*($F10)))*$F11*(1-$F12))+(K13*$F11*$F12)</f>
        <v>0</v>
      </c>
      <c r="L14" s="2">
        <f ca="1">(1+$F9)*(IF(Time!L28&lt;1+$F10,0,OFFSET(L13,0,-1*($F10)))*$F11*(1-$F12))+(L13*$F11*$F12)</f>
        <v>0</v>
      </c>
      <c r="M14" s="2">
        <f ca="1">(1+$F9)*(IF(Time!M28&lt;1+$F10,0,OFFSET(M13,0,-1*($F10)))*$F11*(1-$F12))+(M13*$F11*$F12)</f>
        <v>0</v>
      </c>
      <c r="N14" s="2">
        <f ca="1">(1+$F9)*(IF(Time!N28&lt;1+$F10,0,OFFSET(N13,0,-1*($F10)))*$F11*(1-$F12))+(N13*$F11*$F12)</f>
        <v>0</v>
      </c>
      <c r="O14" s="2">
        <f ca="1">(1+$F9)*(IF(Time!O28&lt;1+$F10,0,OFFSET(O13,0,-1*($F10)))*$F11*(1-$F12))+(O13*$F11*$F12)</f>
        <v>0</v>
      </c>
      <c r="P14" s="2">
        <f ca="1">(1+$F9)*(IF(Time!P28&lt;1+$F10,0,OFFSET(P13,0,-1*($F10)))*$F11*(1-$F12))+(P13*$F11*$F12)</f>
        <v>199499.99999999997</v>
      </c>
      <c r="Q14" s="2">
        <f ca="1">(1+$F9)*(IF(Time!Q28&lt;1+$F10,0,OFFSET(Q13,0,-1*($F10)))*$F11*(1-$F12))+(Q13*$F11*$F12)</f>
        <v>0</v>
      </c>
      <c r="R14" s="2">
        <f ca="1">(1+$F9)*(IF(Time!R28&lt;1+$F10,0,OFFSET(R13,0,-1*($F10)))*$F11*(1-$F12))+(R13*$F11*$F12)</f>
        <v>0</v>
      </c>
      <c r="S14" s="2">
        <f ca="1">(1+$F9)*(IF(Time!S28&lt;1+$F10,0,OFFSET(S13,0,-1*($F10)))*$F11*(1-$F12))+(S13*$F11*$F12)</f>
        <v>0</v>
      </c>
      <c r="T14" s="2">
        <f ca="1">(1+$F9)*(IF(Time!T28&lt;1+$F10,0,OFFSET(T13,0,-1*($F10)))*$F11*(1-$F12))+(T13*$F11*$F12)</f>
        <v>0</v>
      </c>
      <c r="U14" s="2">
        <f ca="1">(1+$F9)*(IF(Time!U28&lt;1+$F10,0,OFFSET(U13,0,-1*($F10)))*$F11*(1-$F12))+(U13*$F11*$F12)</f>
        <v>0</v>
      </c>
      <c r="V14" s="2">
        <f ca="1">(1+$F9)*(IF(Time!V28&lt;1+$F10,0,OFFSET(V13,0,-1*($F10)))*$F11*(1-$F12))+(V13*$F11*$F12)</f>
        <v>199499.99999999997</v>
      </c>
      <c r="W14" s="2">
        <f ca="1">(1+$F9)*(IF(Time!W28&lt;1+$F10,0,OFFSET(W13,0,-1*($F10)))*$F11*(1-$F12))+(W13*$F11*$F12)</f>
        <v>0</v>
      </c>
      <c r="X14" s="2">
        <f ca="1">(1+$F9)*(IF(Time!X28&lt;1+$F10,0,OFFSET(X13,0,-1*($F10)))*$F11*(1-$F12))+(X13*$F11*$F12)</f>
        <v>0</v>
      </c>
      <c r="Y14" s="2">
        <f ca="1">(1+$F9)*(IF(Time!Y28&lt;1+$F10,0,OFFSET(Y13,0,-1*($F10)))*$F11*(1-$F12))+(Y13*$F11*$F12)</f>
        <v>0</v>
      </c>
      <c r="Z14" s="2">
        <f ca="1">(1+$F9)*(IF(Time!Z28&lt;1+$F10,0,OFFSET(Z13,0,-1*($F10)))*$F11*(1-$F12))+(Z13*$F11*$F12)</f>
        <v>52500</v>
      </c>
      <c r="AA14" s="2">
        <f ca="1">(1+$F9)*(IF(Time!AA28&lt;1+$F10,0,OFFSET(AA13,0,-1*($F10)))*$F11*(1-$F12))+(AA13*$F11*$F12)</f>
        <v>0</v>
      </c>
      <c r="AB14" s="2">
        <f ca="1">(1+$F9)*(IF(Time!AB28&lt;1+$F10,0,OFFSET(AB13,0,-1*($F10)))*$F11*(1-$F12))+(AB13*$F11*$F12)</f>
        <v>146999.99999999997</v>
      </c>
      <c r="AC14" s="2">
        <f ca="1">(1+$F9)*(IF(Time!AC28&lt;1+$F10,0,OFFSET(AC13,0,-1*($F10)))*$F11*(1-$F12))+(AC13*$F11*$F12)</f>
        <v>0</v>
      </c>
      <c r="AD14" s="2">
        <f ca="1">(1+$F9)*(IF(Time!AD28&lt;1+$F10,0,OFFSET(AD13,0,-1*($F10)))*$F11*(1-$F12))+(AD13*$F11*$F12)</f>
        <v>52500</v>
      </c>
      <c r="AE14" s="2">
        <f ca="1">(1+$F9)*(IF(Time!AE28&lt;1+$F10,0,OFFSET(AE13,0,-1*($F10)))*$F11*(1-$F12))+(AE13*$F11*$F12)</f>
        <v>0</v>
      </c>
      <c r="AF14" s="2">
        <f ca="1">(1+$F9)*(IF(Time!AF28&lt;1+$F10,0,OFFSET(AF13,0,-1*($F10)))*$F11*(1-$F12))+(AF13*$F11*$F12)</f>
        <v>146999.99999999997</v>
      </c>
      <c r="AG14" s="2">
        <f ca="1">(1+$F9)*(IF(Time!AG28&lt;1+$F10,0,OFFSET(AG13,0,-1*($F10)))*$F11*(1-$F12))+(AG13*$F11*$F12)</f>
        <v>52500</v>
      </c>
      <c r="AH14" s="2">
        <f ca="1">(1+$F9)*(IF(Time!AH28&lt;1+$F10,0,OFFSET(AH13,0,-1*($F10)))*$F11*(1-$F12))+(AH13*$F11*$F12)</f>
        <v>0</v>
      </c>
      <c r="AI14" s="2">
        <f ca="1">(1+$F9)*(IF(Time!AI28&lt;1+$F10,0,OFFSET(AI13,0,-1*($F10)))*$F11*(1-$F12))+(AI13*$F11*$F12)</f>
        <v>52500</v>
      </c>
      <c r="AJ14" s="2">
        <f ca="1">(1+$F9)*(IF(Time!AJ28&lt;1+$F10,0,OFFSET(AJ13,0,-1*($F10)))*$F11*(1-$F12))+(AJ13*$F11*$F12)</f>
        <v>146999.99999999997</v>
      </c>
      <c r="AK14" s="2">
        <f ca="1">(1+$F9)*(IF(Time!AK28&lt;1+$F10,0,OFFSET(AK13,0,-1*($F10)))*$F11*(1-$F12))+(AK13*$F11*$F12)</f>
        <v>0</v>
      </c>
      <c r="AL14" s="2">
        <f ca="1">(1+$F9)*(IF(Time!AL28&lt;1+$F10,0,OFFSET(AL13,0,-1*($F10)))*$F11*(1-$F12))+(AL13*$F11*$F12)</f>
        <v>52500</v>
      </c>
      <c r="AM14" s="2">
        <f ca="1">(1+$F9)*(IF(Time!AM28&lt;1+$F10,0,OFFSET(AM13,0,-1*($F10)))*$F11*(1-$F12))+(AM13*$F11*$F12)</f>
        <v>146999.99999999997</v>
      </c>
      <c r="AN14" s="2">
        <f ca="1">(1+$F9)*(IF(Time!AN28&lt;1+$F10,0,OFFSET(AN13,0,-1*($F10)))*$F11*(1-$F12))+(AN13*$F11*$F12)</f>
        <v>0</v>
      </c>
      <c r="AO14" s="2">
        <f ca="1">(1+$F9)*(IF(Time!AO28&lt;1+$F10,0,OFFSET(AO13,0,-1*($F10)))*$F11*(1-$F12))+(AO13*$F11*$F12)</f>
        <v>199499.99999999997</v>
      </c>
      <c r="AP14" s="2">
        <f ca="1">(1+$F9)*(IF(Time!AP28&lt;1+$F10,0,OFFSET(AP13,0,-1*($F10)))*$F11*(1-$F12))+(AP13*$F11*$F12)</f>
        <v>0</v>
      </c>
      <c r="AQ14" s="2">
        <f ca="1">(1+$F9)*(IF(Time!AQ28&lt;1+$F10,0,OFFSET(AQ13,0,-1*($F10)))*$F11*(1-$F12))+(AQ13*$F11*$F12)</f>
        <v>52500</v>
      </c>
      <c r="AR14" s="2">
        <f ca="1">(1+$F9)*(IF(Time!AR28&lt;1+$F10,0,OFFSET(AR13,0,-1*($F10)))*$F11*(1-$F12))+(AR13*$F11*$F12)</f>
        <v>146999.99999999997</v>
      </c>
      <c r="AS14" s="2">
        <f ca="1">(1+$F9)*(IF(Time!AS28&lt;1+$F10,0,OFFSET(AS13,0,-1*($F10)))*$F11*(1-$F12))+(AS13*$F11*$F12)</f>
        <v>52500</v>
      </c>
      <c r="AT14" s="2">
        <f ca="1">(1+$F9)*(IF(Time!AT28&lt;1+$F10,0,OFFSET(AT13,0,-1*($F10)))*$F11*(1-$F12))+(AT13*$F11*$F12)</f>
        <v>52500</v>
      </c>
      <c r="AU14" s="2">
        <f ca="1">(1+$F9)*(IF(Time!AU28&lt;1+$F10,0,OFFSET(AU13,0,-1*($F10)))*$F11*(1-$F12))+(AU13*$F11*$F12)</f>
        <v>146999.99999999997</v>
      </c>
      <c r="AV14" s="2">
        <f ca="1">(1+$F9)*(IF(Time!AV28&lt;1+$F10,0,OFFSET(AV13,0,-1*($F10)))*$F11*(1-$F12))+(AV13*$F11*$F12)</f>
        <v>52500</v>
      </c>
      <c r="AW14" s="2">
        <f ca="1">(1+$F9)*(IF(Time!AW28&lt;1+$F10,0,OFFSET(AW13,0,-1*($F10)))*$F11*(1-$F12))+(AW13*$F11*$F12)</f>
        <v>199499.99999999997</v>
      </c>
      <c r="AX14" s="2">
        <f ca="1">(1+$F9)*(IF(Time!AX28&lt;1+$F10,0,OFFSET(AX13,0,-1*($F10)))*$F11*(1-$F12))+(AX13*$F11*$F12)</f>
        <v>0</v>
      </c>
      <c r="AY14" s="2">
        <f ca="1">(1+$F9)*(IF(Time!AY28&lt;1+$F10,0,OFFSET(AY13,0,-1*($F10)))*$F11*(1-$F12))+(AY13*$F11*$F12)</f>
        <v>199499.99999999997</v>
      </c>
      <c r="AZ14" s="2">
        <f ca="1">(1+$F9)*(IF(Time!AZ28&lt;1+$F10,0,OFFSET(AZ13,0,-1*($F10)))*$F11*(1-$F12))+(AZ13*$F11*$F12)</f>
        <v>199499.99999999997</v>
      </c>
      <c r="BA14" s="2">
        <f ca="1">(1+$F9)*(IF(Time!BA28&lt;1+$F10,0,OFFSET(BA13,0,-1*($F10)))*$F11*(1-$F12))+(BA13*$F11*$F12)</f>
        <v>52500</v>
      </c>
      <c r="BB14" s="2">
        <f ca="1">(1+$F9)*(IF(Time!BB28&lt;1+$F10,0,OFFSET(BB13,0,-1*($F10)))*$F11*(1-$F12))+(BB13*$F11*$F12)</f>
        <v>199499.99999999997</v>
      </c>
      <c r="BC14" s="2">
        <f ca="1">(1+$F9)*(IF(Time!BC28&lt;1+$F10,0,OFFSET(BC13,0,-1*($F10)))*$F11*(1-$F12))+(BC13*$F11*$F12)</f>
        <v>199499.99999999997</v>
      </c>
      <c r="BD14" s="2">
        <f ca="1">(1+$F9)*(IF(Time!BD28&lt;1+$F10,0,OFFSET(BD13,0,-1*($F10)))*$F11*(1-$F12))+(BD13*$F11*$F12)</f>
        <v>52500</v>
      </c>
      <c r="BE14" s="2">
        <f ca="1">(1+$F9)*(IF(Time!BE28&lt;1+$F10,0,OFFSET(BE13,0,-1*($F10)))*$F11*(1-$F12))+(BE13*$F11*$F12)</f>
        <v>199499.99999999997</v>
      </c>
      <c r="BF14" s="2">
        <f ca="1">(1+$F9)*(IF(Time!BF28&lt;1+$F10,0,OFFSET(BF13,0,-1*($F10)))*$F11*(1-$F12))+(BF13*$F11*$F12)</f>
        <v>199499.99999999997</v>
      </c>
      <c r="BG14" s="2">
        <f ca="1">(1+$F9)*(IF(Time!BG28&lt;1+$F10,0,OFFSET(BG13,0,-1*($F10)))*$F11*(1-$F12))+(BG13*$F11*$F12)</f>
        <v>199499.99999999997</v>
      </c>
      <c r="BH14" s="2">
        <f ca="1">(1+$F9)*(IF(Time!BH28&lt;1+$F10,0,OFFSET(BH13,0,-1*($F10)))*$F11*(1-$F12))+(BH13*$F11*$F12)</f>
        <v>199499.99999999997</v>
      </c>
      <c r="BI14" s="2">
        <f ca="1">(1+$F9)*(IF(Time!BI28&lt;1+$F10,0,OFFSET(BI13,0,-1*($F10)))*$F11*(1-$F12))+(BI13*$F11*$F12)</f>
        <v>199499.99999999997</v>
      </c>
      <c r="BJ14" s="2">
        <f ca="1">(1+$F9)*(IF(Time!BJ28&lt;1+$F10,0,OFFSET(BJ13,0,-1*($F10)))*$F11*(1-$F12))+(BJ13*$F11*$F12)</f>
        <v>199499.99999999997</v>
      </c>
      <c r="BK14" s="2">
        <f ca="1">(1+$F9)*(IF(Time!BK28&lt;1+$F10,0,OFFSET(BK13,0,-1*($F10)))*$F11*(1-$F12))+(BK13*$F11*$F12)</f>
        <v>199499.99999999997</v>
      </c>
      <c r="BL14" s="2">
        <f ca="1">(1+$F9)*(IF(Time!BL28&lt;1+$F10,0,OFFSET(BL13,0,-1*($F10)))*$F11*(1-$F12))+(BL13*$F11*$F12)</f>
        <v>199499.99999999997</v>
      </c>
      <c r="BM14" s="2">
        <f ca="1">(1+$F9)*(IF(Time!BM28&lt;1+$F10,0,OFFSET(BM13,0,-1*($F10)))*$F11*(1-$F12))+(BM13*$F11*$F12)</f>
        <v>199499.99999999997</v>
      </c>
      <c r="BN14" s="2">
        <f ca="1">(1+$F9)*(IF(Time!BN28&lt;1+$F10,0,OFFSET(BN13,0,-1*($F10)))*$F11*(1-$F12))+(BN13*$F11*$F12)</f>
        <v>199499.99999999997</v>
      </c>
      <c r="BO14" s="2">
        <f ca="1">(1+$F9)*(IF(Time!BO28&lt;1+$F10,0,OFFSET(BO13,0,-1*($F10)))*$F11*(1-$F12))+(BO13*$F11*$F12)</f>
        <v>199499.99999999997</v>
      </c>
      <c r="BP14" s="2">
        <f ca="1">(1+$F9)*(IF(Time!BP28&lt;1+$F10,0,OFFSET(BP13,0,-1*($F10)))*$F11*(1-$F12))+(BP13*$F11*$F12)</f>
        <v>199499.99999999997</v>
      </c>
      <c r="BQ14" s="2">
        <f ca="1">(1+$F9)*(IF(Time!BQ28&lt;1+$F10,0,OFFSET(BQ13,0,-1*($F10)))*$F11*(1-$F12))+(BQ13*$F11*$F12)</f>
        <v>199499.99999999997</v>
      </c>
    </row>
    <row r="15" spans="1:69">
      <c r="A15" s="31"/>
      <c r="B15" s="31"/>
      <c r="C15" s="51"/>
      <c r="D15" s="50"/>
      <c r="E15" s="3" t="str">
        <f>LEFT($E$14,LEN($E$14)-3)</f>
        <v xml:space="preserve">Cash out on Inventory </v>
      </c>
      <c r="F15" s="3"/>
      <c r="G15" s="3" t="str">
        <f>G$14</f>
        <v>GBP</v>
      </c>
      <c r="H15" s="3">
        <f ca="1">SUM(J15:BQ15)</f>
        <v>-5701499.9999999991</v>
      </c>
      <c r="I15" s="3"/>
      <c r="J15" s="3">
        <f t="shared" ref="J15:AO15" ca="1" si="0">-1*J14</f>
        <v>-52500</v>
      </c>
      <c r="K15" s="3">
        <f t="shared" ca="1" si="0"/>
        <v>0</v>
      </c>
      <c r="L15" s="3">
        <f t="shared" ca="1" si="0"/>
        <v>0</v>
      </c>
      <c r="M15" s="3">
        <f t="shared" ca="1" si="0"/>
        <v>0</v>
      </c>
      <c r="N15" s="3">
        <f t="shared" ca="1" si="0"/>
        <v>0</v>
      </c>
      <c r="O15" s="3">
        <f t="shared" ca="1" si="0"/>
        <v>0</v>
      </c>
      <c r="P15" s="3">
        <f t="shared" ca="1" si="0"/>
        <v>-199499.99999999997</v>
      </c>
      <c r="Q15" s="3">
        <f t="shared" ca="1" si="0"/>
        <v>0</v>
      </c>
      <c r="R15" s="3">
        <f t="shared" ca="1" si="0"/>
        <v>0</v>
      </c>
      <c r="S15" s="3">
        <f t="shared" ca="1" si="0"/>
        <v>0</v>
      </c>
      <c r="T15" s="3">
        <f t="shared" ca="1" si="0"/>
        <v>0</v>
      </c>
      <c r="U15" s="3">
        <f t="shared" ca="1" si="0"/>
        <v>0</v>
      </c>
      <c r="V15" s="3">
        <f t="shared" ca="1" si="0"/>
        <v>-199499.99999999997</v>
      </c>
      <c r="W15" s="3">
        <f t="shared" ca="1" si="0"/>
        <v>0</v>
      </c>
      <c r="X15" s="3">
        <f t="shared" ca="1" si="0"/>
        <v>0</v>
      </c>
      <c r="Y15" s="3">
        <f t="shared" ca="1" si="0"/>
        <v>0</v>
      </c>
      <c r="Z15" s="3">
        <f t="shared" ca="1" si="0"/>
        <v>-52500</v>
      </c>
      <c r="AA15" s="3">
        <f t="shared" ca="1" si="0"/>
        <v>0</v>
      </c>
      <c r="AB15" s="3">
        <f t="shared" ca="1" si="0"/>
        <v>-146999.99999999997</v>
      </c>
      <c r="AC15" s="3">
        <f t="shared" ca="1" si="0"/>
        <v>0</v>
      </c>
      <c r="AD15" s="3">
        <f t="shared" ca="1" si="0"/>
        <v>-52500</v>
      </c>
      <c r="AE15" s="3">
        <f t="shared" ca="1" si="0"/>
        <v>0</v>
      </c>
      <c r="AF15" s="3">
        <f t="shared" ca="1" si="0"/>
        <v>-146999.99999999997</v>
      </c>
      <c r="AG15" s="3">
        <f t="shared" ca="1" si="0"/>
        <v>-52500</v>
      </c>
      <c r="AH15" s="3">
        <f t="shared" ca="1" si="0"/>
        <v>0</v>
      </c>
      <c r="AI15" s="3">
        <f t="shared" ca="1" si="0"/>
        <v>-52500</v>
      </c>
      <c r="AJ15" s="3">
        <f t="shared" ca="1" si="0"/>
        <v>-146999.99999999997</v>
      </c>
      <c r="AK15" s="3">
        <f t="shared" ca="1" si="0"/>
        <v>0</v>
      </c>
      <c r="AL15" s="3">
        <f t="shared" ca="1" si="0"/>
        <v>-52500</v>
      </c>
      <c r="AM15" s="3">
        <f t="shared" ca="1" si="0"/>
        <v>-146999.99999999997</v>
      </c>
      <c r="AN15" s="3">
        <f t="shared" ca="1" si="0"/>
        <v>0</v>
      </c>
      <c r="AO15" s="3">
        <f t="shared" ca="1" si="0"/>
        <v>-199499.99999999997</v>
      </c>
      <c r="AP15" s="3">
        <f t="shared" ref="AP15:BU15" ca="1" si="1">-1*AP14</f>
        <v>0</v>
      </c>
      <c r="AQ15" s="3">
        <f t="shared" ca="1" si="1"/>
        <v>-52500</v>
      </c>
      <c r="AR15" s="3">
        <f t="shared" ca="1" si="1"/>
        <v>-146999.99999999997</v>
      </c>
      <c r="AS15" s="3">
        <f t="shared" ca="1" si="1"/>
        <v>-52500</v>
      </c>
      <c r="AT15" s="3">
        <f t="shared" ca="1" si="1"/>
        <v>-52500</v>
      </c>
      <c r="AU15" s="3">
        <f t="shared" ca="1" si="1"/>
        <v>-146999.99999999997</v>
      </c>
      <c r="AV15" s="3">
        <f t="shared" ca="1" si="1"/>
        <v>-52500</v>
      </c>
      <c r="AW15" s="3">
        <f t="shared" ca="1" si="1"/>
        <v>-199499.99999999997</v>
      </c>
      <c r="AX15" s="3">
        <f t="shared" ca="1" si="1"/>
        <v>0</v>
      </c>
      <c r="AY15" s="3">
        <f t="shared" ca="1" si="1"/>
        <v>-199499.99999999997</v>
      </c>
      <c r="AZ15" s="3">
        <f t="shared" ca="1" si="1"/>
        <v>-199499.99999999997</v>
      </c>
      <c r="BA15" s="3">
        <f t="shared" ca="1" si="1"/>
        <v>-52500</v>
      </c>
      <c r="BB15" s="3">
        <f t="shared" ca="1" si="1"/>
        <v>-199499.99999999997</v>
      </c>
      <c r="BC15" s="3">
        <f t="shared" ca="1" si="1"/>
        <v>-199499.99999999997</v>
      </c>
      <c r="BD15" s="3">
        <f t="shared" ca="1" si="1"/>
        <v>-52500</v>
      </c>
      <c r="BE15" s="3">
        <f t="shared" ca="1" si="1"/>
        <v>-199499.99999999997</v>
      </c>
      <c r="BF15" s="3">
        <f t="shared" ca="1" si="1"/>
        <v>-199499.99999999997</v>
      </c>
      <c r="BG15" s="3">
        <f t="shared" ca="1" si="1"/>
        <v>-199499.99999999997</v>
      </c>
      <c r="BH15" s="3">
        <f t="shared" ca="1" si="1"/>
        <v>-199499.99999999997</v>
      </c>
      <c r="BI15" s="3">
        <f t="shared" ca="1" si="1"/>
        <v>-199499.99999999997</v>
      </c>
      <c r="BJ15" s="3">
        <f t="shared" ca="1" si="1"/>
        <v>-199499.99999999997</v>
      </c>
      <c r="BK15" s="3">
        <f t="shared" ca="1" si="1"/>
        <v>-199499.99999999997</v>
      </c>
      <c r="BL15" s="3">
        <f t="shared" ca="1" si="1"/>
        <v>-199499.99999999997</v>
      </c>
      <c r="BM15" s="3">
        <f t="shared" ca="1" si="1"/>
        <v>-199499.99999999997</v>
      </c>
      <c r="BN15" s="3">
        <f t="shared" ca="1" si="1"/>
        <v>-199499.99999999997</v>
      </c>
      <c r="BO15" s="3">
        <f t="shared" ca="1" si="1"/>
        <v>-199499.99999999997</v>
      </c>
      <c r="BP15" s="3">
        <f t="shared" ca="1" si="1"/>
        <v>-199499.99999999997</v>
      </c>
      <c r="BQ15" s="3">
        <f t="shared" ca="1" si="1"/>
        <v>-199499.99999999997</v>
      </c>
    </row>
    <row r="18" spans="1:69">
      <c r="B18" s="22" t="s">
        <v>61</v>
      </c>
    </row>
    <row r="19" spans="1:69">
      <c r="A19" s="17"/>
      <c r="B19" s="17"/>
      <c r="C19" s="26"/>
      <c r="D19" s="27"/>
      <c r="E19" s="4" t="str">
        <f>InpC!E$19</f>
        <v>Customer payment terms (months)</v>
      </c>
      <c r="F19" s="4">
        <f>InpC!F$19</f>
        <v>2</v>
      </c>
      <c r="G19" s="4" t="str">
        <f>InpC!G$19</f>
        <v>Months</v>
      </c>
    </row>
    <row r="20" spans="1:69">
      <c r="A20" s="17"/>
      <c r="B20" s="17"/>
      <c r="C20" s="26"/>
      <c r="D20" s="27"/>
      <c r="E20" s="4" t="str">
        <f>Income!E$12</f>
        <v>New Deferred Income from customer orders</v>
      </c>
      <c r="F20" s="4">
        <f>Income!F$12</f>
        <v>0</v>
      </c>
      <c r="G20" s="4" t="str">
        <f>Income!G$12</f>
        <v>GBP</v>
      </c>
      <c r="H20" s="4">
        <f ca="1">Income!H$12</f>
        <v>155676823.34106967</v>
      </c>
      <c r="I20" s="4">
        <f>Income!I$12</f>
        <v>0</v>
      </c>
      <c r="J20" s="4">
        <f ca="1">Income!J$12</f>
        <v>0</v>
      </c>
      <c r="K20" s="4">
        <f ca="1">Income!K$12</f>
        <v>0</v>
      </c>
      <c r="L20" s="4">
        <f ca="1">Income!L$12</f>
        <v>0</v>
      </c>
      <c r="M20" s="4">
        <f ca="1">Income!M$12</f>
        <v>0</v>
      </c>
      <c r="N20" s="4">
        <f ca="1">Income!N$12</f>
        <v>0</v>
      </c>
      <c r="O20" s="4">
        <f ca="1">Income!O$12</f>
        <v>0</v>
      </c>
      <c r="P20" s="4">
        <f ca="1">Income!P$12</f>
        <v>0</v>
      </c>
      <c r="Q20" s="4">
        <f ca="1">Income!Q$12</f>
        <v>1762505.9357504949</v>
      </c>
      <c r="R20" s="4">
        <f ca="1">Income!R$12</f>
        <v>315292.46620001376</v>
      </c>
      <c r="S20" s="4">
        <f ca="1">Income!S$12</f>
        <v>22201.598049491131</v>
      </c>
      <c r="T20" s="4">
        <f ca="1">Income!T$12</f>
        <v>0</v>
      </c>
      <c r="U20" s="4">
        <f ca="1">Income!U$12</f>
        <v>0</v>
      </c>
      <c r="V20" s="4">
        <f ca="1">Income!V$12</f>
        <v>0</v>
      </c>
      <c r="W20" s="4">
        <f ca="1">Income!W$12</f>
        <v>1857878.3998730909</v>
      </c>
      <c r="X20" s="4">
        <f ca="1">Income!X$12</f>
        <v>242121.60012690915</v>
      </c>
      <c r="Y20" s="4">
        <f ca="1">Income!Y$12</f>
        <v>0</v>
      </c>
      <c r="Z20" s="4">
        <f ca="1">Income!Z$12</f>
        <v>0</v>
      </c>
      <c r="AA20" s="4">
        <f ca="1">Income!AA$12</f>
        <v>0</v>
      </c>
      <c r="AB20" s="4">
        <f ca="1">Income!AB$12</f>
        <v>0</v>
      </c>
      <c r="AC20" s="4">
        <f ca="1">Income!AC$12</f>
        <v>3862505.9357504947</v>
      </c>
      <c r="AD20" s="4">
        <f ca="1">Income!AD$12</f>
        <v>315292.46620001376</v>
      </c>
      <c r="AE20" s="4">
        <f ca="1">Income!AE$12</f>
        <v>22201.598049491131</v>
      </c>
      <c r="AF20" s="4">
        <f ca="1">Income!AF$12</f>
        <v>0</v>
      </c>
      <c r="AG20" s="4">
        <f ca="1">Income!AG$12</f>
        <v>2100000</v>
      </c>
      <c r="AH20" s="4">
        <f ca="1">Income!AH$12</f>
        <v>0</v>
      </c>
      <c r="AI20" s="4">
        <f ca="1">Income!AI$12</f>
        <v>2277878.3998730909</v>
      </c>
      <c r="AJ20" s="4">
        <f ca="1">Income!AJ$12</f>
        <v>687589.30204872461</v>
      </c>
      <c r="AK20" s="4">
        <f ca="1">Income!AK$12</f>
        <v>2571583.2954077139</v>
      </c>
      <c r="AL20" s="4">
        <f ca="1">Income!AL$12</f>
        <v>500178.87349997833</v>
      </c>
      <c r="AM20" s="4">
        <f ca="1">Income!AM$12</f>
        <v>530508.41268542316</v>
      </c>
      <c r="AN20" s="4">
        <f ca="1">Income!AN$12</f>
        <v>2661609.5272819945</v>
      </c>
      <c r="AO20" s="4">
        <f ca="1">Income!AO$12</f>
        <v>2695664.060704065</v>
      </c>
      <c r="AP20" s="4">
        <f ca="1">Income!AP$12</f>
        <v>2730584.9324000278</v>
      </c>
      <c r="AQ20" s="4">
        <f ca="1">Income!AQ$12</f>
        <v>668821.95405419893</v>
      </c>
      <c r="AR20" s="4">
        <f ca="1">Income!AR$12</f>
        <v>709377.56873186189</v>
      </c>
      <c r="AS20" s="4">
        <f ca="1">Income!AS$12</f>
        <v>4948354.9232378844</v>
      </c>
      <c r="AT20" s="4">
        <f ca="1">Income!AT$12</f>
        <v>793605.54982121789</v>
      </c>
      <c r="AU20" s="4">
        <f ca="1">Income!AU$12</f>
        <v>1260000</v>
      </c>
      <c r="AV20" s="4">
        <f ca="1">Income!AV$12</f>
        <v>3437176.4918124224</v>
      </c>
      <c r="AW20" s="4">
        <f ca="1">Income!AW$12</f>
        <v>3515495.0448176051</v>
      </c>
      <c r="AX20" s="4">
        <f ca="1">Income!AX$12</f>
        <v>3601246.3407871048</v>
      </c>
      <c r="AY20" s="4">
        <f ca="1">Income!AY$12</f>
        <v>1592192.4892817482</v>
      </c>
      <c r="AZ20" s="4">
        <f ca="1">Income!AZ$12</f>
        <v>5885447.3602404445</v>
      </c>
      <c r="BA20" s="4">
        <f ca="1">Income!BA$12</f>
        <v>3887552.4907236225</v>
      </c>
      <c r="BB20" s="4">
        <f ca="1">Income!BB$12</f>
        <v>3992249.6214059377</v>
      </c>
      <c r="BC20" s="4">
        <f ca="1">Income!BC$12</f>
        <v>4107590.4329324914</v>
      </c>
      <c r="BD20" s="4">
        <f ca="1">Income!BD$12</f>
        <v>4229249.1996237636</v>
      </c>
      <c r="BE20" s="4">
        <f ca="1">Income!BE$12</f>
        <v>4345695.9491205551</v>
      </c>
      <c r="BF20" s="4">
        <f ca="1">Income!BF$12</f>
        <v>4481656.1186564714</v>
      </c>
      <c r="BG20" s="4">
        <f ca="1">Income!BG$12</f>
        <v>4999062.8244264536</v>
      </c>
      <c r="BH20" s="4">
        <f ca="1">Income!BH$12</f>
        <v>7275532.0320705371</v>
      </c>
      <c r="BI20" s="4">
        <f ca="1">Income!BI$12</f>
        <v>5355663.7642386807</v>
      </c>
      <c r="BJ20" s="4">
        <f ca="1">Income!BJ$12</f>
        <v>7652890.5610489771</v>
      </c>
      <c r="BK20" s="4">
        <f ca="1">Income!BK$12</f>
        <v>5762065.2797457725</v>
      </c>
      <c r="BL20" s="4">
        <f ca="1">Income!BL$12</f>
        <v>8076549.8551866487</v>
      </c>
      <c r="BM20" s="4">
        <f ca="1">Income!BM$12</f>
        <v>8311389.6879160414</v>
      </c>
      <c r="BN20" s="4">
        <f ca="1">Income!BN$12</f>
        <v>6452190.8812454883</v>
      </c>
      <c r="BO20" s="4">
        <f ca="1">Income!BO$12</f>
        <v>8817683.1176353954</v>
      </c>
      <c r="BP20" s="4">
        <f ca="1">Income!BP$12</f>
        <v>9097496.6753058098</v>
      </c>
      <c r="BQ20" s="4">
        <f ca="1">Income!BQ$12</f>
        <v>7264990.3231014879</v>
      </c>
    </row>
    <row r="21" spans="1:69">
      <c r="A21" s="17"/>
      <c r="B21" s="17"/>
      <c r="C21" s="26"/>
      <c r="D21" s="27"/>
      <c r="E21" s="4" t="str">
        <f>VAT!E$17</f>
        <v>Output VAT</v>
      </c>
      <c r="F21" s="4">
        <f>VAT!F$17</f>
        <v>0</v>
      </c>
      <c r="G21" s="4" t="str">
        <f>VAT!G$17</f>
        <v>GBP</v>
      </c>
      <c r="H21" s="4">
        <f ca="1">VAT!H$17</f>
        <v>31135364.66821393</v>
      </c>
      <c r="I21" s="4">
        <f>VAT!I$17</f>
        <v>0</v>
      </c>
      <c r="J21" s="4">
        <f ca="1">VAT!J$17</f>
        <v>0</v>
      </c>
      <c r="K21" s="4">
        <f ca="1">VAT!K$17</f>
        <v>0</v>
      </c>
      <c r="L21" s="4">
        <f ca="1">VAT!L$17</f>
        <v>0</v>
      </c>
      <c r="M21" s="4">
        <f ca="1">VAT!M$17</f>
        <v>0</v>
      </c>
      <c r="N21" s="4">
        <f ca="1">VAT!N$17</f>
        <v>0</v>
      </c>
      <c r="O21" s="4">
        <f ca="1">VAT!O$17</f>
        <v>0</v>
      </c>
      <c r="P21" s="4">
        <f ca="1">VAT!P$17</f>
        <v>0</v>
      </c>
      <c r="Q21" s="4">
        <f ca="1">VAT!Q$17</f>
        <v>352501.18715009902</v>
      </c>
      <c r="R21" s="4">
        <f ca="1">VAT!R$17</f>
        <v>63058.493240002754</v>
      </c>
      <c r="S21" s="4">
        <f ca="1">VAT!S$17</f>
        <v>4440.3196098982262</v>
      </c>
      <c r="T21" s="4">
        <f ca="1">VAT!T$17</f>
        <v>0</v>
      </c>
      <c r="U21" s="4">
        <f ca="1">VAT!U$17</f>
        <v>0</v>
      </c>
      <c r="V21" s="4">
        <f ca="1">VAT!V$17</f>
        <v>0</v>
      </c>
      <c r="W21" s="4">
        <f ca="1">VAT!W$17</f>
        <v>371575.67997461819</v>
      </c>
      <c r="X21" s="4">
        <f ca="1">VAT!X$17</f>
        <v>48424.320025381836</v>
      </c>
      <c r="Y21" s="4">
        <f ca="1">VAT!Y$17</f>
        <v>0</v>
      </c>
      <c r="Z21" s="4">
        <f ca="1">VAT!Z$17</f>
        <v>0</v>
      </c>
      <c r="AA21" s="4">
        <f ca="1">VAT!AA$17</f>
        <v>0</v>
      </c>
      <c r="AB21" s="4">
        <f ca="1">VAT!AB$17</f>
        <v>0</v>
      </c>
      <c r="AC21" s="4">
        <f ca="1">VAT!AC$17</f>
        <v>772501.18715009897</v>
      </c>
      <c r="AD21" s="4">
        <f ca="1">VAT!AD$17</f>
        <v>63058.493240002754</v>
      </c>
      <c r="AE21" s="4">
        <f ca="1">VAT!AE$17</f>
        <v>4440.3196098982262</v>
      </c>
      <c r="AF21" s="4">
        <f ca="1">VAT!AF$17</f>
        <v>0</v>
      </c>
      <c r="AG21" s="4">
        <f ca="1">VAT!AG$17</f>
        <v>420000</v>
      </c>
      <c r="AH21" s="4">
        <f ca="1">VAT!AH$17</f>
        <v>0</v>
      </c>
      <c r="AI21" s="4">
        <f ca="1">VAT!AI$17</f>
        <v>455575.67997461819</v>
      </c>
      <c r="AJ21" s="4">
        <f ca="1">VAT!AJ$17</f>
        <v>137517.86040974493</v>
      </c>
      <c r="AK21" s="4">
        <f ca="1">VAT!AK$17</f>
        <v>514316.65908154281</v>
      </c>
      <c r="AL21" s="4">
        <f ca="1">VAT!AL$17</f>
        <v>100035.77469999567</v>
      </c>
      <c r="AM21" s="4">
        <f ca="1">VAT!AM$17</f>
        <v>106101.68253708463</v>
      </c>
      <c r="AN21" s="4">
        <f ca="1">VAT!AN$17</f>
        <v>532321.90545639896</v>
      </c>
      <c r="AO21" s="4">
        <f ca="1">VAT!AO$17</f>
        <v>539132.81214081298</v>
      </c>
      <c r="AP21" s="4">
        <f ca="1">VAT!AP$17</f>
        <v>546116.98648000555</v>
      </c>
      <c r="AQ21" s="4">
        <f ca="1">VAT!AQ$17</f>
        <v>133764.3908108398</v>
      </c>
      <c r="AR21" s="4">
        <f ca="1">VAT!AR$17</f>
        <v>141875.51374637239</v>
      </c>
      <c r="AS21" s="4">
        <f ca="1">VAT!AS$17</f>
        <v>989670.98464757693</v>
      </c>
      <c r="AT21" s="4">
        <f ca="1">VAT!AT$17</f>
        <v>158721.1099642436</v>
      </c>
      <c r="AU21" s="4">
        <f ca="1">VAT!AU$17</f>
        <v>252000</v>
      </c>
      <c r="AV21" s="4">
        <f ca="1">VAT!AV$17</f>
        <v>687435.29836248455</v>
      </c>
      <c r="AW21" s="4">
        <f ca="1">VAT!AW$17</f>
        <v>703099.0089635211</v>
      </c>
      <c r="AX21" s="4">
        <f ca="1">VAT!AX$17</f>
        <v>720249.26815742103</v>
      </c>
      <c r="AY21" s="4">
        <f ca="1">VAT!AY$17</f>
        <v>318438.49785634968</v>
      </c>
      <c r="AZ21" s="4">
        <f ca="1">VAT!AZ$17</f>
        <v>1177089.4720480889</v>
      </c>
      <c r="BA21" s="4">
        <f ca="1">VAT!BA$17</f>
        <v>777510.49814472452</v>
      </c>
      <c r="BB21" s="4">
        <f ca="1">VAT!BB$17</f>
        <v>798449.92428118759</v>
      </c>
      <c r="BC21" s="4">
        <f ca="1">VAT!BC$17</f>
        <v>821518.08658649831</v>
      </c>
      <c r="BD21" s="4">
        <f ca="1">VAT!BD$17</f>
        <v>845849.83992475271</v>
      </c>
      <c r="BE21" s="4">
        <f ca="1">VAT!BE$17</f>
        <v>869139.18982411106</v>
      </c>
      <c r="BF21" s="4">
        <f ca="1">VAT!BF$17</f>
        <v>896331.22373129427</v>
      </c>
      <c r="BG21" s="4">
        <f ca="1">VAT!BG$17</f>
        <v>999812.56488529081</v>
      </c>
      <c r="BH21" s="4">
        <f ca="1">VAT!BH$17</f>
        <v>1455106.4064141074</v>
      </c>
      <c r="BI21" s="4">
        <f ca="1">VAT!BI$17</f>
        <v>1071132.7528477362</v>
      </c>
      <c r="BJ21" s="4">
        <f ca="1">VAT!BJ$17</f>
        <v>1530578.1122097955</v>
      </c>
      <c r="BK21" s="4">
        <f ca="1">VAT!BK$17</f>
        <v>1152413.0559491545</v>
      </c>
      <c r="BL21" s="4">
        <f ca="1">VAT!BL$17</f>
        <v>1615309.9710373299</v>
      </c>
      <c r="BM21" s="4">
        <f ca="1">VAT!BM$17</f>
        <v>1662277.9375832083</v>
      </c>
      <c r="BN21" s="4">
        <f ca="1">VAT!BN$17</f>
        <v>1290438.1762490978</v>
      </c>
      <c r="BO21" s="4">
        <f ca="1">VAT!BO$17</f>
        <v>1763536.6235270791</v>
      </c>
      <c r="BP21" s="4">
        <f ca="1">VAT!BP$17</f>
        <v>1819499.335061162</v>
      </c>
      <c r="BQ21" s="4">
        <f ca="1">VAT!BQ$17</f>
        <v>1452998.0646202976</v>
      </c>
    </row>
    <row r="22" spans="1:69">
      <c r="A22" s="31"/>
      <c r="B22" s="31"/>
      <c r="C22" s="51"/>
      <c r="D22" s="50"/>
      <c r="E22" s="3" t="s">
        <v>61</v>
      </c>
      <c r="F22" s="3"/>
      <c r="G22" s="3" t="s">
        <v>252</v>
      </c>
      <c r="H22" s="3">
        <f ca="1">SUM(J22:BQ22)</f>
        <v>167177203.61119482</v>
      </c>
      <c r="I22" s="3"/>
      <c r="J22" s="3">
        <f ca="1">IF(Time!J28&lt;1+$F19,0,OFFSET(J20,0,-1*($F19)))+IF(Time!J28&lt;1+$F19,0,OFFSET(J21,0,-1*($F19)))</f>
        <v>0</v>
      </c>
      <c r="K22" s="3">
        <f ca="1">IF(Time!K28&lt;1+$F19,0,OFFSET(K20,0,-1*($F19)))+IF(Time!K28&lt;1+$F19,0,OFFSET(K21,0,-1*($F19)))</f>
        <v>0</v>
      </c>
      <c r="L22" s="3">
        <f ca="1">IF(Time!L28&lt;1+$F19,0,OFFSET(L20,0,-1*($F19)))+IF(Time!L28&lt;1+$F19,0,OFFSET(L21,0,-1*($F19)))</f>
        <v>0</v>
      </c>
      <c r="M22" s="3">
        <f ca="1">IF(Time!M28&lt;1+$F19,0,OFFSET(M20,0,-1*($F19)))+IF(Time!M28&lt;1+$F19,0,OFFSET(M21,0,-1*($F19)))</f>
        <v>0</v>
      </c>
      <c r="N22" s="3">
        <f ca="1">IF(Time!N28&lt;1+$F19,0,OFFSET(N20,0,-1*($F19)))+IF(Time!N28&lt;1+$F19,0,OFFSET(N21,0,-1*($F19)))</f>
        <v>0</v>
      </c>
      <c r="O22" s="3">
        <f ca="1">IF(Time!O28&lt;1+$F19,0,OFFSET(O20,0,-1*($F19)))+IF(Time!O28&lt;1+$F19,0,OFFSET(O21,0,-1*($F19)))</f>
        <v>0</v>
      </c>
      <c r="P22" s="3">
        <f ca="1">IF(Time!P28&lt;1+$F19,0,OFFSET(P20,0,-1*($F19)))+IF(Time!P28&lt;1+$F19,0,OFFSET(P21,0,-1*($F19)))</f>
        <v>0</v>
      </c>
      <c r="Q22" s="3">
        <f ca="1">IF(Time!Q28&lt;1+$F19,0,OFFSET(Q20,0,-1*($F19)))+IF(Time!Q28&lt;1+$F19,0,OFFSET(Q21,0,-1*($F19)))</f>
        <v>0</v>
      </c>
      <c r="R22" s="3">
        <f ca="1">IF(Time!R28&lt;1+$F19,0,OFFSET(R20,0,-1*($F19)))+IF(Time!R28&lt;1+$F19,0,OFFSET(R21,0,-1*($F19)))</f>
        <v>0</v>
      </c>
      <c r="S22" s="3">
        <f ca="1">IF(Time!S28&lt;1+$F19,0,OFFSET(S20,0,-1*($F19)))+IF(Time!S28&lt;1+$F19,0,OFFSET(S21,0,-1*($F19)))</f>
        <v>2115007.122900594</v>
      </c>
      <c r="T22" s="3">
        <f ca="1">IF(Time!T28&lt;1+$F19,0,OFFSET(T20,0,-1*($F19)))+IF(Time!T28&lt;1+$F19,0,OFFSET(T21,0,-1*($F19)))</f>
        <v>378350.95944001654</v>
      </c>
      <c r="U22" s="3">
        <f ca="1">IF(Time!U28&lt;1+$F19,0,OFFSET(U20,0,-1*($F19)))+IF(Time!U28&lt;1+$F19,0,OFFSET(U21,0,-1*($F19)))</f>
        <v>26641.917659389357</v>
      </c>
      <c r="V22" s="3">
        <f ca="1">IF(Time!V28&lt;1+$F19,0,OFFSET(V20,0,-1*($F19)))+IF(Time!V28&lt;1+$F19,0,OFFSET(V21,0,-1*($F19)))</f>
        <v>0</v>
      </c>
      <c r="W22" s="3">
        <f ca="1">IF(Time!W28&lt;1+$F19,0,OFFSET(W20,0,-1*($F19)))+IF(Time!W28&lt;1+$F19,0,OFFSET(W21,0,-1*($F19)))</f>
        <v>0</v>
      </c>
      <c r="X22" s="3">
        <f ca="1">IF(Time!X28&lt;1+$F19,0,OFFSET(X20,0,-1*($F19)))+IF(Time!X28&lt;1+$F19,0,OFFSET(X21,0,-1*($F19)))</f>
        <v>0</v>
      </c>
      <c r="Y22" s="3">
        <f ca="1">IF(Time!Y28&lt;1+$F19,0,OFFSET(Y20,0,-1*($F19)))+IF(Time!Y28&lt;1+$F19,0,OFFSET(Y21,0,-1*($F19)))</f>
        <v>2229454.0798477093</v>
      </c>
      <c r="Z22" s="3">
        <f ca="1">IF(Time!Z28&lt;1+$F19,0,OFFSET(Z20,0,-1*($F19)))+IF(Time!Z28&lt;1+$F19,0,OFFSET(Z21,0,-1*($F19)))</f>
        <v>290545.92015229096</v>
      </c>
      <c r="AA22" s="3">
        <f ca="1">IF(Time!AA28&lt;1+$F19,0,OFFSET(AA20,0,-1*($F19)))+IF(Time!AA28&lt;1+$F19,0,OFFSET(AA21,0,-1*($F19)))</f>
        <v>0</v>
      </c>
      <c r="AB22" s="3">
        <f ca="1">IF(Time!AB28&lt;1+$F19,0,OFFSET(AB20,0,-1*($F19)))+IF(Time!AB28&lt;1+$F19,0,OFFSET(AB21,0,-1*($F19)))</f>
        <v>0</v>
      </c>
      <c r="AC22" s="3">
        <f ca="1">IF(Time!AC28&lt;1+$F19,0,OFFSET(AC20,0,-1*($F19)))+IF(Time!AC28&lt;1+$F19,0,OFFSET(AC21,0,-1*($F19)))</f>
        <v>0</v>
      </c>
      <c r="AD22" s="3">
        <f ca="1">IF(Time!AD28&lt;1+$F19,0,OFFSET(AD20,0,-1*($F19)))+IF(Time!AD28&lt;1+$F19,0,OFFSET(AD21,0,-1*($F19)))</f>
        <v>0</v>
      </c>
      <c r="AE22" s="3">
        <f ca="1">IF(Time!AE28&lt;1+$F19,0,OFFSET(AE20,0,-1*($F19)))+IF(Time!AE28&lt;1+$F19,0,OFFSET(AE21,0,-1*($F19)))</f>
        <v>4635007.122900594</v>
      </c>
      <c r="AF22" s="3">
        <f ca="1">IF(Time!AF28&lt;1+$F19,0,OFFSET(AF20,0,-1*($F19)))+IF(Time!AF28&lt;1+$F19,0,OFFSET(AF21,0,-1*($F19)))</f>
        <v>378350.95944001654</v>
      </c>
      <c r="AG22" s="3">
        <f ca="1">IF(Time!AG28&lt;1+$F19,0,OFFSET(AG20,0,-1*($F19)))+IF(Time!AG28&lt;1+$F19,0,OFFSET(AG21,0,-1*($F19)))</f>
        <v>26641.917659389357</v>
      </c>
      <c r="AH22" s="3">
        <f ca="1">IF(Time!AH28&lt;1+$F19,0,OFFSET(AH20,0,-1*($F19)))+IF(Time!AH28&lt;1+$F19,0,OFFSET(AH21,0,-1*($F19)))</f>
        <v>0</v>
      </c>
      <c r="AI22" s="3">
        <f ca="1">IF(Time!AI28&lt;1+$F19,0,OFFSET(AI20,0,-1*($F19)))+IF(Time!AI28&lt;1+$F19,0,OFFSET(AI21,0,-1*($F19)))</f>
        <v>2520000</v>
      </c>
      <c r="AJ22" s="3">
        <f ca="1">IF(Time!AJ28&lt;1+$F19,0,OFFSET(AJ20,0,-1*($F19)))+IF(Time!AJ28&lt;1+$F19,0,OFFSET(AJ21,0,-1*($F19)))</f>
        <v>0</v>
      </c>
      <c r="AK22" s="3">
        <f ca="1">IF(Time!AK28&lt;1+$F19,0,OFFSET(AK20,0,-1*($F19)))+IF(Time!AK28&lt;1+$F19,0,OFFSET(AK21,0,-1*($F19)))</f>
        <v>2733454.0798477093</v>
      </c>
      <c r="AL22" s="3">
        <f ca="1">IF(Time!AL28&lt;1+$F19,0,OFFSET(AL20,0,-1*($F19)))+IF(Time!AL28&lt;1+$F19,0,OFFSET(AL21,0,-1*($F19)))</f>
        <v>825107.16245846951</v>
      </c>
      <c r="AM22" s="3">
        <f ca="1">IF(Time!AM28&lt;1+$F19,0,OFFSET(AM20,0,-1*($F19)))+IF(Time!AM28&lt;1+$F19,0,OFFSET(AM21,0,-1*($F19)))</f>
        <v>3085899.9544892567</v>
      </c>
      <c r="AN22" s="3">
        <f ca="1">IF(Time!AN28&lt;1+$F19,0,OFFSET(AN20,0,-1*($F19)))+IF(Time!AN28&lt;1+$F19,0,OFFSET(AN21,0,-1*($F19)))</f>
        <v>600214.64819997398</v>
      </c>
      <c r="AO22" s="3">
        <f ca="1">IF(Time!AO28&lt;1+$F19,0,OFFSET(AO20,0,-1*($F19)))+IF(Time!AO28&lt;1+$F19,0,OFFSET(AO21,0,-1*($F19)))</f>
        <v>636610.09522250784</v>
      </c>
      <c r="AP22" s="3">
        <f ca="1">IF(Time!AP28&lt;1+$F19,0,OFFSET(AP20,0,-1*($F19)))+IF(Time!AP28&lt;1+$F19,0,OFFSET(AP21,0,-1*($F19)))</f>
        <v>3193931.4327383935</v>
      </c>
      <c r="AQ22" s="3">
        <f ca="1">IF(Time!AQ28&lt;1+$F19,0,OFFSET(AQ20,0,-1*($F19)))+IF(Time!AQ28&lt;1+$F19,0,OFFSET(AQ21,0,-1*($F19)))</f>
        <v>3234796.8728448781</v>
      </c>
      <c r="AR22" s="3">
        <f ca="1">IF(Time!AR28&lt;1+$F19,0,OFFSET(AR20,0,-1*($F19)))+IF(Time!AR28&lt;1+$F19,0,OFFSET(AR21,0,-1*($F19)))</f>
        <v>3276701.9188800333</v>
      </c>
      <c r="AS22" s="3">
        <f ca="1">IF(Time!AS28&lt;1+$F19,0,OFFSET(AS20,0,-1*($F19)))+IF(Time!AS28&lt;1+$F19,0,OFFSET(AS21,0,-1*($F19)))</f>
        <v>802586.34486503876</v>
      </c>
      <c r="AT22" s="3">
        <f ca="1">IF(Time!AT28&lt;1+$F19,0,OFFSET(AT20,0,-1*($F19)))+IF(Time!AT28&lt;1+$F19,0,OFFSET(AT21,0,-1*($F19)))</f>
        <v>851253.08247823431</v>
      </c>
      <c r="AU22" s="3">
        <f ca="1">IF(Time!AU28&lt;1+$F19,0,OFFSET(AU20,0,-1*($F19)))+IF(Time!AU28&lt;1+$F19,0,OFFSET(AU21,0,-1*($F19)))</f>
        <v>5938025.9078854611</v>
      </c>
      <c r="AV22" s="3">
        <f ca="1">IF(Time!AV28&lt;1+$F19,0,OFFSET(AV20,0,-1*($F19)))+IF(Time!AV28&lt;1+$F19,0,OFFSET(AV21,0,-1*($F19)))</f>
        <v>952326.6597854615</v>
      </c>
      <c r="AW22" s="3">
        <f ca="1">IF(Time!AW28&lt;1+$F19,0,OFFSET(AW20,0,-1*($F19)))+IF(Time!AW28&lt;1+$F19,0,OFFSET(AW21,0,-1*($F19)))</f>
        <v>1512000</v>
      </c>
      <c r="AX22" s="3">
        <f ca="1">IF(Time!AX28&lt;1+$F19,0,OFFSET(AX20,0,-1*($F19)))+IF(Time!AX28&lt;1+$F19,0,OFFSET(AX21,0,-1*($F19)))</f>
        <v>4124611.7901749071</v>
      </c>
      <c r="AY22" s="3">
        <f ca="1">IF(Time!AY28&lt;1+$F19,0,OFFSET(AY20,0,-1*($F19)))+IF(Time!AY28&lt;1+$F19,0,OFFSET(AY21,0,-1*($F19)))</f>
        <v>4218594.0537811257</v>
      </c>
      <c r="AZ22" s="3">
        <f ca="1">IF(Time!AZ28&lt;1+$F19,0,OFFSET(AZ20,0,-1*($F19)))+IF(Time!AZ28&lt;1+$F19,0,OFFSET(AZ21,0,-1*($F19)))</f>
        <v>4321495.6089445259</v>
      </c>
      <c r="BA22" s="3">
        <f ca="1">IF(Time!BA28&lt;1+$F19,0,OFFSET(BA20,0,-1*($F19)))+IF(Time!BA28&lt;1+$F19,0,OFFSET(BA21,0,-1*($F19)))</f>
        <v>1910630.9871380979</v>
      </c>
      <c r="BB22" s="3">
        <f ca="1">IF(Time!BB28&lt;1+$F19,0,OFFSET(BB20,0,-1*($F19)))+IF(Time!BB28&lt;1+$F19,0,OFFSET(BB21,0,-1*($F19)))</f>
        <v>7062536.8322885334</v>
      </c>
      <c r="BC22" s="3">
        <f ca="1">IF(Time!BC28&lt;1+$F19,0,OFFSET(BC20,0,-1*($F19)))+IF(Time!BC28&lt;1+$F19,0,OFFSET(BC21,0,-1*($F19)))</f>
        <v>4665062.9888683474</v>
      </c>
      <c r="BD22" s="3">
        <f ca="1">IF(Time!BD28&lt;1+$F19,0,OFFSET(BD20,0,-1*($F19)))+IF(Time!BD28&lt;1+$F19,0,OFFSET(BD21,0,-1*($F19)))</f>
        <v>4790699.5456871251</v>
      </c>
      <c r="BE22" s="3">
        <f ca="1">IF(Time!BE28&lt;1+$F19,0,OFFSET(BE20,0,-1*($F19)))+IF(Time!BE28&lt;1+$F19,0,OFFSET(BE21,0,-1*($F19)))</f>
        <v>4929108.5195189901</v>
      </c>
      <c r="BF22" s="3">
        <f ca="1">IF(Time!BF28&lt;1+$F19,0,OFFSET(BF20,0,-1*($F19)))+IF(Time!BF28&lt;1+$F19,0,OFFSET(BF21,0,-1*($F19)))</f>
        <v>5075099.0395485163</v>
      </c>
      <c r="BG22" s="3">
        <f ca="1">IF(Time!BG28&lt;1+$F19,0,OFFSET(BG20,0,-1*($F19)))+IF(Time!BG28&lt;1+$F19,0,OFFSET(BG21,0,-1*($F19)))</f>
        <v>5214835.1389446659</v>
      </c>
      <c r="BH22" s="3">
        <f ca="1">IF(Time!BH28&lt;1+$F19,0,OFFSET(BH20,0,-1*($F19)))+IF(Time!BH28&lt;1+$F19,0,OFFSET(BH21,0,-1*($F19)))</f>
        <v>5377987.3423877656</v>
      </c>
      <c r="BI22" s="3">
        <f ca="1">IF(Time!BI28&lt;1+$F19,0,OFFSET(BI20,0,-1*($F19)))+IF(Time!BI28&lt;1+$F19,0,OFFSET(BI21,0,-1*($F19)))</f>
        <v>5998875.3893117439</v>
      </c>
      <c r="BJ22" s="3">
        <f ca="1">IF(Time!BJ28&lt;1+$F19,0,OFFSET(BJ20,0,-1*($F19)))+IF(Time!BJ28&lt;1+$F19,0,OFFSET(BJ21,0,-1*($F19)))</f>
        <v>8730638.4384846445</v>
      </c>
      <c r="BK22" s="3">
        <f ca="1">IF(Time!BK28&lt;1+$F19,0,OFFSET(BK20,0,-1*($F19)))+IF(Time!BK28&lt;1+$F19,0,OFFSET(BK21,0,-1*($F19)))</f>
        <v>6426796.5170864165</v>
      </c>
      <c r="BL22" s="3">
        <f ca="1">IF(Time!BL28&lt;1+$F19,0,OFFSET(BL20,0,-1*($F19)))+IF(Time!BL28&lt;1+$F19,0,OFFSET(BL21,0,-1*($F19)))</f>
        <v>9183468.6732587721</v>
      </c>
      <c r="BM22" s="3">
        <f ca="1">IF(Time!BM28&lt;1+$F19,0,OFFSET(BM20,0,-1*($F19)))+IF(Time!BM28&lt;1+$F19,0,OFFSET(BM21,0,-1*($F19)))</f>
        <v>6914478.3356949268</v>
      </c>
      <c r="BN22" s="3">
        <f ca="1">IF(Time!BN28&lt;1+$F19,0,OFFSET(BN20,0,-1*($F19)))+IF(Time!BN28&lt;1+$F19,0,OFFSET(BN21,0,-1*($F19)))</f>
        <v>9691859.8262239788</v>
      </c>
      <c r="BO22" s="3">
        <f ca="1">IF(Time!BO28&lt;1+$F19,0,OFFSET(BO20,0,-1*($F19)))+IF(Time!BO28&lt;1+$F19,0,OFFSET(BO21,0,-1*($F19)))</f>
        <v>9973667.6254992504</v>
      </c>
      <c r="BP22" s="3">
        <f ca="1">IF(Time!BP28&lt;1+$F19,0,OFFSET(BP20,0,-1*($F19)))+IF(Time!BP28&lt;1+$F19,0,OFFSET(BP21,0,-1*($F19)))</f>
        <v>7742629.0574945863</v>
      </c>
      <c r="BQ22" s="3">
        <f ca="1">IF(Time!BQ28&lt;1+$F19,0,OFFSET(BQ20,0,-1*($F19)))+IF(Time!BQ28&lt;1+$F19,0,OFFSET(BQ21,0,-1*($F19)))</f>
        <v>10581219.741162475</v>
      </c>
    </row>
    <row r="25" spans="1:69">
      <c r="B25" s="22" t="s">
        <v>295</v>
      </c>
    </row>
    <row r="26" spans="1:69" s="64" customFormat="1">
      <c r="A26" s="46"/>
      <c r="B26" s="46"/>
      <c r="C26" s="65"/>
      <c r="D26" s="63"/>
      <c r="E26" s="34" t="str">
        <f>InpC!E$51</f>
        <v>Opening Creditors</v>
      </c>
      <c r="F26" s="34">
        <f>InpC!F$51</f>
        <v>0</v>
      </c>
      <c r="G26" s="34" t="str">
        <f>InpC!G$51</f>
        <v>GBP</v>
      </c>
    </row>
    <row r="27" spans="1:69">
      <c r="A27" s="17"/>
      <c r="B27" s="17"/>
      <c r="C27" s="26"/>
      <c r="D27" s="27"/>
      <c r="E27" s="10" t="str">
        <f>Time!E$28</f>
        <v>Period number</v>
      </c>
      <c r="F27" s="10">
        <f>Time!F$28</f>
        <v>0</v>
      </c>
      <c r="G27" s="10" t="str">
        <f>Time!G$28</f>
        <v>Counter</v>
      </c>
      <c r="H27" s="10">
        <f>Time!H$28</f>
        <v>0</v>
      </c>
      <c r="I27" s="10">
        <f>Time!I$28</f>
        <v>0</v>
      </c>
      <c r="J27" s="10">
        <f>Time!J$28</f>
        <v>1</v>
      </c>
      <c r="K27" s="10">
        <f>Time!K$28</f>
        <v>2</v>
      </c>
      <c r="L27" s="10">
        <f>Time!L$28</f>
        <v>3</v>
      </c>
      <c r="M27" s="10">
        <f>Time!M$28</f>
        <v>4</v>
      </c>
      <c r="N27" s="10">
        <f>Time!N$28</f>
        <v>5</v>
      </c>
      <c r="O27" s="10">
        <f>Time!O$28</f>
        <v>6</v>
      </c>
      <c r="P27" s="10">
        <f>Time!P$28</f>
        <v>7</v>
      </c>
      <c r="Q27" s="10">
        <f>Time!Q$28</f>
        <v>8</v>
      </c>
      <c r="R27" s="10">
        <f>Time!R$28</f>
        <v>9</v>
      </c>
      <c r="S27" s="10">
        <f>Time!S$28</f>
        <v>10</v>
      </c>
      <c r="T27" s="10">
        <f>Time!T$28</f>
        <v>11</v>
      </c>
      <c r="U27" s="10">
        <f>Time!U$28</f>
        <v>12</v>
      </c>
      <c r="V27" s="10">
        <f>Time!V$28</f>
        <v>13</v>
      </c>
      <c r="W27" s="10">
        <f>Time!W$28</f>
        <v>14</v>
      </c>
      <c r="X27" s="10">
        <f>Time!X$28</f>
        <v>15</v>
      </c>
      <c r="Y27" s="10">
        <f>Time!Y$28</f>
        <v>16</v>
      </c>
      <c r="Z27" s="10">
        <f>Time!Z$28</f>
        <v>17</v>
      </c>
      <c r="AA27" s="10">
        <f>Time!AA$28</f>
        <v>18</v>
      </c>
      <c r="AB27" s="10">
        <f>Time!AB$28</f>
        <v>19</v>
      </c>
      <c r="AC27" s="10">
        <f>Time!AC$28</f>
        <v>20</v>
      </c>
      <c r="AD27" s="10">
        <f>Time!AD$28</f>
        <v>21</v>
      </c>
      <c r="AE27" s="10">
        <f>Time!AE$28</f>
        <v>22</v>
      </c>
      <c r="AF27" s="10">
        <f>Time!AF$28</f>
        <v>23</v>
      </c>
      <c r="AG27" s="10">
        <f>Time!AG$28</f>
        <v>24</v>
      </c>
      <c r="AH27" s="10">
        <f>Time!AH$28</f>
        <v>25</v>
      </c>
      <c r="AI27" s="10">
        <f>Time!AI$28</f>
        <v>26</v>
      </c>
      <c r="AJ27" s="10">
        <f>Time!AJ$28</f>
        <v>27</v>
      </c>
      <c r="AK27" s="10">
        <f>Time!AK$28</f>
        <v>28</v>
      </c>
      <c r="AL27" s="10">
        <f>Time!AL$28</f>
        <v>29</v>
      </c>
      <c r="AM27" s="10">
        <f>Time!AM$28</f>
        <v>30</v>
      </c>
      <c r="AN27" s="10">
        <f>Time!AN$28</f>
        <v>31</v>
      </c>
      <c r="AO27" s="10">
        <f>Time!AO$28</f>
        <v>32</v>
      </c>
      <c r="AP27" s="10">
        <f>Time!AP$28</f>
        <v>33</v>
      </c>
      <c r="AQ27" s="10">
        <f>Time!AQ$28</f>
        <v>34</v>
      </c>
      <c r="AR27" s="10">
        <f>Time!AR$28</f>
        <v>35</v>
      </c>
      <c r="AS27" s="10">
        <f>Time!AS$28</f>
        <v>36</v>
      </c>
      <c r="AT27" s="10">
        <f>Time!AT$28</f>
        <v>37</v>
      </c>
      <c r="AU27" s="10">
        <f>Time!AU$28</f>
        <v>38</v>
      </c>
      <c r="AV27" s="10">
        <f>Time!AV$28</f>
        <v>39</v>
      </c>
      <c r="AW27" s="10">
        <f>Time!AW$28</f>
        <v>40</v>
      </c>
      <c r="AX27" s="10">
        <f>Time!AX$28</f>
        <v>41</v>
      </c>
      <c r="AY27" s="10">
        <f>Time!AY$28</f>
        <v>42</v>
      </c>
      <c r="AZ27" s="10">
        <f>Time!AZ$28</f>
        <v>43</v>
      </c>
      <c r="BA27" s="10">
        <f>Time!BA$28</f>
        <v>44</v>
      </c>
      <c r="BB27" s="10">
        <f>Time!BB$28</f>
        <v>45</v>
      </c>
      <c r="BC27" s="10">
        <f>Time!BC$28</f>
        <v>46</v>
      </c>
      <c r="BD27" s="10">
        <f>Time!BD$28</f>
        <v>47</v>
      </c>
      <c r="BE27" s="10">
        <f>Time!BE$28</f>
        <v>48</v>
      </c>
      <c r="BF27" s="10">
        <f>Time!BF$28</f>
        <v>49</v>
      </c>
      <c r="BG27" s="10">
        <f>Time!BG$28</f>
        <v>50</v>
      </c>
      <c r="BH27" s="10">
        <f>Time!BH$28</f>
        <v>51</v>
      </c>
      <c r="BI27" s="10">
        <f>Time!BI$28</f>
        <v>52</v>
      </c>
      <c r="BJ27" s="10">
        <f>Time!BJ$28</f>
        <v>53</v>
      </c>
      <c r="BK27" s="10">
        <f>Time!BK$28</f>
        <v>54</v>
      </c>
      <c r="BL27" s="10">
        <f>Time!BL$28</f>
        <v>55</v>
      </c>
      <c r="BM27" s="10">
        <f>Time!BM$28</f>
        <v>56</v>
      </c>
      <c r="BN27" s="10">
        <f>Time!BN$28</f>
        <v>57</v>
      </c>
      <c r="BO27" s="10">
        <f>Time!BO$28</f>
        <v>58</v>
      </c>
      <c r="BP27" s="10">
        <f>Time!BP$28</f>
        <v>59</v>
      </c>
      <c r="BQ27" s="10">
        <f>Time!BQ$28</f>
        <v>60</v>
      </c>
    </row>
    <row r="28" spans="1:69" ht="14.5">
      <c r="E28" s="2" t="s">
        <v>200</v>
      </c>
      <c r="G28" s="2" t="s">
        <v>252</v>
      </c>
      <c r="I28"/>
      <c r="J28" s="2">
        <f t="shared" ref="J28:AO28" si="2">I36</f>
        <v>0</v>
      </c>
      <c r="K28" s="2">
        <f t="shared" ca="1" si="2"/>
        <v>157500</v>
      </c>
      <c r="L28" s="2">
        <f t="shared" ca="1" si="2"/>
        <v>157500</v>
      </c>
      <c r="M28" s="2">
        <f t="shared" ca="1" si="2"/>
        <v>157500</v>
      </c>
      <c r="N28" s="2">
        <f t="shared" ca="1" si="2"/>
        <v>157500</v>
      </c>
      <c r="O28" s="2">
        <f t="shared" ca="1" si="2"/>
        <v>157500</v>
      </c>
      <c r="P28" s="2">
        <f t="shared" ca="1" si="2"/>
        <v>157500</v>
      </c>
      <c r="Q28" s="2">
        <f t="shared" ca="1" si="2"/>
        <v>168000</v>
      </c>
      <c r="R28" s="2">
        <f t="shared" ca="1" si="2"/>
        <v>167999.99999999997</v>
      </c>
      <c r="S28" s="2">
        <f t="shared" ca="1" si="2"/>
        <v>168000</v>
      </c>
      <c r="T28" s="2">
        <f t="shared" ca="1" si="2"/>
        <v>168000</v>
      </c>
      <c r="U28" s="2">
        <f t="shared" ca="1" si="2"/>
        <v>168000</v>
      </c>
      <c r="V28" s="2">
        <f t="shared" ca="1" si="2"/>
        <v>167999.99999999997</v>
      </c>
      <c r="W28" s="2">
        <f t="shared" ca="1" si="2"/>
        <v>178500.00000000003</v>
      </c>
      <c r="X28" s="2">
        <f t="shared" ca="1" si="2"/>
        <v>178500.00000000006</v>
      </c>
      <c r="Y28" s="2">
        <f t="shared" ca="1" si="2"/>
        <v>178500.00000000003</v>
      </c>
      <c r="Z28" s="2">
        <f t="shared" ca="1" si="2"/>
        <v>178500.00000000003</v>
      </c>
      <c r="AA28" s="2">
        <f t="shared" ca="1" si="2"/>
        <v>336000</v>
      </c>
      <c r="AB28" s="2">
        <f t="shared" ca="1" si="2"/>
        <v>336000</v>
      </c>
      <c r="AC28" s="2">
        <f t="shared" ca="1" si="2"/>
        <v>189000.00000000006</v>
      </c>
      <c r="AD28" s="2">
        <f t="shared" ca="1" si="2"/>
        <v>189000.00000000012</v>
      </c>
      <c r="AE28" s="2">
        <f t="shared" ca="1" si="2"/>
        <v>346500.00000000012</v>
      </c>
      <c r="AF28" s="2">
        <f t="shared" ca="1" si="2"/>
        <v>346500.00000000006</v>
      </c>
      <c r="AG28" s="2">
        <f t="shared" ca="1" si="2"/>
        <v>199500.00000000006</v>
      </c>
      <c r="AH28" s="2">
        <f t="shared" ca="1" si="2"/>
        <v>357000.00000000012</v>
      </c>
      <c r="AI28" s="2">
        <f t="shared" ca="1" si="2"/>
        <v>357000.00000000012</v>
      </c>
      <c r="AJ28" s="2">
        <f t="shared" ca="1" si="2"/>
        <v>514500.00000000012</v>
      </c>
      <c r="AK28" s="2">
        <f t="shared" ca="1" si="2"/>
        <v>367500.00000000012</v>
      </c>
      <c r="AL28" s="2">
        <f t="shared" ca="1" si="2"/>
        <v>367500.00000000012</v>
      </c>
      <c r="AM28" s="2">
        <f t="shared" ca="1" si="2"/>
        <v>525000.00000000012</v>
      </c>
      <c r="AN28" s="2">
        <f t="shared" ca="1" si="2"/>
        <v>378000.00000000006</v>
      </c>
      <c r="AO28" s="2">
        <f t="shared" ca="1" si="2"/>
        <v>378000.00000000012</v>
      </c>
      <c r="AP28" s="2">
        <f t="shared" ref="AP28:BQ28" ca="1" si="3">AO36</f>
        <v>388500.00000000012</v>
      </c>
      <c r="AQ28" s="2">
        <f t="shared" ca="1" si="3"/>
        <v>388500.00000000012</v>
      </c>
      <c r="AR28" s="2">
        <f t="shared" ca="1" si="3"/>
        <v>546000.00000000012</v>
      </c>
      <c r="AS28" s="2">
        <f t="shared" ca="1" si="3"/>
        <v>399000.00000000017</v>
      </c>
      <c r="AT28" s="2">
        <f t="shared" ca="1" si="3"/>
        <v>556500.00000000023</v>
      </c>
      <c r="AU28" s="2">
        <f t="shared" ca="1" si="3"/>
        <v>714000.00000000023</v>
      </c>
      <c r="AV28" s="2">
        <f t="shared" ca="1" si="3"/>
        <v>567000.00000000023</v>
      </c>
      <c r="AW28" s="2">
        <f t="shared" ca="1" si="3"/>
        <v>724500.00000000023</v>
      </c>
      <c r="AX28" s="2">
        <f t="shared" ca="1" si="3"/>
        <v>735000.00000000035</v>
      </c>
      <c r="AY28" s="2">
        <f t="shared" ca="1" si="3"/>
        <v>735000.00000000023</v>
      </c>
      <c r="AZ28" s="2">
        <f t="shared" ca="1" si="3"/>
        <v>745500.00000000023</v>
      </c>
      <c r="BA28" s="2">
        <f t="shared" ca="1" si="3"/>
        <v>756000.00000000035</v>
      </c>
      <c r="BB28" s="2">
        <f t="shared" ca="1" si="3"/>
        <v>913500.00000000023</v>
      </c>
      <c r="BC28" s="2">
        <f t="shared" ca="1" si="3"/>
        <v>924000.00000000012</v>
      </c>
      <c r="BD28" s="2">
        <f t="shared" ca="1" si="3"/>
        <v>934500</v>
      </c>
      <c r="BE28" s="2">
        <f t="shared" ca="1" si="3"/>
        <v>1092000</v>
      </c>
      <c r="BF28" s="2">
        <f t="shared" ca="1" si="3"/>
        <v>1102500</v>
      </c>
      <c r="BG28" s="2">
        <f t="shared" ca="1" si="3"/>
        <v>1113000</v>
      </c>
      <c r="BH28" s="2">
        <f t="shared" ca="1" si="3"/>
        <v>1123500</v>
      </c>
      <c r="BI28" s="2">
        <f t="shared" ca="1" si="3"/>
        <v>1134000</v>
      </c>
      <c r="BJ28" s="2">
        <f t="shared" ca="1" si="3"/>
        <v>1144500</v>
      </c>
      <c r="BK28" s="2">
        <f t="shared" ca="1" si="3"/>
        <v>1155000</v>
      </c>
      <c r="BL28" s="2">
        <f t="shared" ca="1" si="3"/>
        <v>1165500.0000000002</v>
      </c>
      <c r="BM28" s="2">
        <f t="shared" ca="1" si="3"/>
        <v>1176000.0000000005</v>
      </c>
      <c r="BN28" s="2">
        <f t="shared" ca="1" si="3"/>
        <v>1186500.0000000007</v>
      </c>
      <c r="BO28" s="2">
        <f t="shared" ca="1" si="3"/>
        <v>1197000.0000000009</v>
      </c>
      <c r="BP28" s="2">
        <f t="shared" ca="1" si="3"/>
        <v>1207500.0000000009</v>
      </c>
      <c r="BQ28" s="2">
        <f t="shared" ca="1" si="3"/>
        <v>1218000.0000000009</v>
      </c>
    </row>
    <row r="29" spans="1:69">
      <c r="A29" s="17"/>
      <c r="B29" s="17"/>
      <c r="C29" s="26"/>
      <c r="D29" s="27" t="s">
        <v>216</v>
      </c>
      <c r="E29" s="4" t="str">
        <f>Financials!E$18</f>
        <v>Supplier Invoices</v>
      </c>
      <c r="F29" s="4">
        <f>Financials!F$18</f>
        <v>0</v>
      </c>
      <c r="G29" s="4" t="str">
        <f>Financials!G$18</f>
        <v>GBP</v>
      </c>
      <c r="H29" s="4">
        <f ca="1">Financials!H$18</f>
        <v>5775000</v>
      </c>
      <c r="I29" s="4">
        <f>Financials!I$18</f>
        <v>0</v>
      </c>
      <c r="J29" s="4">
        <f ca="1">Financials!J$18</f>
        <v>175000</v>
      </c>
      <c r="K29" s="4">
        <f ca="1">Financials!K$18</f>
        <v>0</v>
      </c>
      <c r="L29" s="4">
        <f ca="1">Financials!L$18</f>
        <v>0</v>
      </c>
      <c r="M29" s="4">
        <f ca="1">Financials!M$18</f>
        <v>0</v>
      </c>
      <c r="N29" s="4">
        <f ca="1">Financials!N$18</f>
        <v>0</v>
      </c>
      <c r="O29" s="4">
        <f ca="1">Financials!O$18</f>
        <v>0</v>
      </c>
      <c r="P29" s="4">
        <f ca="1">Financials!P$18</f>
        <v>175000</v>
      </c>
      <c r="Q29" s="4">
        <f ca="1">Financials!Q$18</f>
        <v>0</v>
      </c>
      <c r="R29" s="4">
        <f ca="1">Financials!R$18</f>
        <v>0</v>
      </c>
      <c r="S29" s="4">
        <f ca="1">Financials!S$18</f>
        <v>0</v>
      </c>
      <c r="T29" s="4">
        <f ca="1">Financials!T$18</f>
        <v>0</v>
      </c>
      <c r="U29" s="4">
        <f ca="1">Financials!U$18</f>
        <v>0</v>
      </c>
      <c r="V29" s="4">
        <f ca="1">Financials!V$18</f>
        <v>175000</v>
      </c>
      <c r="W29" s="4">
        <f ca="1">Financials!W$18</f>
        <v>0</v>
      </c>
      <c r="X29" s="4">
        <f ca="1">Financials!X$18</f>
        <v>0</v>
      </c>
      <c r="Y29" s="4">
        <f ca="1">Financials!Y$18</f>
        <v>0</v>
      </c>
      <c r="Z29" s="4">
        <f ca="1">Financials!Z$18</f>
        <v>175000</v>
      </c>
      <c r="AA29" s="4">
        <f ca="1">Financials!AA$18</f>
        <v>0</v>
      </c>
      <c r="AB29" s="4">
        <f ca="1">Financials!AB$18</f>
        <v>0</v>
      </c>
      <c r="AC29" s="4">
        <f ca="1">Financials!AC$18</f>
        <v>0</v>
      </c>
      <c r="AD29" s="4">
        <f ca="1">Financials!AD$18</f>
        <v>175000</v>
      </c>
      <c r="AE29" s="4">
        <f ca="1">Financials!AE$18</f>
        <v>0</v>
      </c>
      <c r="AF29" s="4">
        <f ca="1">Financials!AF$18</f>
        <v>0</v>
      </c>
      <c r="AG29" s="4">
        <f ca="1">Financials!AG$18</f>
        <v>175000</v>
      </c>
      <c r="AH29" s="4">
        <f ca="1">Financials!AH$18</f>
        <v>0</v>
      </c>
      <c r="AI29" s="4">
        <f ca="1">Financials!AI$18</f>
        <v>175000</v>
      </c>
      <c r="AJ29" s="4">
        <f ca="1">Financials!AJ$18</f>
        <v>0</v>
      </c>
      <c r="AK29" s="4">
        <f ca="1">Financials!AK$18</f>
        <v>0</v>
      </c>
      <c r="AL29" s="4">
        <f ca="1">Financials!AL$18</f>
        <v>175000</v>
      </c>
      <c r="AM29" s="4">
        <f ca="1">Financials!AM$18</f>
        <v>0</v>
      </c>
      <c r="AN29" s="4">
        <f ca="1">Financials!AN$18</f>
        <v>0</v>
      </c>
      <c r="AO29" s="4">
        <f ca="1">Financials!AO$18</f>
        <v>175000</v>
      </c>
      <c r="AP29" s="4">
        <f ca="1">Financials!AP$18</f>
        <v>0</v>
      </c>
      <c r="AQ29" s="4">
        <f ca="1">Financials!AQ$18</f>
        <v>175000</v>
      </c>
      <c r="AR29" s="4">
        <f ca="1">Financials!AR$18</f>
        <v>0</v>
      </c>
      <c r="AS29" s="4">
        <f ca="1">Financials!AS$18</f>
        <v>175000</v>
      </c>
      <c r="AT29" s="4">
        <f ca="1">Financials!AT$18</f>
        <v>175000</v>
      </c>
      <c r="AU29" s="4">
        <f ca="1">Financials!AU$18</f>
        <v>0</v>
      </c>
      <c r="AV29" s="4">
        <f ca="1">Financials!AV$18</f>
        <v>175000</v>
      </c>
      <c r="AW29" s="4">
        <f ca="1">Financials!AW$18</f>
        <v>175000</v>
      </c>
      <c r="AX29" s="4">
        <f ca="1">Financials!AX$18</f>
        <v>0</v>
      </c>
      <c r="AY29" s="4">
        <f ca="1">Financials!AY$18</f>
        <v>175000</v>
      </c>
      <c r="AZ29" s="4">
        <f ca="1">Financials!AZ$18</f>
        <v>175000</v>
      </c>
      <c r="BA29" s="4">
        <f ca="1">Financials!BA$18</f>
        <v>175000</v>
      </c>
      <c r="BB29" s="4">
        <f ca="1">Financials!BB$18</f>
        <v>175000</v>
      </c>
      <c r="BC29" s="4">
        <f ca="1">Financials!BC$18</f>
        <v>175000</v>
      </c>
      <c r="BD29" s="4">
        <f ca="1">Financials!BD$18</f>
        <v>175000</v>
      </c>
      <c r="BE29" s="4">
        <f ca="1">Financials!BE$18</f>
        <v>175000</v>
      </c>
      <c r="BF29" s="4">
        <f ca="1">Financials!BF$18</f>
        <v>175000</v>
      </c>
      <c r="BG29" s="4">
        <f ca="1">Financials!BG$18</f>
        <v>175000</v>
      </c>
      <c r="BH29" s="4">
        <f ca="1">Financials!BH$18</f>
        <v>175000</v>
      </c>
      <c r="BI29" s="4">
        <f ca="1">Financials!BI$18</f>
        <v>175000</v>
      </c>
      <c r="BJ29" s="4">
        <f ca="1">Financials!BJ$18</f>
        <v>175000</v>
      </c>
      <c r="BK29" s="4">
        <f ca="1">Financials!BK$18</f>
        <v>175000</v>
      </c>
      <c r="BL29" s="4">
        <f ca="1">Financials!BL$18</f>
        <v>175000</v>
      </c>
      <c r="BM29" s="4">
        <f ca="1">Financials!BM$18</f>
        <v>175000</v>
      </c>
      <c r="BN29" s="4">
        <f ca="1">Financials!BN$18</f>
        <v>175000</v>
      </c>
      <c r="BO29" s="4">
        <f ca="1">Financials!BO$18</f>
        <v>175000</v>
      </c>
      <c r="BP29" s="4">
        <f ca="1">Financials!BP$18</f>
        <v>175000</v>
      </c>
      <c r="BQ29" s="4">
        <f ca="1">Financials!BQ$18</f>
        <v>175000</v>
      </c>
    </row>
    <row r="30" spans="1:69">
      <c r="A30" s="17"/>
      <c r="B30" s="17"/>
      <c r="C30" s="26"/>
      <c r="D30" s="27" t="s">
        <v>216</v>
      </c>
      <c r="E30" s="4" t="str">
        <f>Inventory!E$11</f>
        <v>VAT on inventory</v>
      </c>
      <c r="F30" s="4">
        <f>Inventory!F$11</f>
        <v>0</v>
      </c>
      <c r="G30" s="4" t="str">
        <f>Inventory!G$11</f>
        <v>GBP</v>
      </c>
      <c r="H30" s="4">
        <f ca="1">Inventory!H$11</f>
        <v>1155000</v>
      </c>
      <c r="I30" s="4">
        <f>Inventory!I$11</f>
        <v>0</v>
      </c>
      <c r="J30" s="4">
        <f ca="1">Inventory!J$11</f>
        <v>35000</v>
      </c>
      <c r="K30" s="4">
        <f ca="1">Inventory!K$11</f>
        <v>0</v>
      </c>
      <c r="L30" s="4">
        <f ca="1">Inventory!L$11</f>
        <v>0</v>
      </c>
      <c r="M30" s="4">
        <f ca="1">Inventory!M$11</f>
        <v>0</v>
      </c>
      <c r="N30" s="4">
        <f ca="1">Inventory!N$11</f>
        <v>0</v>
      </c>
      <c r="O30" s="4">
        <f ca="1">Inventory!O$11</f>
        <v>0</v>
      </c>
      <c r="P30" s="4">
        <f ca="1">Inventory!P$11</f>
        <v>35000</v>
      </c>
      <c r="Q30" s="4">
        <f ca="1">Inventory!Q$11</f>
        <v>0</v>
      </c>
      <c r="R30" s="4">
        <f ca="1">Inventory!R$11</f>
        <v>0</v>
      </c>
      <c r="S30" s="4">
        <f ca="1">Inventory!S$11</f>
        <v>0</v>
      </c>
      <c r="T30" s="4">
        <f ca="1">Inventory!T$11</f>
        <v>0</v>
      </c>
      <c r="U30" s="4">
        <f ca="1">Inventory!U$11</f>
        <v>0</v>
      </c>
      <c r="V30" s="4">
        <f ca="1">Inventory!V$11</f>
        <v>35000</v>
      </c>
      <c r="W30" s="4">
        <f ca="1">Inventory!W$11</f>
        <v>0</v>
      </c>
      <c r="X30" s="4">
        <f ca="1">Inventory!X$11</f>
        <v>0</v>
      </c>
      <c r="Y30" s="4">
        <f ca="1">Inventory!Y$11</f>
        <v>0</v>
      </c>
      <c r="Z30" s="4">
        <f ca="1">Inventory!Z$11</f>
        <v>35000</v>
      </c>
      <c r="AA30" s="4">
        <f ca="1">Inventory!AA$11</f>
        <v>0</v>
      </c>
      <c r="AB30" s="4">
        <f ca="1">Inventory!AB$11</f>
        <v>0</v>
      </c>
      <c r="AC30" s="4">
        <f ca="1">Inventory!AC$11</f>
        <v>0</v>
      </c>
      <c r="AD30" s="4">
        <f ca="1">Inventory!AD$11</f>
        <v>35000</v>
      </c>
      <c r="AE30" s="4">
        <f ca="1">Inventory!AE$11</f>
        <v>0</v>
      </c>
      <c r="AF30" s="4">
        <f ca="1">Inventory!AF$11</f>
        <v>0</v>
      </c>
      <c r="AG30" s="4">
        <f ca="1">Inventory!AG$11</f>
        <v>35000</v>
      </c>
      <c r="AH30" s="4">
        <f ca="1">Inventory!AH$11</f>
        <v>0</v>
      </c>
      <c r="AI30" s="4">
        <f ca="1">Inventory!AI$11</f>
        <v>35000</v>
      </c>
      <c r="AJ30" s="4">
        <f ca="1">Inventory!AJ$11</f>
        <v>0</v>
      </c>
      <c r="AK30" s="4">
        <f ca="1">Inventory!AK$11</f>
        <v>0</v>
      </c>
      <c r="AL30" s="4">
        <f ca="1">Inventory!AL$11</f>
        <v>35000</v>
      </c>
      <c r="AM30" s="4">
        <f ca="1">Inventory!AM$11</f>
        <v>0</v>
      </c>
      <c r="AN30" s="4">
        <f ca="1">Inventory!AN$11</f>
        <v>0</v>
      </c>
      <c r="AO30" s="4">
        <f ca="1">Inventory!AO$11</f>
        <v>35000</v>
      </c>
      <c r="AP30" s="4">
        <f ca="1">Inventory!AP$11</f>
        <v>0</v>
      </c>
      <c r="AQ30" s="4">
        <f ca="1">Inventory!AQ$11</f>
        <v>35000</v>
      </c>
      <c r="AR30" s="4">
        <f ca="1">Inventory!AR$11</f>
        <v>0</v>
      </c>
      <c r="AS30" s="4">
        <f ca="1">Inventory!AS$11</f>
        <v>35000</v>
      </c>
      <c r="AT30" s="4">
        <f ca="1">Inventory!AT$11</f>
        <v>35000</v>
      </c>
      <c r="AU30" s="4">
        <f ca="1">Inventory!AU$11</f>
        <v>0</v>
      </c>
      <c r="AV30" s="4">
        <f ca="1">Inventory!AV$11</f>
        <v>35000</v>
      </c>
      <c r="AW30" s="4">
        <f ca="1">Inventory!AW$11</f>
        <v>35000</v>
      </c>
      <c r="AX30" s="4">
        <f ca="1">Inventory!AX$11</f>
        <v>0</v>
      </c>
      <c r="AY30" s="4">
        <f ca="1">Inventory!AY$11</f>
        <v>35000</v>
      </c>
      <c r="AZ30" s="4">
        <f ca="1">Inventory!AZ$11</f>
        <v>35000</v>
      </c>
      <c r="BA30" s="4">
        <f ca="1">Inventory!BA$11</f>
        <v>35000</v>
      </c>
      <c r="BB30" s="4">
        <f ca="1">Inventory!BB$11</f>
        <v>35000</v>
      </c>
      <c r="BC30" s="4">
        <f ca="1">Inventory!BC$11</f>
        <v>35000</v>
      </c>
      <c r="BD30" s="4">
        <f ca="1">Inventory!BD$11</f>
        <v>35000</v>
      </c>
      <c r="BE30" s="4">
        <f ca="1">Inventory!BE$11</f>
        <v>35000</v>
      </c>
      <c r="BF30" s="4">
        <f ca="1">Inventory!BF$11</f>
        <v>35000</v>
      </c>
      <c r="BG30" s="4">
        <f ca="1">Inventory!BG$11</f>
        <v>35000</v>
      </c>
      <c r="BH30" s="4">
        <f ca="1">Inventory!BH$11</f>
        <v>35000</v>
      </c>
      <c r="BI30" s="4">
        <f ca="1">Inventory!BI$11</f>
        <v>35000</v>
      </c>
      <c r="BJ30" s="4">
        <f ca="1">Inventory!BJ$11</f>
        <v>35000</v>
      </c>
      <c r="BK30" s="4">
        <f ca="1">Inventory!BK$11</f>
        <v>35000</v>
      </c>
      <c r="BL30" s="4">
        <f ca="1">Inventory!BL$11</f>
        <v>35000</v>
      </c>
      <c r="BM30" s="4">
        <f ca="1">Inventory!BM$11</f>
        <v>35000</v>
      </c>
      <c r="BN30" s="4">
        <f ca="1">Inventory!BN$11</f>
        <v>35000</v>
      </c>
      <c r="BO30" s="4">
        <f ca="1">Inventory!BO$11</f>
        <v>35000</v>
      </c>
      <c r="BP30" s="4">
        <f ca="1">Inventory!BP$11</f>
        <v>35000</v>
      </c>
      <c r="BQ30" s="4">
        <f ca="1">Inventory!BQ$11</f>
        <v>35000</v>
      </c>
    </row>
    <row r="31" spans="1:69">
      <c r="D31" s="66" t="s">
        <v>216</v>
      </c>
      <c r="E31" s="2" t="str">
        <f t="shared" ref="E31:AJ31" si="4">E$51</f>
        <v>Cash out on Operating Expense POS</v>
      </c>
      <c r="F31" s="2">
        <f t="shared" si="4"/>
        <v>0</v>
      </c>
      <c r="G31" s="2" t="str">
        <f t="shared" si="4"/>
        <v>GBP</v>
      </c>
      <c r="H31" s="2">
        <f t="shared" ca="1" si="4"/>
        <v>16608799.925545277</v>
      </c>
      <c r="I31" s="2">
        <f t="shared" si="4"/>
        <v>0</v>
      </c>
      <c r="J31" s="2">
        <f t="shared" ca="1" si="4"/>
        <v>50600</v>
      </c>
      <c r="K31" s="2">
        <f t="shared" ca="1" si="4"/>
        <v>52000.723605699852</v>
      </c>
      <c r="L31" s="2">
        <f t="shared" ca="1" si="4"/>
        <v>53437.081247424263</v>
      </c>
      <c r="M31" s="2">
        <f t="shared" ca="1" si="4"/>
        <v>55678.480578978881</v>
      </c>
      <c r="N31" s="2">
        <f t="shared" ca="1" si="4"/>
        <v>57346.605234178351</v>
      </c>
      <c r="O31" s="2">
        <f t="shared" ca="1" si="4"/>
        <v>59057.166536989782</v>
      </c>
      <c r="P31" s="2">
        <f t="shared" ca="1" si="4"/>
        <v>61615.065969559735</v>
      </c>
      <c r="Q31" s="2">
        <f t="shared" ca="1" si="4"/>
        <v>63535.713912837666</v>
      </c>
      <c r="R31" s="2">
        <f t="shared" ca="1" si="4"/>
        <v>65638.750103817103</v>
      </c>
      <c r="S31" s="2">
        <f t="shared" ca="1" si="4"/>
        <v>68570.861854038318</v>
      </c>
      <c r="T31" s="2">
        <f t="shared" ca="1" si="4"/>
        <v>70714.616351869583</v>
      </c>
      <c r="U31" s="2">
        <f t="shared" ca="1" si="4"/>
        <v>73203.400813952903</v>
      </c>
      <c r="V31" s="2">
        <f t="shared" ca="1" si="4"/>
        <v>76450</v>
      </c>
      <c r="W31" s="2">
        <f t="shared" ca="1" si="4"/>
        <v>79293.983443983379</v>
      </c>
      <c r="X31" s="2">
        <f t="shared" ca="1" si="4"/>
        <v>82165.146217544039</v>
      </c>
      <c r="Y31" s="2">
        <f t="shared" ca="1" si="4"/>
        <v>86047.239330981596</v>
      </c>
      <c r="Z31" s="2">
        <f t="shared" ca="1" si="4"/>
        <v>89381.152842987532</v>
      </c>
      <c r="AA31" s="2">
        <f t="shared" ca="1" si="4"/>
        <v>92799.609442904417</v>
      </c>
      <c r="AB31" s="2">
        <f t="shared" ca="1" si="4"/>
        <v>97294.812715733482</v>
      </c>
      <c r="AC31" s="2">
        <f t="shared" ca="1" si="4"/>
        <v>101132.50695998287</v>
      </c>
      <c r="AD31" s="2">
        <f t="shared" ca="1" si="4"/>
        <v>105373.21540296389</v>
      </c>
      <c r="AE31" s="2">
        <f t="shared" ca="1" si="4"/>
        <v>110607.06157024635</v>
      </c>
      <c r="AF31" s="2">
        <f t="shared" ca="1" si="4"/>
        <v>114867.87829473858</v>
      </c>
      <c r="AG31" s="2">
        <f t="shared" ca="1" si="4"/>
        <v>119856.90315713073</v>
      </c>
      <c r="AH31" s="2">
        <f t="shared" ca="1" si="4"/>
        <v>146526.34912459942</v>
      </c>
      <c r="AI31" s="2">
        <f t="shared" ca="1" si="4"/>
        <v>153388.17210104069</v>
      </c>
      <c r="AJ31" s="2">
        <f t="shared" ca="1" si="4"/>
        <v>160424.25459672793</v>
      </c>
      <c r="AK31" s="2">
        <f t="shared" ref="AK31:BQ31" ca="1" si="5">AK$51</f>
        <v>168936.54461704276</v>
      </c>
      <c r="AL31" s="2">
        <f t="shared" ca="1" si="5"/>
        <v>177107.24063336066</v>
      </c>
      <c r="AM31" s="2">
        <f t="shared" ca="1" si="5"/>
        <v>185485.43568269192</v>
      </c>
      <c r="AN31" s="2">
        <f t="shared" ca="1" si="5"/>
        <v>195486.86136317009</v>
      </c>
      <c r="AO31" s="2">
        <f t="shared" ca="1" si="5"/>
        <v>204893.23275204026</v>
      </c>
      <c r="AP31" s="2">
        <f t="shared" ca="1" si="5"/>
        <v>215254.59731050421</v>
      </c>
      <c r="AQ31" s="2">
        <f t="shared" ca="1" si="5"/>
        <v>227033.94502030418</v>
      </c>
      <c r="AR31" s="2">
        <f t="shared" ca="1" si="5"/>
        <v>237485.27892457432</v>
      </c>
      <c r="AS31" s="2">
        <f t="shared" ca="1" si="5"/>
        <v>249703.73854854278</v>
      </c>
      <c r="AT31" s="2">
        <f t="shared" ca="1" si="5"/>
        <v>263072.58397971501</v>
      </c>
      <c r="AU31" s="2">
        <f t="shared" ca="1" si="5"/>
        <v>276835.37407347193</v>
      </c>
      <c r="AV31" s="2">
        <f t="shared" ca="1" si="5"/>
        <v>290907.1768290163</v>
      </c>
      <c r="AW31" s="2">
        <f t="shared" ca="1" si="5"/>
        <v>307203.9454318725</v>
      </c>
      <c r="AX31" s="2">
        <f t="shared" ca="1" si="5"/>
        <v>323544.79234598787</v>
      </c>
      <c r="AY31" s="2">
        <f t="shared" ca="1" si="5"/>
        <v>340300.56021164847</v>
      </c>
      <c r="AZ31" s="2">
        <f t="shared" ca="1" si="5"/>
        <v>359557.6405185723</v>
      </c>
      <c r="BA31" s="2">
        <f t="shared" ca="1" si="5"/>
        <v>378369.54257691785</v>
      </c>
      <c r="BB31" s="2">
        <f t="shared" ca="1" si="5"/>
        <v>399104.47971558699</v>
      </c>
      <c r="BC31" s="2">
        <f t="shared" ca="1" si="5"/>
        <v>421897.56996647298</v>
      </c>
      <c r="BD31" s="2">
        <f t="shared" ca="1" si="5"/>
        <v>442776.60014628631</v>
      </c>
      <c r="BE31" s="2">
        <f t="shared" ca="1" si="5"/>
        <v>467224.43414522201</v>
      </c>
      <c r="BF31" s="2">
        <f t="shared" ca="1" si="5"/>
        <v>493217.78772715008</v>
      </c>
      <c r="BG31" s="2">
        <f t="shared" ca="1" si="5"/>
        <v>520666.28599284997</v>
      </c>
      <c r="BH31" s="2">
        <f t="shared" ca="1" si="5"/>
        <v>548812.06506456423</v>
      </c>
      <c r="BI31" s="2">
        <f t="shared" ca="1" si="5"/>
        <v>580607.98944408761</v>
      </c>
      <c r="BJ31" s="2">
        <f t="shared" ca="1" si="5"/>
        <v>613292.95310492406</v>
      </c>
      <c r="BK31" s="2">
        <f t="shared" ca="1" si="5"/>
        <v>646808.22076895298</v>
      </c>
      <c r="BL31" s="2">
        <f t="shared" ca="1" si="5"/>
        <v>684507.09840851917</v>
      </c>
      <c r="BM31" s="2">
        <f t="shared" ca="1" si="5"/>
        <v>722135.9438568044</v>
      </c>
      <c r="BN31" s="2">
        <f t="shared" ca="1" si="5"/>
        <v>762697.39166037564</v>
      </c>
      <c r="BO31" s="2">
        <f t="shared" ca="1" si="5"/>
        <v>807363.99157833657</v>
      </c>
      <c r="BP31" s="2">
        <f t="shared" ca="1" si="5"/>
        <v>850304.48729419091</v>
      </c>
      <c r="BQ31" s="2">
        <f t="shared" ca="1" si="5"/>
        <v>899197.38444061228</v>
      </c>
    </row>
    <row r="32" spans="1:69">
      <c r="D32" s="66" t="s">
        <v>293</v>
      </c>
      <c r="E32" s="2" t="str">
        <f t="shared" ref="E32:AJ32" si="6">E$14</f>
        <v>Cash out on Inventory POS</v>
      </c>
      <c r="F32" s="2">
        <f t="shared" si="6"/>
        <v>0</v>
      </c>
      <c r="G32" s="2" t="str">
        <f t="shared" si="6"/>
        <v>GBP</v>
      </c>
      <c r="H32" s="2">
        <f t="shared" ca="1" si="6"/>
        <v>5701499.9999999991</v>
      </c>
      <c r="I32" s="2">
        <f t="shared" si="6"/>
        <v>0</v>
      </c>
      <c r="J32" s="2">
        <f t="shared" ca="1" si="6"/>
        <v>52500</v>
      </c>
      <c r="K32" s="2">
        <f t="shared" ca="1" si="6"/>
        <v>0</v>
      </c>
      <c r="L32" s="2">
        <f t="shared" ca="1" si="6"/>
        <v>0</v>
      </c>
      <c r="M32" s="2">
        <f t="shared" ca="1" si="6"/>
        <v>0</v>
      </c>
      <c r="N32" s="2">
        <f t="shared" ca="1" si="6"/>
        <v>0</v>
      </c>
      <c r="O32" s="2">
        <f t="shared" ca="1" si="6"/>
        <v>0</v>
      </c>
      <c r="P32" s="2">
        <f t="shared" ca="1" si="6"/>
        <v>199499.99999999997</v>
      </c>
      <c r="Q32" s="2">
        <f t="shared" ca="1" si="6"/>
        <v>0</v>
      </c>
      <c r="R32" s="2">
        <f t="shared" ca="1" si="6"/>
        <v>0</v>
      </c>
      <c r="S32" s="2">
        <f t="shared" ca="1" si="6"/>
        <v>0</v>
      </c>
      <c r="T32" s="2">
        <f t="shared" ca="1" si="6"/>
        <v>0</v>
      </c>
      <c r="U32" s="2">
        <f t="shared" ca="1" si="6"/>
        <v>0</v>
      </c>
      <c r="V32" s="2">
        <f t="shared" ca="1" si="6"/>
        <v>199499.99999999997</v>
      </c>
      <c r="W32" s="2">
        <f t="shared" ca="1" si="6"/>
        <v>0</v>
      </c>
      <c r="X32" s="2">
        <f t="shared" ca="1" si="6"/>
        <v>0</v>
      </c>
      <c r="Y32" s="2">
        <f t="shared" ca="1" si="6"/>
        <v>0</v>
      </c>
      <c r="Z32" s="2">
        <f t="shared" ca="1" si="6"/>
        <v>52500</v>
      </c>
      <c r="AA32" s="2">
        <f t="shared" ca="1" si="6"/>
        <v>0</v>
      </c>
      <c r="AB32" s="2">
        <f t="shared" ca="1" si="6"/>
        <v>146999.99999999997</v>
      </c>
      <c r="AC32" s="2">
        <f t="shared" ca="1" si="6"/>
        <v>0</v>
      </c>
      <c r="AD32" s="2">
        <f t="shared" ca="1" si="6"/>
        <v>52500</v>
      </c>
      <c r="AE32" s="2">
        <f t="shared" ca="1" si="6"/>
        <v>0</v>
      </c>
      <c r="AF32" s="2">
        <f t="shared" ca="1" si="6"/>
        <v>146999.99999999997</v>
      </c>
      <c r="AG32" s="2">
        <f t="shared" ca="1" si="6"/>
        <v>52500</v>
      </c>
      <c r="AH32" s="2">
        <f t="shared" ca="1" si="6"/>
        <v>0</v>
      </c>
      <c r="AI32" s="2">
        <f t="shared" ca="1" si="6"/>
        <v>52500</v>
      </c>
      <c r="AJ32" s="2">
        <f t="shared" ca="1" si="6"/>
        <v>146999.99999999997</v>
      </c>
      <c r="AK32" s="2">
        <f t="shared" ref="AK32:BQ32" ca="1" si="7">AK$14</f>
        <v>0</v>
      </c>
      <c r="AL32" s="2">
        <f t="shared" ca="1" si="7"/>
        <v>52500</v>
      </c>
      <c r="AM32" s="2">
        <f t="shared" ca="1" si="7"/>
        <v>146999.99999999997</v>
      </c>
      <c r="AN32" s="2">
        <f t="shared" ca="1" si="7"/>
        <v>0</v>
      </c>
      <c r="AO32" s="2">
        <f t="shared" ca="1" si="7"/>
        <v>199499.99999999997</v>
      </c>
      <c r="AP32" s="2">
        <f t="shared" ca="1" si="7"/>
        <v>0</v>
      </c>
      <c r="AQ32" s="2">
        <f t="shared" ca="1" si="7"/>
        <v>52500</v>
      </c>
      <c r="AR32" s="2">
        <f t="shared" ca="1" si="7"/>
        <v>146999.99999999997</v>
      </c>
      <c r="AS32" s="2">
        <f t="shared" ca="1" si="7"/>
        <v>52500</v>
      </c>
      <c r="AT32" s="2">
        <f t="shared" ca="1" si="7"/>
        <v>52500</v>
      </c>
      <c r="AU32" s="2">
        <f t="shared" ca="1" si="7"/>
        <v>146999.99999999997</v>
      </c>
      <c r="AV32" s="2">
        <f t="shared" ca="1" si="7"/>
        <v>52500</v>
      </c>
      <c r="AW32" s="2">
        <f t="shared" ca="1" si="7"/>
        <v>199499.99999999997</v>
      </c>
      <c r="AX32" s="2">
        <f t="shared" ca="1" si="7"/>
        <v>0</v>
      </c>
      <c r="AY32" s="2">
        <f t="shared" ca="1" si="7"/>
        <v>199499.99999999997</v>
      </c>
      <c r="AZ32" s="2">
        <f t="shared" ca="1" si="7"/>
        <v>199499.99999999997</v>
      </c>
      <c r="BA32" s="2">
        <f t="shared" ca="1" si="7"/>
        <v>52500</v>
      </c>
      <c r="BB32" s="2">
        <f t="shared" ca="1" si="7"/>
        <v>199499.99999999997</v>
      </c>
      <c r="BC32" s="2">
        <f t="shared" ca="1" si="7"/>
        <v>199499.99999999997</v>
      </c>
      <c r="BD32" s="2">
        <f t="shared" ca="1" si="7"/>
        <v>52500</v>
      </c>
      <c r="BE32" s="2">
        <f t="shared" ca="1" si="7"/>
        <v>199499.99999999997</v>
      </c>
      <c r="BF32" s="2">
        <f t="shared" ca="1" si="7"/>
        <v>199499.99999999997</v>
      </c>
      <c r="BG32" s="2">
        <f t="shared" ca="1" si="7"/>
        <v>199499.99999999997</v>
      </c>
      <c r="BH32" s="2">
        <f t="shared" ca="1" si="7"/>
        <v>199499.99999999997</v>
      </c>
      <c r="BI32" s="2">
        <f t="shared" ca="1" si="7"/>
        <v>199499.99999999997</v>
      </c>
      <c r="BJ32" s="2">
        <f t="shared" ca="1" si="7"/>
        <v>199499.99999999997</v>
      </c>
      <c r="BK32" s="2">
        <f t="shared" ca="1" si="7"/>
        <v>199499.99999999997</v>
      </c>
      <c r="BL32" s="2">
        <f t="shared" ca="1" si="7"/>
        <v>199499.99999999997</v>
      </c>
      <c r="BM32" s="2">
        <f t="shared" ca="1" si="7"/>
        <v>199499.99999999997</v>
      </c>
      <c r="BN32" s="2">
        <f t="shared" ca="1" si="7"/>
        <v>199499.99999999997</v>
      </c>
      <c r="BO32" s="2">
        <f t="shared" ca="1" si="7"/>
        <v>199499.99999999997</v>
      </c>
      <c r="BP32" s="2">
        <f t="shared" ca="1" si="7"/>
        <v>199499.99999999997</v>
      </c>
      <c r="BQ32" s="2">
        <f t="shared" ca="1" si="7"/>
        <v>199499.99999999997</v>
      </c>
    </row>
    <row r="33" spans="1:69">
      <c r="A33" s="17"/>
      <c r="B33" s="17"/>
      <c r="C33" s="26"/>
      <c r="D33" s="27" t="s">
        <v>293</v>
      </c>
      <c r="E33" s="4" t="str">
        <f>Expense!E$19</f>
        <v>Fixed operating expense POS</v>
      </c>
      <c r="F33" s="4">
        <f>Expense!F$19</f>
        <v>0</v>
      </c>
      <c r="G33" s="4" t="str">
        <f>Expense!G$19</f>
        <v>GBP</v>
      </c>
      <c r="H33" s="4">
        <f>Expense!H$19</f>
        <v>1899484.1637263105</v>
      </c>
      <c r="I33" s="4">
        <f>Expense!I$19</f>
        <v>0</v>
      </c>
      <c r="J33" s="4">
        <f>Expense!J$19</f>
        <v>25000</v>
      </c>
      <c r="K33" s="4">
        <f>Expense!K$19</f>
        <v>25000</v>
      </c>
      <c r="L33" s="4">
        <f>Expense!L$19</f>
        <v>25000</v>
      </c>
      <c r="M33" s="4">
        <f>Expense!M$19</f>
        <v>25607.856851345517</v>
      </c>
      <c r="N33" s="4">
        <f>Expense!N$19</f>
        <v>25607.856851345517</v>
      </c>
      <c r="O33" s="4">
        <f>Expense!O$19</f>
        <v>25607.856851345517</v>
      </c>
      <c r="P33" s="4">
        <f>Expense!P$19</f>
        <v>26230.493300760143</v>
      </c>
      <c r="Q33" s="4">
        <f>Expense!Q$19</f>
        <v>26230.493300760143</v>
      </c>
      <c r="R33" s="4">
        <f>Expense!R$19</f>
        <v>26230.493300760143</v>
      </c>
      <c r="S33" s="4">
        <f>Expense!S$19</f>
        <v>26868.268703441732</v>
      </c>
      <c r="T33" s="4">
        <f>Expense!T$19</f>
        <v>26868.268703441732</v>
      </c>
      <c r="U33" s="4">
        <f>Expense!U$19</f>
        <v>26868.268703441732</v>
      </c>
      <c r="V33" s="4">
        <f>Expense!V$19</f>
        <v>27500.000000000004</v>
      </c>
      <c r="W33" s="4">
        <f>Expense!W$19</f>
        <v>27500.000000000004</v>
      </c>
      <c r="X33" s="4">
        <f>Expense!X$19</f>
        <v>27500.000000000004</v>
      </c>
      <c r="Y33" s="4">
        <f>Expense!Y$19</f>
        <v>28171.389663808775</v>
      </c>
      <c r="Z33" s="4">
        <f>Expense!Z$19</f>
        <v>28171.389663808775</v>
      </c>
      <c r="AA33" s="4">
        <f>Expense!AA$19</f>
        <v>28171.389663808775</v>
      </c>
      <c r="AB33" s="4">
        <f>Expense!AB$19</f>
        <v>28855.408240598044</v>
      </c>
      <c r="AC33" s="4">
        <f>Expense!AC$19</f>
        <v>28855.408240598044</v>
      </c>
      <c r="AD33" s="4">
        <f>Expense!AD$19</f>
        <v>28855.408240598044</v>
      </c>
      <c r="AE33" s="4">
        <f>Expense!AE$19</f>
        <v>29558.292610174307</v>
      </c>
      <c r="AF33" s="4">
        <f>Expense!AF$19</f>
        <v>29558.292610174307</v>
      </c>
      <c r="AG33" s="4">
        <f>Expense!AG$19</f>
        <v>29558.292610174307</v>
      </c>
      <c r="AH33" s="4">
        <f>Expense!AH$19</f>
        <v>30252.630710131383</v>
      </c>
      <c r="AI33" s="4">
        <f>Expense!AI$19</f>
        <v>30252.630710131383</v>
      </c>
      <c r="AJ33" s="4">
        <f>Expense!AJ$19</f>
        <v>30252.630710131383</v>
      </c>
      <c r="AK33" s="4">
        <f>Expense!AK$19</f>
        <v>30987.522236491855</v>
      </c>
      <c r="AL33" s="4">
        <f>Expense!AL$19</f>
        <v>30987.522236491855</v>
      </c>
      <c r="AM33" s="4">
        <f>Expense!AM$19</f>
        <v>30987.522236491855</v>
      </c>
      <c r="AN33" s="4">
        <f>Expense!AN$19</f>
        <v>31740.265617148605</v>
      </c>
      <c r="AO33" s="4">
        <f>Expense!AO$19</f>
        <v>31740.265617148605</v>
      </c>
      <c r="AP33" s="4">
        <f>Expense!AP$19</f>
        <v>31740.265617148605</v>
      </c>
      <c r="AQ33" s="4">
        <f>Expense!AQ$19</f>
        <v>32513.243252308428</v>
      </c>
      <c r="AR33" s="4">
        <f>Expense!AR$19</f>
        <v>32513.243252308428</v>
      </c>
      <c r="AS33" s="4">
        <f>Expense!AS$19</f>
        <v>32513.243252308428</v>
      </c>
      <c r="AT33" s="4">
        <f>Expense!AT$19</f>
        <v>33277.170807448252</v>
      </c>
      <c r="AU33" s="4">
        <f>Expense!AU$19</f>
        <v>33277.170807448252</v>
      </c>
      <c r="AV33" s="4">
        <f>Expense!AV$19</f>
        <v>33277.170807448252</v>
      </c>
      <c r="AW33" s="4">
        <f>Expense!AW$19</f>
        <v>34085.720578240354</v>
      </c>
      <c r="AX33" s="4">
        <f>Expense!AX$19</f>
        <v>34085.720578240354</v>
      </c>
      <c r="AY33" s="4">
        <f>Expense!AY$19</f>
        <v>34085.720578240354</v>
      </c>
      <c r="AZ33" s="4">
        <f>Expense!AZ$19</f>
        <v>34913.916031522422</v>
      </c>
      <c r="BA33" s="4">
        <f>Expense!BA$19</f>
        <v>34913.916031522422</v>
      </c>
      <c r="BB33" s="4">
        <f>Expense!BB$19</f>
        <v>34913.916031522422</v>
      </c>
      <c r="BC33" s="4">
        <f>Expense!BC$19</f>
        <v>35763.987489903346</v>
      </c>
      <c r="BD33" s="4">
        <f>Expense!BD$19</f>
        <v>35763.987489903346</v>
      </c>
      <c r="BE33" s="4">
        <f>Expense!BE$19</f>
        <v>35763.987489903346</v>
      </c>
      <c r="BF33" s="4">
        <f>Expense!BF$19</f>
        <v>36604.410559640419</v>
      </c>
      <c r="BG33" s="4">
        <f>Expense!BG$19</f>
        <v>36604.410559640419</v>
      </c>
      <c r="BH33" s="4">
        <f>Expense!BH$19</f>
        <v>36604.410559640419</v>
      </c>
      <c r="BI33" s="4">
        <f>Expense!BI$19</f>
        <v>37493.926945298947</v>
      </c>
      <c r="BJ33" s="4">
        <f>Expense!BJ$19</f>
        <v>37493.926945298947</v>
      </c>
      <c r="BK33" s="4">
        <f>Expense!BK$19</f>
        <v>37493.926945298947</v>
      </c>
      <c r="BL33" s="4">
        <f>Expense!BL$19</f>
        <v>38405.059288932411</v>
      </c>
      <c r="BM33" s="4">
        <f>Expense!BM$19</f>
        <v>38405.059288932411</v>
      </c>
      <c r="BN33" s="4">
        <f>Expense!BN$19</f>
        <v>38405.059288932411</v>
      </c>
      <c r="BO33" s="4">
        <f>Expense!BO$19</f>
        <v>39331.82502157487</v>
      </c>
      <c r="BP33" s="4">
        <f>Expense!BP$19</f>
        <v>39331.82502157487</v>
      </c>
      <c r="BQ33" s="4">
        <f>Expense!BQ$19</f>
        <v>39331.82502157487</v>
      </c>
    </row>
    <row r="34" spans="1:69">
      <c r="A34" s="17"/>
      <c r="B34" s="17"/>
      <c r="C34" s="26"/>
      <c r="D34" s="27" t="s">
        <v>293</v>
      </c>
      <c r="E34" s="4" t="str">
        <f>Expense!E$26</f>
        <v>Variable Operating expense POS</v>
      </c>
      <c r="F34" s="4">
        <f>Expense!F$26</f>
        <v>0</v>
      </c>
      <c r="G34" s="4" t="str">
        <f>Expense!G$26</f>
        <v>GBP</v>
      </c>
      <c r="H34" s="4">
        <f ca="1">Expense!H$26</f>
        <v>13199424.859496675</v>
      </c>
      <c r="I34" s="4">
        <f>Expense!I$26</f>
        <v>0</v>
      </c>
      <c r="J34" s="4">
        <f ca="1">Expense!J$26</f>
        <v>21000</v>
      </c>
      <c r="K34" s="4">
        <f ca="1">Expense!K$26</f>
        <v>22273.385096090773</v>
      </c>
      <c r="L34" s="4">
        <f ca="1">Expense!L$26</f>
        <v>23579.164770385694</v>
      </c>
      <c r="M34" s="4">
        <f ca="1">Expense!M$26</f>
        <v>25008.943674998918</v>
      </c>
      <c r="N34" s="4">
        <f ca="1">Expense!N$26</f>
        <v>26525.420634271159</v>
      </c>
      <c r="O34" s="4">
        <f ca="1">Expense!O$26</f>
        <v>28080.476364099741</v>
      </c>
      <c r="P34" s="4">
        <f ca="1">Expense!P$26</f>
        <v>29783.203035203253</v>
      </c>
      <c r="Q34" s="4">
        <f ca="1">Expense!Q$26</f>
        <v>31529.246620001373</v>
      </c>
      <c r="R34" s="4">
        <f ca="1">Expense!R$26</f>
        <v>33441.097702709951</v>
      </c>
      <c r="S34" s="4">
        <f ca="1">Expense!S$26</f>
        <v>35468.878436593099</v>
      </c>
      <c r="T34" s="4">
        <f ca="1">Expense!T$26</f>
        <v>37417.746161894254</v>
      </c>
      <c r="U34" s="4">
        <f ca="1">Expense!U$26</f>
        <v>39680.277491060901</v>
      </c>
      <c r="V34" s="4">
        <f ca="1">Expense!V$26</f>
        <v>42000</v>
      </c>
      <c r="W34" s="4">
        <f ca="1">Expense!W$26</f>
        <v>44585.43949453035</v>
      </c>
      <c r="X34" s="4">
        <f ca="1">Expense!X$26</f>
        <v>47195.587470494567</v>
      </c>
      <c r="Y34" s="4">
        <f ca="1">Expense!Y$26</f>
        <v>50053.373364356317</v>
      </c>
      <c r="Z34" s="4">
        <f ca="1">Expense!Z$26</f>
        <v>53084.203829816244</v>
      </c>
      <c r="AA34" s="4">
        <f ca="1">Expense!AA$26</f>
        <v>56191.891647922515</v>
      </c>
      <c r="AB34" s="4">
        <f ca="1">Expense!AB$26</f>
        <v>59594.421500977842</v>
      </c>
      <c r="AC34" s="4">
        <f ca="1">Expense!AC$26</f>
        <v>63083.234450295487</v>
      </c>
      <c r="AD34" s="4">
        <f ca="1">Expense!AD$26</f>
        <v>66938.423943914589</v>
      </c>
      <c r="AE34" s="4">
        <f ca="1">Expense!AE$26</f>
        <v>70993.581544595101</v>
      </c>
      <c r="AF34" s="4">
        <f ca="1">Expense!AF$26</f>
        <v>74867.051294133489</v>
      </c>
      <c r="AG34" s="4">
        <f ca="1">Expense!AG$26</f>
        <v>79402.528441762712</v>
      </c>
      <c r="AH34" s="4">
        <f ca="1">Expense!AH$26</f>
        <v>102953.14122132264</v>
      </c>
      <c r="AI34" s="4">
        <f ca="1">Expense!AI$26</f>
        <v>109191.16210899652</v>
      </c>
      <c r="AJ34" s="4">
        <f ca="1">Expense!AJ$26</f>
        <v>115587.60074143946</v>
      </c>
      <c r="AK34" s="4">
        <f ca="1">Expense!AK$26</f>
        <v>122591.15468809247</v>
      </c>
      <c r="AL34" s="4">
        <f ca="1">Expense!AL$26</f>
        <v>130019.06015747237</v>
      </c>
      <c r="AM34" s="4">
        <f ca="1">Expense!AM$26</f>
        <v>137635.60111140989</v>
      </c>
      <c r="AN34" s="4">
        <f ca="1">Expense!AN$26</f>
        <v>145975.06289482419</v>
      </c>
      <c r="AO34" s="4">
        <f ca="1">Expense!AO$26</f>
        <v>154526.30961197891</v>
      </c>
      <c r="AP34" s="4">
        <f ca="1">Expense!AP$26</f>
        <v>163945.73193785522</v>
      </c>
      <c r="AQ34" s="4">
        <f ca="1">Expense!AQ$26</f>
        <v>173881.25222069537</v>
      </c>
      <c r="AR34" s="4">
        <f ca="1">Expense!AR$26</f>
        <v>183382.46486094096</v>
      </c>
      <c r="AS34" s="4">
        <f ca="1">Expense!AS$26</f>
        <v>194490.15542818501</v>
      </c>
      <c r="AT34" s="4">
        <f ca="1">Expense!AT$26</f>
        <v>205879.7237195654</v>
      </c>
      <c r="AU34" s="4">
        <f ca="1">Expense!AU$26</f>
        <v>218391.35107752625</v>
      </c>
      <c r="AV34" s="4">
        <f ca="1">Expense!AV$26</f>
        <v>231183.89903711202</v>
      </c>
      <c r="AW34" s="4">
        <f ca="1">Expense!AW$26</f>
        <v>245190.59345073468</v>
      </c>
      <c r="AX34" s="4">
        <f ca="1">Expense!AX$26</f>
        <v>260045.90882720315</v>
      </c>
      <c r="AY34" s="4">
        <f ca="1">Expense!AY$26</f>
        <v>275278.42506871279</v>
      </c>
      <c r="AZ34" s="4">
        <f ca="1">Expense!AZ$26</f>
        <v>291956.66625808872</v>
      </c>
      <c r="BA34" s="4">
        <f ca="1">Expense!BA$26</f>
        <v>309058.39540203923</v>
      </c>
      <c r="BB34" s="4">
        <f ca="1">Expense!BB$26</f>
        <v>327908.33825537481</v>
      </c>
      <c r="BC34" s="4">
        <f ca="1">Expense!BC$26</f>
        <v>347779.25793416298</v>
      </c>
      <c r="BD34" s="4">
        <f ca="1">Expense!BD$26</f>
        <v>366760.19446126604</v>
      </c>
      <c r="BE34" s="4">
        <f ca="1">Expense!BE$26</f>
        <v>388985.49809666211</v>
      </c>
      <c r="BF34" s="4">
        <f ca="1">Expense!BF$26</f>
        <v>411775.39646504144</v>
      </c>
      <c r="BG34" s="4">
        <f ca="1">Expense!BG$26</f>
        <v>436728.57670658681</v>
      </c>
      <c r="BH34" s="4">
        <f ca="1">Expense!BH$26</f>
        <v>462315.64858996338</v>
      </c>
      <c r="BI34" s="4">
        <f ca="1">Expense!BI$26</f>
        <v>490331.51800387161</v>
      </c>
      <c r="BJ34" s="4">
        <f ca="1">Expense!BJ$26</f>
        <v>520045.12133190478</v>
      </c>
      <c r="BK34" s="4">
        <f ca="1">Expense!BK$26</f>
        <v>550513.54648102203</v>
      </c>
      <c r="BL34" s="4">
        <f ca="1">Expense!BL$26</f>
        <v>583874.12108244875</v>
      </c>
      <c r="BM34" s="4">
        <f ca="1">Expense!BM$26</f>
        <v>618082.16239907162</v>
      </c>
      <c r="BN34" s="4">
        <f ca="1">Expense!BN$26</f>
        <v>654956.20585686364</v>
      </c>
      <c r="BO34" s="4">
        <f ca="1">Expense!BO$26</f>
        <v>694635.44004964025</v>
      </c>
      <c r="BP34" s="4">
        <f ca="1">Expense!BP$26</f>
        <v>733672.25433678052</v>
      </c>
      <c r="BQ34" s="4">
        <f ca="1">Expense!BQ$26</f>
        <v>778120.34265170898</v>
      </c>
    </row>
    <row r="35" spans="1:69">
      <c r="A35" s="17"/>
      <c r="B35" s="17"/>
      <c r="C35" s="26"/>
      <c r="D35" s="27" t="s">
        <v>293</v>
      </c>
      <c r="E35" s="4" t="str">
        <f>Expense!E$13</f>
        <v>VAT on operating expense</v>
      </c>
      <c r="F35" s="4">
        <f>Expense!F$13</f>
        <v>0</v>
      </c>
      <c r="G35" s="4" t="str">
        <f>Expense!G$13</f>
        <v>GBP</v>
      </c>
      <c r="H35" s="4">
        <f ca="1">Expense!H$13</f>
        <v>1509890.9023222984</v>
      </c>
      <c r="I35" s="4">
        <f>Expense!I$13</f>
        <v>0</v>
      </c>
      <c r="J35" s="4">
        <f ca="1">Expense!J$13</f>
        <v>4600</v>
      </c>
      <c r="K35" s="4">
        <f ca="1">Expense!K$13</f>
        <v>4727.3385096090778</v>
      </c>
      <c r="L35" s="4">
        <f ca="1">Expense!L$13</f>
        <v>4857.9164770385696</v>
      </c>
      <c r="M35" s="4">
        <f ca="1">Expense!M$13</f>
        <v>5061.6800526344441</v>
      </c>
      <c r="N35" s="4">
        <f ca="1">Expense!N$13</f>
        <v>5213.3277485616682</v>
      </c>
      <c r="O35" s="4">
        <f ca="1">Expense!O$13</f>
        <v>5368.8333215445264</v>
      </c>
      <c r="P35" s="4">
        <f ca="1">Expense!P$13</f>
        <v>5601.3696335963396</v>
      </c>
      <c r="Q35" s="4">
        <f ca="1">Expense!Q$13</f>
        <v>5775.9739920761522</v>
      </c>
      <c r="R35" s="4">
        <f ca="1">Expense!R$13</f>
        <v>5967.1591003470094</v>
      </c>
      <c r="S35" s="4">
        <f ca="1">Expense!S$13</f>
        <v>6233.7147140034831</v>
      </c>
      <c r="T35" s="4">
        <f ca="1">Expense!T$13</f>
        <v>6428.6014865335992</v>
      </c>
      <c r="U35" s="4">
        <f ca="1">Expense!U$13</f>
        <v>6654.8546194502633</v>
      </c>
      <c r="V35" s="4">
        <f ca="1">Expense!V$13</f>
        <v>6950</v>
      </c>
      <c r="W35" s="4">
        <f ca="1">Expense!W$13</f>
        <v>7208.5439494530356</v>
      </c>
      <c r="X35" s="4">
        <f ca="1">Expense!X$13</f>
        <v>7469.5587470494575</v>
      </c>
      <c r="Y35" s="4">
        <f ca="1">Expense!Y$13</f>
        <v>7822.4763028165098</v>
      </c>
      <c r="Z35" s="4">
        <f ca="1">Expense!Z$13</f>
        <v>8125.5593493625029</v>
      </c>
      <c r="AA35" s="4">
        <f ca="1">Expense!AA$13</f>
        <v>8436.3281311731298</v>
      </c>
      <c r="AB35" s="4">
        <f ca="1">Expense!AB$13</f>
        <v>8844.9829741575886</v>
      </c>
      <c r="AC35" s="4">
        <f ca="1">Expense!AC$13</f>
        <v>9193.8642690893521</v>
      </c>
      <c r="AD35" s="4">
        <f ca="1">Expense!AD$13</f>
        <v>9579.383218451263</v>
      </c>
      <c r="AE35" s="4">
        <f ca="1">Expense!AE$13</f>
        <v>10055.187415476941</v>
      </c>
      <c r="AF35" s="4">
        <f ca="1">Expense!AF$13</f>
        <v>10442.534390430781</v>
      </c>
      <c r="AG35" s="4">
        <f ca="1">Expense!AG$13</f>
        <v>10896.082105193702</v>
      </c>
      <c r="AH35" s="4">
        <f ca="1">Expense!AH$13</f>
        <v>13320.577193145402</v>
      </c>
      <c r="AI35" s="4">
        <f ca="1">Expense!AI$13</f>
        <v>13944.379281912792</v>
      </c>
      <c r="AJ35" s="4">
        <f ca="1">Expense!AJ$13</f>
        <v>14584.023145157085</v>
      </c>
      <c r="AK35" s="4">
        <f ca="1">Expense!AK$13</f>
        <v>15357.867692458432</v>
      </c>
      <c r="AL35" s="4">
        <f ca="1">Expense!AL$13</f>
        <v>16100.658239396424</v>
      </c>
      <c r="AM35" s="4">
        <f ca="1">Expense!AM$13</f>
        <v>16862.312334790175</v>
      </c>
      <c r="AN35" s="4">
        <f ca="1">Expense!AN$13</f>
        <v>17771.53285119728</v>
      </c>
      <c r="AO35" s="4">
        <f ca="1">Expense!AO$13</f>
        <v>18626.657522912752</v>
      </c>
      <c r="AP35" s="4">
        <f ca="1">Expense!AP$13</f>
        <v>19568.599755500381</v>
      </c>
      <c r="AQ35" s="4">
        <f ca="1">Expense!AQ$13</f>
        <v>20639.449547300381</v>
      </c>
      <c r="AR35" s="4">
        <f ca="1">Expense!AR$13</f>
        <v>21589.570811324942</v>
      </c>
      <c r="AS35" s="4">
        <f ca="1">Expense!AS$13</f>
        <v>22700.339868049345</v>
      </c>
      <c r="AT35" s="4">
        <f ca="1">Expense!AT$13</f>
        <v>23915.689452701365</v>
      </c>
      <c r="AU35" s="4">
        <f ca="1">Expense!AU$13</f>
        <v>25166.852188497451</v>
      </c>
      <c r="AV35" s="4">
        <f ca="1">Expense!AV$13</f>
        <v>26446.10698445603</v>
      </c>
      <c r="AW35" s="4">
        <f ca="1">Expense!AW$13</f>
        <v>27927.631402897503</v>
      </c>
      <c r="AX35" s="4">
        <f ca="1">Expense!AX$13</f>
        <v>29413.162940544353</v>
      </c>
      <c r="AY35" s="4">
        <f ca="1">Expense!AY$13</f>
        <v>30936.414564695315</v>
      </c>
      <c r="AZ35" s="4">
        <f ca="1">Expense!AZ$13</f>
        <v>32687.058228961119</v>
      </c>
      <c r="BA35" s="4">
        <f ca="1">Expense!BA$13</f>
        <v>34397.23114335617</v>
      </c>
      <c r="BB35" s="4">
        <f ca="1">Expense!BB$13</f>
        <v>36282.22542868973</v>
      </c>
      <c r="BC35" s="4">
        <f ca="1">Expense!BC$13</f>
        <v>38354.324542406634</v>
      </c>
      <c r="BD35" s="4">
        <f ca="1">Expense!BD$13</f>
        <v>40252.418195116945</v>
      </c>
      <c r="BE35" s="4">
        <f ca="1">Expense!BE$13</f>
        <v>42474.94855865655</v>
      </c>
      <c r="BF35" s="4">
        <f ca="1">Expense!BF$13</f>
        <v>44837.980702468194</v>
      </c>
      <c r="BG35" s="4">
        <f ca="1">Expense!BG$13</f>
        <v>47333.298726622728</v>
      </c>
      <c r="BH35" s="4">
        <f ca="1">Expense!BH$13</f>
        <v>49892.005914960384</v>
      </c>
      <c r="BI35" s="4">
        <f ca="1">Expense!BI$13</f>
        <v>52782.544494917063</v>
      </c>
      <c r="BJ35" s="4">
        <f ca="1">Expense!BJ$13</f>
        <v>55753.904827720369</v>
      </c>
      <c r="BK35" s="4">
        <f ca="1">Expense!BK$13</f>
        <v>58800.747342632094</v>
      </c>
      <c r="BL35" s="4">
        <f ca="1">Expense!BL$13</f>
        <v>62227.918037138115</v>
      </c>
      <c r="BM35" s="4">
        <f ca="1">Expense!BM$13</f>
        <v>65648.722168800407</v>
      </c>
      <c r="BN35" s="4">
        <f ca="1">Expense!BN$13</f>
        <v>69336.126514579606</v>
      </c>
      <c r="BO35" s="4">
        <f ca="1">Expense!BO$13</f>
        <v>73396.726507121508</v>
      </c>
      <c r="BP35" s="4">
        <f ca="1">Expense!BP$13</f>
        <v>77300.407935835538</v>
      </c>
      <c r="BQ35" s="4">
        <f ca="1">Expense!BQ$13</f>
        <v>81745.216767328384</v>
      </c>
    </row>
    <row r="36" spans="1:69" s="32" customFormat="1">
      <c r="A36" s="48"/>
      <c r="B36" s="48"/>
      <c r="C36" s="68"/>
      <c r="D36" s="69"/>
      <c r="E36" s="11" t="s">
        <v>295</v>
      </c>
      <c r="F36" s="11"/>
      <c r="G36" s="11" t="s">
        <v>252</v>
      </c>
      <c r="H36" s="11"/>
      <c r="I36" s="11">
        <f t="shared" ref="I36:AN36" si="8">IF(I27=0,$F26,I28+I29+I30-I32+I33+I34+I35-I31)</f>
        <v>0</v>
      </c>
      <c r="J36" s="11">
        <f t="shared" ca="1" si="8"/>
        <v>157500</v>
      </c>
      <c r="K36" s="11">
        <f t="shared" ca="1" si="8"/>
        <v>157500</v>
      </c>
      <c r="L36" s="11">
        <f t="shared" ca="1" si="8"/>
        <v>157500</v>
      </c>
      <c r="M36" s="11">
        <f t="shared" ca="1" si="8"/>
        <v>157500</v>
      </c>
      <c r="N36" s="11">
        <f t="shared" ca="1" si="8"/>
        <v>157500</v>
      </c>
      <c r="O36" s="11">
        <f t="shared" ca="1" si="8"/>
        <v>157500</v>
      </c>
      <c r="P36" s="11">
        <f t="shared" ca="1" si="8"/>
        <v>168000</v>
      </c>
      <c r="Q36" s="11">
        <f t="shared" ca="1" si="8"/>
        <v>167999.99999999997</v>
      </c>
      <c r="R36" s="11">
        <f t="shared" ca="1" si="8"/>
        <v>168000</v>
      </c>
      <c r="S36" s="11">
        <f t="shared" ca="1" si="8"/>
        <v>168000</v>
      </c>
      <c r="T36" s="11">
        <f t="shared" ca="1" si="8"/>
        <v>168000</v>
      </c>
      <c r="U36" s="11">
        <f t="shared" ca="1" si="8"/>
        <v>167999.99999999997</v>
      </c>
      <c r="V36" s="11">
        <f t="shared" ca="1" si="8"/>
        <v>178500.00000000003</v>
      </c>
      <c r="W36" s="11">
        <f t="shared" ca="1" si="8"/>
        <v>178500.00000000006</v>
      </c>
      <c r="X36" s="11">
        <f t="shared" ca="1" si="8"/>
        <v>178500.00000000003</v>
      </c>
      <c r="Y36" s="11">
        <f t="shared" ca="1" si="8"/>
        <v>178500.00000000003</v>
      </c>
      <c r="Z36" s="11">
        <f t="shared" ca="1" si="8"/>
        <v>336000</v>
      </c>
      <c r="AA36" s="11">
        <f t="shared" ca="1" si="8"/>
        <v>336000</v>
      </c>
      <c r="AB36" s="11">
        <f t="shared" ca="1" si="8"/>
        <v>189000.00000000006</v>
      </c>
      <c r="AC36" s="11">
        <f t="shared" ca="1" si="8"/>
        <v>189000.00000000012</v>
      </c>
      <c r="AD36" s="11">
        <f t="shared" ca="1" si="8"/>
        <v>346500.00000000012</v>
      </c>
      <c r="AE36" s="11">
        <f t="shared" ca="1" si="8"/>
        <v>346500.00000000006</v>
      </c>
      <c r="AF36" s="11">
        <f t="shared" ca="1" si="8"/>
        <v>199500.00000000006</v>
      </c>
      <c r="AG36" s="11">
        <f t="shared" ca="1" si="8"/>
        <v>357000.00000000012</v>
      </c>
      <c r="AH36" s="11">
        <f t="shared" ca="1" si="8"/>
        <v>357000.00000000012</v>
      </c>
      <c r="AI36" s="11">
        <f t="shared" ca="1" si="8"/>
        <v>514500.00000000012</v>
      </c>
      <c r="AJ36" s="11">
        <f t="shared" ca="1" si="8"/>
        <v>367500.00000000012</v>
      </c>
      <c r="AK36" s="11">
        <f t="shared" ca="1" si="8"/>
        <v>367500.00000000012</v>
      </c>
      <c r="AL36" s="11">
        <f t="shared" ca="1" si="8"/>
        <v>525000.00000000012</v>
      </c>
      <c r="AM36" s="11">
        <f t="shared" ca="1" si="8"/>
        <v>378000.00000000006</v>
      </c>
      <c r="AN36" s="11">
        <f t="shared" ca="1" si="8"/>
        <v>378000.00000000012</v>
      </c>
      <c r="AO36" s="11">
        <f t="shared" ref="AO36:BT36" ca="1" si="9">IF(AO27=0,$F26,AO28+AO29+AO30-AO32+AO33+AO34+AO35-AO31)</f>
        <v>388500.00000000012</v>
      </c>
      <c r="AP36" s="11">
        <f t="shared" ca="1" si="9"/>
        <v>388500.00000000012</v>
      </c>
      <c r="AQ36" s="11">
        <f t="shared" ca="1" si="9"/>
        <v>546000.00000000012</v>
      </c>
      <c r="AR36" s="11">
        <f t="shared" ca="1" si="9"/>
        <v>399000.00000000017</v>
      </c>
      <c r="AS36" s="11">
        <f t="shared" ca="1" si="9"/>
        <v>556500.00000000023</v>
      </c>
      <c r="AT36" s="11">
        <f t="shared" ca="1" si="9"/>
        <v>714000.00000000023</v>
      </c>
      <c r="AU36" s="11">
        <f t="shared" ca="1" si="9"/>
        <v>567000.00000000023</v>
      </c>
      <c r="AV36" s="11">
        <f t="shared" ca="1" si="9"/>
        <v>724500.00000000023</v>
      </c>
      <c r="AW36" s="11">
        <f t="shared" ca="1" si="9"/>
        <v>735000.00000000035</v>
      </c>
      <c r="AX36" s="11">
        <f t="shared" ca="1" si="9"/>
        <v>735000.00000000023</v>
      </c>
      <c r="AY36" s="11">
        <f t="shared" ca="1" si="9"/>
        <v>745500.00000000023</v>
      </c>
      <c r="AZ36" s="11">
        <f t="shared" ca="1" si="9"/>
        <v>756000.00000000035</v>
      </c>
      <c r="BA36" s="11">
        <f t="shared" ca="1" si="9"/>
        <v>913500.00000000023</v>
      </c>
      <c r="BB36" s="11">
        <f t="shared" ca="1" si="9"/>
        <v>924000.00000000012</v>
      </c>
      <c r="BC36" s="11">
        <f t="shared" ca="1" si="9"/>
        <v>934500</v>
      </c>
      <c r="BD36" s="11">
        <f t="shared" ca="1" si="9"/>
        <v>1092000</v>
      </c>
      <c r="BE36" s="11">
        <f t="shared" ca="1" si="9"/>
        <v>1102500</v>
      </c>
      <c r="BF36" s="11">
        <f t="shared" ca="1" si="9"/>
        <v>1113000</v>
      </c>
      <c r="BG36" s="11">
        <f t="shared" ca="1" si="9"/>
        <v>1123500</v>
      </c>
      <c r="BH36" s="11">
        <f t="shared" ca="1" si="9"/>
        <v>1134000</v>
      </c>
      <c r="BI36" s="11">
        <f t="shared" ca="1" si="9"/>
        <v>1144500</v>
      </c>
      <c r="BJ36" s="11">
        <f t="shared" ca="1" si="9"/>
        <v>1155000</v>
      </c>
      <c r="BK36" s="11">
        <f t="shared" ca="1" si="9"/>
        <v>1165500.0000000002</v>
      </c>
      <c r="BL36" s="11">
        <f t="shared" ca="1" si="9"/>
        <v>1176000.0000000005</v>
      </c>
      <c r="BM36" s="11">
        <f t="shared" ca="1" si="9"/>
        <v>1186500.0000000007</v>
      </c>
      <c r="BN36" s="11">
        <f t="shared" ca="1" si="9"/>
        <v>1197000.0000000009</v>
      </c>
      <c r="BO36" s="11">
        <f t="shared" ca="1" si="9"/>
        <v>1207500.0000000009</v>
      </c>
      <c r="BP36" s="11">
        <f t="shared" ca="1" si="9"/>
        <v>1218000.0000000009</v>
      </c>
      <c r="BQ36" s="11">
        <f t="shared" ca="1" si="9"/>
        <v>1228500.0000000012</v>
      </c>
    </row>
    <row r="38" spans="1:69">
      <c r="B38" s="22" t="s">
        <v>296</v>
      </c>
    </row>
    <row r="39" spans="1:69" s="64" customFormat="1">
      <c r="A39" s="46"/>
      <c r="B39" s="46"/>
      <c r="C39" s="65"/>
      <c r="D39" s="63"/>
      <c r="E39" s="34" t="str">
        <f>InpC!E$50</f>
        <v>Opening Debtors</v>
      </c>
      <c r="F39" s="34">
        <f>InpC!F$50</f>
        <v>0</v>
      </c>
      <c r="G39" s="34" t="str">
        <f>InpC!G$50</f>
        <v>GBP</v>
      </c>
    </row>
    <row r="40" spans="1:69">
      <c r="A40" s="17"/>
      <c r="B40" s="17"/>
      <c r="C40" s="26"/>
      <c r="D40" s="27"/>
      <c r="E40" s="10" t="str">
        <f>Time!E$28</f>
        <v>Period number</v>
      </c>
      <c r="F40" s="10">
        <f>Time!F$28</f>
        <v>0</v>
      </c>
      <c r="G40" s="10" t="str">
        <f>Time!G$28</f>
        <v>Counter</v>
      </c>
      <c r="H40" s="10">
        <f>Time!H$28</f>
        <v>0</v>
      </c>
      <c r="I40" s="10">
        <f>Time!I$28</f>
        <v>0</v>
      </c>
      <c r="J40" s="10">
        <f>Time!J$28</f>
        <v>1</v>
      </c>
      <c r="K40" s="10">
        <f>Time!K$28</f>
        <v>2</v>
      </c>
      <c r="L40" s="10">
        <f>Time!L$28</f>
        <v>3</v>
      </c>
      <c r="M40" s="10">
        <f>Time!M$28</f>
        <v>4</v>
      </c>
      <c r="N40" s="10">
        <f>Time!N$28</f>
        <v>5</v>
      </c>
      <c r="O40" s="10">
        <f>Time!O$28</f>
        <v>6</v>
      </c>
      <c r="P40" s="10">
        <f>Time!P$28</f>
        <v>7</v>
      </c>
      <c r="Q40" s="10">
        <f>Time!Q$28</f>
        <v>8</v>
      </c>
      <c r="R40" s="10">
        <f>Time!R$28</f>
        <v>9</v>
      </c>
      <c r="S40" s="10">
        <f>Time!S$28</f>
        <v>10</v>
      </c>
      <c r="T40" s="10">
        <f>Time!T$28</f>
        <v>11</v>
      </c>
      <c r="U40" s="10">
        <f>Time!U$28</f>
        <v>12</v>
      </c>
      <c r="V40" s="10">
        <f>Time!V$28</f>
        <v>13</v>
      </c>
      <c r="W40" s="10">
        <f>Time!W$28</f>
        <v>14</v>
      </c>
      <c r="X40" s="10">
        <f>Time!X$28</f>
        <v>15</v>
      </c>
      <c r="Y40" s="10">
        <f>Time!Y$28</f>
        <v>16</v>
      </c>
      <c r="Z40" s="10">
        <f>Time!Z$28</f>
        <v>17</v>
      </c>
      <c r="AA40" s="10">
        <f>Time!AA$28</f>
        <v>18</v>
      </c>
      <c r="AB40" s="10">
        <f>Time!AB$28</f>
        <v>19</v>
      </c>
      <c r="AC40" s="10">
        <f>Time!AC$28</f>
        <v>20</v>
      </c>
      <c r="AD40" s="10">
        <f>Time!AD$28</f>
        <v>21</v>
      </c>
      <c r="AE40" s="10">
        <f>Time!AE$28</f>
        <v>22</v>
      </c>
      <c r="AF40" s="10">
        <f>Time!AF$28</f>
        <v>23</v>
      </c>
      <c r="AG40" s="10">
        <f>Time!AG$28</f>
        <v>24</v>
      </c>
      <c r="AH40" s="10">
        <f>Time!AH$28</f>
        <v>25</v>
      </c>
      <c r="AI40" s="10">
        <f>Time!AI$28</f>
        <v>26</v>
      </c>
      <c r="AJ40" s="10">
        <f>Time!AJ$28</f>
        <v>27</v>
      </c>
      <c r="AK40" s="10">
        <f>Time!AK$28</f>
        <v>28</v>
      </c>
      <c r="AL40" s="10">
        <f>Time!AL$28</f>
        <v>29</v>
      </c>
      <c r="AM40" s="10">
        <f>Time!AM$28</f>
        <v>30</v>
      </c>
      <c r="AN40" s="10">
        <f>Time!AN$28</f>
        <v>31</v>
      </c>
      <c r="AO40" s="10">
        <f>Time!AO$28</f>
        <v>32</v>
      </c>
      <c r="AP40" s="10">
        <f>Time!AP$28</f>
        <v>33</v>
      </c>
      <c r="AQ40" s="10">
        <f>Time!AQ$28</f>
        <v>34</v>
      </c>
      <c r="AR40" s="10">
        <f>Time!AR$28</f>
        <v>35</v>
      </c>
      <c r="AS40" s="10">
        <f>Time!AS$28</f>
        <v>36</v>
      </c>
      <c r="AT40" s="10">
        <f>Time!AT$28</f>
        <v>37</v>
      </c>
      <c r="AU40" s="10">
        <f>Time!AU$28</f>
        <v>38</v>
      </c>
      <c r="AV40" s="10">
        <f>Time!AV$28</f>
        <v>39</v>
      </c>
      <c r="AW40" s="10">
        <f>Time!AW$28</f>
        <v>40</v>
      </c>
      <c r="AX40" s="10">
        <f>Time!AX$28</f>
        <v>41</v>
      </c>
      <c r="AY40" s="10">
        <f>Time!AY$28</f>
        <v>42</v>
      </c>
      <c r="AZ40" s="10">
        <f>Time!AZ$28</f>
        <v>43</v>
      </c>
      <c r="BA40" s="10">
        <f>Time!BA$28</f>
        <v>44</v>
      </c>
      <c r="BB40" s="10">
        <f>Time!BB$28</f>
        <v>45</v>
      </c>
      <c r="BC40" s="10">
        <f>Time!BC$28</f>
        <v>46</v>
      </c>
      <c r="BD40" s="10">
        <f>Time!BD$28</f>
        <v>47</v>
      </c>
      <c r="BE40" s="10">
        <f>Time!BE$28</f>
        <v>48</v>
      </c>
      <c r="BF40" s="10">
        <f>Time!BF$28</f>
        <v>49</v>
      </c>
      <c r="BG40" s="10">
        <f>Time!BG$28</f>
        <v>50</v>
      </c>
      <c r="BH40" s="10">
        <f>Time!BH$28</f>
        <v>51</v>
      </c>
      <c r="BI40" s="10">
        <f>Time!BI$28</f>
        <v>52</v>
      </c>
      <c r="BJ40" s="10">
        <f>Time!BJ$28</f>
        <v>53</v>
      </c>
      <c r="BK40" s="10">
        <f>Time!BK$28</f>
        <v>54</v>
      </c>
      <c r="BL40" s="10">
        <f>Time!BL$28</f>
        <v>55</v>
      </c>
      <c r="BM40" s="10">
        <f>Time!BM$28</f>
        <v>56</v>
      </c>
      <c r="BN40" s="10">
        <f>Time!BN$28</f>
        <v>57</v>
      </c>
      <c r="BO40" s="10">
        <f>Time!BO$28</f>
        <v>58</v>
      </c>
      <c r="BP40" s="10">
        <f>Time!BP$28</f>
        <v>59</v>
      </c>
      <c r="BQ40" s="10">
        <f>Time!BQ$28</f>
        <v>60</v>
      </c>
    </row>
    <row r="41" spans="1:69" ht="14.5">
      <c r="E41" s="2" t="s">
        <v>64</v>
      </c>
      <c r="G41" s="2" t="s">
        <v>252</v>
      </c>
      <c r="I41"/>
      <c r="J41" s="2">
        <f t="shared" ref="J41:AO41" si="10">I45</f>
        <v>0</v>
      </c>
      <c r="K41" s="2">
        <f t="shared" ca="1" si="10"/>
        <v>0</v>
      </c>
      <c r="L41" s="2">
        <f t="shared" ca="1" si="10"/>
        <v>0</v>
      </c>
      <c r="M41" s="2">
        <f t="shared" ca="1" si="10"/>
        <v>0</v>
      </c>
      <c r="N41" s="2">
        <f t="shared" ca="1" si="10"/>
        <v>0</v>
      </c>
      <c r="O41" s="2">
        <f t="shared" ca="1" si="10"/>
        <v>0</v>
      </c>
      <c r="P41" s="2">
        <f t="shared" ca="1" si="10"/>
        <v>0</v>
      </c>
      <c r="Q41" s="2">
        <f t="shared" ca="1" si="10"/>
        <v>0</v>
      </c>
      <c r="R41" s="2">
        <f t="shared" ca="1" si="10"/>
        <v>2115007.122900594</v>
      </c>
      <c r="S41" s="2">
        <f t="shared" ca="1" si="10"/>
        <v>2493358.0823406102</v>
      </c>
      <c r="T41" s="2">
        <f t="shared" ca="1" si="10"/>
        <v>404992.87709940551</v>
      </c>
      <c r="U41" s="2">
        <f t="shared" ca="1" si="10"/>
        <v>26641.917659388972</v>
      </c>
      <c r="V41" s="2">
        <f t="shared" ca="1" si="10"/>
        <v>-3.8562575355172157E-10</v>
      </c>
      <c r="W41" s="2">
        <f t="shared" ca="1" si="10"/>
        <v>-3.8562575355172157E-10</v>
      </c>
      <c r="X41" s="2">
        <f t="shared" ca="1" si="10"/>
        <v>2229454.0798477088</v>
      </c>
      <c r="Y41" s="2">
        <f t="shared" ca="1" si="10"/>
        <v>2519999.9999999995</v>
      </c>
      <c r="Z41" s="2">
        <f t="shared" ca="1" si="10"/>
        <v>290545.92015229026</v>
      </c>
      <c r="AA41" s="2">
        <f t="shared" ca="1" si="10"/>
        <v>-6.9849193096160889E-10</v>
      </c>
      <c r="AB41" s="2">
        <f t="shared" ca="1" si="10"/>
        <v>-6.9849193096160889E-10</v>
      </c>
      <c r="AC41" s="2">
        <f t="shared" ca="1" si="10"/>
        <v>-6.9849193096160889E-10</v>
      </c>
      <c r="AD41" s="2">
        <f t="shared" ca="1" si="10"/>
        <v>4635007.1229005931</v>
      </c>
      <c r="AE41" s="2">
        <f t="shared" ca="1" si="10"/>
        <v>5013358.0823406093</v>
      </c>
      <c r="AF41" s="2">
        <f t="shared" ca="1" si="10"/>
        <v>404992.87709940411</v>
      </c>
      <c r="AG41" s="2">
        <f t="shared" ca="1" si="10"/>
        <v>26641.917659387575</v>
      </c>
      <c r="AH41" s="2">
        <f t="shared" ca="1" si="10"/>
        <v>2519999.9999999981</v>
      </c>
      <c r="AI41" s="2">
        <f t="shared" ca="1" si="10"/>
        <v>2519999.9999999981</v>
      </c>
      <c r="AJ41" s="2">
        <f t="shared" ca="1" si="10"/>
        <v>2733454.0798477074</v>
      </c>
      <c r="AK41" s="2">
        <f t="shared" ca="1" si="10"/>
        <v>3558561.242306177</v>
      </c>
      <c r="AL41" s="2">
        <f t="shared" ca="1" si="10"/>
        <v>3911007.1169477245</v>
      </c>
      <c r="AM41" s="2">
        <f t="shared" ca="1" si="10"/>
        <v>3686114.6026892285</v>
      </c>
      <c r="AN41" s="2">
        <f t="shared" ca="1" si="10"/>
        <v>1236824.7434224789</v>
      </c>
      <c r="AO41" s="2">
        <f t="shared" ca="1" si="10"/>
        <v>3830541.5279608979</v>
      </c>
      <c r="AP41" s="2">
        <f t="shared" ref="AP41:BQ41" ca="1" si="11">AO45</f>
        <v>6428728.3055832684</v>
      </c>
      <c r="AQ41" s="2">
        <f t="shared" ca="1" si="11"/>
        <v>6511498.7917249072</v>
      </c>
      <c r="AR41" s="2">
        <f t="shared" ca="1" si="11"/>
        <v>4079288.2637450681</v>
      </c>
      <c r="AS41" s="2">
        <f t="shared" ca="1" si="11"/>
        <v>1653839.4273432689</v>
      </c>
      <c r="AT41" s="2">
        <f t="shared" ca="1" si="11"/>
        <v>6789278.990363691</v>
      </c>
      <c r="AU41" s="2">
        <f t="shared" ca="1" si="11"/>
        <v>6890352.5676709171</v>
      </c>
      <c r="AV41" s="2">
        <f t="shared" ca="1" si="11"/>
        <v>2464326.659785456</v>
      </c>
      <c r="AW41" s="2">
        <f t="shared" ca="1" si="11"/>
        <v>5636611.7901749006</v>
      </c>
      <c r="AX41" s="2">
        <f t="shared" ca="1" si="11"/>
        <v>8343205.8439560272</v>
      </c>
      <c r="AY41" s="2">
        <f t="shared" ca="1" si="11"/>
        <v>8540089.662725646</v>
      </c>
      <c r="AZ41" s="2">
        <f t="shared" ca="1" si="11"/>
        <v>6232126.5960826166</v>
      </c>
      <c r="BA41" s="2">
        <f t="shared" ca="1" si="11"/>
        <v>8973167.8194266241</v>
      </c>
      <c r="BB41" s="2">
        <f t="shared" ca="1" si="11"/>
        <v>11727599.821156874</v>
      </c>
      <c r="BC41" s="2">
        <f t="shared" ca="1" si="11"/>
        <v>9455762.534555465</v>
      </c>
      <c r="BD41" s="2">
        <f t="shared" ca="1" si="11"/>
        <v>9719808.0652061068</v>
      </c>
      <c r="BE41" s="2">
        <f t="shared" ca="1" si="11"/>
        <v>10004207.559067499</v>
      </c>
      <c r="BF41" s="2">
        <f t="shared" ca="1" si="11"/>
        <v>10289934.178493176</v>
      </c>
      <c r="BG41" s="2">
        <f t="shared" ca="1" si="11"/>
        <v>10592822.481332425</v>
      </c>
      <c r="BH41" s="2">
        <f t="shared" ca="1" si="11"/>
        <v>11376862.731699504</v>
      </c>
      <c r="BI41" s="2">
        <f t="shared" ca="1" si="11"/>
        <v>14729513.827796381</v>
      </c>
      <c r="BJ41" s="2">
        <f t="shared" ca="1" si="11"/>
        <v>15157434.955571054</v>
      </c>
      <c r="BK41" s="2">
        <f t="shared" ca="1" si="11"/>
        <v>15610265.190345185</v>
      </c>
      <c r="BL41" s="2">
        <f t="shared" ca="1" si="11"/>
        <v>16097947.008953694</v>
      </c>
      <c r="BM41" s="2">
        <f t="shared" ca="1" si="11"/>
        <v>16606338.161918899</v>
      </c>
      <c r="BN41" s="2">
        <f t="shared" ca="1" si="11"/>
        <v>19665527.451723222</v>
      </c>
      <c r="BO41" s="2">
        <f t="shared" ca="1" si="11"/>
        <v>17716296.682993829</v>
      </c>
      <c r="BP41" s="2">
        <f t="shared" ca="1" si="11"/>
        <v>18323848.798657052</v>
      </c>
      <c r="BQ41" s="2">
        <f t="shared" ca="1" si="11"/>
        <v>21498215.75152944</v>
      </c>
    </row>
    <row r="42" spans="1:69">
      <c r="A42" s="17"/>
      <c r="B42" s="17"/>
      <c r="C42" s="26"/>
      <c r="D42" s="27" t="s">
        <v>216</v>
      </c>
      <c r="E42" s="4" t="str">
        <f>Income!E$12</f>
        <v>New Deferred Income from customer orders</v>
      </c>
      <c r="F42" s="4">
        <f>Income!F$12</f>
        <v>0</v>
      </c>
      <c r="G42" s="4" t="str">
        <f>Income!G$12</f>
        <v>GBP</v>
      </c>
      <c r="H42" s="4">
        <f ca="1">Income!H$12</f>
        <v>155676823.34106967</v>
      </c>
      <c r="I42" s="4">
        <f>Income!I$12</f>
        <v>0</v>
      </c>
      <c r="J42" s="4">
        <f ca="1">Income!J$12</f>
        <v>0</v>
      </c>
      <c r="K42" s="4">
        <f ca="1">Income!K$12</f>
        <v>0</v>
      </c>
      <c r="L42" s="4">
        <f ca="1">Income!L$12</f>
        <v>0</v>
      </c>
      <c r="M42" s="4">
        <f ca="1">Income!M$12</f>
        <v>0</v>
      </c>
      <c r="N42" s="4">
        <f ca="1">Income!N$12</f>
        <v>0</v>
      </c>
      <c r="O42" s="4">
        <f ca="1">Income!O$12</f>
        <v>0</v>
      </c>
      <c r="P42" s="4">
        <f ca="1">Income!P$12</f>
        <v>0</v>
      </c>
      <c r="Q42" s="4">
        <f ca="1">Income!Q$12</f>
        <v>1762505.9357504949</v>
      </c>
      <c r="R42" s="4">
        <f ca="1">Income!R$12</f>
        <v>315292.46620001376</v>
      </c>
      <c r="S42" s="4">
        <f ca="1">Income!S$12</f>
        <v>22201.598049491131</v>
      </c>
      <c r="T42" s="4">
        <f ca="1">Income!T$12</f>
        <v>0</v>
      </c>
      <c r="U42" s="4">
        <f ca="1">Income!U$12</f>
        <v>0</v>
      </c>
      <c r="V42" s="4">
        <f ca="1">Income!V$12</f>
        <v>0</v>
      </c>
      <c r="W42" s="4">
        <f ca="1">Income!W$12</f>
        <v>1857878.3998730909</v>
      </c>
      <c r="X42" s="4">
        <f ca="1">Income!X$12</f>
        <v>242121.60012690915</v>
      </c>
      <c r="Y42" s="4">
        <f ca="1">Income!Y$12</f>
        <v>0</v>
      </c>
      <c r="Z42" s="4">
        <f ca="1">Income!Z$12</f>
        <v>0</v>
      </c>
      <c r="AA42" s="4">
        <f ca="1">Income!AA$12</f>
        <v>0</v>
      </c>
      <c r="AB42" s="4">
        <f ca="1">Income!AB$12</f>
        <v>0</v>
      </c>
      <c r="AC42" s="4">
        <f ca="1">Income!AC$12</f>
        <v>3862505.9357504947</v>
      </c>
      <c r="AD42" s="4">
        <f ca="1">Income!AD$12</f>
        <v>315292.46620001376</v>
      </c>
      <c r="AE42" s="4">
        <f ca="1">Income!AE$12</f>
        <v>22201.598049491131</v>
      </c>
      <c r="AF42" s="4">
        <f ca="1">Income!AF$12</f>
        <v>0</v>
      </c>
      <c r="AG42" s="4">
        <f ca="1">Income!AG$12</f>
        <v>2100000</v>
      </c>
      <c r="AH42" s="4">
        <f ca="1">Income!AH$12</f>
        <v>0</v>
      </c>
      <c r="AI42" s="4">
        <f ca="1">Income!AI$12</f>
        <v>2277878.3998730909</v>
      </c>
      <c r="AJ42" s="4">
        <f ca="1">Income!AJ$12</f>
        <v>687589.30204872461</v>
      </c>
      <c r="AK42" s="4">
        <f ca="1">Income!AK$12</f>
        <v>2571583.2954077139</v>
      </c>
      <c r="AL42" s="4">
        <f ca="1">Income!AL$12</f>
        <v>500178.87349997833</v>
      </c>
      <c r="AM42" s="4">
        <f ca="1">Income!AM$12</f>
        <v>530508.41268542316</v>
      </c>
      <c r="AN42" s="4">
        <f ca="1">Income!AN$12</f>
        <v>2661609.5272819945</v>
      </c>
      <c r="AO42" s="4">
        <f ca="1">Income!AO$12</f>
        <v>2695664.060704065</v>
      </c>
      <c r="AP42" s="4">
        <f ca="1">Income!AP$12</f>
        <v>2730584.9324000278</v>
      </c>
      <c r="AQ42" s="4">
        <f ca="1">Income!AQ$12</f>
        <v>668821.95405419893</v>
      </c>
      <c r="AR42" s="4">
        <f ca="1">Income!AR$12</f>
        <v>709377.56873186189</v>
      </c>
      <c r="AS42" s="4">
        <f ca="1">Income!AS$12</f>
        <v>4948354.9232378844</v>
      </c>
      <c r="AT42" s="4">
        <f ca="1">Income!AT$12</f>
        <v>793605.54982121789</v>
      </c>
      <c r="AU42" s="4">
        <f ca="1">Income!AU$12</f>
        <v>1260000</v>
      </c>
      <c r="AV42" s="4">
        <f ca="1">Income!AV$12</f>
        <v>3437176.4918124224</v>
      </c>
      <c r="AW42" s="4">
        <f ca="1">Income!AW$12</f>
        <v>3515495.0448176051</v>
      </c>
      <c r="AX42" s="4">
        <f ca="1">Income!AX$12</f>
        <v>3601246.3407871048</v>
      </c>
      <c r="AY42" s="4">
        <f ca="1">Income!AY$12</f>
        <v>1592192.4892817482</v>
      </c>
      <c r="AZ42" s="4">
        <f ca="1">Income!AZ$12</f>
        <v>5885447.3602404445</v>
      </c>
      <c r="BA42" s="4">
        <f ca="1">Income!BA$12</f>
        <v>3887552.4907236225</v>
      </c>
      <c r="BB42" s="4">
        <f ca="1">Income!BB$12</f>
        <v>3992249.6214059377</v>
      </c>
      <c r="BC42" s="4">
        <f ca="1">Income!BC$12</f>
        <v>4107590.4329324914</v>
      </c>
      <c r="BD42" s="4">
        <f ca="1">Income!BD$12</f>
        <v>4229249.1996237636</v>
      </c>
      <c r="BE42" s="4">
        <f ca="1">Income!BE$12</f>
        <v>4345695.9491205551</v>
      </c>
      <c r="BF42" s="4">
        <f ca="1">Income!BF$12</f>
        <v>4481656.1186564714</v>
      </c>
      <c r="BG42" s="4">
        <f ca="1">Income!BG$12</f>
        <v>4999062.8244264536</v>
      </c>
      <c r="BH42" s="4">
        <f ca="1">Income!BH$12</f>
        <v>7275532.0320705371</v>
      </c>
      <c r="BI42" s="4">
        <f ca="1">Income!BI$12</f>
        <v>5355663.7642386807</v>
      </c>
      <c r="BJ42" s="4">
        <f ca="1">Income!BJ$12</f>
        <v>7652890.5610489771</v>
      </c>
      <c r="BK42" s="4">
        <f ca="1">Income!BK$12</f>
        <v>5762065.2797457725</v>
      </c>
      <c r="BL42" s="4">
        <f ca="1">Income!BL$12</f>
        <v>8076549.8551866487</v>
      </c>
      <c r="BM42" s="4">
        <f ca="1">Income!BM$12</f>
        <v>8311389.6879160414</v>
      </c>
      <c r="BN42" s="4">
        <f ca="1">Income!BN$12</f>
        <v>6452190.8812454883</v>
      </c>
      <c r="BO42" s="4">
        <f ca="1">Income!BO$12</f>
        <v>8817683.1176353954</v>
      </c>
      <c r="BP42" s="4">
        <f ca="1">Income!BP$12</f>
        <v>9097496.6753058098</v>
      </c>
      <c r="BQ42" s="4">
        <f ca="1">Income!BQ$12</f>
        <v>7264990.3231014879</v>
      </c>
    </row>
    <row r="43" spans="1:69">
      <c r="A43" s="17"/>
      <c r="B43" s="17"/>
      <c r="C43" s="26"/>
      <c r="D43" s="27" t="s">
        <v>216</v>
      </c>
      <c r="E43" s="4" t="str">
        <f>VAT!E$17</f>
        <v>Output VAT</v>
      </c>
      <c r="F43" s="4">
        <f>VAT!F$17</f>
        <v>0</v>
      </c>
      <c r="G43" s="4" t="str">
        <f>VAT!G$17</f>
        <v>GBP</v>
      </c>
      <c r="H43" s="4">
        <f ca="1">VAT!H$17</f>
        <v>31135364.66821393</v>
      </c>
      <c r="I43" s="4">
        <f>VAT!I$17</f>
        <v>0</v>
      </c>
      <c r="J43" s="4">
        <f ca="1">VAT!J$17</f>
        <v>0</v>
      </c>
      <c r="K43" s="4">
        <f ca="1">VAT!K$17</f>
        <v>0</v>
      </c>
      <c r="L43" s="4">
        <f ca="1">VAT!L$17</f>
        <v>0</v>
      </c>
      <c r="M43" s="4">
        <f ca="1">VAT!M$17</f>
        <v>0</v>
      </c>
      <c r="N43" s="4">
        <f ca="1">VAT!N$17</f>
        <v>0</v>
      </c>
      <c r="O43" s="4">
        <f ca="1">VAT!O$17</f>
        <v>0</v>
      </c>
      <c r="P43" s="4">
        <f ca="1">VAT!P$17</f>
        <v>0</v>
      </c>
      <c r="Q43" s="4">
        <f ca="1">VAT!Q$17</f>
        <v>352501.18715009902</v>
      </c>
      <c r="R43" s="4">
        <f ca="1">VAT!R$17</f>
        <v>63058.493240002754</v>
      </c>
      <c r="S43" s="4">
        <f ca="1">VAT!S$17</f>
        <v>4440.3196098982262</v>
      </c>
      <c r="T43" s="4">
        <f ca="1">VAT!T$17</f>
        <v>0</v>
      </c>
      <c r="U43" s="4">
        <f ca="1">VAT!U$17</f>
        <v>0</v>
      </c>
      <c r="V43" s="4">
        <f ca="1">VAT!V$17</f>
        <v>0</v>
      </c>
      <c r="W43" s="4">
        <f ca="1">VAT!W$17</f>
        <v>371575.67997461819</v>
      </c>
      <c r="X43" s="4">
        <f ca="1">VAT!X$17</f>
        <v>48424.320025381836</v>
      </c>
      <c r="Y43" s="4">
        <f ca="1">VAT!Y$17</f>
        <v>0</v>
      </c>
      <c r="Z43" s="4">
        <f ca="1">VAT!Z$17</f>
        <v>0</v>
      </c>
      <c r="AA43" s="4">
        <f ca="1">VAT!AA$17</f>
        <v>0</v>
      </c>
      <c r="AB43" s="4">
        <f ca="1">VAT!AB$17</f>
        <v>0</v>
      </c>
      <c r="AC43" s="4">
        <f ca="1">VAT!AC$17</f>
        <v>772501.18715009897</v>
      </c>
      <c r="AD43" s="4">
        <f ca="1">VAT!AD$17</f>
        <v>63058.493240002754</v>
      </c>
      <c r="AE43" s="4">
        <f ca="1">VAT!AE$17</f>
        <v>4440.3196098982262</v>
      </c>
      <c r="AF43" s="4">
        <f ca="1">VAT!AF$17</f>
        <v>0</v>
      </c>
      <c r="AG43" s="4">
        <f ca="1">VAT!AG$17</f>
        <v>420000</v>
      </c>
      <c r="AH43" s="4">
        <f ca="1">VAT!AH$17</f>
        <v>0</v>
      </c>
      <c r="AI43" s="4">
        <f ca="1">VAT!AI$17</f>
        <v>455575.67997461819</v>
      </c>
      <c r="AJ43" s="4">
        <f ca="1">VAT!AJ$17</f>
        <v>137517.86040974493</v>
      </c>
      <c r="AK43" s="4">
        <f ca="1">VAT!AK$17</f>
        <v>514316.65908154281</v>
      </c>
      <c r="AL43" s="4">
        <f ca="1">VAT!AL$17</f>
        <v>100035.77469999567</v>
      </c>
      <c r="AM43" s="4">
        <f ca="1">VAT!AM$17</f>
        <v>106101.68253708463</v>
      </c>
      <c r="AN43" s="4">
        <f ca="1">VAT!AN$17</f>
        <v>532321.90545639896</v>
      </c>
      <c r="AO43" s="4">
        <f ca="1">VAT!AO$17</f>
        <v>539132.81214081298</v>
      </c>
      <c r="AP43" s="4">
        <f ca="1">VAT!AP$17</f>
        <v>546116.98648000555</v>
      </c>
      <c r="AQ43" s="4">
        <f ca="1">VAT!AQ$17</f>
        <v>133764.3908108398</v>
      </c>
      <c r="AR43" s="4">
        <f ca="1">VAT!AR$17</f>
        <v>141875.51374637239</v>
      </c>
      <c r="AS43" s="4">
        <f ca="1">VAT!AS$17</f>
        <v>989670.98464757693</v>
      </c>
      <c r="AT43" s="4">
        <f ca="1">VAT!AT$17</f>
        <v>158721.1099642436</v>
      </c>
      <c r="AU43" s="4">
        <f ca="1">VAT!AU$17</f>
        <v>252000</v>
      </c>
      <c r="AV43" s="4">
        <f ca="1">VAT!AV$17</f>
        <v>687435.29836248455</v>
      </c>
      <c r="AW43" s="4">
        <f ca="1">VAT!AW$17</f>
        <v>703099.0089635211</v>
      </c>
      <c r="AX43" s="4">
        <f ca="1">VAT!AX$17</f>
        <v>720249.26815742103</v>
      </c>
      <c r="AY43" s="4">
        <f ca="1">VAT!AY$17</f>
        <v>318438.49785634968</v>
      </c>
      <c r="AZ43" s="4">
        <f ca="1">VAT!AZ$17</f>
        <v>1177089.4720480889</v>
      </c>
      <c r="BA43" s="4">
        <f ca="1">VAT!BA$17</f>
        <v>777510.49814472452</v>
      </c>
      <c r="BB43" s="4">
        <f ca="1">VAT!BB$17</f>
        <v>798449.92428118759</v>
      </c>
      <c r="BC43" s="4">
        <f ca="1">VAT!BC$17</f>
        <v>821518.08658649831</v>
      </c>
      <c r="BD43" s="4">
        <f ca="1">VAT!BD$17</f>
        <v>845849.83992475271</v>
      </c>
      <c r="BE43" s="4">
        <f ca="1">VAT!BE$17</f>
        <v>869139.18982411106</v>
      </c>
      <c r="BF43" s="4">
        <f ca="1">VAT!BF$17</f>
        <v>896331.22373129427</v>
      </c>
      <c r="BG43" s="4">
        <f ca="1">VAT!BG$17</f>
        <v>999812.56488529081</v>
      </c>
      <c r="BH43" s="4">
        <f ca="1">VAT!BH$17</f>
        <v>1455106.4064141074</v>
      </c>
      <c r="BI43" s="4">
        <f ca="1">VAT!BI$17</f>
        <v>1071132.7528477362</v>
      </c>
      <c r="BJ43" s="4">
        <f ca="1">VAT!BJ$17</f>
        <v>1530578.1122097955</v>
      </c>
      <c r="BK43" s="4">
        <f ca="1">VAT!BK$17</f>
        <v>1152413.0559491545</v>
      </c>
      <c r="BL43" s="4">
        <f ca="1">VAT!BL$17</f>
        <v>1615309.9710373299</v>
      </c>
      <c r="BM43" s="4">
        <f ca="1">VAT!BM$17</f>
        <v>1662277.9375832083</v>
      </c>
      <c r="BN43" s="4">
        <f ca="1">VAT!BN$17</f>
        <v>1290438.1762490978</v>
      </c>
      <c r="BO43" s="4">
        <f ca="1">VAT!BO$17</f>
        <v>1763536.6235270791</v>
      </c>
      <c r="BP43" s="4">
        <f ca="1">VAT!BP$17</f>
        <v>1819499.335061162</v>
      </c>
      <c r="BQ43" s="4">
        <f ca="1">VAT!BQ$17</f>
        <v>1452998.0646202976</v>
      </c>
    </row>
    <row r="44" spans="1:69">
      <c r="D44" s="66" t="s">
        <v>293</v>
      </c>
      <c r="E44" s="2" t="str">
        <f t="shared" ref="E44:AJ44" si="12">E$22</f>
        <v>Cash in from Sales</v>
      </c>
      <c r="F44" s="2">
        <f t="shared" si="12"/>
        <v>0</v>
      </c>
      <c r="G44" s="2" t="str">
        <f t="shared" si="12"/>
        <v>GBP</v>
      </c>
      <c r="H44" s="2">
        <f t="shared" ca="1" si="12"/>
        <v>167177203.61119482</v>
      </c>
      <c r="I44" s="2">
        <f t="shared" si="12"/>
        <v>0</v>
      </c>
      <c r="J44" s="2">
        <f t="shared" ca="1" si="12"/>
        <v>0</v>
      </c>
      <c r="K44" s="2">
        <f t="shared" ca="1" si="12"/>
        <v>0</v>
      </c>
      <c r="L44" s="2">
        <f t="shared" ca="1" si="12"/>
        <v>0</v>
      </c>
      <c r="M44" s="2">
        <f t="shared" ca="1" si="12"/>
        <v>0</v>
      </c>
      <c r="N44" s="2">
        <f t="shared" ca="1" si="12"/>
        <v>0</v>
      </c>
      <c r="O44" s="2">
        <f t="shared" ca="1" si="12"/>
        <v>0</v>
      </c>
      <c r="P44" s="2">
        <f t="shared" ca="1" si="12"/>
        <v>0</v>
      </c>
      <c r="Q44" s="2">
        <f t="shared" ca="1" si="12"/>
        <v>0</v>
      </c>
      <c r="R44" s="2">
        <f t="shared" ca="1" si="12"/>
        <v>0</v>
      </c>
      <c r="S44" s="2">
        <f t="shared" ca="1" si="12"/>
        <v>2115007.122900594</v>
      </c>
      <c r="T44" s="2">
        <f t="shared" ca="1" si="12"/>
        <v>378350.95944001654</v>
      </c>
      <c r="U44" s="2">
        <f t="shared" ca="1" si="12"/>
        <v>26641.917659389357</v>
      </c>
      <c r="V44" s="2">
        <f t="shared" ca="1" si="12"/>
        <v>0</v>
      </c>
      <c r="W44" s="2">
        <f t="shared" ca="1" si="12"/>
        <v>0</v>
      </c>
      <c r="X44" s="2">
        <f t="shared" ca="1" si="12"/>
        <v>0</v>
      </c>
      <c r="Y44" s="2">
        <f t="shared" ca="1" si="12"/>
        <v>2229454.0798477093</v>
      </c>
      <c r="Z44" s="2">
        <f t="shared" ca="1" si="12"/>
        <v>290545.92015229096</v>
      </c>
      <c r="AA44" s="2">
        <f t="shared" ca="1" si="12"/>
        <v>0</v>
      </c>
      <c r="AB44" s="2">
        <f t="shared" ca="1" si="12"/>
        <v>0</v>
      </c>
      <c r="AC44" s="2">
        <f t="shared" ca="1" si="12"/>
        <v>0</v>
      </c>
      <c r="AD44" s="2">
        <f t="shared" ca="1" si="12"/>
        <v>0</v>
      </c>
      <c r="AE44" s="2">
        <f t="shared" ca="1" si="12"/>
        <v>4635007.122900594</v>
      </c>
      <c r="AF44" s="2">
        <f t="shared" ca="1" si="12"/>
        <v>378350.95944001654</v>
      </c>
      <c r="AG44" s="2">
        <f t="shared" ca="1" si="12"/>
        <v>26641.917659389357</v>
      </c>
      <c r="AH44" s="2">
        <f t="shared" ca="1" si="12"/>
        <v>0</v>
      </c>
      <c r="AI44" s="2">
        <f t="shared" ca="1" si="12"/>
        <v>2520000</v>
      </c>
      <c r="AJ44" s="2">
        <f t="shared" ca="1" si="12"/>
        <v>0</v>
      </c>
      <c r="AK44" s="2">
        <f t="shared" ref="AK44:BQ44" ca="1" si="13">AK$22</f>
        <v>2733454.0798477093</v>
      </c>
      <c r="AL44" s="2">
        <f t="shared" ca="1" si="13"/>
        <v>825107.16245846951</v>
      </c>
      <c r="AM44" s="2">
        <f t="shared" ca="1" si="13"/>
        <v>3085899.9544892567</v>
      </c>
      <c r="AN44" s="2">
        <f t="shared" ca="1" si="13"/>
        <v>600214.64819997398</v>
      </c>
      <c r="AO44" s="2">
        <f t="shared" ca="1" si="13"/>
        <v>636610.09522250784</v>
      </c>
      <c r="AP44" s="2">
        <f t="shared" ca="1" si="13"/>
        <v>3193931.4327383935</v>
      </c>
      <c r="AQ44" s="2">
        <f t="shared" ca="1" si="13"/>
        <v>3234796.8728448781</v>
      </c>
      <c r="AR44" s="2">
        <f t="shared" ca="1" si="13"/>
        <v>3276701.9188800333</v>
      </c>
      <c r="AS44" s="2">
        <f t="shared" ca="1" si="13"/>
        <v>802586.34486503876</v>
      </c>
      <c r="AT44" s="2">
        <f t="shared" ca="1" si="13"/>
        <v>851253.08247823431</v>
      </c>
      <c r="AU44" s="2">
        <f t="shared" ca="1" si="13"/>
        <v>5938025.9078854611</v>
      </c>
      <c r="AV44" s="2">
        <f t="shared" ca="1" si="13"/>
        <v>952326.6597854615</v>
      </c>
      <c r="AW44" s="2">
        <f t="shared" ca="1" si="13"/>
        <v>1512000</v>
      </c>
      <c r="AX44" s="2">
        <f t="shared" ca="1" si="13"/>
        <v>4124611.7901749071</v>
      </c>
      <c r="AY44" s="2">
        <f t="shared" ca="1" si="13"/>
        <v>4218594.0537811257</v>
      </c>
      <c r="AZ44" s="2">
        <f t="shared" ca="1" si="13"/>
        <v>4321495.6089445259</v>
      </c>
      <c r="BA44" s="2">
        <f t="shared" ca="1" si="13"/>
        <v>1910630.9871380979</v>
      </c>
      <c r="BB44" s="2">
        <f t="shared" ca="1" si="13"/>
        <v>7062536.8322885334</v>
      </c>
      <c r="BC44" s="2">
        <f t="shared" ca="1" si="13"/>
        <v>4665062.9888683474</v>
      </c>
      <c r="BD44" s="2">
        <f t="shared" ca="1" si="13"/>
        <v>4790699.5456871251</v>
      </c>
      <c r="BE44" s="2">
        <f t="shared" ca="1" si="13"/>
        <v>4929108.5195189901</v>
      </c>
      <c r="BF44" s="2">
        <f t="shared" ca="1" si="13"/>
        <v>5075099.0395485163</v>
      </c>
      <c r="BG44" s="2">
        <f t="shared" ca="1" si="13"/>
        <v>5214835.1389446659</v>
      </c>
      <c r="BH44" s="2">
        <f t="shared" ca="1" si="13"/>
        <v>5377987.3423877656</v>
      </c>
      <c r="BI44" s="2">
        <f t="shared" ca="1" si="13"/>
        <v>5998875.3893117439</v>
      </c>
      <c r="BJ44" s="2">
        <f t="shared" ca="1" si="13"/>
        <v>8730638.4384846445</v>
      </c>
      <c r="BK44" s="2">
        <f t="shared" ca="1" si="13"/>
        <v>6426796.5170864165</v>
      </c>
      <c r="BL44" s="2">
        <f t="shared" ca="1" si="13"/>
        <v>9183468.6732587721</v>
      </c>
      <c r="BM44" s="2">
        <f t="shared" ca="1" si="13"/>
        <v>6914478.3356949268</v>
      </c>
      <c r="BN44" s="2">
        <f t="shared" ca="1" si="13"/>
        <v>9691859.8262239788</v>
      </c>
      <c r="BO44" s="2">
        <f t="shared" ca="1" si="13"/>
        <v>9973667.6254992504</v>
      </c>
      <c r="BP44" s="2">
        <f t="shared" ca="1" si="13"/>
        <v>7742629.0574945863</v>
      </c>
      <c r="BQ44" s="2">
        <f t="shared" ca="1" si="13"/>
        <v>10581219.741162475</v>
      </c>
    </row>
    <row r="45" spans="1:69" s="32" customFormat="1">
      <c r="A45" s="48"/>
      <c r="B45" s="48"/>
      <c r="C45" s="68"/>
      <c r="D45" s="69"/>
      <c r="E45" s="11" t="s">
        <v>296</v>
      </c>
      <c r="F45" s="11"/>
      <c r="G45" s="11" t="s">
        <v>252</v>
      </c>
      <c r="H45" s="11"/>
      <c r="I45" s="11">
        <f t="shared" ref="I45:AN45" si="14">IF(I40=0,$F39,I41+I42+I43-I44)</f>
        <v>0</v>
      </c>
      <c r="J45" s="11">
        <f t="shared" ca="1" si="14"/>
        <v>0</v>
      </c>
      <c r="K45" s="11">
        <f t="shared" ca="1" si="14"/>
        <v>0</v>
      </c>
      <c r="L45" s="11">
        <f t="shared" ca="1" si="14"/>
        <v>0</v>
      </c>
      <c r="M45" s="11">
        <f t="shared" ca="1" si="14"/>
        <v>0</v>
      </c>
      <c r="N45" s="11">
        <f t="shared" ca="1" si="14"/>
        <v>0</v>
      </c>
      <c r="O45" s="11">
        <f t="shared" ca="1" si="14"/>
        <v>0</v>
      </c>
      <c r="P45" s="11">
        <f t="shared" ca="1" si="14"/>
        <v>0</v>
      </c>
      <c r="Q45" s="11">
        <f t="shared" ca="1" si="14"/>
        <v>2115007.122900594</v>
      </c>
      <c r="R45" s="11">
        <f t="shared" ca="1" si="14"/>
        <v>2493358.0823406102</v>
      </c>
      <c r="S45" s="11">
        <f t="shared" ca="1" si="14"/>
        <v>404992.87709940551</v>
      </c>
      <c r="T45" s="11">
        <f t="shared" ca="1" si="14"/>
        <v>26641.917659388972</v>
      </c>
      <c r="U45" s="11">
        <f t="shared" ca="1" si="14"/>
        <v>-3.8562575355172157E-10</v>
      </c>
      <c r="V45" s="11">
        <f t="shared" ca="1" si="14"/>
        <v>-3.8562575355172157E-10</v>
      </c>
      <c r="W45" s="11">
        <f t="shared" ca="1" si="14"/>
        <v>2229454.0798477088</v>
      </c>
      <c r="X45" s="11">
        <f t="shared" ca="1" si="14"/>
        <v>2519999.9999999995</v>
      </c>
      <c r="Y45" s="11">
        <f t="shared" ca="1" si="14"/>
        <v>290545.92015229026</v>
      </c>
      <c r="Z45" s="11">
        <f t="shared" ca="1" si="14"/>
        <v>-6.9849193096160889E-10</v>
      </c>
      <c r="AA45" s="11">
        <f t="shared" ca="1" si="14"/>
        <v>-6.9849193096160889E-10</v>
      </c>
      <c r="AB45" s="11">
        <f t="shared" ca="1" si="14"/>
        <v>-6.9849193096160889E-10</v>
      </c>
      <c r="AC45" s="11">
        <f t="shared" ca="1" si="14"/>
        <v>4635007.1229005931</v>
      </c>
      <c r="AD45" s="11">
        <f t="shared" ca="1" si="14"/>
        <v>5013358.0823406093</v>
      </c>
      <c r="AE45" s="11">
        <f t="shared" ca="1" si="14"/>
        <v>404992.87709940411</v>
      </c>
      <c r="AF45" s="11">
        <f t="shared" ca="1" si="14"/>
        <v>26641.917659387575</v>
      </c>
      <c r="AG45" s="11">
        <f t="shared" ca="1" si="14"/>
        <v>2519999.9999999981</v>
      </c>
      <c r="AH45" s="11">
        <f t="shared" ca="1" si="14"/>
        <v>2519999.9999999981</v>
      </c>
      <c r="AI45" s="11">
        <f t="shared" ca="1" si="14"/>
        <v>2733454.0798477074</v>
      </c>
      <c r="AJ45" s="11">
        <f t="shared" ca="1" si="14"/>
        <v>3558561.242306177</v>
      </c>
      <c r="AK45" s="11">
        <f t="shared" ca="1" si="14"/>
        <v>3911007.1169477245</v>
      </c>
      <c r="AL45" s="11">
        <f t="shared" ca="1" si="14"/>
        <v>3686114.6026892285</v>
      </c>
      <c r="AM45" s="11">
        <f t="shared" ca="1" si="14"/>
        <v>1236824.7434224789</v>
      </c>
      <c r="AN45" s="11">
        <f t="shared" ca="1" si="14"/>
        <v>3830541.5279608979</v>
      </c>
      <c r="AO45" s="11">
        <f t="shared" ref="AO45:BT45" ca="1" si="15">IF(AO40=0,$F39,AO41+AO42+AO43-AO44)</f>
        <v>6428728.3055832684</v>
      </c>
      <c r="AP45" s="11">
        <f t="shared" ca="1" si="15"/>
        <v>6511498.7917249072</v>
      </c>
      <c r="AQ45" s="11">
        <f t="shared" ca="1" si="15"/>
        <v>4079288.2637450681</v>
      </c>
      <c r="AR45" s="11">
        <f t="shared" ca="1" si="15"/>
        <v>1653839.4273432689</v>
      </c>
      <c r="AS45" s="11">
        <f t="shared" ca="1" si="15"/>
        <v>6789278.990363691</v>
      </c>
      <c r="AT45" s="11">
        <f t="shared" ca="1" si="15"/>
        <v>6890352.5676709171</v>
      </c>
      <c r="AU45" s="11">
        <f t="shared" ca="1" si="15"/>
        <v>2464326.659785456</v>
      </c>
      <c r="AV45" s="11">
        <f t="shared" ca="1" si="15"/>
        <v>5636611.7901749006</v>
      </c>
      <c r="AW45" s="11">
        <f t="shared" ca="1" si="15"/>
        <v>8343205.8439560272</v>
      </c>
      <c r="AX45" s="11">
        <f t="shared" ca="1" si="15"/>
        <v>8540089.662725646</v>
      </c>
      <c r="AY45" s="11">
        <f t="shared" ca="1" si="15"/>
        <v>6232126.5960826166</v>
      </c>
      <c r="AZ45" s="11">
        <f t="shared" ca="1" si="15"/>
        <v>8973167.8194266241</v>
      </c>
      <c r="BA45" s="11">
        <f t="shared" ca="1" si="15"/>
        <v>11727599.821156874</v>
      </c>
      <c r="BB45" s="11">
        <f t="shared" ca="1" si="15"/>
        <v>9455762.534555465</v>
      </c>
      <c r="BC45" s="11">
        <f t="shared" ca="1" si="15"/>
        <v>9719808.0652061068</v>
      </c>
      <c r="BD45" s="11">
        <f t="shared" ca="1" si="15"/>
        <v>10004207.559067499</v>
      </c>
      <c r="BE45" s="11">
        <f t="shared" ca="1" si="15"/>
        <v>10289934.178493176</v>
      </c>
      <c r="BF45" s="11">
        <f t="shared" ca="1" si="15"/>
        <v>10592822.481332425</v>
      </c>
      <c r="BG45" s="11">
        <f t="shared" ca="1" si="15"/>
        <v>11376862.731699504</v>
      </c>
      <c r="BH45" s="11">
        <f t="shared" ca="1" si="15"/>
        <v>14729513.827796381</v>
      </c>
      <c r="BI45" s="11">
        <f t="shared" ca="1" si="15"/>
        <v>15157434.955571054</v>
      </c>
      <c r="BJ45" s="11">
        <f t="shared" ca="1" si="15"/>
        <v>15610265.190345185</v>
      </c>
      <c r="BK45" s="11">
        <f t="shared" ca="1" si="15"/>
        <v>16097947.008953694</v>
      </c>
      <c r="BL45" s="11">
        <f t="shared" ca="1" si="15"/>
        <v>16606338.161918899</v>
      </c>
      <c r="BM45" s="11">
        <f t="shared" ca="1" si="15"/>
        <v>19665527.451723222</v>
      </c>
      <c r="BN45" s="11">
        <f t="shared" ca="1" si="15"/>
        <v>17716296.682993829</v>
      </c>
      <c r="BO45" s="11">
        <f t="shared" ca="1" si="15"/>
        <v>18323848.798657052</v>
      </c>
      <c r="BP45" s="11">
        <f t="shared" ca="1" si="15"/>
        <v>21498215.75152944</v>
      </c>
      <c r="BQ45" s="11">
        <f t="shared" ca="1" si="15"/>
        <v>19634984.398088749</v>
      </c>
    </row>
    <row r="47" spans="1:69">
      <c r="B47" s="22" t="s">
        <v>110</v>
      </c>
    </row>
    <row r="48" spans="1:69">
      <c r="A48" s="17"/>
      <c r="B48" s="17"/>
      <c r="C48" s="26"/>
      <c r="D48" s="27"/>
      <c r="E48" s="4" t="str">
        <f>Expense!E$19</f>
        <v>Fixed operating expense POS</v>
      </c>
      <c r="F48" s="4">
        <f>Expense!F$19</f>
        <v>0</v>
      </c>
      <c r="G48" s="4" t="str">
        <f>Expense!G$19</f>
        <v>GBP</v>
      </c>
      <c r="H48" s="4">
        <f>Expense!H$19</f>
        <v>1899484.1637263105</v>
      </c>
      <c r="I48" s="4">
        <f>Expense!I$19</f>
        <v>0</v>
      </c>
      <c r="J48" s="4">
        <f>Expense!J$19</f>
        <v>25000</v>
      </c>
      <c r="K48" s="4">
        <f>Expense!K$19</f>
        <v>25000</v>
      </c>
      <c r="L48" s="4">
        <f>Expense!L$19</f>
        <v>25000</v>
      </c>
      <c r="M48" s="4">
        <f>Expense!M$19</f>
        <v>25607.856851345517</v>
      </c>
      <c r="N48" s="4">
        <f>Expense!N$19</f>
        <v>25607.856851345517</v>
      </c>
      <c r="O48" s="4">
        <f>Expense!O$19</f>
        <v>25607.856851345517</v>
      </c>
      <c r="P48" s="4">
        <f>Expense!P$19</f>
        <v>26230.493300760143</v>
      </c>
      <c r="Q48" s="4">
        <f>Expense!Q$19</f>
        <v>26230.493300760143</v>
      </c>
      <c r="R48" s="4">
        <f>Expense!R$19</f>
        <v>26230.493300760143</v>
      </c>
      <c r="S48" s="4">
        <f>Expense!S$19</f>
        <v>26868.268703441732</v>
      </c>
      <c r="T48" s="4">
        <f>Expense!T$19</f>
        <v>26868.268703441732</v>
      </c>
      <c r="U48" s="4">
        <f>Expense!U$19</f>
        <v>26868.268703441732</v>
      </c>
      <c r="V48" s="4">
        <f>Expense!V$19</f>
        <v>27500.000000000004</v>
      </c>
      <c r="W48" s="4">
        <f>Expense!W$19</f>
        <v>27500.000000000004</v>
      </c>
      <c r="X48" s="4">
        <f>Expense!X$19</f>
        <v>27500.000000000004</v>
      </c>
      <c r="Y48" s="4">
        <f>Expense!Y$19</f>
        <v>28171.389663808775</v>
      </c>
      <c r="Z48" s="4">
        <f>Expense!Z$19</f>
        <v>28171.389663808775</v>
      </c>
      <c r="AA48" s="4">
        <f>Expense!AA$19</f>
        <v>28171.389663808775</v>
      </c>
      <c r="AB48" s="4">
        <f>Expense!AB$19</f>
        <v>28855.408240598044</v>
      </c>
      <c r="AC48" s="4">
        <f>Expense!AC$19</f>
        <v>28855.408240598044</v>
      </c>
      <c r="AD48" s="4">
        <f>Expense!AD$19</f>
        <v>28855.408240598044</v>
      </c>
      <c r="AE48" s="4">
        <f>Expense!AE$19</f>
        <v>29558.292610174307</v>
      </c>
      <c r="AF48" s="4">
        <f>Expense!AF$19</f>
        <v>29558.292610174307</v>
      </c>
      <c r="AG48" s="4">
        <f>Expense!AG$19</f>
        <v>29558.292610174307</v>
      </c>
      <c r="AH48" s="4">
        <f>Expense!AH$19</f>
        <v>30252.630710131383</v>
      </c>
      <c r="AI48" s="4">
        <f>Expense!AI$19</f>
        <v>30252.630710131383</v>
      </c>
      <c r="AJ48" s="4">
        <f>Expense!AJ$19</f>
        <v>30252.630710131383</v>
      </c>
      <c r="AK48" s="4">
        <f>Expense!AK$19</f>
        <v>30987.522236491855</v>
      </c>
      <c r="AL48" s="4">
        <f>Expense!AL$19</f>
        <v>30987.522236491855</v>
      </c>
      <c r="AM48" s="4">
        <f>Expense!AM$19</f>
        <v>30987.522236491855</v>
      </c>
      <c r="AN48" s="4">
        <f>Expense!AN$19</f>
        <v>31740.265617148605</v>
      </c>
      <c r="AO48" s="4">
        <f>Expense!AO$19</f>
        <v>31740.265617148605</v>
      </c>
      <c r="AP48" s="4">
        <f>Expense!AP$19</f>
        <v>31740.265617148605</v>
      </c>
      <c r="AQ48" s="4">
        <f>Expense!AQ$19</f>
        <v>32513.243252308428</v>
      </c>
      <c r="AR48" s="4">
        <f>Expense!AR$19</f>
        <v>32513.243252308428</v>
      </c>
      <c r="AS48" s="4">
        <f>Expense!AS$19</f>
        <v>32513.243252308428</v>
      </c>
      <c r="AT48" s="4">
        <f>Expense!AT$19</f>
        <v>33277.170807448252</v>
      </c>
      <c r="AU48" s="4">
        <f>Expense!AU$19</f>
        <v>33277.170807448252</v>
      </c>
      <c r="AV48" s="4">
        <f>Expense!AV$19</f>
        <v>33277.170807448252</v>
      </c>
      <c r="AW48" s="4">
        <f>Expense!AW$19</f>
        <v>34085.720578240354</v>
      </c>
      <c r="AX48" s="4">
        <f>Expense!AX$19</f>
        <v>34085.720578240354</v>
      </c>
      <c r="AY48" s="4">
        <f>Expense!AY$19</f>
        <v>34085.720578240354</v>
      </c>
      <c r="AZ48" s="4">
        <f>Expense!AZ$19</f>
        <v>34913.916031522422</v>
      </c>
      <c r="BA48" s="4">
        <f>Expense!BA$19</f>
        <v>34913.916031522422</v>
      </c>
      <c r="BB48" s="4">
        <f>Expense!BB$19</f>
        <v>34913.916031522422</v>
      </c>
      <c r="BC48" s="4">
        <f>Expense!BC$19</f>
        <v>35763.987489903346</v>
      </c>
      <c r="BD48" s="4">
        <f>Expense!BD$19</f>
        <v>35763.987489903346</v>
      </c>
      <c r="BE48" s="4">
        <f>Expense!BE$19</f>
        <v>35763.987489903346</v>
      </c>
      <c r="BF48" s="4">
        <f>Expense!BF$19</f>
        <v>36604.410559640419</v>
      </c>
      <c r="BG48" s="4">
        <f>Expense!BG$19</f>
        <v>36604.410559640419</v>
      </c>
      <c r="BH48" s="4">
        <f>Expense!BH$19</f>
        <v>36604.410559640419</v>
      </c>
      <c r="BI48" s="4">
        <f>Expense!BI$19</f>
        <v>37493.926945298947</v>
      </c>
      <c r="BJ48" s="4">
        <f>Expense!BJ$19</f>
        <v>37493.926945298947</v>
      </c>
      <c r="BK48" s="4">
        <f>Expense!BK$19</f>
        <v>37493.926945298947</v>
      </c>
      <c r="BL48" s="4">
        <f>Expense!BL$19</f>
        <v>38405.059288932411</v>
      </c>
      <c r="BM48" s="4">
        <f>Expense!BM$19</f>
        <v>38405.059288932411</v>
      </c>
      <c r="BN48" s="4">
        <f>Expense!BN$19</f>
        <v>38405.059288932411</v>
      </c>
      <c r="BO48" s="4">
        <f>Expense!BO$19</f>
        <v>39331.82502157487</v>
      </c>
      <c r="BP48" s="4">
        <f>Expense!BP$19</f>
        <v>39331.82502157487</v>
      </c>
      <c r="BQ48" s="4">
        <f>Expense!BQ$19</f>
        <v>39331.82502157487</v>
      </c>
    </row>
    <row r="49" spans="1:69">
      <c r="A49" s="17"/>
      <c r="B49" s="17"/>
      <c r="C49" s="26"/>
      <c r="D49" s="27"/>
      <c r="E49" s="4" t="str">
        <f>Expense!E$26</f>
        <v>Variable Operating expense POS</v>
      </c>
      <c r="F49" s="4">
        <f>Expense!F$26</f>
        <v>0</v>
      </c>
      <c r="G49" s="4" t="str">
        <f>Expense!G$26</f>
        <v>GBP</v>
      </c>
      <c r="H49" s="4">
        <f ca="1">Expense!H$26</f>
        <v>13199424.859496675</v>
      </c>
      <c r="I49" s="4">
        <f>Expense!I$26</f>
        <v>0</v>
      </c>
      <c r="J49" s="4">
        <f ca="1">Expense!J$26</f>
        <v>21000</v>
      </c>
      <c r="K49" s="4">
        <f ca="1">Expense!K$26</f>
        <v>22273.385096090773</v>
      </c>
      <c r="L49" s="4">
        <f ca="1">Expense!L$26</f>
        <v>23579.164770385694</v>
      </c>
      <c r="M49" s="4">
        <f ca="1">Expense!M$26</f>
        <v>25008.943674998918</v>
      </c>
      <c r="N49" s="4">
        <f ca="1">Expense!N$26</f>
        <v>26525.420634271159</v>
      </c>
      <c r="O49" s="4">
        <f ca="1">Expense!O$26</f>
        <v>28080.476364099741</v>
      </c>
      <c r="P49" s="4">
        <f ca="1">Expense!P$26</f>
        <v>29783.203035203253</v>
      </c>
      <c r="Q49" s="4">
        <f ca="1">Expense!Q$26</f>
        <v>31529.246620001373</v>
      </c>
      <c r="R49" s="4">
        <f ca="1">Expense!R$26</f>
        <v>33441.097702709951</v>
      </c>
      <c r="S49" s="4">
        <f ca="1">Expense!S$26</f>
        <v>35468.878436593099</v>
      </c>
      <c r="T49" s="4">
        <f ca="1">Expense!T$26</f>
        <v>37417.746161894254</v>
      </c>
      <c r="U49" s="4">
        <f ca="1">Expense!U$26</f>
        <v>39680.277491060901</v>
      </c>
      <c r="V49" s="4">
        <f ca="1">Expense!V$26</f>
        <v>42000</v>
      </c>
      <c r="W49" s="4">
        <f ca="1">Expense!W$26</f>
        <v>44585.43949453035</v>
      </c>
      <c r="X49" s="4">
        <f ca="1">Expense!X$26</f>
        <v>47195.587470494567</v>
      </c>
      <c r="Y49" s="4">
        <f ca="1">Expense!Y$26</f>
        <v>50053.373364356317</v>
      </c>
      <c r="Z49" s="4">
        <f ca="1">Expense!Z$26</f>
        <v>53084.203829816244</v>
      </c>
      <c r="AA49" s="4">
        <f ca="1">Expense!AA$26</f>
        <v>56191.891647922515</v>
      </c>
      <c r="AB49" s="4">
        <f ca="1">Expense!AB$26</f>
        <v>59594.421500977842</v>
      </c>
      <c r="AC49" s="4">
        <f ca="1">Expense!AC$26</f>
        <v>63083.234450295487</v>
      </c>
      <c r="AD49" s="4">
        <f ca="1">Expense!AD$26</f>
        <v>66938.423943914589</v>
      </c>
      <c r="AE49" s="4">
        <f ca="1">Expense!AE$26</f>
        <v>70993.581544595101</v>
      </c>
      <c r="AF49" s="4">
        <f ca="1">Expense!AF$26</f>
        <v>74867.051294133489</v>
      </c>
      <c r="AG49" s="4">
        <f ca="1">Expense!AG$26</f>
        <v>79402.528441762712</v>
      </c>
      <c r="AH49" s="4">
        <f ca="1">Expense!AH$26</f>
        <v>102953.14122132264</v>
      </c>
      <c r="AI49" s="4">
        <f ca="1">Expense!AI$26</f>
        <v>109191.16210899652</v>
      </c>
      <c r="AJ49" s="4">
        <f ca="1">Expense!AJ$26</f>
        <v>115587.60074143946</v>
      </c>
      <c r="AK49" s="4">
        <f ca="1">Expense!AK$26</f>
        <v>122591.15468809247</v>
      </c>
      <c r="AL49" s="4">
        <f ca="1">Expense!AL$26</f>
        <v>130019.06015747237</v>
      </c>
      <c r="AM49" s="4">
        <f ca="1">Expense!AM$26</f>
        <v>137635.60111140989</v>
      </c>
      <c r="AN49" s="4">
        <f ca="1">Expense!AN$26</f>
        <v>145975.06289482419</v>
      </c>
      <c r="AO49" s="4">
        <f ca="1">Expense!AO$26</f>
        <v>154526.30961197891</v>
      </c>
      <c r="AP49" s="4">
        <f ca="1">Expense!AP$26</f>
        <v>163945.73193785522</v>
      </c>
      <c r="AQ49" s="4">
        <f ca="1">Expense!AQ$26</f>
        <v>173881.25222069537</v>
      </c>
      <c r="AR49" s="4">
        <f ca="1">Expense!AR$26</f>
        <v>183382.46486094096</v>
      </c>
      <c r="AS49" s="4">
        <f ca="1">Expense!AS$26</f>
        <v>194490.15542818501</v>
      </c>
      <c r="AT49" s="4">
        <f ca="1">Expense!AT$26</f>
        <v>205879.7237195654</v>
      </c>
      <c r="AU49" s="4">
        <f ca="1">Expense!AU$26</f>
        <v>218391.35107752625</v>
      </c>
      <c r="AV49" s="4">
        <f ca="1">Expense!AV$26</f>
        <v>231183.89903711202</v>
      </c>
      <c r="AW49" s="4">
        <f ca="1">Expense!AW$26</f>
        <v>245190.59345073468</v>
      </c>
      <c r="AX49" s="4">
        <f ca="1">Expense!AX$26</f>
        <v>260045.90882720315</v>
      </c>
      <c r="AY49" s="4">
        <f ca="1">Expense!AY$26</f>
        <v>275278.42506871279</v>
      </c>
      <c r="AZ49" s="4">
        <f ca="1">Expense!AZ$26</f>
        <v>291956.66625808872</v>
      </c>
      <c r="BA49" s="4">
        <f ca="1">Expense!BA$26</f>
        <v>309058.39540203923</v>
      </c>
      <c r="BB49" s="4">
        <f ca="1">Expense!BB$26</f>
        <v>327908.33825537481</v>
      </c>
      <c r="BC49" s="4">
        <f ca="1">Expense!BC$26</f>
        <v>347779.25793416298</v>
      </c>
      <c r="BD49" s="4">
        <f ca="1">Expense!BD$26</f>
        <v>366760.19446126604</v>
      </c>
      <c r="BE49" s="4">
        <f ca="1">Expense!BE$26</f>
        <v>388985.49809666211</v>
      </c>
      <c r="BF49" s="4">
        <f ca="1">Expense!BF$26</f>
        <v>411775.39646504144</v>
      </c>
      <c r="BG49" s="4">
        <f ca="1">Expense!BG$26</f>
        <v>436728.57670658681</v>
      </c>
      <c r="BH49" s="4">
        <f ca="1">Expense!BH$26</f>
        <v>462315.64858996338</v>
      </c>
      <c r="BI49" s="4">
        <f ca="1">Expense!BI$26</f>
        <v>490331.51800387161</v>
      </c>
      <c r="BJ49" s="4">
        <f ca="1">Expense!BJ$26</f>
        <v>520045.12133190478</v>
      </c>
      <c r="BK49" s="4">
        <f ca="1">Expense!BK$26</f>
        <v>550513.54648102203</v>
      </c>
      <c r="BL49" s="4">
        <f ca="1">Expense!BL$26</f>
        <v>583874.12108244875</v>
      </c>
      <c r="BM49" s="4">
        <f ca="1">Expense!BM$26</f>
        <v>618082.16239907162</v>
      </c>
      <c r="BN49" s="4">
        <f ca="1">Expense!BN$26</f>
        <v>654956.20585686364</v>
      </c>
      <c r="BO49" s="4">
        <f ca="1">Expense!BO$26</f>
        <v>694635.44004964025</v>
      </c>
      <c r="BP49" s="4">
        <f ca="1">Expense!BP$26</f>
        <v>733672.25433678052</v>
      </c>
      <c r="BQ49" s="4">
        <f ca="1">Expense!BQ$26</f>
        <v>778120.34265170898</v>
      </c>
    </row>
    <row r="50" spans="1:69">
      <c r="A50" s="17"/>
      <c r="B50" s="17"/>
      <c r="C50" s="26"/>
      <c r="D50" s="27"/>
      <c r="E50" s="4" t="str">
        <f>Expense!E$13</f>
        <v>VAT on operating expense</v>
      </c>
      <c r="F50" s="4">
        <f>Expense!F$13</f>
        <v>0</v>
      </c>
      <c r="G50" s="4" t="str">
        <f>Expense!G$13</f>
        <v>GBP</v>
      </c>
      <c r="H50" s="4">
        <f ca="1">Expense!H$13</f>
        <v>1509890.9023222984</v>
      </c>
      <c r="I50" s="4">
        <f>Expense!I$13</f>
        <v>0</v>
      </c>
      <c r="J50" s="4">
        <f ca="1">Expense!J$13</f>
        <v>4600</v>
      </c>
      <c r="K50" s="4">
        <f ca="1">Expense!K$13</f>
        <v>4727.3385096090778</v>
      </c>
      <c r="L50" s="4">
        <f ca="1">Expense!L$13</f>
        <v>4857.9164770385696</v>
      </c>
      <c r="M50" s="4">
        <f ca="1">Expense!M$13</f>
        <v>5061.6800526344441</v>
      </c>
      <c r="N50" s="4">
        <f ca="1">Expense!N$13</f>
        <v>5213.3277485616682</v>
      </c>
      <c r="O50" s="4">
        <f ca="1">Expense!O$13</f>
        <v>5368.8333215445264</v>
      </c>
      <c r="P50" s="4">
        <f ca="1">Expense!P$13</f>
        <v>5601.3696335963396</v>
      </c>
      <c r="Q50" s="4">
        <f ca="1">Expense!Q$13</f>
        <v>5775.9739920761522</v>
      </c>
      <c r="R50" s="4">
        <f ca="1">Expense!R$13</f>
        <v>5967.1591003470094</v>
      </c>
      <c r="S50" s="4">
        <f ca="1">Expense!S$13</f>
        <v>6233.7147140034831</v>
      </c>
      <c r="T50" s="4">
        <f ca="1">Expense!T$13</f>
        <v>6428.6014865335992</v>
      </c>
      <c r="U50" s="4">
        <f ca="1">Expense!U$13</f>
        <v>6654.8546194502633</v>
      </c>
      <c r="V50" s="4">
        <f ca="1">Expense!V$13</f>
        <v>6950</v>
      </c>
      <c r="W50" s="4">
        <f ca="1">Expense!W$13</f>
        <v>7208.5439494530356</v>
      </c>
      <c r="X50" s="4">
        <f ca="1">Expense!X$13</f>
        <v>7469.5587470494575</v>
      </c>
      <c r="Y50" s="4">
        <f ca="1">Expense!Y$13</f>
        <v>7822.4763028165098</v>
      </c>
      <c r="Z50" s="4">
        <f ca="1">Expense!Z$13</f>
        <v>8125.5593493625029</v>
      </c>
      <c r="AA50" s="4">
        <f ca="1">Expense!AA$13</f>
        <v>8436.3281311731298</v>
      </c>
      <c r="AB50" s="4">
        <f ca="1">Expense!AB$13</f>
        <v>8844.9829741575886</v>
      </c>
      <c r="AC50" s="4">
        <f ca="1">Expense!AC$13</f>
        <v>9193.8642690893521</v>
      </c>
      <c r="AD50" s="4">
        <f ca="1">Expense!AD$13</f>
        <v>9579.383218451263</v>
      </c>
      <c r="AE50" s="4">
        <f ca="1">Expense!AE$13</f>
        <v>10055.187415476941</v>
      </c>
      <c r="AF50" s="4">
        <f ca="1">Expense!AF$13</f>
        <v>10442.534390430781</v>
      </c>
      <c r="AG50" s="4">
        <f ca="1">Expense!AG$13</f>
        <v>10896.082105193702</v>
      </c>
      <c r="AH50" s="4">
        <f ca="1">Expense!AH$13</f>
        <v>13320.577193145402</v>
      </c>
      <c r="AI50" s="4">
        <f ca="1">Expense!AI$13</f>
        <v>13944.379281912792</v>
      </c>
      <c r="AJ50" s="4">
        <f ca="1">Expense!AJ$13</f>
        <v>14584.023145157085</v>
      </c>
      <c r="AK50" s="4">
        <f ca="1">Expense!AK$13</f>
        <v>15357.867692458432</v>
      </c>
      <c r="AL50" s="4">
        <f ca="1">Expense!AL$13</f>
        <v>16100.658239396424</v>
      </c>
      <c r="AM50" s="4">
        <f ca="1">Expense!AM$13</f>
        <v>16862.312334790175</v>
      </c>
      <c r="AN50" s="4">
        <f ca="1">Expense!AN$13</f>
        <v>17771.53285119728</v>
      </c>
      <c r="AO50" s="4">
        <f ca="1">Expense!AO$13</f>
        <v>18626.657522912752</v>
      </c>
      <c r="AP50" s="4">
        <f ca="1">Expense!AP$13</f>
        <v>19568.599755500381</v>
      </c>
      <c r="AQ50" s="4">
        <f ca="1">Expense!AQ$13</f>
        <v>20639.449547300381</v>
      </c>
      <c r="AR50" s="4">
        <f ca="1">Expense!AR$13</f>
        <v>21589.570811324942</v>
      </c>
      <c r="AS50" s="4">
        <f ca="1">Expense!AS$13</f>
        <v>22700.339868049345</v>
      </c>
      <c r="AT50" s="4">
        <f ca="1">Expense!AT$13</f>
        <v>23915.689452701365</v>
      </c>
      <c r="AU50" s="4">
        <f ca="1">Expense!AU$13</f>
        <v>25166.852188497451</v>
      </c>
      <c r="AV50" s="4">
        <f ca="1">Expense!AV$13</f>
        <v>26446.10698445603</v>
      </c>
      <c r="AW50" s="4">
        <f ca="1">Expense!AW$13</f>
        <v>27927.631402897503</v>
      </c>
      <c r="AX50" s="4">
        <f ca="1">Expense!AX$13</f>
        <v>29413.162940544353</v>
      </c>
      <c r="AY50" s="4">
        <f ca="1">Expense!AY$13</f>
        <v>30936.414564695315</v>
      </c>
      <c r="AZ50" s="4">
        <f ca="1">Expense!AZ$13</f>
        <v>32687.058228961119</v>
      </c>
      <c r="BA50" s="4">
        <f ca="1">Expense!BA$13</f>
        <v>34397.23114335617</v>
      </c>
      <c r="BB50" s="4">
        <f ca="1">Expense!BB$13</f>
        <v>36282.22542868973</v>
      </c>
      <c r="BC50" s="4">
        <f ca="1">Expense!BC$13</f>
        <v>38354.324542406634</v>
      </c>
      <c r="BD50" s="4">
        <f ca="1">Expense!BD$13</f>
        <v>40252.418195116945</v>
      </c>
      <c r="BE50" s="4">
        <f ca="1">Expense!BE$13</f>
        <v>42474.94855865655</v>
      </c>
      <c r="BF50" s="4">
        <f ca="1">Expense!BF$13</f>
        <v>44837.980702468194</v>
      </c>
      <c r="BG50" s="4">
        <f ca="1">Expense!BG$13</f>
        <v>47333.298726622728</v>
      </c>
      <c r="BH50" s="4">
        <f ca="1">Expense!BH$13</f>
        <v>49892.005914960384</v>
      </c>
      <c r="BI50" s="4">
        <f ca="1">Expense!BI$13</f>
        <v>52782.544494917063</v>
      </c>
      <c r="BJ50" s="4">
        <f ca="1">Expense!BJ$13</f>
        <v>55753.904827720369</v>
      </c>
      <c r="BK50" s="4">
        <f ca="1">Expense!BK$13</f>
        <v>58800.747342632094</v>
      </c>
      <c r="BL50" s="4">
        <f ca="1">Expense!BL$13</f>
        <v>62227.918037138115</v>
      </c>
      <c r="BM50" s="4">
        <f ca="1">Expense!BM$13</f>
        <v>65648.722168800407</v>
      </c>
      <c r="BN50" s="4">
        <f ca="1">Expense!BN$13</f>
        <v>69336.126514579606</v>
      </c>
      <c r="BO50" s="4">
        <f ca="1">Expense!BO$13</f>
        <v>73396.726507121508</v>
      </c>
      <c r="BP50" s="4">
        <f ca="1">Expense!BP$13</f>
        <v>77300.407935835538</v>
      </c>
      <c r="BQ50" s="4">
        <f ca="1">Expense!BQ$13</f>
        <v>81745.216767328384</v>
      </c>
    </row>
    <row r="51" spans="1:69" ht="14.5">
      <c r="E51" s="2" t="s">
        <v>152</v>
      </c>
      <c r="F51"/>
      <c r="G51" s="2" t="s">
        <v>252</v>
      </c>
      <c r="H51" s="2">
        <f ca="1">SUM(J51:BQ51)</f>
        <v>16608799.925545277</v>
      </c>
      <c r="I51"/>
      <c r="J51" s="2">
        <f t="shared" ref="J51:AO51" ca="1" si="16">J48+J49+J50</f>
        <v>50600</v>
      </c>
      <c r="K51" s="2">
        <f t="shared" ca="1" si="16"/>
        <v>52000.723605699852</v>
      </c>
      <c r="L51" s="2">
        <f t="shared" ca="1" si="16"/>
        <v>53437.081247424263</v>
      </c>
      <c r="M51" s="2">
        <f t="shared" ca="1" si="16"/>
        <v>55678.480578978881</v>
      </c>
      <c r="N51" s="2">
        <f t="shared" ca="1" si="16"/>
        <v>57346.605234178351</v>
      </c>
      <c r="O51" s="2">
        <f t="shared" ca="1" si="16"/>
        <v>59057.166536989782</v>
      </c>
      <c r="P51" s="2">
        <f t="shared" ca="1" si="16"/>
        <v>61615.065969559735</v>
      </c>
      <c r="Q51" s="2">
        <f t="shared" ca="1" si="16"/>
        <v>63535.713912837666</v>
      </c>
      <c r="R51" s="2">
        <f t="shared" ca="1" si="16"/>
        <v>65638.750103817103</v>
      </c>
      <c r="S51" s="2">
        <f t="shared" ca="1" si="16"/>
        <v>68570.861854038318</v>
      </c>
      <c r="T51" s="2">
        <f t="shared" ca="1" si="16"/>
        <v>70714.616351869583</v>
      </c>
      <c r="U51" s="2">
        <f t="shared" ca="1" si="16"/>
        <v>73203.400813952903</v>
      </c>
      <c r="V51" s="2">
        <f t="shared" ca="1" si="16"/>
        <v>76450</v>
      </c>
      <c r="W51" s="2">
        <f t="shared" ca="1" si="16"/>
        <v>79293.983443983379</v>
      </c>
      <c r="X51" s="2">
        <f t="shared" ca="1" si="16"/>
        <v>82165.146217544039</v>
      </c>
      <c r="Y51" s="2">
        <f t="shared" ca="1" si="16"/>
        <v>86047.239330981596</v>
      </c>
      <c r="Z51" s="2">
        <f t="shared" ca="1" si="16"/>
        <v>89381.152842987532</v>
      </c>
      <c r="AA51" s="2">
        <f t="shared" ca="1" si="16"/>
        <v>92799.609442904417</v>
      </c>
      <c r="AB51" s="2">
        <f t="shared" ca="1" si="16"/>
        <v>97294.812715733482</v>
      </c>
      <c r="AC51" s="2">
        <f t="shared" ca="1" si="16"/>
        <v>101132.50695998287</v>
      </c>
      <c r="AD51" s="2">
        <f t="shared" ca="1" si="16"/>
        <v>105373.21540296389</v>
      </c>
      <c r="AE51" s="2">
        <f t="shared" ca="1" si="16"/>
        <v>110607.06157024635</v>
      </c>
      <c r="AF51" s="2">
        <f t="shared" ca="1" si="16"/>
        <v>114867.87829473858</v>
      </c>
      <c r="AG51" s="2">
        <f t="shared" ca="1" si="16"/>
        <v>119856.90315713073</v>
      </c>
      <c r="AH51" s="2">
        <f t="shared" ca="1" si="16"/>
        <v>146526.34912459942</v>
      </c>
      <c r="AI51" s="2">
        <f t="shared" ca="1" si="16"/>
        <v>153388.17210104069</v>
      </c>
      <c r="AJ51" s="2">
        <f t="shared" ca="1" si="16"/>
        <v>160424.25459672793</v>
      </c>
      <c r="AK51" s="2">
        <f t="shared" ca="1" si="16"/>
        <v>168936.54461704276</v>
      </c>
      <c r="AL51" s="2">
        <f t="shared" ca="1" si="16"/>
        <v>177107.24063336066</v>
      </c>
      <c r="AM51" s="2">
        <f t="shared" ca="1" si="16"/>
        <v>185485.43568269192</v>
      </c>
      <c r="AN51" s="2">
        <f t="shared" ca="1" si="16"/>
        <v>195486.86136317009</v>
      </c>
      <c r="AO51" s="2">
        <f t="shared" ca="1" si="16"/>
        <v>204893.23275204026</v>
      </c>
      <c r="AP51" s="2">
        <f t="shared" ref="AP51:BU51" ca="1" si="17">AP48+AP49+AP50</f>
        <v>215254.59731050421</v>
      </c>
      <c r="AQ51" s="2">
        <f t="shared" ca="1" si="17"/>
        <v>227033.94502030418</v>
      </c>
      <c r="AR51" s="2">
        <f t="shared" ca="1" si="17"/>
        <v>237485.27892457432</v>
      </c>
      <c r="AS51" s="2">
        <f t="shared" ca="1" si="17"/>
        <v>249703.73854854278</v>
      </c>
      <c r="AT51" s="2">
        <f t="shared" ca="1" si="17"/>
        <v>263072.58397971501</v>
      </c>
      <c r="AU51" s="2">
        <f t="shared" ca="1" si="17"/>
        <v>276835.37407347193</v>
      </c>
      <c r="AV51" s="2">
        <f t="shared" ca="1" si="17"/>
        <v>290907.1768290163</v>
      </c>
      <c r="AW51" s="2">
        <f t="shared" ca="1" si="17"/>
        <v>307203.9454318725</v>
      </c>
      <c r="AX51" s="2">
        <f t="shared" ca="1" si="17"/>
        <v>323544.79234598787</v>
      </c>
      <c r="AY51" s="2">
        <f t="shared" ca="1" si="17"/>
        <v>340300.56021164847</v>
      </c>
      <c r="AZ51" s="2">
        <f t="shared" ca="1" si="17"/>
        <v>359557.6405185723</v>
      </c>
      <c r="BA51" s="2">
        <f t="shared" ca="1" si="17"/>
        <v>378369.54257691785</v>
      </c>
      <c r="BB51" s="2">
        <f t="shared" ca="1" si="17"/>
        <v>399104.47971558699</v>
      </c>
      <c r="BC51" s="2">
        <f t="shared" ca="1" si="17"/>
        <v>421897.56996647298</v>
      </c>
      <c r="BD51" s="2">
        <f t="shared" ca="1" si="17"/>
        <v>442776.60014628631</v>
      </c>
      <c r="BE51" s="2">
        <f t="shared" ca="1" si="17"/>
        <v>467224.43414522201</v>
      </c>
      <c r="BF51" s="2">
        <f t="shared" ca="1" si="17"/>
        <v>493217.78772715008</v>
      </c>
      <c r="BG51" s="2">
        <f t="shared" ca="1" si="17"/>
        <v>520666.28599284997</v>
      </c>
      <c r="BH51" s="2">
        <f t="shared" ca="1" si="17"/>
        <v>548812.06506456423</v>
      </c>
      <c r="BI51" s="2">
        <f t="shared" ca="1" si="17"/>
        <v>580607.98944408761</v>
      </c>
      <c r="BJ51" s="2">
        <f t="shared" ca="1" si="17"/>
        <v>613292.95310492406</v>
      </c>
      <c r="BK51" s="2">
        <f t="shared" ca="1" si="17"/>
        <v>646808.22076895298</v>
      </c>
      <c r="BL51" s="2">
        <f t="shared" ca="1" si="17"/>
        <v>684507.09840851917</v>
      </c>
      <c r="BM51" s="2">
        <f t="shared" ca="1" si="17"/>
        <v>722135.9438568044</v>
      </c>
      <c r="BN51" s="2">
        <f t="shared" ca="1" si="17"/>
        <v>762697.39166037564</v>
      </c>
      <c r="BO51" s="2">
        <f t="shared" ca="1" si="17"/>
        <v>807363.99157833657</v>
      </c>
      <c r="BP51" s="2">
        <f t="shared" ca="1" si="17"/>
        <v>850304.48729419091</v>
      </c>
      <c r="BQ51" s="2">
        <f t="shared" ca="1" si="17"/>
        <v>899197.38444061228</v>
      </c>
    </row>
    <row r="52" spans="1:69">
      <c r="A52" s="31"/>
      <c r="B52" s="31"/>
      <c r="C52" s="51"/>
      <c r="D52" s="50"/>
      <c r="E52" s="3" t="str">
        <f>LEFT($E$51,LEN($E$51)-3)</f>
        <v xml:space="preserve">Cash out on Operating Expense </v>
      </c>
      <c r="F52" s="3"/>
      <c r="G52" s="3" t="str">
        <f>G$51</f>
        <v>GBP</v>
      </c>
      <c r="H52" s="3">
        <f ca="1">SUM(J52:BQ52)</f>
        <v>-16608799.925545277</v>
      </c>
      <c r="I52" s="3"/>
      <c r="J52" s="3">
        <f t="shared" ref="J52:AO52" ca="1" si="18">-1*J51</f>
        <v>-50600</v>
      </c>
      <c r="K52" s="3">
        <f t="shared" ca="1" si="18"/>
        <v>-52000.723605699852</v>
      </c>
      <c r="L52" s="3">
        <f t="shared" ca="1" si="18"/>
        <v>-53437.081247424263</v>
      </c>
      <c r="M52" s="3">
        <f t="shared" ca="1" si="18"/>
        <v>-55678.480578978881</v>
      </c>
      <c r="N52" s="3">
        <f t="shared" ca="1" si="18"/>
        <v>-57346.605234178351</v>
      </c>
      <c r="O52" s="3">
        <f t="shared" ca="1" si="18"/>
        <v>-59057.166536989782</v>
      </c>
      <c r="P52" s="3">
        <f t="shared" ca="1" si="18"/>
        <v>-61615.065969559735</v>
      </c>
      <c r="Q52" s="3">
        <f t="shared" ca="1" si="18"/>
        <v>-63535.713912837666</v>
      </c>
      <c r="R52" s="3">
        <f t="shared" ca="1" si="18"/>
        <v>-65638.750103817103</v>
      </c>
      <c r="S52" s="3">
        <f t="shared" ca="1" si="18"/>
        <v>-68570.861854038318</v>
      </c>
      <c r="T52" s="3">
        <f t="shared" ca="1" si="18"/>
        <v>-70714.616351869583</v>
      </c>
      <c r="U52" s="3">
        <f t="shared" ca="1" si="18"/>
        <v>-73203.400813952903</v>
      </c>
      <c r="V52" s="3">
        <f t="shared" ca="1" si="18"/>
        <v>-76450</v>
      </c>
      <c r="W52" s="3">
        <f t="shared" ca="1" si="18"/>
        <v>-79293.983443983379</v>
      </c>
      <c r="X52" s="3">
        <f t="shared" ca="1" si="18"/>
        <v>-82165.146217544039</v>
      </c>
      <c r="Y52" s="3">
        <f t="shared" ca="1" si="18"/>
        <v>-86047.239330981596</v>
      </c>
      <c r="Z52" s="3">
        <f t="shared" ca="1" si="18"/>
        <v>-89381.152842987532</v>
      </c>
      <c r="AA52" s="3">
        <f t="shared" ca="1" si="18"/>
        <v>-92799.609442904417</v>
      </c>
      <c r="AB52" s="3">
        <f t="shared" ca="1" si="18"/>
        <v>-97294.812715733482</v>
      </c>
      <c r="AC52" s="3">
        <f t="shared" ca="1" si="18"/>
        <v>-101132.50695998287</v>
      </c>
      <c r="AD52" s="3">
        <f t="shared" ca="1" si="18"/>
        <v>-105373.21540296389</v>
      </c>
      <c r="AE52" s="3">
        <f t="shared" ca="1" si="18"/>
        <v>-110607.06157024635</v>
      </c>
      <c r="AF52" s="3">
        <f t="shared" ca="1" si="18"/>
        <v>-114867.87829473858</v>
      </c>
      <c r="AG52" s="3">
        <f t="shared" ca="1" si="18"/>
        <v>-119856.90315713073</v>
      </c>
      <c r="AH52" s="3">
        <f t="shared" ca="1" si="18"/>
        <v>-146526.34912459942</v>
      </c>
      <c r="AI52" s="3">
        <f t="shared" ca="1" si="18"/>
        <v>-153388.17210104069</v>
      </c>
      <c r="AJ52" s="3">
        <f t="shared" ca="1" si="18"/>
        <v>-160424.25459672793</v>
      </c>
      <c r="AK52" s="3">
        <f t="shared" ca="1" si="18"/>
        <v>-168936.54461704276</v>
      </c>
      <c r="AL52" s="3">
        <f t="shared" ca="1" si="18"/>
        <v>-177107.24063336066</v>
      </c>
      <c r="AM52" s="3">
        <f t="shared" ca="1" si="18"/>
        <v>-185485.43568269192</v>
      </c>
      <c r="AN52" s="3">
        <f t="shared" ca="1" si="18"/>
        <v>-195486.86136317009</v>
      </c>
      <c r="AO52" s="3">
        <f t="shared" ca="1" si="18"/>
        <v>-204893.23275204026</v>
      </c>
      <c r="AP52" s="3">
        <f t="shared" ref="AP52:BU52" ca="1" si="19">-1*AP51</f>
        <v>-215254.59731050421</v>
      </c>
      <c r="AQ52" s="3">
        <f t="shared" ca="1" si="19"/>
        <v>-227033.94502030418</v>
      </c>
      <c r="AR52" s="3">
        <f t="shared" ca="1" si="19"/>
        <v>-237485.27892457432</v>
      </c>
      <c r="AS52" s="3">
        <f t="shared" ca="1" si="19"/>
        <v>-249703.73854854278</v>
      </c>
      <c r="AT52" s="3">
        <f t="shared" ca="1" si="19"/>
        <v>-263072.58397971501</v>
      </c>
      <c r="AU52" s="3">
        <f t="shared" ca="1" si="19"/>
        <v>-276835.37407347193</v>
      </c>
      <c r="AV52" s="3">
        <f t="shared" ca="1" si="19"/>
        <v>-290907.1768290163</v>
      </c>
      <c r="AW52" s="3">
        <f t="shared" ca="1" si="19"/>
        <v>-307203.9454318725</v>
      </c>
      <c r="AX52" s="3">
        <f t="shared" ca="1" si="19"/>
        <v>-323544.79234598787</v>
      </c>
      <c r="AY52" s="3">
        <f t="shared" ca="1" si="19"/>
        <v>-340300.56021164847</v>
      </c>
      <c r="AZ52" s="3">
        <f t="shared" ca="1" si="19"/>
        <v>-359557.6405185723</v>
      </c>
      <c r="BA52" s="3">
        <f t="shared" ca="1" si="19"/>
        <v>-378369.54257691785</v>
      </c>
      <c r="BB52" s="3">
        <f t="shared" ca="1" si="19"/>
        <v>-399104.47971558699</v>
      </c>
      <c r="BC52" s="3">
        <f t="shared" ca="1" si="19"/>
        <v>-421897.56996647298</v>
      </c>
      <c r="BD52" s="3">
        <f t="shared" ca="1" si="19"/>
        <v>-442776.60014628631</v>
      </c>
      <c r="BE52" s="3">
        <f t="shared" ca="1" si="19"/>
        <v>-467224.43414522201</v>
      </c>
      <c r="BF52" s="3">
        <f t="shared" ca="1" si="19"/>
        <v>-493217.78772715008</v>
      </c>
      <c r="BG52" s="3">
        <f t="shared" ca="1" si="19"/>
        <v>-520666.28599284997</v>
      </c>
      <c r="BH52" s="3">
        <f t="shared" ca="1" si="19"/>
        <v>-548812.06506456423</v>
      </c>
      <c r="BI52" s="3">
        <f t="shared" ca="1" si="19"/>
        <v>-580607.98944408761</v>
      </c>
      <c r="BJ52" s="3">
        <f t="shared" ca="1" si="19"/>
        <v>-613292.95310492406</v>
      </c>
      <c r="BK52" s="3">
        <f t="shared" ca="1" si="19"/>
        <v>-646808.22076895298</v>
      </c>
      <c r="BL52" s="3">
        <f t="shared" ca="1" si="19"/>
        <v>-684507.09840851917</v>
      </c>
      <c r="BM52" s="3">
        <f t="shared" ca="1" si="19"/>
        <v>-722135.9438568044</v>
      </c>
      <c r="BN52" s="3">
        <f t="shared" ca="1" si="19"/>
        <v>-762697.39166037564</v>
      </c>
      <c r="BO52" s="3">
        <f t="shared" ca="1" si="19"/>
        <v>-807363.99157833657</v>
      </c>
      <c r="BP52" s="3">
        <f t="shared" ca="1" si="19"/>
        <v>-850304.48729419091</v>
      </c>
      <c r="BQ52" s="3">
        <f t="shared" ca="1" si="19"/>
        <v>-899197.38444061228</v>
      </c>
    </row>
    <row r="55" spans="1:69">
      <c r="B55" s="22" t="s">
        <v>265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BQ57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42.7265625" style="2" customWidth="1"/>
    <col min="6" max="6" width="20.7265625" style="2" customWidth="1"/>
    <col min="7" max="8" width="13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48" width="11.7265625" style="2" customWidth="1"/>
    <col min="49" max="50" width="12.7265625" style="2" customWidth="1"/>
    <col min="51" max="51" width="11.7265625" style="2" customWidth="1"/>
    <col min="52" max="53" width="12.7265625" style="2" customWidth="1"/>
    <col min="54" max="54" width="11.7265625" style="2" customWidth="1"/>
    <col min="55" max="55" width="12.7265625" style="2" customWidth="1"/>
    <col min="56" max="57" width="11.7265625" style="2" customWidth="1"/>
    <col min="58" max="59" width="12.7265625" style="2" customWidth="1"/>
    <col min="60" max="60" width="11.7265625" style="2" customWidth="1"/>
    <col min="61" max="62" width="12.7265625" style="2" customWidth="1"/>
    <col min="63" max="63" width="11.7265625" style="2" customWidth="1"/>
    <col min="64" max="65" width="12.7265625" style="2" customWidth="1"/>
    <col min="66" max="66" width="11.7265625" style="2" customWidth="1"/>
    <col min="67" max="67" width="12.7265625" style="2" customWidth="1"/>
    <col min="68" max="69" width="11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Invoice finance</v>
      </c>
      <c r="B1" s="37"/>
      <c r="C1" s="58"/>
      <c r="D1" s="67"/>
      <c r="F1" s="42" t="str">
        <f>HYPERLINK("#Contents!A1","Go to contents")</f>
        <v>Go to contents</v>
      </c>
      <c r="H1" s="38"/>
      <c r="J1" s="38"/>
    </row>
    <row r="2" spans="1:69" s="43" customFormat="1">
      <c r="A2" s="39"/>
      <c r="B2" s="39"/>
      <c r="C2" s="56"/>
      <c r="D2" s="62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>
      <c r="A3" s="39"/>
      <c r="B3" s="39"/>
      <c r="C3" s="56"/>
      <c r="D3" s="62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62"/>
      <c r="E4" s="20" t="s">
        <v>325</v>
      </c>
      <c r="F4" s="22"/>
      <c r="G4" s="20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>
      <c r="A5" s="39"/>
      <c r="B5" s="39"/>
      <c r="C5" s="56"/>
      <c r="D5" s="62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6" spans="1:69">
      <c r="F6" s="22"/>
      <c r="G6" s="22"/>
      <c r="H6" s="22"/>
    </row>
    <row r="8" spans="1:69">
      <c r="B8" s="22" t="s">
        <v>297</v>
      </c>
    </row>
    <row r="9" spans="1:69" s="64" customFormat="1">
      <c r="A9" s="46"/>
      <c r="B9" s="46"/>
      <c r="C9" s="65"/>
      <c r="D9" s="63"/>
      <c r="E9" s="34" t="str">
        <f>InpC!E$63</f>
        <v>Opening Invoice finance balance</v>
      </c>
      <c r="F9" s="34">
        <f>InpC!F$63</f>
        <v>0</v>
      </c>
      <c r="G9" s="34" t="str">
        <f>InpC!G$63</f>
        <v>GBP</v>
      </c>
    </row>
    <row r="10" spans="1:69">
      <c r="A10" s="17"/>
      <c r="B10" s="17"/>
      <c r="C10" s="26"/>
      <c r="D10" s="27"/>
      <c r="E10" s="10" t="str">
        <f>Time!E$28</f>
        <v>Period number</v>
      </c>
      <c r="F10" s="10">
        <f>Time!F$28</f>
        <v>0</v>
      </c>
      <c r="G10" s="10" t="str">
        <f>Time!G$28</f>
        <v>Counter</v>
      </c>
      <c r="H10" s="10">
        <f>Time!H$28</f>
        <v>0</v>
      </c>
      <c r="I10" s="10">
        <f>Time!I$28</f>
        <v>0</v>
      </c>
      <c r="J10" s="10">
        <f>Time!J$28</f>
        <v>1</v>
      </c>
      <c r="K10" s="10">
        <f>Time!K$28</f>
        <v>2</v>
      </c>
      <c r="L10" s="10">
        <f>Time!L$28</f>
        <v>3</v>
      </c>
      <c r="M10" s="10">
        <f>Time!M$28</f>
        <v>4</v>
      </c>
      <c r="N10" s="10">
        <f>Time!N$28</f>
        <v>5</v>
      </c>
      <c r="O10" s="10">
        <f>Time!O$28</f>
        <v>6</v>
      </c>
      <c r="P10" s="10">
        <f>Time!P$28</f>
        <v>7</v>
      </c>
      <c r="Q10" s="10">
        <f>Time!Q$28</f>
        <v>8</v>
      </c>
      <c r="R10" s="10">
        <f>Time!R$28</f>
        <v>9</v>
      </c>
      <c r="S10" s="10">
        <f>Time!S$28</f>
        <v>10</v>
      </c>
      <c r="T10" s="10">
        <f>Time!T$28</f>
        <v>11</v>
      </c>
      <c r="U10" s="10">
        <f>Time!U$28</f>
        <v>12</v>
      </c>
      <c r="V10" s="10">
        <f>Time!V$28</f>
        <v>13</v>
      </c>
      <c r="W10" s="10">
        <f>Time!W$28</f>
        <v>14</v>
      </c>
      <c r="X10" s="10">
        <f>Time!X$28</f>
        <v>15</v>
      </c>
      <c r="Y10" s="10">
        <f>Time!Y$28</f>
        <v>16</v>
      </c>
      <c r="Z10" s="10">
        <f>Time!Z$28</f>
        <v>17</v>
      </c>
      <c r="AA10" s="10">
        <f>Time!AA$28</f>
        <v>18</v>
      </c>
      <c r="AB10" s="10">
        <f>Time!AB$28</f>
        <v>19</v>
      </c>
      <c r="AC10" s="10">
        <f>Time!AC$28</f>
        <v>20</v>
      </c>
      <c r="AD10" s="10">
        <f>Time!AD$28</f>
        <v>21</v>
      </c>
      <c r="AE10" s="10">
        <f>Time!AE$28</f>
        <v>22</v>
      </c>
      <c r="AF10" s="10">
        <f>Time!AF$28</f>
        <v>23</v>
      </c>
      <c r="AG10" s="10">
        <f>Time!AG$28</f>
        <v>24</v>
      </c>
      <c r="AH10" s="10">
        <f>Time!AH$28</f>
        <v>25</v>
      </c>
      <c r="AI10" s="10">
        <f>Time!AI$28</f>
        <v>26</v>
      </c>
      <c r="AJ10" s="10">
        <f>Time!AJ$28</f>
        <v>27</v>
      </c>
      <c r="AK10" s="10">
        <f>Time!AK$28</f>
        <v>28</v>
      </c>
      <c r="AL10" s="10">
        <f>Time!AL$28</f>
        <v>29</v>
      </c>
      <c r="AM10" s="10">
        <f>Time!AM$28</f>
        <v>30</v>
      </c>
      <c r="AN10" s="10">
        <f>Time!AN$28</f>
        <v>31</v>
      </c>
      <c r="AO10" s="10">
        <f>Time!AO$28</f>
        <v>32</v>
      </c>
      <c r="AP10" s="10">
        <f>Time!AP$28</f>
        <v>33</v>
      </c>
      <c r="AQ10" s="10">
        <f>Time!AQ$28</f>
        <v>34</v>
      </c>
      <c r="AR10" s="10">
        <f>Time!AR$28</f>
        <v>35</v>
      </c>
      <c r="AS10" s="10">
        <f>Time!AS$28</f>
        <v>36</v>
      </c>
      <c r="AT10" s="10">
        <f>Time!AT$28</f>
        <v>37</v>
      </c>
      <c r="AU10" s="10">
        <f>Time!AU$28</f>
        <v>38</v>
      </c>
      <c r="AV10" s="10">
        <f>Time!AV$28</f>
        <v>39</v>
      </c>
      <c r="AW10" s="10">
        <f>Time!AW$28</f>
        <v>40</v>
      </c>
      <c r="AX10" s="10">
        <f>Time!AX$28</f>
        <v>41</v>
      </c>
      <c r="AY10" s="10">
        <f>Time!AY$28</f>
        <v>42</v>
      </c>
      <c r="AZ10" s="10">
        <f>Time!AZ$28</f>
        <v>43</v>
      </c>
      <c r="BA10" s="10">
        <f>Time!BA$28</f>
        <v>44</v>
      </c>
      <c r="BB10" s="10">
        <f>Time!BB$28</f>
        <v>45</v>
      </c>
      <c r="BC10" s="10">
        <f>Time!BC$28</f>
        <v>46</v>
      </c>
      <c r="BD10" s="10">
        <f>Time!BD$28</f>
        <v>47</v>
      </c>
      <c r="BE10" s="10">
        <f>Time!BE$28</f>
        <v>48</v>
      </c>
      <c r="BF10" s="10">
        <f>Time!BF$28</f>
        <v>49</v>
      </c>
      <c r="BG10" s="10">
        <f>Time!BG$28</f>
        <v>50</v>
      </c>
      <c r="BH10" s="10">
        <f>Time!BH$28</f>
        <v>51</v>
      </c>
      <c r="BI10" s="10">
        <f>Time!BI$28</f>
        <v>52</v>
      </c>
      <c r="BJ10" s="10">
        <f>Time!BJ$28</f>
        <v>53</v>
      </c>
      <c r="BK10" s="10">
        <f>Time!BK$28</f>
        <v>54</v>
      </c>
      <c r="BL10" s="10">
        <f>Time!BL$28</f>
        <v>55</v>
      </c>
      <c r="BM10" s="10">
        <f>Time!BM$28</f>
        <v>56</v>
      </c>
      <c r="BN10" s="10">
        <f>Time!BN$28</f>
        <v>57</v>
      </c>
      <c r="BO10" s="10">
        <f>Time!BO$28</f>
        <v>58</v>
      </c>
      <c r="BP10" s="10">
        <f>Time!BP$28</f>
        <v>59</v>
      </c>
      <c r="BQ10" s="10">
        <f>Time!BQ$28</f>
        <v>60</v>
      </c>
    </row>
    <row r="11" spans="1:69" ht="14.5">
      <c r="E11" s="2" t="s">
        <v>340</v>
      </c>
      <c r="F11"/>
      <c r="G11" s="2" t="s">
        <v>252</v>
      </c>
      <c r="H11"/>
      <c r="I11"/>
      <c r="J11" s="2">
        <f t="shared" ref="J11:AO11" si="0">I15</f>
        <v>0</v>
      </c>
      <c r="K11" s="2">
        <f t="shared" ca="1" si="0"/>
        <v>0</v>
      </c>
      <c r="L11" s="2">
        <f t="shared" ca="1" si="0"/>
        <v>0</v>
      </c>
      <c r="M11" s="2">
        <f t="shared" ca="1" si="0"/>
        <v>0</v>
      </c>
      <c r="N11" s="2">
        <f t="shared" ca="1" si="0"/>
        <v>0</v>
      </c>
      <c r="O11" s="2">
        <f t="shared" ca="1" si="0"/>
        <v>0</v>
      </c>
      <c r="P11" s="2">
        <f t="shared" ca="1" si="0"/>
        <v>0</v>
      </c>
      <c r="Q11" s="2">
        <f t="shared" ca="1" si="0"/>
        <v>0</v>
      </c>
      <c r="R11" s="2">
        <f t="shared" ca="1" si="0"/>
        <v>0</v>
      </c>
      <c r="S11" s="2">
        <f t="shared" ca="1" si="0"/>
        <v>0</v>
      </c>
      <c r="T11" s="2">
        <f t="shared" ca="1" si="0"/>
        <v>0</v>
      </c>
      <c r="U11" s="2">
        <f t="shared" ca="1" si="0"/>
        <v>0</v>
      </c>
      <c r="V11" s="2">
        <f t="shared" ca="1" si="0"/>
        <v>0</v>
      </c>
      <c r="W11" s="2">
        <f t="shared" ca="1" si="0"/>
        <v>0</v>
      </c>
      <c r="X11" s="2">
        <f t="shared" ca="1" si="0"/>
        <v>0</v>
      </c>
      <c r="Y11" s="2">
        <f t="shared" ca="1" si="0"/>
        <v>0</v>
      </c>
      <c r="Z11" s="2">
        <f t="shared" ca="1" si="0"/>
        <v>0</v>
      </c>
      <c r="AA11" s="2">
        <f t="shared" ca="1" si="0"/>
        <v>0</v>
      </c>
      <c r="AB11" s="2">
        <f t="shared" ca="1" si="0"/>
        <v>0</v>
      </c>
      <c r="AC11" s="2">
        <f t="shared" ca="1" si="0"/>
        <v>0</v>
      </c>
      <c r="AD11" s="2">
        <f t="shared" ca="1" si="0"/>
        <v>0</v>
      </c>
      <c r="AE11" s="2">
        <f t="shared" ca="1" si="0"/>
        <v>0</v>
      </c>
      <c r="AF11" s="2">
        <f t="shared" ca="1" si="0"/>
        <v>0</v>
      </c>
      <c r="AG11" s="2">
        <f t="shared" ca="1" si="0"/>
        <v>0</v>
      </c>
      <c r="AH11" s="2">
        <f t="shared" ca="1" si="0"/>
        <v>0</v>
      </c>
      <c r="AI11" s="2">
        <f t="shared" ca="1" si="0"/>
        <v>0</v>
      </c>
      <c r="AJ11" s="2">
        <f t="shared" ca="1" si="0"/>
        <v>0</v>
      </c>
      <c r="AK11" s="2">
        <f t="shared" ca="1" si="0"/>
        <v>0</v>
      </c>
      <c r="AL11" s="2">
        <f t="shared" ca="1" si="0"/>
        <v>0</v>
      </c>
      <c r="AM11" s="2">
        <f t="shared" ca="1" si="0"/>
        <v>0</v>
      </c>
      <c r="AN11" s="2">
        <f t="shared" ca="1" si="0"/>
        <v>0</v>
      </c>
      <c r="AO11" s="2">
        <f t="shared" ca="1" si="0"/>
        <v>0</v>
      </c>
      <c r="AP11" s="2">
        <f t="shared" ref="AP11:BQ11" ca="1" si="1">AO15</f>
        <v>0</v>
      </c>
      <c r="AQ11" s="2">
        <f t="shared" ca="1" si="1"/>
        <v>0</v>
      </c>
      <c r="AR11" s="2">
        <f t="shared" ca="1" si="1"/>
        <v>0</v>
      </c>
      <c r="AS11" s="2">
        <f t="shared" ca="1" si="1"/>
        <v>0</v>
      </c>
      <c r="AT11" s="2">
        <f t="shared" ca="1" si="1"/>
        <v>0</v>
      </c>
      <c r="AU11" s="2">
        <f t="shared" ca="1" si="1"/>
        <v>0</v>
      </c>
      <c r="AV11" s="2">
        <f t="shared" ca="1" si="1"/>
        <v>0</v>
      </c>
      <c r="AW11" s="2">
        <f t="shared" ca="1" si="1"/>
        <v>0</v>
      </c>
      <c r="AX11" s="2">
        <f t="shared" ca="1" si="1"/>
        <v>0</v>
      </c>
      <c r="AY11" s="2">
        <f t="shared" ca="1" si="1"/>
        <v>0</v>
      </c>
      <c r="AZ11" s="2">
        <f t="shared" ca="1" si="1"/>
        <v>0</v>
      </c>
      <c r="BA11" s="2">
        <f t="shared" ca="1" si="1"/>
        <v>0</v>
      </c>
      <c r="BB11" s="2">
        <f t="shared" ca="1" si="1"/>
        <v>0</v>
      </c>
      <c r="BC11" s="2">
        <f t="shared" ca="1" si="1"/>
        <v>0</v>
      </c>
      <c r="BD11" s="2">
        <f t="shared" ca="1" si="1"/>
        <v>0</v>
      </c>
      <c r="BE11" s="2">
        <f t="shared" ca="1" si="1"/>
        <v>0</v>
      </c>
      <c r="BF11" s="2">
        <f t="shared" ca="1" si="1"/>
        <v>0</v>
      </c>
      <c r="BG11" s="2">
        <f t="shared" ca="1" si="1"/>
        <v>0</v>
      </c>
      <c r="BH11" s="2">
        <f t="shared" ca="1" si="1"/>
        <v>0</v>
      </c>
      <c r="BI11" s="2">
        <f t="shared" ca="1" si="1"/>
        <v>0</v>
      </c>
      <c r="BJ11" s="2">
        <f t="shared" ca="1" si="1"/>
        <v>0</v>
      </c>
      <c r="BK11" s="2">
        <f t="shared" ca="1" si="1"/>
        <v>0</v>
      </c>
      <c r="BL11" s="2">
        <f t="shared" ca="1" si="1"/>
        <v>0</v>
      </c>
      <c r="BM11" s="2">
        <f t="shared" ca="1" si="1"/>
        <v>0</v>
      </c>
      <c r="BN11" s="2">
        <f t="shared" ca="1" si="1"/>
        <v>0</v>
      </c>
      <c r="BO11" s="2">
        <f t="shared" ca="1" si="1"/>
        <v>0</v>
      </c>
      <c r="BP11" s="2">
        <f t="shared" ca="1" si="1"/>
        <v>0</v>
      </c>
      <c r="BQ11" s="2">
        <f t="shared" ca="1" si="1"/>
        <v>0</v>
      </c>
    </row>
    <row r="12" spans="1:69">
      <c r="D12" s="66" t="s">
        <v>216</v>
      </c>
      <c r="E12" s="2" t="str">
        <f t="shared" ref="E12:AJ12" si="2">E$21</f>
        <v>Invoice finance drawdown</v>
      </c>
      <c r="F12" s="2">
        <f t="shared" si="2"/>
        <v>0</v>
      </c>
      <c r="G12" s="2" t="str">
        <f t="shared" si="2"/>
        <v>GBP</v>
      </c>
      <c r="H12" s="2">
        <f t="shared" ca="1" si="2"/>
        <v>0</v>
      </c>
      <c r="I12" s="2">
        <f t="shared" si="2"/>
        <v>0</v>
      </c>
      <c r="J12" s="2">
        <f t="shared" ca="1" si="2"/>
        <v>0</v>
      </c>
      <c r="K12" s="2">
        <f t="shared" ca="1" si="2"/>
        <v>0</v>
      </c>
      <c r="L12" s="2">
        <f t="shared" ca="1" si="2"/>
        <v>0</v>
      </c>
      <c r="M12" s="2">
        <f t="shared" ca="1" si="2"/>
        <v>0</v>
      </c>
      <c r="N12" s="2">
        <f t="shared" ca="1" si="2"/>
        <v>0</v>
      </c>
      <c r="O12" s="2">
        <f t="shared" ca="1" si="2"/>
        <v>0</v>
      </c>
      <c r="P12" s="2">
        <f t="shared" ca="1" si="2"/>
        <v>0</v>
      </c>
      <c r="Q12" s="2">
        <f t="shared" ca="1" si="2"/>
        <v>0</v>
      </c>
      <c r="R12" s="2">
        <f t="shared" ca="1" si="2"/>
        <v>0</v>
      </c>
      <c r="S12" s="2">
        <f t="shared" ca="1" si="2"/>
        <v>0</v>
      </c>
      <c r="T12" s="2">
        <f t="shared" ca="1" si="2"/>
        <v>0</v>
      </c>
      <c r="U12" s="2">
        <f t="shared" ca="1" si="2"/>
        <v>0</v>
      </c>
      <c r="V12" s="2">
        <f t="shared" ca="1" si="2"/>
        <v>0</v>
      </c>
      <c r="W12" s="2">
        <f t="shared" ca="1" si="2"/>
        <v>0</v>
      </c>
      <c r="X12" s="2">
        <f t="shared" ca="1" si="2"/>
        <v>0</v>
      </c>
      <c r="Y12" s="2">
        <f t="shared" ca="1" si="2"/>
        <v>0</v>
      </c>
      <c r="Z12" s="2">
        <f t="shared" ca="1" si="2"/>
        <v>0</v>
      </c>
      <c r="AA12" s="2">
        <f t="shared" ca="1" si="2"/>
        <v>0</v>
      </c>
      <c r="AB12" s="2">
        <f t="shared" ca="1" si="2"/>
        <v>0</v>
      </c>
      <c r="AC12" s="2">
        <f t="shared" ca="1" si="2"/>
        <v>0</v>
      </c>
      <c r="AD12" s="2">
        <f t="shared" ca="1" si="2"/>
        <v>0</v>
      </c>
      <c r="AE12" s="2">
        <f t="shared" ca="1" si="2"/>
        <v>0</v>
      </c>
      <c r="AF12" s="2">
        <f t="shared" ca="1" si="2"/>
        <v>0</v>
      </c>
      <c r="AG12" s="2">
        <f t="shared" ca="1" si="2"/>
        <v>0</v>
      </c>
      <c r="AH12" s="2">
        <f t="shared" ca="1" si="2"/>
        <v>0</v>
      </c>
      <c r="AI12" s="2">
        <f t="shared" ca="1" si="2"/>
        <v>0</v>
      </c>
      <c r="AJ12" s="2">
        <f t="shared" ca="1" si="2"/>
        <v>0</v>
      </c>
      <c r="AK12" s="2">
        <f t="shared" ref="AK12:BQ12" ca="1" si="3">AK$21</f>
        <v>0</v>
      </c>
      <c r="AL12" s="2">
        <f t="shared" ca="1" si="3"/>
        <v>0</v>
      </c>
      <c r="AM12" s="2">
        <f t="shared" ca="1" si="3"/>
        <v>0</v>
      </c>
      <c r="AN12" s="2">
        <f t="shared" ca="1" si="3"/>
        <v>0</v>
      </c>
      <c r="AO12" s="2">
        <f t="shared" ca="1" si="3"/>
        <v>0</v>
      </c>
      <c r="AP12" s="2">
        <f t="shared" ca="1" si="3"/>
        <v>0</v>
      </c>
      <c r="AQ12" s="2">
        <f t="shared" ca="1" si="3"/>
        <v>0</v>
      </c>
      <c r="AR12" s="2">
        <f t="shared" ca="1" si="3"/>
        <v>0</v>
      </c>
      <c r="AS12" s="2">
        <f t="shared" ca="1" si="3"/>
        <v>0</v>
      </c>
      <c r="AT12" s="2">
        <f t="shared" ca="1" si="3"/>
        <v>0</v>
      </c>
      <c r="AU12" s="2">
        <f t="shared" ca="1" si="3"/>
        <v>0</v>
      </c>
      <c r="AV12" s="2">
        <f t="shared" ca="1" si="3"/>
        <v>0</v>
      </c>
      <c r="AW12" s="2">
        <f t="shared" ca="1" si="3"/>
        <v>0</v>
      </c>
      <c r="AX12" s="2">
        <f t="shared" ca="1" si="3"/>
        <v>0</v>
      </c>
      <c r="AY12" s="2">
        <f t="shared" ca="1" si="3"/>
        <v>0</v>
      </c>
      <c r="AZ12" s="2">
        <f t="shared" ca="1" si="3"/>
        <v>0</v>
      </c>
      <c r="BA12" s="2">
        <f t="shared" ca="1" si="3"/>
        <v>0</v>
      </c>
      <c r="BB12" s="2">
        <f t="shared" ca="1" si="3"/>
        <v>0</v>
      </c>
      <c r="BC12" s="2">
        <f t="shared" ca="1" si="3"/>
        <v>0</v>
      </c>
      <c r="BD12" s="2">
        <f t="shared" ca="1" si="3"/>
        <v>0</v>
      </c>
      <c r="BE12" s="2">
        <f t="shared" ca="1" si="3"/>
        <v>0</v>
      </c>
      <c r="BF12" s="2">
        <f t="shared" ca="1" si="3"/>
        <v>0</v>
      </c>
      <c r="BG12" s="2">
        <f t="shared" ca="1" si="3"/>
        <v>0</v>
      </c>
      <c r="BH12" s="2">
        <f t="shared" ca="1" si="3"/>
        <v>0</v>
      </c>
      <c r="BI12" s="2">
        <f t="shared" ca="1" si="3"/>
        <v>0</v>
      </c>
      <c r="BJ12" s="2">
        <f t="shared" ca="1" si="3"/>
        <v>0</v>
      </c>
      <c r="BK12" s="2">
        <f t="shared" ca="1" si="3"/>
        <v>0</v>
      </c>
      <c r="BL12" s="2">
        <f t="shared" ca="1" si="3"/>
        <v>0</v>
      </c>
      <c r="BM12" s="2">
        <f t="shared" ca="1" si="3"/>
        <v>0</v>
      </c>
      <c r="BN12" s="2">
        <f t="shared" ca="1" si="3"/>
        <v>0</v>
      </c>
      <c r="BO12" s="2">
        <f t="shared" ca="1" si="3"/>
        <v>0</v>
      </c>
      <c r="BP12" s="2">
        <f t="shared" ca="1" si="3"/>
        <v>0</v>
      </c>
      <c r="BQ12" s="2">
        <f t="shared" ca="1" si="3"/>
        <v>0</v>
      </c>
    </row>
    <row r="13" spans="1:69">
      <c r="D13" s="66" t="s">
        <v>216</v>
      </c>
      <c r="E13" s="2" t="str">
        <f t="shared" ref="E13:AJ13" si="4">E$34</f>
        <v>Invoice finance unpaid interest</v>
      </c>
      <c r="F13" s="2">
        <f t="shared" si="4"/>
        <v>0</v>
      </c>
      <c r="G13" s="2" t="str">
        <f t="shared" si="4"/>
        <v>GBP</v>
      </c>
      <c r="H13" s="2">
        <f t="shared" ca="1" si="4"/>
        <v>0</v>
      </c>
      <c r="I13" s="2">
        <f t="shared" si="4"/>
        <v>0</v>
      </c>
      <c r="J13" s="2">
        <f t="shared" si="4"/>
        <v>0</v>
      </c>
      <c r="K13" s="2">
        <f t="shared" ca="1" si="4"/>
        <v>0</v>
      </c>
      <c r="L13" s="2">
        <f t="shared" ca="1" si="4"/>
        <v>0</v>
      </c>
      <c r="M13" s="2">
        <f t="shared" ca="1" si="4"/>
        <v>0</v>
      </c>
      <c r="N13" s="2">
        <f t="shared" ca="1" si="4"/>
        <v>0</v>
      </c>
      <c r="O13" s="2">
        <f t="shared" ca="1" si="4"/>
        <v>0</v>
      </c>
      <c r="P13" s="2">
        <f t="shared" ca="1" si="4"/>
        <v>0</v>
      </c>
      <c r="Q13" s="2">
        <f t="shared" ca="1" si="4"/>
        <v>0</v>
      </c>
      <c r="R13" s="2">
        <f t="shared" ca="1" si="4"/>
        <v>0</v>
      </c>
      <c r="S13" s="2">
        <f t="shared" ca="1" si="4"/>
        <v>0</v>
      </c>
      <c r="T13" s="2">
        <f t="shared" ca="1" si="4"/>
        <v>0</v>
      </c>
      <c r="U13" s="2">
        <f t="shared" ca="1" si="4"/>
        <v>0</v>
      </c>
      <c r="V13" s="2">
        <f t="shared" ca="1" si="4"/>
        <v>0</v>
      </c>
      <c r="W13" s="2">
        <f t="shared" ca="1" si="4"/>
        <v>0</v>
      </c>
      <c r="X13" s="2">
        <f t="shared" ca="1" si="4"/>
        <v>0</v>
      </c>
      <c r="Y13" s="2">
        <f t="shared" ca="1" si="4"/>
        <v>0</v>
      </c>
      <c r="Z13" s="2">
        <f t="shared" ca="1" si="4"/>
        <v>0</v>
      </c>
      <c r="AA13" s="2">
        <f t="shared" ca="1" si="4"/>
        <v>0</v>
      </c>
      <c r="AB13" s="2">
        <f t="shared" ca="1" si="4"/>
        <v>0</v>
      </c>
      <c r="AC13" s="2">
        <f t="shared" ca="1" si="4"/>
        <v>0</v>
      </c>
      <c r="AD13" s="2">
        <f t="shared" ca="1" si="4"/>
        <v>0</v>
      </c>
      <c r="AE13" s="2">
        <f t="shared" ca="1" si="4"/>
        <v>0</v>
      </c>
      <c r="AF13" s="2">
        <f t="shared" ca="1" si="4"/>
        <v>0</v>
      </c>
      <c r="AG13" s="2">
        <f t="shared" ca="1" si="4"/>
        <v>0</v>
      </c>
      <c r="AH13" s="2">
        <f t="shared" ca="1" si="4"/>
        <v>0</v>
      </c>
      <c r="AI13" s="2">
        <f t="shared" ca="1" si="4"/>
        <v>0</v>
      </c>
      <c r="AJ13" s="2">
        <f t="shared" ca="1" si="4"/>
        <v>0</v>
      </c>
      <c r="AK13" s="2">
        <f t="shared" ref="AK13:BQ13" ca="1" si="5">AK$34</f>
        <v>0</v>
      </c>
      <c r="AL13" s="2">
        <f t="shared" ca="1" si="5"/>
        <v>0</v>
      </c>
      <c r="AM13" s="2">
        <f t="shared" ca="1" si="5"/>
        <v>0</v>
      </c>
      <c r="AN13" s="2">
        <f t="shared" ca="1" si="5"/>
        <v>0</v>
      </c>
      <c r="AO13" s="2">
        <f t="shared" ca="1" si="5"/>
        <v>0</v>
      </c>
      <c r="AP13" s="2">
        <f t="shared" ca="1" si="5"/>
        <v>0</v>
      </c>
      <c r="AQ13" s="2">
        <f t="shared" ca="1" si="5"/>
        <v>0</v>
      </c>
      <c r="AR13" s="2">
        <f t="shared" ca="1" si="5"/>
        <v>0</v>
      </c>
      <c r="AS13" s="2">
        <f t="shared" ca="1" si="5"/>
        <v>0</v>
      </c>
      <c r="AT13" s="2">
        <f t="shared" ca="1" si="5"/>
        <v>0</v>
      </c>
      <c r="AU13" s="2">
        <f t="shared" ca="1" si="5"/>
        <v>0</v>
      </c>
      <c r="AV13" s="2">
        <f t="shared" ca="1" si="5"/>
        <v>0</v>
      </c>
      <c r="AW13" s="2">
        <f t="shared" ca="1" si="5"/>
        <v>0</v>
      </c>
      <c r="AX13" s="2">
        <f t="shared" ca="1" si="5"/>
        <v>0</v>
      </c>
      <c r="AY13" s="2">
        <f t="shared" ca="1" si="5"/>
        <v>0</v>
      </c>
      <c r="AZ13" s="2">
        <f t="shared" ca="1" si="5"/>
        <v>0</v>
      </c>
      <c r="BA13" s="2">
        <f t="shared" ca="1" si="5"/>
        <v>0</v>
      </c>
      <c r="BB13" s="2">
        <f t="shared" ca="1" si="5"/>
        <v>0</v>
      </c>
      <c r="BC13" s="2">
        <f t="shared" ca="1" si="5"/>
        <v>0</v>
      </c>
      <c r="BD13" s="2">
        <f t="shared" ca="1" si="5"/>
        <v>0</v>
      </c>
      <c r="BE13" s="2">
        <f t="shared" ca="1" si="5"/>
        <v>0</v>
      </c>
      <c r="BF13" s="2">
        <f t="shared" ca="1" si="5"/>
        <v>0</v>
      </c>
      <c r="BG13" s="2">
        <f t="shared" ca="1" si="5"/>
        <v>0</v>
      </c>
      <c r="BH13" s="2">
        <f t="shared" ca="1" si="5"/>
        <v>0</v>
      </c>
      <c r="BI13" s="2">
        <f t="shared" ca="1" si="5"/>
        <v>0</v>
      </c>
      <c r="BJ13" s="2">
        <f t="shared" ca="1" si="5"/>
        <v>0</v>
      </c>
      <c r="BK13" s="2">
        <f t="shared" ca="1" si="5"/>
        <v>0</v>
      </c>
      <c r="BL13" s="2">
        <f t="shared" ca="1" si="5"/>
        <v>0</v>
      </c>
      <c r="BM13" s="2">
        <f t="shared" ca="1" si="5"/>
        <v>0</v>
      </c>
      <c r="BN13" s="2">
        <f t="shared" ca="1" si="5"/>
        <v>0</v>
      </c>
      <c r="BO13" s="2">
        <f t="shared" ca="1" si="5"/>
        <v>0</v>
      </c>
      <c r="BP13" s="2">
        <f t="shared" ca="1" si="5"/>
        <v>0</v>
      </c>
      <c r="BQ13" s="2">
        <f t="shared" ca="1" si="5"/>
        <v>0</v>
      </c>
    </row>
    <row r="14" spans="1:69">
      <c r="D14" s="66" t="s">
        <v>293</v>
      </c>
      <c r="E14" s="2" t="str">
        <f t="shared" ref="E14:AJ14" si="6">E$27</f>
        <v>Invoice finance principal repayment POS</v>
      </c>
      <c r="F14" s="2">
        <f t="shared" si="6"/>
        <v>0</v>
      </c>
      <c r="G14" s="2" t="str">
        <f t="shared" si="6"/>
        <v>GBP</v>
      </c>
      <c r="H14" s="2">
        <f t="shared" ca="1" si="6"/>
        <v>0</v>
      </c>
      <c r="I14" s="2">
        <f t="shared" si="6"/>
        <v>0</v>
      </c>
      <c r="J14" s="2">
        <f t="shared" ca="1" si="6"/>
        <v>0</v>
      </c>
      <c r="K14" s="2">
        <f t="shared" ca="1" si="6"/>
        <v>0</v>
      </c>
      <c r="L14" s="2">
        <f t="shared" ca="1" si="6"/>
        <v>0</v>
      </c>
      <c r="M14" s="2">
        <f t="shared" ca="1" si="6"/>
        <v>0</v>
      </c>
      <c r="N14" s="2">
        <f t="shared" ca="1" si="6"/>
        <v>0</v>
      </c>
      <c r="O14" s="2">
        <f t="shared" ca="1" si="6"/>
        <v>0</v>
      </c>
      <c r="P14" s="2">
        <f t="shared" ca="1" si="6"/>
        <v>0</v>
      </c>
      <c r="Q14" s="2">
        <f t="shared" ca="1" si="6"/>
        <v>0</v>
      </c>
      <c r="R14" s="2">
        <f t="shared" ca="1" si="6"/>
        <v>0</v>
      </c>
      <c r="S14" s="2">
        <f t="shared" ca="1" si="6"/>
        <v>0</v>
      </c>
      <c r="T14" s="2">
        <f t="shared" ca="1" si="6"/>
        <v>0</v>
      </c>
      <c r="U14" s="2">
        <f t="shared" ca="1" si="6"/>
        <v>0</v>
      </c>
      <c r="V14" s="2">
        <f t="shared" ca="1" si="6"/>
        <v>0</v>
      </c>
      <c r="W14" s="2">
        <f t="shared" ca="1" si="6"/>
        <v>0</v>
      </c>
      <c r="X14" s="2">
        <f t="shared" ca="1" si="6"/>
        <v>0</v>
      </c>
      <c r="Y14" s="2">
        <f t="shared" ca="1" si="6"/>
        <v>0</v>
      </c>
      <c r="Z14" s="2">
        <f t="shared" ca="1" si="6"/>
        <v>0</v>
      </c>
      <c r="AA14" s="2">
        <f t="shared" ca="1" si="6"/>
        <v>0</v>
      </c>
      <c r="AB14" s="2">
        <f t="shared" ca="1" si="6"/>
        <v>0</v>
      </c>
      <c r="AC14" s="2">
        <f t="shared" ca="1" si="6"/>
        <v>0</v>
      </c>
      <c r="AD14" s="2">
        <f t="shared" ca="1" si="6"/>
        <v>0</v>
      </c>
      <c r="AE14" s="2">
        <f t="shared" ca="1" si="6"/>
        <v>0</v>
      </c>
      <c r="AF14" s="2">
        <f t="shared" ca="1" si="6"/>
        <v>0</v>
      </c>
      <c r="AG14" s="2">
        <f t="shared" ca="1" si="6"/>
        <v>0</v>
      </c>
      <c r="AH14" s="2">
        <f t="shared" ca="1" si="6"/>
        <v>0</v>
      </c>
      <c r="AI14" s="2">
        <f t="shared" ca="1" si="6"/>
        <v>0</v>
      </c>
      <c r="AJ14" s="2">
        <f t="shared" ca="1" si="6"/>
        <v>0</v>
      </c>
      <c r="AK14" s="2">
        <f t="shared" ref="AK14:BQ14" ca="1" si="7">AK$27</f>
        <v>0</v>
      </c>
      <c r="AL14" s="2">
        <f t="shared" ca="1" si="7"/>
        <v>0</v>
      </c>
      <c r="AM14" s="2">
        <f t="shared" ca="1" si="7"/>
        <v>0</v>
      </c>
      <c r="AN14" s="2">
        <f t="shared" ca="1" si="7"/>
        <v>0</v>
      </c>
      <c r="AO14" s="2">
        <f t="shared" ca="1" si="7"/>
        <v>0</v>
      </c>
      <c r="AP14" s="2">
        <f t="shared" ca="1" si="7"/>
        <v>0</v>
      </c>
      <c r="AQ14" s="2">
        <f t="shared" ca="1" si="7"/>
        <v>0</v>
      </c>
      <c r="AR14" s="2">
        <f t="shared" ca="1" si="7"/>
        <v>0</v>
      </c>
      <c r="AS14" s="2">
        <f t="shared" ca="1" si="7"/>
        <v>0</v>
      </c>
      <c r="AT14" s="2">
        <f t="shared" ca="1" si="7"/>
        <v>0</v>
      </c>
      <c r="AU14" s="2">
        <f t="shared" ca="1" si="7"/>
        <v>0</v>
      </c>
      <c r="AV14" s="2">
        <f t="shared" ca="1" si="7"/>
        <v>0</v>
      </c>
      <c r="AW14" s="2">
        <f t="shared" ca="1" si="7"/>
        <v>0</v>
      </c>
      <c r="AX14" s="2">
        <f t="shared" ca="1" si="7"/>
        <v>0</v>
      </c>
      <c r="AY14" s="2">
        <f t="shared" ca="1" si="7"/>
        <v>0</v>
      </c>
      <c r="AZ14" s="2">
        <f t="shared" ca="1" si="7"/>
        <v>0</v>
      </c>
      <c r="BA14" s="2">
        <f t="shared" ca="1" si="7"/>
        <v>0</v>
      </c>
      <c r="BB14" s="2">
        <f t="shared" ca="1" si="7"/>
        <v>0</v>
      </c>
      <c r="BC14" s="2">
        <f t="shared" ca="1" si="7"/>
        <v>0</v>
      </c>
      <c r="BD14" s="2">
        <f t="shared" ca="1" si="7"/>
        <v>0</v>
      </c>
      <c r="BE14" s="2">
        <f t="shared" ca="1" si="7"/>
        <v>0</v>
      </c>
      <c r="BF14" s="2">
        <f t="shared" ca="1" si="7"/>
        <v>0</v>
      </c>
      <c r="BG14" s="2">
        <f t="shared" ca="1" si="7"/>
        <v>0</v>
      </c>
      <c r="BH14" s="2">
        <f t="shared" ca="1" si="7"/>
        <v>0</v>
      </c>
      <c r="BI14" s="2">
        <f t="shared" ca="1" si="7"/>
        <v>0</v>
      </c>
      <c r="BJ14" s="2">
        <f t="shared" ca="1" si="7"/>
        <v>0</v>
      </c>
      <c r="BK14" s="2">
        <f t="shared" ca="1" si="7"/>
        <v>0</v>
      </c>
      <c r="BL14" s="2">
        <f t="shared" ca="1" si="7"/>
        <v>0</v>
      </c>
      <c r="BM14" s="2">
        <f t="shared" ca="1" si="7"/>
        <v>0</v>
      </c>
      <c r="BN14" s="2">
        <f t="shared" ca="1" si="7"/>
        <v>0</v>
      </c>
      <c r="BO14" s="2">
        <f t="shared" ca="1" si="7"/>
        <v>0</v>
      </c>
      <c r="BP14" s="2">
        <f t="shared" ca="1" si="7"/>
        <v>0</v>
      </c>
      <c r="BQ14" s="2">
        <f t="shared" ca="1" si="7"/>
        <v>0</v>
      </c>
    </row>
    <row r="15" spans="1:69" s="32" customFormat="1">
      <c r="A15" s="48"/>
      <c r="B15" s="48"/>
      <c r="C15" s="68"/>
      <c r="D15" s="69"/>
      <c r="E15" s="11" t="s">
        <v>297</v>
      </c>
      <c r="F15" s="11"/>
      <c r="G15" s="11" t="s">
        <v>252</v>
      </c>
      <c r="H15" s="11"/>
      <c r="I15" s="11">
        <f t="shared" ref="I15:AN15" si="8">IF(I10=0,$F9,I11+I12+I13-I14)</f>
        <v>0</v>
      </c>
      <c r="J15" s="11">
        <f t="shared" ca="1" si="8"/>
        <v>0</v>
      </c>
      <c r="K15" s="11">
        <f t="shared" ca="1" si="8"/>
        <v>0</v>
      </c>
      <c r="L15" s="11">
        <f t="shared" ca="1" si="8"/>
        <v>0</v>
      </c>
      <c r="M15" s="11">
        <f t="shared" ca="1" si="8"/>
        <v>0</v>
      </c>
      <c r="N15" s="11">
        <f t="shared" ca="1" si="8"/>
        <v>0</v>
      </c>
      <c r="O15" s="11">
        <f t="shared" ca="1" si="8"/>
        <v>0</v>
      </c>
      <c r="P15" s="11">
        <f t="shared" ca="1" si="8"/>
        <v>0</v>
      </c>
      <c r="Q15" s="11">
        <f t="shared" ca="1" si="8"/>
        <v>0</v>
      </c>
      <c r="R15" s="11">
        <f t="shared" ca="1" si="8"/>
        <v>0</v>
      </c>
      <c r="S15" s="11">
        <f t="shared" ca="1" si="8"/>
        <v>0</v>
      </c>
      <c r="T15" s="11">
        <f t="shared" ca="1" si="8"/>
        <v>0</v>
      </c>
      <c r="U15" s="11">
        <f t="shared" ca="1" si="8"/>
        <v>0</v>
      </c>
      <c r="V15" s="11">
        <f t="shared" ca="1" si="8"/>
        <v>0</v>
      </c>
      <c r="W15" s="11">
        <f t="shared" ca="1" si="8"/>
        <v>0</v>
      </c>
      <c r="X15" s="11">
        <f t="shared" ca="1" si="8"/>
        <v>0</v>
      </c>
      <c r="Y15" s="11">
        <f t="shared" ca="1" si="8"/>
        <v>0</v>
      </c>
      <c r="Z15" s="11">
        <f t="shared" ca="1" si="8"/>
        <v>0</v>
      </c>
      <c r="AA15" s="11">
        <f t="shared" ca="1" si="8"/>
        <v>0</v>
      </c>
      <c r="AB15" s="11">
        <f t="shared" ca="1" si="8"/>
        <v>0</v>
      </c>
      <c r="AC15" s="11">
        <f t="shared" ca="1" si="8"/>
        <v>0</v>
      </c>
      <c r="AD15" s="11">
        <f t="shared" ca="1" si="8"/>
        <v>0</v>
      </c>
      <c r="AE15" s="11">
        <f t="shared" ca="1" si="8"/>
        <v>0</v>
      </c>
      <c r="AF15" s="11">
        <f t="shared" ca="1" si="8"/>
        <v>0</v>
      </c>
      <c r="AG15" s="11">
        <f t="shared" ca="1" si="8"/>
        <v>0</v>
      </c>
      <c r="AH15" s="11">
        <f t="shared" ca="1" si="8"/>
        <v>0</v>
      </c>
      <c r="AI15" s="11">
        <f t="shared" ca="1" si="8"/>
        <v>0</v>
      </c>
      <c r="AJ15" s="11">
        <f t="shared" ca="1" si="8"/>
        <v>0</v>
      </c>
      <c r="AK15" s="11">
        <f t="shared" ca="1" si="8"/>
        <v>0</v>
      </c>
      <c r="AL15" s="11">
        <f t="shared" ca="1" si="8"/>
        <v>0</v>
      </c>
      <c r="AM15" s="11">
        <f t="shared" ca="1" si="8"/>
        <v>0</v>
      </c>
      <c r="AN15" s="11">
        <f t="shared" ca="1" si="8"/>
        <v>0</v>
      </c>
      <c r="AO15" s="11">
        <f t="shared" ref="AO15:BT15" ca="1" si="9">IF(AO10=0,$F9,AO11+AO12+AO13-AO14)</f>
        <v>0</v>
      </c>
      <c r="AP15" s="11">
        <f t="shared" ca="1" si="9"/>
        <v>0</v>
      </c>
      <c r="AQ15" s="11">
        <f t="shared" ca="1" si="9"/>
        <v>0</v>
      </c>
      <c r="AR15" s="11">
        <f t="shared" ca="1" si="9"/>
        <v>0</v>
      </c>
      <c r="AS15" s="11">
        <f t="shared" ca="1" si="9"/>
        <v>0</v>
      </c>
      <c r="AT15" s="11">
        <f t="shared" ca="1" si="9"/>
        <v>0</v>
      </c>
      <c r="AU15" s="11">
        <f t="shared" ca="1" si="9"/>
        <v>0</v>
      </c>
      <c r="AV15" s="11">
        <f t="shared" ca="1" si="9"/>
        <v>0</v>
      </c>
      <c r="AW15" s="11">
        <f t="shared" ca="1" si="9"/>
        <v>0</v>
      </c>
      <c r="AX15" s="11">
        <f t="shared" ca="1" si="9"/>
        <v>0</v>
      </c>
      <c r="AY15" s="11">
        <f t="shared" ca="1" si="9"/>
        <v>0</v>
      </c>
      <c r="AZ15" s="11">
        <f t="shared" ca="1" si="9"/>
        <v>0</v>
      </c>
      <c r="BA15" s="11">
        <f t="shared" ca="1" si="9"/>
        <v>0</v>
      </c>
      <c r="BB15" s="11">
        <f t="shared" ca="1" si="9"/>
        <v>0</v>
      </c>
      <c r="BC15" s="11">
        <f t="shared" ca="1" si="9"/>
        <v>0</v>
      </c>
      <c r="BD15" s="11">
        <f t="shared" ca="1" si="9"/>
        <v>0</v>
      </c>
      <c r="BE15" s="11">
        <f t="shared" ca="1" si="9"/>
        <v>0</v>
      </c>
      <c r="BF15" s="11">
        <f t="shared" ca="1" si="9"/>
        <v>0</v>
      </c>
      <c r="BG15" s="11">
        <f t="shared" ca="1" si="9"/>
        <v>0</v>
      </c>
      <c r="BH15" s="11">
        <f t="shared" ca="1" si="9"/>
        <v>0</v>
      </c>
      <c r="BI15" s="11">
        <f t="shared" ca="1" si="9"/>
        <v>0</v>
      </c>
      <c r="BJ15" s="11">
        <f t="shared" ca="1" si="9"/>
        <v>0</v>
      </c>
      <c r="BK15" s="11">
        <f t="shared" ca="1" si="9"/>
        <v>0</v>
      </c>
      <c r="BL15" s="11">
        <f t="shared" ca="1" si="9"/>
        <v>0</v>
      </c>
      <c r="BM15" s="11">
        <f t="shared" ca="1" si="9"/>
        <v>0</v>
      </c>
      <c r="BN15" s="11">
        <f t="shared" ca="1" si="9"/>
        <v>0</v>
      </c>
      <c r="BO15" s="11">
        <f t="shared" ca="1" si="9"/>
        <v>0</v>
      </c>
      <c r="BP15" s="11">
        <f t="shared" ca="1" si="9"/>
        <v>0</v>
      </c>
      <c r="BQ15" s="11">
        <f t="shared" ca="1" si="9"/>
        <v>0</v>
      </c>
    </row>
    <row r="17" spans="1:69">
      <c r="B17" s="22" t="s">
        <v>14</v>
      </c>
    </row>
    <row r="18" spans="1:69">
      <c r="A18" s="17"/>
      <c r="B18" s="17"/>
      <c r="C18" s="26"/>
      <c r="D18" s="27"/>
      <c r="E18" s="36" t="str">
        <f>InpC!E$61</f>
        <v>Invoice Finance Advance %</v>
      </c>
      <c r="F18" s="36">
        <f>InpC!F$61</f>
        <v>0.9</v>
      </c>
      <c r="G18" s="36" t="str">
        <f>InpC!G$61</f>
        <v>%</v>
      </c>
      <c r="M18" s="45"/>
    </row>
    <row r="19" spans="1:69">
      <c r="A19" s="17"/>
      <c r="B19" s="17"/>
      <c r="C19" s="26"/>
      <c r="D19" s="27"/>
      <c r="E19" s="4" t="str">
        <f>Income!E$18</f>
        <v>Income</v>
      </c>
      <c r="F19" s="4">
        <f>Income!F$18</f>
        <v>0</v>
      </c>
      <c r="G19" s="4" t="str">
        <f>Income!G$18</f>
        <v>GBP</v>
      </c>
      <c r="H19" s="4">
        <f ca="1">Income!H$18</f>
        <v>106647181.69069508</v>
      </c>
      <c r="I19" s="4">
        <f>Income!I$18</f>
        <v>0</v>
      </c>
      <c r="J19" s="4">
        <f ca="1">Income!J$18</f>
        <v>0</v>
      </c>
      <c r="K19" s="4">
        <f ca="1">Income!K$18</f>
        <v>0</v>
      </c>
      <c r="L19" s="4">
        <f ca="1">Income!L$18</f>
        <v>0</v>
      </c>
      <c r="M19" s="4">
        <f ca="1">Income!M$18</f>
        <v>0</v>
      </c>
      <c r="N19" s="4">
        <f ca="1">Income!N$18</f>
        <v>0</v>
      </c>
      <c r="O19" s="4">
        <f ca="1">Income!O$18</f>
        <v>0</v>
      </c>
      <c r="P19" s="4">
        <f ca="1">Income!P$18</f>
        <v>0</v>
      </c>
      <c r="Q19" s="4">
        <f ca="1">Income!Q$18</f>
        <v>146875.4946458746</v>
      </c>
      <c r="R19" s="4">
        <f ca="1">Income!R$18</f>
        <v>173149.86682920906</v>
      </c>
      <c r="S19" s="4">
        <f ca="1">Income!S$18</f>
        <v>175000</v>
      </c>
      <c r="T19" s="4">
        <f ca="1">Income!T$18</f>
        <v>175000</v>
      </c>
      <c r="U19" s="4">
        <f ca="1">Income!U$18</f>
        <v>175000</v>
      </c>
      <c r="V19" s="4">
        <f ca="1">Income!V$18</f>
        <v>175000</v>
      </c>
      <c r="W19" s="4">
        <f ca="1">Income!W$18</f>
        <v>329823.19998942426</v>
      </c>
      <c r="X19" s="4">
        <f ca="1">Income!X$18</f>
        <v>350000</v>
      </c>
      <c r="Y19" s="4">
        <f ca="1">Income!Y$18</f>
        <v>350000</v>
      </c>
      <c r="Z19" s="4">
        <f ca="1">Income!Z$18</f>
        <v>350000</v>
      </c>
      <c r="AA19" s="4">
        <f ca="1">Income!AA$18</f>
        <v>350000</v>
      </c>
      <c r="AB19" s="4">
        <f ca="1">Income!AB$18</f>
        <v>350000</v>
      </c>
      <c r="AC19" s="4">
        <f ca="1">Income!AC$18</f>
        <v>525000</v>
      </c>
      <c r="AD19" s="4">
        <f ca="1">Income!AD$18</f>
        <v>525000</v>
      </c>
      <c r="AE19" s="4">
        <f ca="1">Income!AE$18</f>
        <v>525000</v>
      </c>
      <c r="AF19" s="4">
        <f ca="1">Income!AF$18</f>
        <v>525000</v>
      </c>
      <c r="AG19" s="4">
        <f ca="1">Income!AG$18</f>
        <v>700000</v>
      </c>
      <c r="AH19" s="4">
        <f ca="1">Income!AH$18</f>
        <v>682500</v>
      </c>
      <c r="AI19" s="4">
        <f ca="1">Income!AI$18</f>
        <v>698938.84575325763</v>
      </c>
      <c r="AJ19" s="4">
        <f ca="1">Income!AJ$18</f>
        <v>716411.85027142079</v>
      </c>
      <c r="AK19" s="4">
        <f ca="1">Income!AK$18</f>
        <v>909869.67182623129</v>
      </c>
      <c r="AL19" s="4">
        <f ca="1">Income!AL$18</f>
        <v>929446.72742267023</v>
      </c>
      <c r="AM19" s="4">
        <f ca="1">Income!AM$18</f>
        <v>950255.36484303907</v>
      </c>
      <c r="AN19" s="4">
        <f ca="1">Income!AN$18</f>
        <v>1147236.8229205357</v>
      </c>
      <c r="AO19" s="4">
        <f ca="1">Income!AO$18</f>
        <v>1170601.1224625402</v>
      </c>
      <c r="AP19" s="4">
        <f ca="1">Income!AP$18</f>
        <v>1370282.2854102841</v>
      </c>
      <c r="AQ19" s="4">
        <f ca="1">Income!AQ$18</f>
        <v>1396460.0495509729</v>
      </c>
      <c r="AR19" s="4">
        <f ca="1">Income!AR$18</f>
        <v>1424393.3918103829</v>
      </c>
      <c r="AS19" s="4">
        <f ca="1">Income!AS$18</f>
        <v>1628689.4041709893</v>
      </c>
      <c r="AT19" s="4">
        <f ca="1">Income!AT$18</f>
        <v>1659823.1999894241</v>
      </c>
      <c r="AU19" s="4">
        <f ca="1">Income!AU$18</f>
        <v>1692668.6670773155</v>
      </c>
      <c r="AV19" s="4">
        <f ca="1">Income!AV$18</f>
        <v>1902648.0766761205</v>
      </c>
      <c r="AW19" s="4">
        <f ca="1">Income!AW$18</f>
        <v>1939596.244656648</v>
      </c>
      <c r="AX19" s="4">
        <f ca="1">Income!AX$18</f>
        <v>2153781.6970723947</v>
      </c>
      <c r="AY19" s="4">
        <f ca="1">Income!AY$18</f>
        <v>2195428.7937488197</v>
      </c>
      <c r="AZ19" s="4">
        <f ca="1">Income!AZ$18</f>
        <v>2414419.9285778757</v>
      </c>
      <c r="BA19" s="4">
        <f ca="1">Income!BA$18</f>
        <v>2636174.6023709257</v>
      </c>
      <c r="BB19" s="4">
        <f ca="1">Income!BB$18</f>
        <v>2685531.3065014896</v>
      </c>
      <c r="BC19" s="4">
        <f ca="1">Income!BC$18</f>
        <v>2912934.0284541845</v>
      </c>
      <c r="BD19" s="4">
        <f ca="1">Income!BD$18</f>
        <v>3143867.4549500649</v>
      </c>
      <c r="BE19" s="4">
        <f ca="1">Income!BE$18</f>
        <v>3202477.1000721515</v>
      </c>
      <c r="BF19" s="4">
        <f ca="1">Income!BF$18</f>
        <v>3424020.3631239873</v>
      </c>
      <c r="BG19" s="4">
        <f ca="1">Income!BG$18</f>
        <v>3679616.2967353612</v>
      </c>
      <c r="BH19" s="4">
        <f ca="1">Income!BH$18</f>
        <v>3940278.5662991563</v>
      </c>
      <c r="BI19" s="4">
        <f ca="1">Income!BI$18</f>
        <v>4205765.2719614776</v>
      </c>
      <c r="BJ19" s="4">
        <f ca="1">Income!BJ$18</f>
        <v>4476734.6463104058</v>
      </c>
      <c r="BK19" s="4">
        <f ca="1">Income!BK$18</f>
        <v>4753736.7456466844</v>
      </c>
      <c r="BL19" s="4">
        <f ca="1">Income!BL$18</f>
        <v>5036483.5284200152</v>
      </c>
      <c r="BM19" s="4">
        <f ca="1">Income!BM$18</f>
        <v>5326003.3752347399</v>
      </c>
      <c r="BN19" s="4">
        <f ca="1">Income!BN$18</f>
        <v>5621925.7813064922</v>
      </c>
      <c r="BO19" s="4">
        <f ca="1">Income!BO$18</f>
        <v>5925267.6243523387</v>
      </c>
      <c r="BP19" s="4">
        <f ca="1">Income!BP$18</f>
        <v>6237250.9906693799</v>
      </c>
      <c r="BQ19" s="4">
        <f ca="1">Income!BQ$18</f>
        <v>6555813.3025807934</v>
      </c>
    </row>
    <row r="20" spans="1:69">
      <c r="A20" s="17"/>
      <c r="B20" s="17"/>
      <c r="C20" s="26"/>
      <c r="D20" s="27"/>
      <c r="E20" s="4" t="str">
        <f>Time!E$237</f>
        <v>Invoice Finance Enabled flag</v>
      </c>
      <c r="F20" s="4">
        <f>Time!F$237</f>
        <v>0</v>
      </c>
      <c r="G20" s="4" t="str">
        <f>Time!G$237</f>
        <v>flag</v>
      </c>
      <c r="H20" s="4">
        <f>Time!H$237</f>
        <v>0</v>
      </c>
      <c r="I20" s="4">
        <f>Time!I$237</f>
        <v>0</v>
      </c>
      <c r="J20" s="4">
        <f>Time!J$237</f>
        <v>0</v>
      </c>
      <c r="K20" s="4">
        <f>Time!K$237</f>
        <v>0</v>
      </c>
      <c r="L20" s="4">
        <f>Time!L$237</f>
        <v>0</v>
      </c>
      <c r="M20" s="4">
        <f>Time!M$237</f>
        <v>0</v>
      </c>
      <c r="N20" s="4">
        <f>Time!N$237</f>
        <v>0</v>
      </c>
      <c r="O20" s="4">
        <f>Time!O$237</f>
        <v>0</v>
      </c>
      <c r="P20" s="4">
        <f>Time!P$237</f>
        <v>0</v>
      </c>
      <c r="Q20" s="4">
        <f>Time!Q$237</f>
        <v>0</v>
      </c>
      <c r="R20" s="4">
        <f>Time!R$237</f>
        <v>0</v>
      </c>
      <c r="S20" s="4">
        <f>Time!S$237</f>
        <v>0</v>
      </c>
      <c r="T20" s="4">
        <f>Time!T$237</f>
        <v>0</v>
      </c>
      <c r="U20" s="4">
        <f>Time!U$237</f>
        <v>0</v>
      </c>
      <c r="V20" s="4">
        <f>Time!V$237</f>
        <v>0</v>
      </c>
      <c r="W20" s="4">
        <f>Time!W$237</f>
        <v>0</v>
      </c>
      <c r="X20" s="4">
        <f>Time!X$237</f>
        <v>0</v>
      </c>
      <c r="Y20" s="4">
        <f>Time!Y$237</f>
        <v>0</v>
      </c>
      <c r="Z20" s="4">
        <f>Time!Z$237</f>
        <v>0</v>
      </c>
      <c r="AA20" s="4">
        <f>Time!AA$237</f>
        <v>0</v>
      </c>
      <c r="AB20" s="4">
        <f>Time!AB$237</f>
        <v>0</v>
      </c>
      <c r="AC20" s="4">
        <f>Time!AC$237</f>
        <v>0</v>
      </c>
      <c r="AD20" s="4">
        <f>Time!AD$237</f>
        <v>0</v>
      </c>
      <c r="AE20" s="4">
        <f>Time!AE$237</f>
        <v>0</v>
      </c>
      <c r="AF20" s="4">
        <f>Time!AF$237</f>
        <v>0</v>
      </c>
      <c r="AG20" s="4">
        <f>Time!AG$237</f>
        <v>0</v>
      </c>
      <c r="AH20" s="4">
        <f>Time!AH$237</f>
        <v>0</v>
      </c>
      <c r="AI20" s="4">
        <f>Time!AI$237</f>
        <v>0</v>
      </c>
      <c r="AJ20" s="4">
        <f>Time!AJ$237</f>
        <v>0</v>
      </c>
      <c r="AK20" s="4">
        <f>Time!AK$237</f>
        <v>0</v>
      </c>
      <c r="AL20" s="4">
        <f>Time!AL$237</f>
        <v>0</v>
      </c>
      <c r="AM20" s="4">
        <f>Time!AM$237</f>
        <v>0</v>
      </c>
      <c r="AN20" s="4">
        <f>Time!AN$237</f>
        <v>0</v>
      </c>
      <c r="AO20" s="4">
        <f>Time!AO$237</f>
        <v>0</v>
      </c>
      <c r="AP20" s="4">
        <f>Time!AP$237</f>
        <v>0</v>
      </c>
      <c r="AQ20" s="4">
        <f>Time!AQ$237</f>
        <v>0</v>
      </c>
      <c r="AR20" s="4">
        <f>Time!AR$237</f>
        <v>0</v>
      </c>
      <c r="AS20" s="4">
        <f>Time!AS$237</f>
        <v>0</v>
      </c>
      <c r="AT20" s="4">
        <f>Time!AT$237</f>
        <v>0</v>
      </c>
      <c r="AU20" s="4">
        <f>Time!AU$237</f>
        <v>0</v>
      </c>
      <c r="AV20" s="4">
        <f>Time!AV$237</f>
        <v>0</v>
      </c>
      <c r="AW20" s="4">
        <f>Time!AW$237</f>
        <v>0</v>
      </c>
      <c r="AX20" s="4">
        <f>Time!AX$237</f>
        <v>0</v>
      </c>
      <c r="AY20" s="4">
        <f>Time!AY$237</f>
        <v>0</v>
      </c>
      <c r="AZ20" s="4">
        <f>Time!AZ$237</f>
        <v>0</v>
      </c>
      <c r="BA20" s="4">
        <f>Time!BA$237</f>
        <v>0</v>
      </c>
      <c r="BB20" s="4">
        <f>Time!BB$237</f>
        <v>0</v>
      </c>
      <c r="BC20" s="4">
        <f>Time!BC$237</f>
        <v>0</v>
      </c>
      <c r="BD20" s="4">
        <f>Time!BD$237</f>
        <v>0</v>
      </c>
      <c r="BE20" s="4">
        <f>Time!BE$237</f>
        <v>0</v>
      </c>
      <c r="BF20" s="4">
        <f>Time!BF$237</f>
        <v>0</v>
      </c>
      <c r="BG20" s="4">
        <f>Time!BG$237</f>
        <v>0</v>
      </c>
      <c r="BH20" s="4">
        <f>Time!BH$237</f>
        <v>0</v>
      </c>
      <c r="BI20" s="4">
        <f>Time!BI$237</f>
        <v>0</v>
      </c>
      <c r="BJ20" s="4">
        <f>Time!BJ$237</f>
        <v>0</v>
      </c>
      <c r="BK20" s="4">
        <f>Time!BK$237</f>
        <v>0</v>
      </c>
      <c r="BL20" s="4">
        <f>Time!BL$237</f>
        <v>0</v>
      </c>
      <c r="BM20" s="4">
        <f>Time!BM$237</f>
        <v>0</v>
      </c>
      <c r="BN20" s="4">
        <f>Time!BN$237</f>
        <v>0</v>
      </c>
      <c r="BO20" s="4">
        <f>Time!BO$237</f>
        <v>0</v>
      </c>
      <c r="BP20" s="4">
        <f>Time!BP$237</f>
        <v>0</v>
      </c>
      <c r="BQ20" s="4">
        <f>Time!BQ$237</f>
        <v>0</v>
      </c>
    </row>
    <row r="21" spans="1:69">
      <c r="A21" s="31"/>
      <c r="B21" s="31"/>
      <c r="C21" s="51"/>
      <c r="D21" s="50"/>
      <c r="E21" s="3" t="s">
        <v>14</v>
      </c>
      <c r="F21" s="3"/>
      <c r="G21" s="3" t="s">
        <v>252</v>
      </c>
      <c r="H21" s="3">
        <f ca="1">SUM(J21:BQ21)</f>
        <v>0</v>
      </c>
      <c r="I21" s="3"/>
      <c r="J21" s="3">
        <f t="shared" ref="J21:AO21" ca="1" si="10">J20*J19*$F18</f>
        <v>0</v>
      </c>
      <c r="K21" s="3">
        <f t="shared" ca="1" si="10"/>
        <v>0</v>
      </c>
      <c r="L21" s="3">
        <f t="shared" ca="1" si="10"/>
        <v>0</v>
      </c>
      <c r="M21" s="3">
        <f t="shared" ca="1" si="10"/>
        <v>0</v>
      </c>
      <c r="N21" s="3">
        <f t="shared" ca="1" si="10"/>
        <v>0</v>
      </c>
      <c r="O21" s="3">
        <f t="shared" ca="1" si="10"/>
        <v>0</v>
      </c>
      <c r="P21" s="3">
        <f t="shared" ca="1" si="10"/>
        <v>0</v>
      </c>
      <c r="Q21" s="3">
        <f t="shared" ca="1" si="10"/>
        <v>0</v>
      </c>
      <c r="R21" s="3">
        <f t="shared" ca="1" si="10"/>
        <v>0</v>
      </c>
      <c r="S21" s="3">
        <f t="shared" ca="1" si="10"/>
        <v>0</v>
      </c>
      <c r="T21" s="3">
        <f t="shared" ca="1" si="10"/>
        <v>0</v>
      </c>
      <c r="U21" s="3">
        <f t="shared" ca="1" si="10"/>
        <v>0</v>
      </c>
      <c r="V21" s="3">
        <f t="shared" ca="1" si="10"/>
        <v>0</v>
      </c>
      <c r="W21" s="3">
        <f t="shared" ca="1" si="10"/>
        <v>0</v>
      </c>
      <c r="X21" s="3">
        <f t="shared" ca="1" si="10"/>
        <v>0</v>
      </c>
      <c r="Y21" s="3">
        <f t="shared" ca="1" si="10"/>
        <v>0</v>
      </c>
      <c r="Z21" s="3">
        <f t="shared" ca="1" si="10"/>
        <v>0</v>
      </c>
      <c r="AA21" s="3">
        <f t="shared" ca="1" si="10"/>
        <v>0</v>
      </c>
      <c r="AB21" s="3">
        <f t="shared" ca="1" si="10"/>
        <v>0</v>
      </c>
      <c r="AC21" s="3">
        <f t="shared" ca="1" si="10"/>
        <v>0</v>
      </c>
      <c r="AD21" s="3">
        <f t="shared" ca="1" si="10"/>
        <v>0</v>
      </c>
      <c r="AE21" s="3">
        <f t="shared" ca="1" si="10"/>
        <v>0</v>
      </c>
      <c r="AF21" s="3">
        <f t="shared" ca="1" si="10"/>
        <v>0</v>
      </c>
      <c r="AG21" s="3">
        <f t="shared" ca="1" si="10"/>
        <v>0</v>
      </c>
      <c r="AH21" s="3">
        <f t="shared" ca="1" si="10"/>
        <v>0</v>
      </c>
      <c r="AI21" s="3">
        <f t="shared" ca="1" si="10"/>
        <v>0</v>
      </c>
      <c r="AJ21" s="3">
        <f t="shared" ca="1" si="10"/>
        <v>0</v>
      </c>
      <c r="AK21" s="3">
        <f t="shared" ca="1" si="10"/>
        <v>0</v>
      </c>
      <c r="AL21" s="3">
        <f t="shared" ca="1" si="10"/>
        <v>0</v>
      </c>
      <c r="AM21" s="3">
        <f t="shared" ca="1" si="10"/>
        <v>0</v>
      </c>
      <c r="AN21" s="3">
        <f t="shared" ca="1" si="10"/>
        <v>0</v>
      </c>
      <c r="AO21" s="3">
        <f t="shared" ca="1" si="10"/>
        <v>0</v>
      </c>
      <c r="AP21" s="3">
        <f t="shared" ref="AP21:BU21" ca="1" si="11">AP20*AP19*$F18</f>
        <v>0</v>
      </c>
      <c r="AQ21" s="3">
        <f t="shared" ca="1" si="11"/>
        <v>0</v>
      </c>
      <c r="AR21" s="3">
        <f t="shared" ca="1" si="11"/>
        <v>0</v>
      </c>
      <c r="AS21" s="3">
        <f t="shared" ca="1" si="11"/>
        <v>0</v>
      </c>
      <c r="AT21" s="3">
        <f t="shared" ca="1" si="11"/>
        <v>0</v>
      </c>
      <c r="AU21" s="3">
        <f t="shared" ca="1" si="11"/>
        <v>0</v>
      </c>
      <c r="AV21" s="3">
        <f t="shared" ca="1" si="11"/>
        <v>0</v>
      </c>
      <c r="AW21" s="3">
        <f t="shared" ca="1" si="11"/>
        <v>0</v>
      </c>
      <c r="AX21" s="3">
        <f t="shared" ca="1" si="11"/>
        <v>0</v>
      </c>
      <c r="AY21" s="3">
        <f t="shared" ca="1" si="11"/>
        <v>0</v>
      </c>
      <c r="AZ21" s="3">
        <f t="shared" ca="1" si="11"/>
        <v>0</v>
      </c>
      <c r="BA21" s="3">
        <f t="shared" ca="1" si="11"/>
        <v>0</v>
      </c>
      <c r="BB21" s="3">
        <f t="shared" ca="1" si="11"/>
        <v>0</v>
      </c>
      <c r="BC21" s="3">
        <f t="shared" ca="1" si="11"/>
        <v>0</v>
      </c>
      <c r="BD21" s="3">
        <f t="shared" ca="1" si="11"/>
        <v>0</v>
      </c>
      <c r="BE21" s="3">
        <f t="shared" ca="1" si="11"/>
        <v>0</v>
      </c>
      <c r="BF21" s="3">
        <f t="shared" ca="1" si="11"/>
        <v>0</v>
      </c>
      <c r="BG21" s="3">
        <f t="shared" ca="1" si="11"/>
        <v>0</v>
      </c>
      <c r="BH21" s="3">
        <f t="shared" ca="1" si="11"/>
        <v>0</v>
      </c>
      <c r="BI21" s="3">
        <f t="shared" ca="1" si="11"/>
        <v>0</v>
      </c>
      <c r="BJ21" s="3">
        <f t="shared" ca="1" si="11"/>
        <v>0</v>
      </c>
      <c r="BK21" s="3">
        <f t="shared" ca="1" si="11"/>
        <v>0</v>
      </c>
      <c r="BL21" s="3">
        <f t="shared" ca="1" si="11"/>
        <v>0</v>
      </c>
      <c r="BM21" s="3">
        <f t="shared" ca="1" si="11"/>
        <v>0</v>
      </c>
      <c r="BN21" s="3">
        <f t="shared" ca="1" si="11"/>
        <v>0</v>
      </c>
      <c r="BO21" s="3">
        <f t="shared" ca="1" si="11"/>
        <v>0</v>
      </c>
      <c r="BP21" s="3">
        <f t="shared" ca="1" si="11"/>
        <v>0</v>
      </c>
      <c r="BQ21" s="3">
        <f t="shared" ca="1" si="11"/>
        <v>0</v>
      </c>
    </row>
    <row r="24" spans="1:69">
      <c r="B24" s="22" t="s">
        <v>81</v>
      </c>
    </row>
    <row r="25" spans="1:69">
      <c r="A25" s="17"/>
      <c r="B25" s="17"/>
      <c r="C25" s="26"/>
      <c r="D25" s="27"/>
      <c r="E25" s="4" t="str">
        <f>InpC!E$19</f>
        <v>Customer payment terms (months)</v>
      </c>
      <c r="F25" s="4">
        <f>InpC!F$19</f>
        <v>2</v>
      </c>
      <c r="G25" s="4" t="str">
        <f>InpC!G$19</f>
        <v>Months</v>
      </c>
    </row>
    <row r="26" spans="1:69">
      <c r="E26" s="2" t="str">
        <f t="shared" ref="E26:AJ26" si="12">E$21</f>
        <v>Invoice finance drawdown</v>
      </c>
      <c r="F26" s="2">
        <f t="shared" si="12"/>
        <v>0</v>
      </c>
      <c r="G26" s="2" t="str">
        <f t="shared" si="12"/>
        <v>GBP</v>
      </c>
      <c r="H26" s="2">
        <f t="shared" ca="1" si="12"/>
        <v>0</v>
      </c>
      <c r="I26" s="2">
        <f t="shared" si="12"/>
        <v>0</v>
      </c>
      <c r="J26" s="2">
        <f t="shared" ca="1" si="12"/>
        <v>0</v>
      </c>
      <c r="K26" s="2">
        <f t="shared" ca="1" si="12"/>
        <v>0</v>
      </c>
      <c r="L26" s="2">
        <f t="shared" ca="1" si="12"/>
        <v>0</v>
      </c>
      <c r="M26" s="2">
        <f t="shared" ca="1" si="12"/>
        <v>0</v>
      </c>
      <c r="N26" s="2">
        <f t="shared" ca="1" si="12"/>
        <v>0</v>
      </c>
      <c r="O26" s="2">
        <f t="shared" ca="1" si="12"/>
        <v>0</v>
      </c>
      <c r="P26" s="2">
        <f t="shared" ca="1" si="12"/>
        <v>0</v>
      </c>
      <c r="Q26" s="2">
        <f t="shared" ca="1" si="12"/>
        <v>0</v>
      </c>
      <c r="R26" s="2">
        <f t="shared" ca="1" si="12"/>
        <v>0</v>
      </c>
      <c r="S26" s="2">
        <f t="shared" ca="1" si="12"/>
        <v>0</v>
      </c>
      <c r="T26" s="2">
        <f t="shared" ca="1" si="12"/>
        <v>0</v>
      </c>
      <c r="U26" s="2">
        <f t="shared" ca="1" si="12"/>
        <v>0</v>
      </c>
      <c r="V26" s="2">
        <f t="shared" ca="1" si="12"/>
        <v>0</v>
      </c>
      <c r="W26" s="2">
        <f t="shared" ca="1" si="12"/>
        <v>0</v>
      </c>
      <c r="X26" s="2">
        <f t="shared" ca="1" si="12"/>
        <v>0</v>
      </c>
      <c r="Y26" s="2">
        <f t="shared" ca="1" si="12"/>
        <v>0</v>
      </c>
      <c r="Z26" s="2">
        <f t="shared" ca="1" si="12"/>
        <v>0</v>
      </c>
      <c r="AA26" s="2">
        <f t="shared" ca="1" si="12"/>
        <v>0</v>
      </c>
      <c r="AB26" s="2">
        <f t="shared" ca="1" si="12"/>
        <v>0</v>
      </c>
      <c r="AC26" s="2">
        <f t="shared" ca="1" si="12"/>
        <v>0</v>
      </c>
      <c r="AD26" s="2">
        <f t="shared" ca="1" si="12"/>
        <v>0</v>
      </c>
      <c r="AE26" s="2">
        <f t="shared" ca="1" si="12"/>
        <v>0</v>
      </c>
      <c r="AF26" s="2">
        <f t="shared" ca="1" si="12"/>
        <v>0</v>
      </c>
      <c r="AG26" s="2">
        <f t="shared" ca="1" si="12"/>
        <v>0</v>
      </c>
      <c r="AH26" s="2">
        <f t="shared" ca="1" si="12"/>
        <v>0</v>
      </c>
      <c r="AI26" s="2">
        <f t="shared" ca="1" si="12"/>
        <v>0</v>
      </c>
      <c r="AJ26" s="2">
        <f t="shared" ca="1" si="12"/>
        <v>0</v>
      </c>
      <c r="AK26" s="2">
        <f t="shared" ref="AK26:BQ26" ca="1" si="13">AK$21</f>
        <v>0</v>
      </c>
      <c r="AL26" s="2">
        <f t="shared" ca="1" si="13"/>
        <v>0</v>
      </c>
      <c r="AM26" s="2">
        <f t="shared" ca="1" si="13"/>
        <v>0</v>
      </c>
      <c r="AN26" s="2">
        <f t="shared" ca="1" si="13"/>
        <v>0</v>
      </c>
      <c r="AO26" s="2">
        <f t="shared" ca="1" si="13"/>
        <v>0</v>
      </c>
      <c r="AP26" s="2">
        <f t="shared" ca="1" si="13"/>
        <v>0</v>
      </c>
      <c r="AQ26" s="2">
        <f t="shared" ca="1" si="13"/>
        <v>0</v>
      </c>
      <c r="AR26" s="2">
        <f t="shared" ca="1" si="13"/>
        <v>0</v>
      </c>
      <c r="AS26" s="2">
        <f t="shared" ca="1" si="13"/>
        <v>0</v>
      </c>
      <c r="AT26" s="2">
        <f t="shared" ca="1" si="13"/>
        <v>0</v>
      </c>
      <c r="AU26" s="2">
        <f t="shared" ca="1" si="13"/>
        <v>0</v>
      </c>
      <c r="AV26" s="2">
        <f t="shared" ca="1" si="13"/>
        <v>0</v>
      </c>
      <c r="AW26" s="2">
        <f t="shared" ca="1" si="13"/>
        <v>0</v>
      </c>
      <c r="AX26" s="2">
        <f t="shared" ca="1" si="13"/>
        <v>0</v>
      </c>
      <c r="AY26" s="2">
        <f t="shared" ca="1" si="13"/>
        <v>0</v>
      </c>
      <c r="AZ26" s="2">
        <f t="shared" ca="1" si="13"/>
        <v>0</v>
      </c>
      <c r="BA26" s="2">
        <f t="shared" ca="1" si="13"/>
        <v>0</v>
      </c>
      <c r="BB26" s="2">
        <f t="shared" ca="1" si="13"/>
        <v>0</v>
      </c>
      <c r="BC26" s="2">
        <f t="shared" ca="1" si="13"/>
        <v>0</v>
      </c>
      <c r="BD26" s="2">
        <f t="shared" ca="1" si="13"/>
        <v>0</v>
      </c>
      <c r="BE26" s="2">
        <f t="shared" ca="1" si="13"/>
        <v>0</v>
      </c>
      <c r="BF26" s="2">
        <f t="shared" ca="1" si="13"/>
        <v>0</v>
      </c>
      <c r="BG26" s="2">
        <f t="shared" ca="1" si="13"/>
        <v>0</v>
      </c>
      <c r="BH26" s="2">
        <f t="shared" ca="1" si="13"/>
        <v>0</v>
      </c>
      <c r="BI26" s="2">
        <f t="shared" ca="1" si="13"/>
        <v>0</v>
      </c>
      <c r="BJ26" s="2">
        <f t="shared" ca="1" si="13"/>
        <v>0</v>
      </c>
      <c r="BK26" s="2">
        <f t="shared" ca="1" si="13"/>
        <v>0</v>
      </c>
      <c r="BL26" s="2">
        <f t="shared" ca="1" si="13"/>
        <v>0</v>
      </c>
      <c r="BM26" s="2">
        <f t="shared" ca="1" si="13"/>
        <v>0</v>
      </c>
      <c r="BN26" s="2">
        <f t="shared" ca="1" si="13"/>
        <v>0</v>
      </c>
      <c r="BO26" s="2">
        <f t="shared" ca="1" si="13"/>
        <v>0</v>
      </c>
      <c r="BP26" s="2">
        <f t="shared" ca="1" si="13"/>
        <v>0</v>
      </c>
      <c r="BQ26" s="2">
        <f t="shared" ca="1" si="13"/>
        <v>0</v>
      </c>
    </row>
    <row r="27" spans="1:69" ht="14.5">
      <c r="E27" s="2" t="s">
        <v>89</v>
      </c>
      <c r="F27"/>
      <c r="G27" s="2" t="s">
        <v>252</v>
      </c>
      <c r="H27" s="2">
        <f ca="1">SUM(J27:BQ27)</f>
        <v>0</v>
      </c>
      <c r="I27"/>
      <c r="J27" s="2">
        <f ca="1">IF(Time!J28&lt;1+$F25,0,OFFSET(J26,0,-1*($F25)))</f>
        <v>0</v>
      </c>
      <c r="K27" s="2">
        <f ca="1">IF(Time!K28&lt;1+$F25,0,OFFSET(K26,0,-1*($F25)))</f>
        <v>0</v>
      </c>
      <c r="L27" s="2">
        <f ca="1">IF(Time!L28&lt;1+$F25,0,OFFSET(L26,0,-1*($F25)))</f>
        <v>0</v>
      </c>
      <c r="M27" s="2">
        <f ca="1">IF(Time!M28&lt;1+$F25,0,OFFSET(M26,0,-1*($F25)))</f>
        <v>0</v>
      </c>
      <c r="N27" s="2">
        <f ca="1">IF(Time!N28&lt;1+$F25,0,OFFSET(N26,0,-1*($F25)))</f>
        <v>0</v>
      </c>
      <c r="O27" s="2">
        <f ca="1">IF(Time!O28&lt;1+$F25,0,OFFSET(O26,0,-1*($F25)))</f>
        <v>0</v>
      </c>
      <c r="P27" s="2">
        <f ca="1">IF(Time!P28&lt;1+$F25,0,OFFSET(P26,0,-1*($F25)))</f>
        <v>0</v>
      </c>
      <c r="Q27" s="2">
        <f ca="1">IF(Time!Q28&lt;1+$F25,0,OFFSET(Q26,0,-1*($F25)))</f>
        <v>0</v>
      </c>
      <c r="R27" s="2">
        <f ca="1">IF(Time!R28&lt;1+$F25,0,OFFSET(R26,0,-1*($F25)))</f>
        <v>0</v>
      </c>
      <c r="S27" s="2">
        <f ca="1">IF(Time!S28&lt;1+$F25,0,OFFSET(S26,0,-1*($F25)))</f>
        <v>0</v>
      </c>
      <c r="T27" s="2">
        <f ca="1">IF(Time!T28&lt;1+$F25,0,OFFSET(T26,0,-1*($F25)))</f>
        <v>0</v>
      </c>
      <c r="U27" s="2">
        <f ca="1">IF(Time!U28&lt;1+$F25,0,OFFSET(U26,0,-1*($F25)))</f>
        <v>0</v>
      </c>
      <c r="V27" s="2">
        <f ca="1">IF(Time!V28&lt;1+$F25,0,OFFSET(V26,0,-1*($F25)))</f>
        <v>0</v>
      </c>
      <c r="W27" s="2">
        <f ca="1">IF(Time!W28&lt;1+$F25,0,OFFSET(W26,0,-1*($F25)))</f>
        <v>0</v>
      </c>
      <c r="X27" s="2">
        <f ca="1">IF(Time!X28&lt;1+$F25,0,OFFSET(X26,0,-1*($F25)))</f>
        <v>0</v>
      </c>
      <c r="Y27" s="2">
        <f ca="1">IF(Time!Y28&lt;1+$F25,0,OFFSET(Y26,0,-1*($F25)))</f>
        <v>0</v>
      </c>
      <c r="Z27" s="2">
        <f ca="1">IF(Time!Z28&lt;1+$F25,0,OFFSET(Z26,0,-1*($F25)))</f>
        <v>0</v>
      </c>
      <c r="AA27" s="2">
        <f ca="1">IF(Time!AA28&lt;1+$F25,0,OFFSET(AA26,0,-1*($F25)))</f>
        <v>0</v>
      </c>
      <c r="AB27" s="2">
        <f ca="1">IF(Time!AB28&lt;1+$F25,0,OFFSET(AB26,0,-1*($F25)))</f>
        <v>0</v>
      </c>
      <c r="AC27" s="2">
        <f ca="1">IF(Time!AC28&lt;1+$F25,0,OFFSET(AC26,0,-1*($F25)))</f>
        <v>0</v>
      </c>
      <c r="AD27" s="2">
        <f ca="1">IF(Time!AD28&lt;1+$F25,0,OFFSET(AD26,0,-1*($F25)))</f>
        <v>0</v>
      </c>
      <c r="AE27" s="2">
        <f ca="1">IF(Time!AE28&lt;1+$F25,0,OFFSET(AE26,0,-1*($F25)))</f>
        <v>0</v>
      </c>
      <c r="AF27" s="2">
        <f ca="1">IF(Time!AF28&lt;1+$F25,0,OFFSET(AF26,0,-1*($F25)))</f>
        <v>0</v>
      </c>
      <c r="AG27" s="2">
        <f ca="1">IF(Time!AG28&lt;1+$F25,0,OFFSET(AG26,0,-1*($F25)))</f>
        <v>0</v>
      </c>
      <c r="AH27" s="2">
        <f ca="1">IF(Time!AH28&lt;1+$F25,0,OFFSET(AH26,0,-1*($F25)))</f>
        <v>0</v>
      </c>
      <c r="AI27" s="2">
        <f ca="1">IF(Time!AI28&lt;1+$F25,0,OFFSET(AI26,0,-1*($F25)))</f>
        <v>0</v>
      </c>
      <c r="AJ27" s="2">
        <f ca="1">IF(Time!AJ28&lt;1+$F25,0,OFFSET(AJ26,0,-1*($F25)))</f>
        <v>0</v>
      </c>
      <c r="AK27" s="2">
        <f ca="1">IF(Time!AK28&lt;1+$F25,0,OFFSET(AK26,0,-1*($F25)))</f>
        <v>0</v>
      </c>
      <c r="AL27" s="2">
        <f ca="1">IF(Time!AL28&lt;1+$F25,0,OFFSET(AL26,0,-1*($F25)))</f>
        <v>0</v>
      </c>
      <c r="AM27" s="2">
        <f ca="1">IF(Time!AM28&lt;1+$F25,0,OFFSET(AM26,0,-1*($F25)))</f>
        <v>0</v>
      </c>
      <c r="AN27" s="2">
        <f ca="1">IF(Time!AN28&lt;1+$F25,0,OFFSET(AN26,0,-1*($F25)))</f>
        <v>0</v>
      </c>
      <c r="AO27" s="2">
        <f ca="1">IF(Time!AO28&lt;1+$F25,0,OFFSET(AO26,0,-1*($F25)))</f>
        <v>0</v>
      </c>
      <c r="AP27" s="2">
        <f ca="1">IF(Time!AP28&lt;1+$F25,0,OFFSET(AP26,0,-1*($F25)))</f>
        <v>0</v>
      </c>
      <c r="AQ27" s="2">
        <f ca="1">IF(Time!AQ28&lt;1+$F25,0,OFFSET(AQ26,0,-1*($F25)))</f>
        <v>0</v>
      </c>
      <c r="AR27" s="2">
        <f ca="1">IF(Time!AR28&lt;1+$F25,0,OFFSET(AR26,0,-1*($F25)))</f>
        <v>0</v>
      </c>
      <c r="AS27" s="2">
        <f ca="1">IF(Time!AS28&lt;1+$F25,0,OFFSET(AS26,0,-1*($F25)))</f>
        <v>0</v>
      </c>
      <c r="AT27" s="2">
        <f ca="1">IF(Time!AT28&lt;1+$F25,0,OFFSET(AT26,0,-1*($F25)))</f>
        <v>0</v>
      </c>
      <c r="AU27" s="2">
        <f ca="1">IF(Time!AU28&lt;1+$F25,0,OFFSET(AU26,0,-1*($F25)))</f>
        <v>0</v>
      </c>
      <c r="AV27" s="2">
        <f ca="1">IF(Time!AV28&lt;1+$F25,0,OFFSET(AV26,0,-1*($F25)))</f>
        <v>0</v>
      </c>
      <c r="AW27" s="2">
        <f ca="1">IF(Time!AW28&lt;1+$F25,0,OFFSET(AW26,0,-1*($F25)))</f>
        <v>0</v>
      </c>
      <c r="AX27" s="2">
        <f ca="1">IF(Time!AX28&lt;1+$F25,0,OFFSET(AX26,0,-1*($F25)))</f>
        <v>0</v>
      </c>
      <c r="AY27" s="2">
        <f ca="1">IF(Time!AY28&lt;1+$F25,0,OFFSET(AY26,0,-1*($F25)))</f>
        <v>0</v>
      </c>
      <c r="AZ27" s="2">
        <f ca="1">IF(Time!AZ28&lt;1+$F25,0,OFFSET(AZ26,0,-1*($F25)))</f>
        <v>0</v>
      </c>
      <c r="BA27" s="2">
        <f ca="1">IF(Time!BA28&lt;1+$F25,0,OFFSET(BA26,0,-1*($F25)))</f>
        <v>0</v>
      </c>
      <c r="BB27" s="2">
        <f ca="1">IF(Time!BB28&lt;1+$F25,0,OFFSET(BB26,0,-1*($F25)))</f>
        <v>0</v>
      </c>
      <c r="BC27" s="2">
        <f ca="1">IF(Time!BC28&lt;1+$F25,0,OFFSET(BC26,0,-1*($F25)))</f>
        <v>0</v>
      </c>
      <c r="BD27" s="2">
        <f ca="1">IF(Time!BD28&lt;1+$F25,0,OFFSET(BD26,0,-1*($F25)))</f>
        <v>0</v>
      </c>
      <c r="BE27" s="2">
        <f ca="1">IF(Time!BE28&lt;1+$F25,0,OFFSET(BE26,0,-1*($F25)))</f>
        <v>0</v>
      </c>
      <c r="BF27" s="2">
        <f ca="1">IF(Time!BF28&lt;1+$F25,0,OFFSET(BF26,0,-1*($F25)))</f>
        <v>0</v>
      </c>
      <c r="BG27" s="2">
        <f ca="1">IF(Time!BG28&lt;1+$F25,0,OFFSET(BG26,0,-1*($F25)))</f>
        <v>0</v>
      </c>
      <c r="BH27" s="2">
        <f ca="1">IF(Time!BH28&lt;1+$F25,0,OFFSET(BH26,0,-1*($F25)))</f>
        <v>0</v>
      </c>
      <c r="BI27" s="2">
        <f ca="1">IF(Time!BI28&lt;1+$F25,0,OFFSET(BI26,0,-1*($F25)))</f>
        <v>0</v>
      </c>
      <c r="BJ27" s="2">
        <f ca="1">IF(Time!BJ28&lt;1+$F25,0,OFFSET(BJ26,0,-1*($F25)))</f>
        <v>0</v>
      </c>
      <c r="BK27" s="2">
        <f ca="1">IF(Time!BK28&lt;1+$F25,0,OFFSET(BK26,0,-1*($F25)))</f>
        <v>0</v>
      </c>
      <c r="BL27" s="2">
        <f ca="1">IF(Time!BL28&lt;1+$F25,0,OFFSET(BL26,0,-1*($F25)))</f>
        <v>0</v>
      </c>
      <c r="BM27" s="2">
        <f ca="1">IF(Time!BM28&lt;1+$F25,0,OFFSET(BM26,0,-1*($F25)))</f>
        <v>0</v>
      </c>
      <c r="BN27" s="2">
        <f ca="1">IF(Time!BN28&lt;1+$F25,0,OFFSET(BN26,0,-1*($F25)))</f>
        <v>0</v>
      </c>
      <c r="BO27" s="2">
        <f ca="1">IF(Time!BO28&lt;1+$F25,0,OFFSET(BO26,0,-1*($F25)))</f>
        <v>0</v>
      </c>
      <c r="BP27" s="2">
        <f ca="1">IF(Time!BP28&lt;1+$F25,0,OFFSET(BP26,0,-1*($F25)))</f>
        <v>0</v>
      </c>
      <c r="BQ27" s="2">
        <f ca="1">IF(Time!BQ28&lt;1+$F25,0,OFFSET(BQ26,0,-1*($F25)))</f>
        <v>0</v>
      </c>
    </row>
    <row r="28" spans="1:69">
      <c r="A28" s="31"/>
      <c r="B28" s="31"/>
      <c r="C28" s="51"/>
      <c r="D28" s="50"/>
      <c r="E28" s="3" t="str">
        <f>LEFT($E$27,LEN($E$27)-3)</f>
        <v xml:space="preserve">Invoice finance principal repayment </v>
      </c>
      <c r="F28" s="3"/>
      <c r="G28" s="3" t="str">
        <f>G$27</f>
        <v>GBP</v>
      </c>
      <c r="H28" s="3">
        <f ca="1">SUM(J28:BQ28)</f>
        <v>0</v>
      </c>
      <c r="I28" s="3"/>
      <c r="J28" s="3">
        <f t="shared" ref="J28:AO28" ca="1" si="14">-1*J27</f>
        <v>0</v>
      </c>
      <c r="K28" s="3">
        <f t="shared" ca="1" si="14"/>
        <v>0</v>
      </c>
      <c r="L28" s="3">
        <f t="shared" ca="1" si="14"/>
        <v>0</v>
      </c>
      <c r="M28" s="3">
        <f t="shared" ca="1" si="14"/>
        <v>0</v>
      </c>
      <c r="N28" s="3">
        <f t="shared" ca="1" si="14"/>
        <v>0</v>
      </c>
      <c r="O28" s="3">
        <f t="shared" ca="1" si="14"/>
        <v>0</v>
      </c>
      <c r="P28" s="3">
        <f t="shared" ca="1" si="14"/>
        <v>0</v>
      </c>
      <c r="Q28" s="3">
        <f t="shared" ca="1" si="14"/>
        <v>0</v>
      </c>
      <c r="R28" s="3">
        <f t="shared" ca="1" si="14"/>
        <v>0</v>
      </c>
      <c r="S28" s="3">
        <f t="shared" ca="1" si="14"/>
        <v>0</v>
      </c>
      <c r="T28" s="3">
        <f t="shared" ca="1" si="14"/>
        <v>0</v>
      </c>
      <c r="U28" s="3">
        <f t="shared" ca="1" si="14"/>
        <v>0</v>
      </c>
      <c r="V28" s="3">
        <f t="shared" ca="1" si="14"/>
        <v>0</v>
      </c>
      <c r="W28" s="3">
        <f t="shared" ca="1" si="14"/>
        <v>0</v>
      </c>
      <c r="X28" s="3">
        <f t="shared" ca="1" si="14"/>
        <v>0</v>
      </c>
      <c r="Y28" s="3">
        <f t="shared" ca="1" si="14"/>
        <v>0</v>
      </c>
      <c r="Z28" s="3">
        <f t="shared" ca="1" si="14"/>
        <v>0</v>
      </c>
      <c r="AA28" s="3">
        <f t="shared" ca="1" si="14"/>
        <v>0</v>
      </c>
      <c r="AB28" s="3">
        <f t="shared" ca="1" si="14"/>
        <v>0</v>
      </c>
      <c r="AC28" s="3">
        <f t="shared" ca="1" si="14"/>
        <v>0</v>
      </c>
      <c r="AD28" s="3">
        <f t="shared" ca="1" si="14"/>
        <v>0</v>
      </c>
      <c r="AE28" s="3">
        <f t="shared" ca="1" si="14"/>
        <v>0</v>
      </c>
      <c r="AF28" s="3">
        <f t="shared" ca="1" si="14"/>
        <v>0</v>
      </c>
      <c r="AG28" s="3">
        <f t="shared" ca="1" si="14"/>
        <v>0</v>
      </c>
      <c r="AH28" s="3">
        <f t="shared" ca="1" si="14"/>
        <v>0</v>
      </c>
      <c r="AI28" s="3">
        <f t="shared" ca="1" si="14"/>
        <v>0</v>
      </c>
      <c r="AJ28" s="3">
        <f t="shared" ca="1" si="14"/>
        <v>0</v>
      </c>
      <c r="AK28" s="3">
        <f t="shared" ca="1" si="14"/>
        <v>0</v>
      </c>
      <c r="AL28" s="3">
        <f t="shared" ca="1" si="14"/>
        <v>0</v>
      </c>
      <c r="AM28" s="3">
        <f t="shared" ca="1" si="14"/>
        <v>0</v>
      </c>
      <c r="AN28" s="3">
        <f t="shared" ca="1" si="14"/>
        <v>0</v>
      </c>
      <c r="AO28" s="3">
        <f t="shared" ca="1" si="14"/>
        <v>0</v>
      </c>
      <c r="AP28" s="3">
        <f t="shared" ref="AP28:BU28" ca="1" si="15">-1*AP27</f>
        <v>0</v>
      </c>
      <c r="AQ28" s="3">
        <f t="shared" ca="1" si="15"/>
        <v>0</v>
      </c>
      <c r="AR28" s="3">
        <f t="shared" ca="1" si="15"/>
        <v>0</v>
      </c>
      <c r="AS28" s="3">
        <f t="shared" ca="1" si="15"/>
        <v>0</v>
      </c>
      <c r="AT28" s="3">
        <f t="shared" ca="1" si="15"/>
        <v>0</v>
      </c>
      <c r="AU28" s="3">
        <f t="shared" ca="1" si="15"/>
        <v>0</v>
      </c>
      <c r="AV28" s="3">
        <f t="shared" ca="1" si="15"/>
        <v>0</v>
      </c>
      <c r="AW28" s="3">
        <f t="shared" ca="1" si="15"/>
        <v>0</v>
      </c>
      <c r="AX28" s="3">
        <f t="shared" ca="1" si="15"/>
        <v>0</v>
      </c>
      <c r="AY28" s="3">
        <f t="shared" ca="1" si="15"/>
        <v>0</v>
      </c>
      <c r="AZ28" s="3">
        <f t="shared" ca="1" si="15"/>
        <v>0</v>
      </c>
      <c r="BA28" s="3">
        <f t="shared" ca="1" si="15"/>
        <v>0</v>
      </c>
      <c r="BB28" s="3">
        <f t="shared" ca="1" si="15"/>
        <v>0</v>
      </c>
      <c r="BC28" s="3">
        <f t="shared" ca="1" si="15"/>
        <v>0</v>
      </c>
      <c r="BD28" s="3">
        <f t="shared" ca="1" si="15"/>
        <v>0</v>
      </c>
      <c r="BE28" s="3">
        <f t="shared" ca="1" si="15"/>
        <v>0</v>
      </c>
      <c r="BF28" s="3">
        <f t="shared" ca="1" si="15"/>
        <v>0</v>
      </c>
      <c r="BG28" s="3">
        <f t="shared" ca="1" si="15"/>
        <v>0</v>
      </c>
      <c r="BH28" s="3">
        <f t="shared" ca="1" si="15"/>
        <v>0</v>
      </c>
      <c r="BI28" s="3">
        <f t="shared" ca="1" si="15"/>
        <v>0</v>
      </c>
      <c r="BJ28" s="3">
        <f t="shared" ca="1" si="15"/>
        <v>0</v>
      </c>
      <c r="BK28" s="3">
        <f t="shared" ca="1" si="15"/>
        <v>0</v>
      </c>
      <c r="BL28" s="3">
        <f t="shared" ca="1" si="15"/>
        <v>0</v>
      </c>
      <c r="BM28" s="3">
        <f t="shared" ca="1" si="15"/>
        <v>0</v>
      </c>
      <c r="BN28" s="3">
        <f t="shared" ca="1" si="15"/>
        <v>0</v>
      </c>
      <c r="BO28" s="3">
        <f t="shared" ca="1" si="15"/>
        <v>0</v>
      </c>
      <c r="BP28" s="3">
        <f t="shared" ca="1" si="15"/>
        <v>0</v>
      </c>
      <c r="BQ28" s="3">
        <f t="shared" ca="1" si="15"/>
        <v>0</v>
      </c>
    </row>
    <row r="31" spans="1:69">
      <c r="B31" s="22" t="s">
        <v>196</v>
      </c>
    </row>
    <row r="32" spans="1:69">
      <c r="E32" s="2" t="str">
        <f t="shared" ref="E32:AJ32" si="16">E$40</f>
        <v>Invoice finance interest POS</v>
      </c>
      <c r="F32" s="2">
        <f t="shared" si="16"/>
        <v>0</v>
      </c>
      <c r="G32" s="2" t="str">
        <f t="shared" si="16"/>
        <v>GBP</v>
      </c>
      <c r="H32" s="2">
        <f t="shared" ca="1" si="16"/>
        <v>0</v>
      </c>
      <c r="I32" s="2">
        <f t="shared" si="16"/>
        <v>0</v>
      </c>
      <c r="J32" s="2">
        <f t="shared" si="16"/>
        <v>0</v>
      </c>
      <c r="K32" s="2">
        <f t="shared" ca="1" si="16"/>
        <v>0</v>
      </c>
      <c r="L32" s="2">
        <f t="shared" ca="1" si="16"/>
        <v>0</v>
      </c>
      <c r="M32" s="2">
        <f t="shared" ca="1" si="16"/>
        <v>0</v>
      </c>
      <c r="N32" s="2">
        <f t="shared" ca="1" si="16"/>
        <v>0</v>
      </c>
      <c r="O32" s="2">
        <f t="shared" ca="1" si="16"/>
        <v>0</v>
      </c>
      <c r="P32" s="2">
        <f t="shared" ca="1" si="16"/>
        <v>0</v>
      </c>
      <c r="Q32" s="2">
        <f t="shared" ca="1" si="16"/>
        <v>0</v>
      </c>
      <c r="R32" s="2">
        <f t="shared" ca="1" si="16"/>
        <v>0</v>
      </c>
      <c r="S32" s="2">
        <f t="shared" ca="1" si="16"/>
        <v>0</v>
      </c>
      <c r="T32" s="2">
        <f t="shared" ca="1" si="16"/>
        <v>0</v>
      </c>
      <c r="U32" s="2">
        <f t="shared" ca="1" si="16"/>
        <v>0</v>
      </c>
      <c r="V32" s="2">
        <f t="shared" ca="1" si="16"/>
        <v>0</v>
      </c>
      <c r="W32" s="2">
        <f t="shared" ca="1" si="16"/>
        <v>0</v>
      </c>
      <c r="X32" s="2">
        <f t="shared" ca="1" si="16"/>
        <v>0</v>
      </c>
      <c r="Y32" s="2">
        <f t="shared" ca="1" si="16"/>
        <v>0</v>
      </c>
      <c r="Z32" s="2">
        <f t="shared" ca="1" si="16"/>
        <v>0</v>
      </c>
      <c r="AA32" s="2">
        <f t="shared" ca="1" si="16"/>
        <v>0</v>
      </c>
      <c r="AB32" s="2">
        <f t="shared" ca="1" si="16"/>
        <v>0</v>
      </c>
      <c r="AC32" s="2">
        <f t="shared" ca="1" si="16"/>
        <v>0</v>
      </c>
      <c r="AD32" s="2">
        <f t="shared" ca="1" si="16"/>
        <v>0</v>
      </c>
      <c r="AE32" s="2">
        <f t="shared" ca="1" si="16"/>
        <v>0</v>
      </c>
      <c r="AF32" s="2">
        <f t="shared" ca="1" si="16"/>
        <v>0</v>
      </c>
      <c r="AG32" s="2">
        <f t="shared" ca="1" si="16"/>
        <v>0</v>
      </c>
      <c r="AH32" s="2">
        <f t="shared" ca="1" si="16"/>
        <v>0</v>
      </c>
      <c r="AI32" s="2">
        <f t="shared" ca="1" si="16"/>
        <v>0</v>
      </c>
      <c r="AJ32" s="2">
        <f t="shared" ca="1" si="16"/>
        <v>0</v>
      </c>
      <c r="AK32" s="2">
        <f t="shared" ref="AK32:BQ32" ca="1" si="17">AK$40</f>
        <v>0</v>
      </c>
      <c r="AL32" s="2">
        <f t="shared" ca="1" si="17"/>
        <v>0</v>
      </c>
      <c r="AM32" s="2">
        <f t="shared" ca="1" si="17"/>
        <v>0</v>
      </c>
      <c r="AN32" s="2">
        <f t="shared" ca="1" si="17"/>
        <v>0</v>
      </c>
      <c r="AO32" s="2">
        <f t="shared" ca="1" si="17"/>
        <v>0</v>
      </c>
      <c r="AP32" s="2">
        <f t="shared" ca="1" si="17"/>
        <v>0</v>
      </c>
      <c r="AQ32" s="2">
        <f t="shared" ca="1" si="17"/>
        <v>0</v>
      </c>
      <c r="AR32" s="2">
        <f t="shared" ca="1" si="17"/>
        <v>0</v>
      </c>
      <c r="AS32" s="2">
        <f t="shared" ca="1" si="17"/>
        <v>0</v>
      </c>
      <c r="AT32" s="2">
        <f t="shared" ca="1" si="17"/>
        <v>0</v>
      </c>
      <c r="AU32" s="2">
        <f t="shared" ca="1" si="17"/>
        <v>0</v>
      </c>
      <c r="AV32" s="2">
        <f t="shared" ca="1" si="17"/>
        <v>0</v>
      </c>
      <c r="AW32" s="2">
        <f t="shared" ca="1" si="17"/>
        <v>0</v>
      </c>
      <c r="AX32" s="2">
        <f t="shared" ca="1" si="17"/>
        <v>0</v>
      </c>
      <c r="AY32" s="2">
        <f t="shared" ca="1" si="17"/>
        <v>0</v>
      </c>
      <c r="AZ32" s="2">
        <f t="shared" ca="1" si="17"/>
        <v>0</v>
      </c>
      <c r="BA32" s="2">
        <f t="shared" ca="1" si="17"/>
        <v>0</v>
      </c>
      <c r="BB32" s="2">
        <f t="shared" ca="1" si="17"/>
        <v>0</v>
      </c>
      <c r="BC32" s="2">
        <f t="shared" ca="1" si="17"/>
        <v>0</v>
      </c>
      <c r="BD32" s="2">
        <f t="shared" ca="1" si="17"/>
        <v>0</v>
      </c>
      <c r="BE32" s="2">
        <f t="shared" ca="1" si="17"/>
        <v>0</v>
      </c>
      <c r="BF32" s="2">
        <f t="shared" ca="1" si="17"/>
        <v>0</v>
      </c>
      <c r="BG32" s="2">
        <f t="shared" ca="1" si="17"/>
        <v>0</v>
      </c>
      <c r="BH32" s="2">
        <f t="shared" ca="1" si="17"/>
        <v>0</v>
      </c>
      <c r="BI32" s="2">
        <f t="shared" ca="1" si="17"/>
        <v>0</v>
      </c>
      <c r="BJ32" s="2">
        <f t="shared" ca="1" si="17"/>
        <v>0</v>
      </c>
      <c r="BK32" s="2">
        <f t="shared" ca="1" si="17"/>
        <v>0</v>
      </c>
      <c r="BL32" s="2">
        <f t="shared" ca="1" si="17"/>
        <v>0</v>
      </c>
      <c r="BM32" s="2">
        <f t="shared" ca="1" si="17"/>
        <v>0</v>
      </c>
      <c r="BN32" s="2">
        <f t="shared" ca="1" si="17"/>
        <v>0</v>
      </c>
      <c r="BO32" s="2">
        <f t="shared" ca="1" si="17"/>
        <v>0</v>
      </c>
      <c r="BP32" s="2">
        <f t="shared" ca="1" si="17"/>
        <v>0</v>
      </c>
      <c r="BQ32" s="2">
        <f t="shared" ca="1" si="17"/>
        <v>0</v>
      </c>
    </row>
    <row r="33" spans="1:69">
      <c r="E33" s="2" t="str">
        <f t="shared" ref="E33:AJ33" si="18">E$46</f>
        <v>Invoice finance interest paid POS</v>
      </c>
      <c r="F33" s="2">
        <f t="shared" si="18"/>
        <v>0</v>
      </c>
      <c r="G33" s="2" t="str">
        <f t="shared" si="18"/>
        <v>GBP</v>
      </c>
      <c r="H33" s="2">
        <f t="shared" ca="1" si="18"/>
        <v>0</v>
      </c>
      <c r="I33" s="2">
        <f t="shared" si="18"/>
        <v>0</v>
      </c>
      <c r="J33" s="2">
        <f t="shared" si="18"/>
        <v>0</v>
      </c>
      <c r="K33" s="2">
        <f t="shared" ca="1" si="18"/>
        <v>0</v>
      </c>
      <c r="L33" s="2">
        <f t="shared" ca="1" si="18"/>
        <v>0</v>
      </c>
      <c r="M33" s="2">
        <f t="shared" ca="1" si="18"/>
        <v>0</v>
      </c>
      <c r="N33" s="2">
        <f t="shared" ca="1" si="18"/>
        <v>0</v>
      </c>
      <c r="O33" s="2">
        <f t="shared" ca="1" si="18"/>
        <v>0</v>
      </c>
      <c r="P33" s="2">
        <f t="shared" ca="1" si="18"/>
        <v>0</v>
      </c>
      <c r="Q33" s="2">
        <f t="shared" ca="1" si="18"/>
        <v>0</v>
      </c>
      <c r="R33" s="2">
        <f t="shared" ca="1" si="18"/>
        <v>0</v>
      </c>
      <c r="S33" s="2">
        <f t="shared" ca="1" si="18"/>
        <v>0</v>
      </c>
      <c r="T33" s="2">
        <f t="shared" ca="1" si="18"/>
        <v>0</v>
      </c>
      <c r="U33" s="2">
        <f t="shared" ca="1" si="18"/>
        <v>0</v>
      </c>
      <c r="V33" s="2">
        <f t="shared" ca="1" si="18"/>
        <v>0</v>
      </c>
      <c r="W33" s="2">
        <f t="shared" ca="1" si="18"/>
        <v>0</v>
      </c>
      <c r="X33" s="2">
        <f t="shared" ca="1" si="18"/>
        <v>0</v>
      </c>
      <c r="Y33" s="2">
        <f t="shared" ca="1" si="18"/>
        <v>0</v>
      </c>
      <c r="Z33" s="2">
        <f t="shared" ca="1" si="18"/>
        <v>0</v>
      </c>
      <c r="AA33" s="2">
        <f t="shared" ca="1" si="18"/>
        <v>0</v>
      </c>
      <c r="AB33" s="2">
        <f t="shared" ca="1" si="18"/>
        <v>0</v>
      </c>
      <c r="AC33" s="2">
        <f t="shared" ca="1" si="18"/>
        <v>0</v>
      </c>
      <c r="AD33" s="2">
        <f t="shared" ca="1" si="18"/>
        <v>0</v>
      </c>
      <c r="AE33" s="2">
        <f t="shared" ca="1" si="18"/>
        <v>0</v>
      </c>
      <c r="AF33" s="2">
        <f t="shared" ca="1" si="18"/>
        <v>0</v>
      </c>
      <c r="AG33" s="2">
        <f t="shared" ca="1" si="18"/>
        <v>0</v>
      </c>
      <c r="AH33" s="2">
        <f t="shared" ca="1" si="18"/>
        <v>0</v>
      </c>
      <c r="AI33" s="2">
        <f t="shared" ca="1" si="18"/>
        <v>0</v>
      </c>
      <c r="AJ33" s="2">
        <f t="shared" ca="1" si="18"/>
        <v>0</v>
      </c>
      <c r="AK33" s="2">
        <f t="shared" ref="AK33:BQ33" ca="1" si="19">AK$46</f>
        <v>0</v>
      </c>
      <c r="AL33" s="2">
        <f t="shared" ca="1" si="19"/>
        <v>0</v>
      </c>
      <c r="AM33" s="2">
        <f t="shared" ca="1" si="19"/>
        <v>0</v>
      </c>
      <c r="AN33" s="2">
        <f t="shared" ca="1" si="19"/>
        <v>0</v>
      </c>
      <c r="AO33" s="2">
        <f t="shared" ca="1" si="19"/>
        <v>0</v>
      </c>
      <c r="AP33" s="2">
        <f t="shared" ca="1" si="19"/>
        <v>0</v>
      </c>
      <c r="AQ33" s="2">
        <f t="shared" ca="1" si="19"/>
        <v>0</v>
      </c>
      <c r="AR33" s="2">
        <f t="shared" ca="1" si="19"/>
        <v>0</v>
      </c>
      <c r="AS33" s="2">
        <f t="shared" ca="1" si="19"/>
        <v>0</v>
      </c>
      <c r="AT33" s="2">
        <f t="shared" ca="1" si="19"/>
        <v>0</v>
      </c>
      <c r="AU33" s="2">
        <f t="shared" ca="1" si="19"/>
        <v>0</v>
      </c>
      <c r="AV33" s="2">
        <f t="shared" ca="1" si="19"/>
        <v>0</v>
      </c>
      <c r="AW33" s="2">
        <f t="shared" ca="1" si="19"/>
        <v>0</v>
      </c>
      <c r="AX33" s="2">
        <f t="shared" ca="1" si="19"/>
        <v>0</v>
      </c>
      <c r="AY33" s="2">
        <f t="shared" ca="1" si="19"/>
        <v>0</v>
      </c>
      <c r="AZ33" s="2">
        <f t="shared" ca="1" si="19"/>
        <v>0</v>
      </c>
      <c r="BA33" s="2">
        <f t="shared" ca="1" si="19"/>
        <v>0</v>
      </c>
      <c r="BB33" s="2">
        <f t="shared" ca="1" si="19"/>
        <v>0</v>
      </c>
      <c r="BC33" s="2">
        <f t="shared" ca="1" si="19"/>
        <v>0</v>
      </c>
      <c r="BD33" s="2">
        <f t="shared" ca="1" si="19"/>
        <v>0</v>
      </c>
      <c r="BE33" s="2">
        <f t="shared" ca="1" si="19"/>
        <v>0</v>
      </c>
      <c r="BF33" s="2">
        <f t="shared" ca="1" si="19"/>
        <v>0</v>
      </c>
      <c r="BG33" s="2">
        <f t="shared" ca="1" si="19"/>
        <v>0</v>
      </c>
      <c r="BH33" s="2">
        <f t="shared" ca="1" si="19"/>
        <v>0</v>
      </c>
      <c r="BI33" s="2">
        <f t="shared" ca="1" si="19"/>
        <v>0</v>
      </c>
      <c r="BJ33" s="2">
        <f t="shared" ca="1" si="19"/>
        <v>0</v>
      </c>
      <c r="BK33" s="2">
        <f t="shared" ca="1" si="19"/>
        <v>0</v>
      </c>
      <c r="BL33" s="2">
        <f t="shared" ca="1" si="19"/>
        <v>0</v>
      </c>
      <c r="BM33" s="2">
        <f t="shared" ca="1" si="19"/>
        <v>0</v>
      </c>
      <c r="BN33" s="2">
        <f t="shared" ca="1" si="19"/>
        <v>0</v>
      </c>
      <c r="BO33" s="2">
        <f t="shared" ca="1" si="19"/>
        <v>0</v>
      </c>
      <c r="BP33" s="2">
        <f t="shared" ca="1" si="19"/>
        <v>0</v>
      </c>
      <c r="BQ33" s="2">
        <f t="shared" ca="1" si="19"/>
        <v>0</v>
      </c>
    </row>
    <row r="34" spans="1:69" ht="14.5">
      <c r="E34" s="2" t="s">
        <v>196</v>
      </c>
      <c r="F34"/>
      <c r="G34" s="2" t="s">
        <v>252</v>
      </c>
      <c r="H34" s="2">
        <f ca="1">SUM(J34:BQ34)</f>
        <v>0</v>
      </c>
      <c r="I34"/>
      <c r="J34" s="2">
        <f t="shared" ref="J34:AO34" si="20">J32-J33</f>
        <v>0</v>
      </c>
      <c r="K34" s="2">
        <f t="shared" ca="1" si="20"/>
        <v>0</v>
      </c>
      <c r="L34" s="2">
        <f t="shared" ca="1" si="20"/>
        <v>0</v>
      </c>
      <c r="M34" s="2">
        <f t="shared" ca="1" si="20"/>
        <v>0</v>
      </c>
      <c r="N34" s="2">
        <f t="shared" ca="1" si="20"/>
        <v>0</v>
      </c>
      <c r="O34" s="2">
        <f t="shared" ca="1" si="20"/>
        <v>0</v>
      </c>
      <c r="P34" s="2">
        <f t="shared" ca="1" si="20"/>
        <v>0</v>
      </c>
      <c r="Q34" s="2">
        <f t="shared" ca="1" si="20"/>
        <v>0</v>
      </c>
      <c r="R34" s="2">
        <f t="shared" ca="1" si="20"/>
        <v>0</v>
      </c>
      <c r="S34" s="2">
        <f t="shared" ca="1" si="20"/>
        <v>0</v>
      </c>
      <c r="T34" s="2">
        <f t="shared" ca="1" si="20"/>
        <v>0</v>
      </c>
      <c r="U34" s="2">
        <f t="shared" ca="1" si="20"/>
        <v>0</v>
      </c>
      <c r="V34" s="2">
        <f t="shared" ca="1" si="20"/>
        <v>0</v>
      </c>
      <c r="W34" s="2">
        <f t="shared" ca="1" si="20"/>
        <v>0</v>
      </c>
      <c r="X34" s="2">
        <f t="shared" ca="1" si="20"/>
        <v>0</v>
      </c>
      <c r="Y34" s="2">
        <f t="shared" ca="1" si="20"/>
        <v>0</v>
      </c>
      <c r="Z34" s="2">
        <f t="shared" ca="1" si="20"/>
        <v>0</v>
      </c>
      <c r="AA34" s="2">
        <f t="shared" ca="1" si="20"/>
        <v>0</v>
      </c>
      <c r="AB34" s="2">
        <f t="shared" ca="1" si="20"/>
        <v>0</v>
      </c>
      <c r="AC34" s="2">
        <f t="shared" ca="1" si="20"/>
        <v>0</v>
      </c>
      <c r="AD34" s="2">
        <f t="shared" ca="1" si="20"/>
        <v>0</v>
      </c>
      <c r="AE34" s="2">
        <f t="shared" ca="1" si="20"/>
        <v>0</v>
      </c>
      <c r="AF34" s="2">
        <f t="shared" ca="1" si="20"/>
        <v>0</v>
      </c>
      <c r="AG34" s="2">
        <f t="shared" ca="1" si="20"/>
        <v>0</v>
      </c>
      <c r="AH34" s="2">
        <f t="shared" ca="1" si="20"/>
        <v>0</v>
      </c>
      <c r="AI34" s="2">
        <f t="shared" ca="1" si="20"/>
        <v>0</v>
      </c>
      <c r="AJ34" s="2">
        <f t="shared" ca="1" si="20"/>
        <v>0</v>
      </c>
      <c r="AK34" s="2">
        <f t="shared" ca="1" si="20"/>
        <v>0</v>
      </c>
      <c r="AL34" s="2">
        <f t="shared" ca="1" si="20"/>
        <v>0</v>
      </c>
      <c r="AM34" s="2">
        <f t="shared" ca="1" si="20"/>
        <v>0</v>
      </c>
      <c r="AN34" s="2">
        <f t="shared" ca="1" si="20"/>
        <v>0</v>
      </c>
      <c r="AO34" s="2">
        <f t="shared" ca="1" si="20"/>
        <v>0</v>
      </c>
      <c r="AP34" s="2">
        <f t="shared" ref="AP34:BU34" ca="1" si="21">AP32-AP33</f>
        <v>0</v>
      </c>
      <c r="AQ34" s="2">
        <f t="shared" ca="1" si="21"/>
        <v>0</v>
      </c>
      <c r="AR34" s="2">
        <f t="shared" ca="1" si="21"/>
        <v>0</v>
      </c>
      <c r="AS34" s="2">
        <f t="shared" ca="1" si="21"/>
        <v>0</v>
      </c>
      <c r="AT34" s="2">
        <f t="shared" ca="1" si="21"/>
        <v>0</v>
      </c>
      <c r="AU34" s="2">
        <f t="shared" ca="1" si="21"/>
        <v>0</v>
      </c>
      <c r="AV34" s="2">
        <f t="shared" ca="1" si="21"/>
        <v>0</v>
      </c>
      <c r="AW34" s="2">
        <f t="shared" ca="1" si="21"/>
        <v>0</v>
      </c>
      <c r="AX34" s="2">
        <f t="shared" ca="1" si="21"/>
        <v>0</v>
      </c>
      <c r="AY34" s="2">
        <f t="shared" ca="1" si="21"/>
        <v>0</v>
      </c>
      <c r="AZ34" s="2">
        <f t="shared" ca="1" si="21"/>
        <v>0</v>
      </c>
      <c r="BA34" s="2">
        <f t="shared" ca="1" si="21"/>
        <v>0</v>
      </c>
      <c r="BB34" s="2">
        <f t="shared" ca="1" si="21"/>
        <v>0</v>
      </c>
      <c r="BC34" s="2">
        <f t="shared" ca="1" si="21"/>
        <v>0</v>
      </c>
      <c r="BD34" s="2">
        <f t="shared" ca="1" si="21"/>
        <v>0</v>
      </c>
      <c r="BE34" s="2">
        <f t="shared" ca="1" si="21"/>
        <v>0</v>
      </c>
      <c r="BF34" s="2">
        <f t="shared" ca="1" si="21"/>
        <v>0</v>
      </c>
      <c r="BG34" s="2">
        <f t="shared" ca="1" si="21"/>
        <v>0</v>
      </c>
      <c r="BH34" s="2">
        <f t="shared" ca="1" si="21"/>
        <v>0</v>
      </c>
      <c r="BI34" s="2">
        <f t="shared" ca="1" si="21"/>
        <v>0</v>
      </c>
      <c r="BJ34" s="2">
        <f t="shared" ca="1" si="21"/>
        <v>0</v>
      </c>
      <c r="BK34" s="2">
        <f t="shared" ca="1" si="21"/>
        <v>0</v>
      </c>
      <c r="BL34" s="2">
        <f t="shared" ca="1" si="21"/>
        <v>0</v>
      </c>
      <c r="BM34" s="2">
        <f t="shared" ca="1" si="21"/>
        <v>0</v>
      </c>
      <c r="BN34" s="2">
        <f t="shared" ca="1" si="21"/>
        <v>0</v>
      </c>
      <c r="BO34" s="2">
        <f t="shared" ca="1" si="21"/>
        <v>0</v>
      </c>
      <c r="BP34" s="2">
        <f t="shared" ca="1" si="21"/>
        <v>0</v>
      </c>
      <c r="BQ34" s="2">
        <f t="shared" ca="1" si="21"/>
        <v>0</v>
      </c>
    </row>
    <row r="37" spans="1:69">
      <c r="B37" s="22" t="s">
        <v>131</v>
      </c>
    </row>
    <row r="38" spans="1:69">
      <c r="E38" s="45" t="str">
        <f>E$54</f>
        <v>Invoice finance period interest rate</v>
      </c>
      <c r="F38" s="45">
        <f>F$54</f>
        <v>7.0833333333333338E-3</v>
      </c>
      <c r="G38" s="45" t="str">
        <f>G$54</f>
        <v>%</v>
      </c>
      <c r="M38" s="45"/>
    </row>
    <row r="39" spans="1:69">
      <c r="E39" s="2" t="str">
        <f t="shared" ref="E39:AJ39" si="22">E$11</f>
        <v>Invoice finance balance BEG</v>
      </c>
      <c r="F39" s="2">
        <f t="shared" si="22"/>
        <v>0</v>
      </c>
      <c r="G39" s="2" t="str">
        <f t="shared" si="22"/>
        <v>GBP</v>
      </c>
      <c r="H39" s="2">
        <f t="shared" si="22"/>
        <v>0</v>
      </c>
      <c r="I39" s="2">
        <f t="shared" si="22"/>
        <v>0</v>
      </c>
      <c r="J39" s="2">
        <f t="shared" si="22"/>
        <v>0</v>
      </c>
      <c r="K39" s="2">
        <f t="shared" ca="1" si="22"/>
        <v>0</v>
      </c>
      <c r="L39" s="2">
        <f t="shared" ca="1" si="22"/>
        <v>0</v>
      </c>
      <c r="M39" s="2">
        <f t="shared" ca="1" si="22"/>
        <v>0</v>
      </c>
      <c r="N39" s="2">
        <f t="shared" ca="1" si="22"/>
        <v>0</v>
      </c>
      <c r="O39" s="2">
        <f t="shared" ca="1" si="22"/>
        <v>0</v>
      </c>
      <c r="P39" s="2">
        <f t="shared" ca="1" si="22"/>
        <v>0</v>
      </c>
      <c r="Q39" s="2">
        <f t="shared" ca="1" si="22"/>
        <v>0</v>
      </c>
      <c r="R39" s="2">
        <f t="shared" ca="1" si="22"/>
        <v>0</v>
      </c>
      <c r="S39" s="2">
        <f t="shared" ca="1" si="22"/>
        <v>0</v>
      </c>
      <c r="T39" s="2">
        <f t="shared" ca="1" si="22"/>
        <v>0</v>
      </c>
      <c r="U39" s="2">
        <f t="shared" ca="1" si="22"/>
        <v>0</v>
      </c>
      <c r="V39" s="2">
        <f t="shared" ca="1" si="22"/>
        <v>0</v>
      </c>
      <c r="W39" s="2">
        <f t="shared" ca="1" si="22"/>
        <v>0</v>
      </c>
      <c r="X39" s="2">
        <f t="shared" ca="1" si="22"/>
        <v>0</v>
      </c>
      <c r="Y39" s="2">
        <f t="shared" ca="1" si="22"/>
        <v>0</v>
      </c>
      <c r="Z39" s="2">
        <f t="shared" ca="1" si="22"/>
        <v>0</v>
      </c>
      <c r="AA39" s="2">
        <f t="shared" ca="1" si="22"/>
        <v>0</v>
      </c>
      <c r="AB39" s="2">
        <f t="shared" ca="1" si="22"/>
        <v>0</v>
      </c>
      <c r="AC39" s="2">
        <f t="shared" ca="1" si="22"/>
        <v>0</v>
      </c>
      <c r="AD39" s="2">
        <f t="shared" ca="1" si="22"/>
        <v>0</v>
      </c>
      <c r="AE39" s="2">
        <f t="shared" ca="1" si="22"/>
        <v>0</v>
      </c>
      <c r="AF39" s="2">
        <f t="shared" ca="1" si="22"/>
        <v>0</v>
      </c>
      <c r="AG39" s="2">
        <f t="shared" ca="1" si="22"/>
        <v>0</v>
      </c>
      <c r="AH39" s="2">
        <f t="shared" ca="1" si="22"/>
        <v>0</v>
      </c>
      <c r="AI39" s="2">
        <f t="shared" ca="1" si="22"/>
        <v>0</v>
      </c>
      <c r="AJ39" s="2">
        <f t="shared" ca="1" si="22"/>
        <v>0</v>
      </c>
      <c r="AK39" s="2">
        <f t="shared" ref="AK39:BQ39" ca="1" si="23">AK$11</f>
        <v>0</v>
      </c>
      <c r="AL39" s="2">
        <f t="shared" ca="1" si="23"/>
        <v>0</v>
      </c>
      <c r="AM39" s="2">
        <f t="shared" ca="1" si="23"/>
        <v>0</v>
      </c>
      <c r="AN39" s="2">
        <f t="shared" ca="1" si="23"/>
        <v>0</v>
      </c>
      <c r="AO39" s="2">
        <f t="shared" ca="1" si="23"/>
        <v>0</v>
      </c>
      <c r="AP39" s="2">
        <f t="shared" ca="1" si="23"/>
        <v>0</v>
      </c>
      <c r="AQ39" s="2">
        <f t="shared" ca="1" si="23"/>
        <v>0</v>
      </c>
      <c r="AR39" s="2">
        <f t="shared" ca="1" si="23"/>
        <v>0</v>
      </c>
      <c r="AS39" s="2">
        <f t="shared" ca="1" si="23"/>
        <v>0</v>
      </c>
      <c r="AT39" s="2">
        <f t="shared" ca="1" si="23"/>
        <v>0</v>
      </c>
      <c r="AU39" s="2">
        <f t="shared" ca="1" si="23"/>
        <v>0</v>
      </c>
      <c r="AV39" s="2">
        <f t="shared" ca="1" si="23"/>
        <v>0</v>
      </c>
      <c r="AW39" s="2">
        <f t="shared" ca="1" si="23"/>
        <v>0</v>
      </c>
      <c r="AX39" s="2">
        <f t="shared" ca="1" si="23"/>
        <v>0</v>
      </c>
      <c r="AY39" s="2">
        <f t="shared" ca="1" si="23"/>
        <v>0</v>
      </c>
      <c r="AZ39" s="2">
        <f t="shared" ca="1" si="23"/>
        <v>0</v>
      </c>
      <c r="BA39" s="2">
        <f t="shared" ca="1" si="23"/>
        <v>0</v>
      </c>
      <c r="BB39" s="2">
        <f t="shared" ca="1" si="23"/>
        <v>0</v>
      </c>
      <c r="BC39" s="2">
        <f t="shared" ca="1" si="23"/>
        <v>0</v>
      </c>
      <c r="BD39" s="2">
        <f t="shared" ca="1" si="23"/>
        <v>0</v>
      </c>
      <c r="BE39" s="2">
        <f t="shared" ca="1" si="23"/>
        <v>0</v>
      </c>
      <c r="BF39" s="2">
        <f t="shared" ca="1" si="23"/>
        <v>0</v>
      </c>
      <c r="BG39" s="2">
        <f t="shared" ca="1" si="23"/>
        <v>0</v>
      </c>
      <c r="BH39" s="2">
        <f t="shared" ca="1" si="23"/>
        <v>0</v>
      </c>
      <c r="BI39" s="2">
        <f t="shared" ca="1" si="23"/>
        <v>0</v>
      </c>
      <c r="BJ39" s="2">
        <f t="shared" ca="1" si="23"/>
        <v>0</v>
      </c>
      <c r="BK39" s="2">
        <f t="shared" ca="1" si="23"/>
        <v>0</v>
      </c>
      <c r="BL39" s="2">
        <f t="shared" ca="1" si="23"/>
        <v>0</v>
      </c>
      <c r="BM39" s="2">
        <f t="shared" ca="1" si="23"/>
        <v>0</v>
      </c>
      <c r="BN39" s="2">
        <f t="shared" ca="1" si="23"/>
        <v>0</v>
      </c>
      <c r="BO39" s="2">
        <f t="shared" ca="1" si="23"/>
        <v>0</v>
      </c>
      <c r="BP39" s="2">
        <f t="shared" ca="1" si="23"/>
        <v>0</v>
      </c>
      <c r="BQ39" s="2">
        <f t="shared" ca="1" si="23"/>
        <v>0</v>
      </c>
    </row>
    <row r="40" spans="1:69" ht="14.5">
      <c r="E40" s="2" t="s">
        <v>244</v>
      </c>
      <c r="F40"/>
      <c r="G40" s="2" t="s">
        <v>252</v>
      </c>
      <c r="H40" s="2">
        <f ca="1">SUM(J40:BQ40)</f>
        <v>0</v>
      </c>
      <c r="I40"/>
      <c r="J40" s="2">
        <f t="shared" ref="J40:AO40" si="24">$F38*J39</f>
        <v>0</v>
      </c>
      <c r="K40" s="2">
        <f t="shared" ca="1" si="24"/>
        <v>0</v>
      </c>
      <c r="L40" s="2">
        <f t="shared" ca="1" si="24"/>
        <v>0</v>
      </c>
      <c r="M40" s="2">
        <f t="shared" ca="1" si="24"/>
        <v>0</v>
      </c>
      <c r="N40" s="2">
        <f t="shared" ca="1" si="24"/>
        <v>0</v>
      </c>
      <c r="O40" s="2">
        <f t="shared" ca="1" si="24"/>
        <v>0</v>
      </c>
      <c r="P40" s="2">
        <f t="shared" ca="1" si="24"/>
        <v>0</v>
      </c>
      <c r="Q40" s="2">
        <f t="shared" ca="1" si="24"/>
        <v>0</v>
      </c>
      <c r="R40" s="2">
        <f t="shared" ca="1" si="24"/>
        <v>0</v>
      </c>
      <c r="S40" s="2">
        <f t="shared" ca="1" si="24"/>
        <v>0</v>
      </c>
      <c r="T40" s="2">
        <f t="shared" ca="1" si="24"/>
        <v>0</v>
      </c>
      <c r="U40" s="2">
        <f t="shared" ca="1" si="24"/>
        <v>0</v>
      </c>
      <c r="V40" s="2">
        <f t="shared" ca="1" si="24"/>
        <v>0</v>
      </c>
      <c r="W40" s="2">
        <f t="shared" ca="1" si="24"/>
        <v>0</v>
      </c>
      <c r="X40" s="2">
        <f t="shared" ca="1" si="24"/>
        <v>0</v>
      </c>
      <c r="Y40" s="2">
        <f t="shared" ca="1" si="24"/>
        <v>0</v>
      </c>
      <c r="Z40" s="2">
        <f t="shared" ca="1" si="24"/>
        <v>0</v>
      </c>
      <c r="AA40" s="2">
        <f t="shared" ca="1" si="24"/>
        <v>0</v>
      </c>
      <c r="AB40" s="2">
        <f t="shared" ca="1" si="24"/>
        <v>0</v>
      </c>
      <c r="AC40" s="2">
        <f t="shared" ca="1" si="24"/>
        <v>0</v>
      </c>
      <c r="AD40" s="2">
        <f t="shared" ca="1" si="24"/>
        <v>0</v>
      </c>
      <c r="AE40" s="2">
        <f t="shared" ca="1" si="24"/>
        <v>0</v>
      </c>
      <c r="AF40" s="2">
        <f t="shared" ca="1" si="24"/>
        <v>0</v>
      </c>
      <c r="AG40" s="2">
        <f t="shared" ca="1" si="24"/>
        <v>0</v>
      </c>
      <c r="AH40" s="2">
        <f t="shared" ca="1" si="24"/>
        <v>0</v>
      </c>
      <c r="AI40" s="2">
        <f t="shared" ca="1" si="24"/>
        <v>0</v>
      </c>
      <c r="AJ40" s="2">
        <f t="shared" ca="1" si="24"/>
        <v>0</v>
      </c>
      <c r="AK40" s="2">
        <f t="shared" ca="1" si="24"/>
        <v>0</v>
      </c>
      <c r="AL40" s="2">
        <f t="shared" ca="1" si="24"/>
        <v>0</v>
      </c>
      <c r="AM40" s="2">
        <f t="shared" ca="1" si="24"/>
        <v>0</v>
      </c>
      <c r="AN40" s="2">
        <f t="shared" ca="1" si="24"/>
        <v>0</v>
      </c>
      <c r="AO40" s="2">
        <f t="shared" ca="1" si="24"/>
        <v>0</v>
      </c>
      <c r="AP40" s="2">
        <f t="shared" ref="AP40:BU40" ca="1" si="25">$F38*AP39</f>
        <v>0</v>
      </c>
      <c r="AQ40" s="2">
        <f t="shared" ca="1" si="25"/>
        <v>0</v>
      </c>
      <c r="AR40" s="2">
        <f t="shared" ca="1" si="25"/>
        <v>0</v>
      </c>
      <c r="AS40" s="2">
        <f t="shared" ca="1" si="25"/>
        <v>0</v>
      </c>
      <c r="AT40" s="2">
        <f t="shared" ca="1" si="25"/>
        <v>0</v>
      </c>
      <c r="AU40" s="2">
        <f t="shared" ca="1" si="25"/>
        <v>0</v>
      </c>
      <c r="AV40" s="2">
        <f t="shared" ca="1" si="25"/>
        <v>0</v>
      </c>
      <c r="AW40" s="2">
        <f t="shared" ca="1" si="25"/>
        <v>0</v>
      </c>
      <c r="AX40" s="2">
        <f t="shared" ca="1" si="25"/>
        <v>0</v>
      </c>
      <c r="AY40" s="2">
        <f t="shared" ca="1" si="25"/>
        <v>0</v>
      </c>
      <c r="AZ40" s="2">
        <f t="shared" ca="1" si="25"/>
        <v>0</v>
      </c>
      <c r="BA40" s="2">
        <f t="shared" ca="1" si="25"/>
        <v>0</v>
      </c>
      <c r="BB40" s="2">
        <f t="shared" ca="1" si="25"/>
        <v>0</v>
      </c>
      <c r="BC40" s="2">
        <f t="shared" ca="1" si="25"/>
        <v>0</v>
      </c>
      <c r="BD40" s="2">
        <f t="shared" ca="1" si="25"/>
        <v>0</v>
      </c>
      <c r="BE40" s="2">
        <f t="shared" ca="1" si="25"/>
        <v>0</v>
      </c>
      <c r="BF40" s="2">
        <f t="shared" ca="1" si="25"/>
        <v>0</v>
      </c>
      <c r="BG40" s="2">
        <f t="shared" ca="1" si="25"/>
        <v>0</v>
      </c>
      <c r="BH40" s="2">
        <f t="shared" ca="1" si="25"/>
        <v>0</v>
      </c>
      <c r="BI40" s="2">
        <f t="shared" ca="1" si="25"/>
        <v>0</v>
      </c>
      <c r="BJ40" s="2">
        <f t="shared" ca="1" si="25"/>
        <v>0</v>
      </c>
      <c r="BK40" s="2">
        <f t="shared" ca="1" si="25"/>
        <v>0</v>
      </c>
      <c r="BL40" s="2">
        <f t="shared" ca="1" si="25"/>
        <v>0</v>
      </c>
      <c r="BM40" s="2">
        <f t="shared" ca="1" si="25"/>
        <v>0</v>
      </c>
      <c r="BN40" s="2">
        <f t="shared" ca="1" si="25"/>
        <v>0</v>
      </c>
      <c r="BO40" s="2">
        <f t="shared" ca="1" si="25"/>
        <v>0</v>
      </c>
      <c r="BP40" s="2">
        <f t="shared" ca="1" si="25"/>
        <v>0</v>
      </c>
      <c r="BQ40" s="2">
        <f t="shared" ca="1" si="25"/>
        <v>0</v>
      </c>
    </row>
    <row r="41" spans="1:69">
      <c r="A41" s="31"/>
      <c r="B41" s="31"/>
      <c r="C41" s="51"/>
      <c r="D41" s="50"/>
      <c r="E41" s="3" t="str">
        <f>LEFT($E$40,LEN($E$40)-3)</f>
        <v xml:space="preserve">Invoice finance interest </v>
      </c>
      <c r="F41" s="3"/>
      <c r="G41" s="3" t="str">
        <f>G$40</f>
        <v>GBP</v>
      </c>
      <c r="H41" s="3">
        <f ca="1">SUM(J41:BQ41)</f>
        <v>0</v>
      </c>
      <c r="I41" s="3"/>
      <c r="J41" s="3">
        <f t="shared" ref="J41:AO41" si="26">-1*J40</f>
        <v>0</v>
      </c>
      <c r="K41" s="3">
        <f t="shared" ca="1" si="26"/>
        <v>0</v>
      </c>
      <c r="L41" s="3">
        <f t="shared" ca="1" si="26"/>
        <v>0</v>
      </c>
      <c r="M41" s="3">
        <f t="shared" ca="1" si="26"/>
        <v>0</v>
      </c>
      <c r="N41" s="3">
        <f t="shared" ca="1" si="26"/>
        <v>0</v>
      </c>
      <c r="O41" s="3">
        <f t="shared" ca="1" si="26"/>
        <v>0</v>
      </c>
      <c r="P41" s="3">
        <f t="shared" ca="1" si="26"/>
        <v>0</v>
      </c>
      <c r="Q41" s="3">
        <f t="shared" ca="1" si="26"/>
        <v>0</v>
      </c>
      <c r="R41" s="3">
        <f t="shared" ca="1" si="26"/>
        <v>0</v>
      </c>
      <c r="S41" s="3">
        <f t="shared" ca="1" si="26"/>
        <v>0</v>
      </c>
      <c r="T41" s="3">
        <f t="shared" ca="1" si="26"/>
        <v>0</v>
      </c>
      <c r="U41" s="3">
        <f t="shared" ca="1" si="26"/>
        <v>0</v>
      </c>
      <c r="V41" s="3">
        <f t="shared" ca="1" si="26"/>
        <v>0</v>
      </c>
      <c r="W41" s="3">
        <f t="shared" ca="1" si="26"/>
        <v>0</v>
      </c>
      <c r="X41" s="3">
        <f t="shared" ca="1" si="26"/>
        <v>0</v>
      </c>
      <c r="Y41" s="3">
        <f t="shared" ca="1" si="26"/>
        <v>0</v>
      </c>
      <c r="Z41" s="3">
        <f t="shared" ca="1" si="26"/>
        <v>0</v>
      </c>
      <c r="AA41" s="3">
        <f t="shared" ca="1" si="26"/>
        <v>0</v>
      </c>
      <c r="AB41" s="3">
        <f t="shared" ca="1" si="26"/>
        <v>0</v>
      </c>
      <c r="AC41" s="3">
        <f t="shared" ca="1" si="26"/>
        <v>0</v>
      </c>
      <c r="AD41" s="3">
        <f t="shared" ca="1" si="26"/>
        <v>0</v>
      </c>
      <c r="AE41" s="3">
        <f t="shared" ca="1" si="26"/>
        <v>0</v>
      </c>
      <c r="AF41" s="3">
        <f t="shared" ca="1" si="26"/>
        <v>0</v>
      </c>
      <c r="AG41" s="3">
        <f t="shared" ca="1" si="26"/>
        <v>0</v>
      </c>
      <c r="AH41" s="3">
        <f t="shared" ca="1" si="26"/>
        <v>0</v>
      </c>
      <c r="AI41" s="3">
        <f t="shared" ca="1" si="26"/>
        <v>0</v>
      </c>
      <c r="AJ41" s="3">
        <f t="shared" ca="1" si="26"/>
        <v>0</v>
      </c>
      <c r="AK41" s="3">
        <f t="shared" ca="1" si="26"/>
        <v>0</v>
      </c>
      <c r="AL41" s="3">
        <f t="shared" ca="1" si="26"/>
        <v>0</v>
      </c>
      <c r="AM41" s="3">
        <f t="shared" ca="1" si="26"/>
        <v>0</v>
      </c>
      <c r="AN41" s="3">
        <f t="shared" ca="1" si="26"/>
        <v>0</v>
      </c>
      <c r="AO41" s="3">
        <f t="shared" ca="1" si="26"/>
        <v>0</v>
      </c>
      <c r="AP41" s="3">
        <f t="shared" ref="AP41:BU41" ca="1" si="27">-1*AP40</f>
        <v>0</v>
      </c>
      <c r="AQ41" s="3">
        <f t="shared" ca="1" si="27"/>
        <v>0</v>
      </c>
      <c r="AR41" s="3">
        <f t="shared" ca="1" si="27"/>
        <v>0</v>
      </c>
      <c r="AS41" s="3">
        <f t="shared" ca="1" si="27"/>
        <v>0</v>
      </c>
      <c r="AT41" s="3">
        <f t="shared" ca="1" si="27"/>
        <v>0</v>
      </c>
      <c r="AU41" s="3">
        <f t="shared" ca="1" si="27"/>
        <v>0</v>
      </c>
      <c r="AV41" s="3">
        <f t="shared" ca="1" si="27"/>
        <v>0</v>
      </c>
      <c r="AW41" s="3">
        <f t="shared" ca="1" si="27"/>
        <v>0</v>
      </c>
      <c r="AX41" s="3">
        <f t="shared" ca="1" si="27"/>
        <v>0</v>
      </c>
      <c r="AY41" s="3">
        <f t="shared" ca="1" si="27"/>
        <v>0</v>
      </c>
      <c r="AZ41" s="3">
        <f t="shared" ca="1" si="27"/>
        <v>0</v>
      </c>
      <c r="BA41" s="3">
        <f t="shared" ca="1" si="27"/>
        <v>0</v>
      </c>
      <c r="BB41" s="3">
        <f t="shared" ca="1" si="27"/>
        <v>0</v>
      </c>
      <c r="BC41" s="3">
        <f t="shared" ca="1" si="27"/>
        <v>0</v>
      </c>
      <c r="BD41" s="3">
        <f t="shared" ca="1" si="27"/>
        <v>0</v>
      </c>
      <c r="BE41" s="3">
        <f t="shared" ca="1" si="27"/>
        <v>0</v>
      </c>
      <c r="BF41" s="3">
        <f t="shared" ca="1" si="27"/>
        <v>0</v>
      </c>
      <c r="BG41" s="3">
        <f t="shared" ca="1" si="27"/>
        <v>0</v>
      </c>
      <c r="BH41" s="3">
        <f t="shared" ca="1" si="27"/>
        <v>0</v>
      </c>
      <c r="BI41" s="3">
        <f t="shared" ca="1" si="27"/>
        <v>0</v>
      </c>
      <c r="BJ41" s="3">
        <f t="shared" ca="1" si="27"/>
        <v>0</v>
      </c>
      <c r="BK41" s="3">
        <f t="shared" ca="1" si="27"/>
        <v>0</v>
      </c>
      <c r="BL41" s="3">
        <f t="shared" ca="1" si="27"/>
        <v>0</v>
      </c>
      <c r="BM41" s="3">
        <f t="shared" ca="1" si="27"/>
        <v>0</v>
      </c>
      <c r="BN41" s="3">
        <f t="shared" ca="1" si="27"/>
        <v>0</v>
      </c>
      <c r="BO41" s="3">
        <f t="shared" ca="1" si="27"/>
        <v>0</v>
      </c>
      <c r="BP41" s="3">
        <f t="shared" ca="1" si="27"/>
        <v>0</v>
      </c>
      <c r="BQ41" s="3">
        <f t="shared" ca="1" si="27"/>
        <v>0</v>
      </c>
    </row>
    <row r="44" spans="1:69">
      <c r="B44" s="22" t="s">
        <v>132</v>
      </c>
    </row>
    <row r="45" spans="1:69">
      <c r="E45" s="2" t="str">
        <f t="shared" ref="E45:AJ45" si="28">E$40</f>
        <v>Invoice finance interest POS</v>
      </c>
      <c r="F45" s="2">
        <f t="shared" si="28"/>
        <v>0</v>
      </c>
      <c r="G45" s="2" t="str">
        <f t="shared" si="28"/>
        <v>GBP</v>
      </c>
      <c r="H45" s="2">
        <f t="shared" ca="1" si="28"/>
        <v>0</v>
      </c>
      <c r="I45" s="2">
        <f t="shared" si="28"/>
        <v>0</v>
      </c>
      <c r="J45" s="2">
        <f t="shared" si="28"/>
        <v>0</v>
      </c>
      <c r="K45" s="2">
        <f t="shared" ca="1" si="28"/>
        <v>0</v>
      </c>
      <c r="L45" s="2">
        <f t="shared" ca="1" si="28"/>
        <v>0</v>
      </c>
      <c r="M45" s="2">
        <f t="shared" ca="1" si="28"/>
        <v>0</v>
      </c>
      <c r="N45" s="2">
        <f t="shared" ca="1" si="28"/>
        <v>0</v>
      </c>
      <c r="O45" s="2">
        <f t="shared" ca="1" si="28"/>
        <v>0</v>
      </c>
      <c r="P45" s="2">
        <f t="shared" ca="1" si="28"/>
        <v>0</v>
      </c>
      <c r="Q45" s="2">
        <f t="shared" ca="1" si="28"/>
        <v>0</v>
      </c>
      <c r="R45" s="2">
        <f t="shared" ca="1" si="28"/>
        <v>0</v>
      </c>
      <c r="S45" s="2">
        <f t="shared" ca="1" si="28"/>
        <v>0</v>
      </c>
      <c r="T45" s="2">
        <f t="shared" ca="1" si="28"/>
        <v>0</v>
      </c>
      <c r="U45" s="2">
        <f t="shared" ca="1" si="28"/>
        <v>0</v>
      </c>
      <c r="V45" s="2">
        <f t="shared" ca="1" si="28"/>
        <v>0</v>
      </c>
      <c r="W45" s="2">
        <f t="shared" ca="1" si="28"/>
        <v>0</v>
      </c>
      <c r="X45" s="2">
        <f t="shared" ca="1" si="28"/>
        <v>0</v>
      </c>
      <c r="Y45" s="2">
        <f t="shared" ca="1" si="28"/>
        <v>0</v>
      </c>
      <c r="Z45" s="2">
        <f t="shared" ca="1" si="28"/>
        <v>0</v>
      </c>
      <c r="AA45" s="2">
        <f t="shared" ca="1" si="28"/>
        <v>0</v>
      </c>
      <c r="AB45" s="2">
        <f t="shared" ca="1" si="28"/>
        <v>0</v>
      </c>
      <c r="AC45" s="2">
        <f t="shared" ca="1" si="28"/>
        <v>0</v>
      </c>
      <c r="AD45" s="2">
        <f t="shared" ca="1" si="28"/>
        <v>0</v>
      </c>
      <c r="AE45" s="2">
        <f t="shared" ca="1" si="28"/>
        <v>0</v>
      </c>
      <c r="AF45" s="2">
        <f t="shared" ca="1" si="28"/>
        <v>0</v>
      </c>
      <c r="AG45" s="2">
        <f t="shared" ca="1" si="28"/>
        <v>0</v>
      </c>
      <c r="AH45" s="2">
        <f t="shared" ca="1" si="28"/>
        <v>0</v>
      </c>
      <c r="AI45" s="2">
        <f t="shared" ca="1" si="28"/>
        <v>0</v>
      </c>
      <c r="AJ45" s="2">
        <f t="shared" ca="1" si="28"/>
        <v>0</v>
      </c>
      <c r="AK45" s="2">
        <f t="shared" ref="AK45:BQ45" ca="1" si="29">AK$40</f>
        <v>0</v>
      </c>
      <c r="AL45" s="2">
        <f t="shared" ca="1" si="29"/>
        <v>0</v>
      </c>
      <c r="AM45" s="2">
        <f t="shared" ca="1" si="29"/>
        <v>0</v>
      </c>
      <c r="AN45" s="2">
        <f t="shared" ca="1" si="29"/>
        <v>0</v>
      </c>
      <c r="AO45" s="2">
        <f t="shared" ca="1" si="29"/>
        <v>0</v>
      </c>
      <c r="AP45" s="2">
        <f t="shared" ca="1" si="29"/>
        <v>0</v>
      </c>
      <c r="AQ45" s="2">
        <f t="shared" ca="1" si="29"/>
        <v>0</v>
      </c>
      <c r="AR45" s="2">
        <f t="shared" ca="1" si="29"/>
        <v>0</v>
      </c>
      <c r="AS45" s="2">
        <f t="shared" ca="1" si="29"/>
        <v>0</v>
      </c>
      <c r="AT45" s="2">
        <f t="shared" ca="1" si="29"/>
        <v>0</v>
      </c>
      <c r="AU45" s="2">
        <f t="shared" ca="1" si="29"/>
        <v>0</v>
      </c>
      <c r="AV45" s="2">
        <f t="shared" ca="1" si="29"/>
        <v>0</v>
      </c>
      <c r="AW45" s="2">
        <f t="shared" ca="1" si="29"/>
        <v>0</v>
      </c>
      <c r="AX45" s="2">
        <f t="shared" ca="1" si="29"/>
        <v>0</v>
      </c>
      <c r="AY45" s="2">
        <f t="shared" ca="1" si="29"/>
        <v>0</v>
      </c>
      <c r="AZ45" s="2">
        <f t="shared" ca="1" si="29"/>
        <v>0</v>
      </c>
      <c r="BA45" s="2">
        <f t="shared" ca="1" si="29"/>
        <v>0</v>
      </c>
      <c r="BB45" s="2">
        <f t="shared" ca="1" si="29"/>
        <v>0</v>
      </c>
      <c r="BC45" s="2">
        <f t="shared" ca="1" si="29"/>
        <v>0</v>
      </c>
      <c r="BD45" s="2">
        <f t="shared" ca="1" si="29"/>
        <v>0</v>
      </c>
      <c r="BE45" s="2">
        <f t="shared" ca="1" si="29"/>
        <v>0</v>
      </c>
      <c r="BF45" s="2">
        <f t="shared" ca="1" si="29"/>
        <v>0</v>
      </c>
      <c r="BG45" s="2">
        <f t="shared" ca="1" si="29"/>
        <v>0</v>
      </c>
      <c r="BH45" s="2">
        <f t="shared" ca="1" si="29"/>
        <v>0</v>
      </c>
      <c r="BI45" s="2">
        <f t="shared" ca="1" si="29"/>
        <v>0</v>
      </c>
      <c r="BJ45" s="2">
        <f t="shared" ca="1" si="29"/>
        <v>0</v>
      </c>
      <c r="BK45" s="2">
        <f t="shared" ca="1" si="29"/>
        <v>0</v>
      </c>
      <c r="BL45" s="2">
        <f t="shared" ca="1" si="29"/>
        <v>0</v>
      </c>
      <c r="BM45" s="2">
        <f t="shared" ca="1" si="29"/>
        <v>0</v>
      </c>
      <c r="BN45" s="2">
        <f t="shared" ca="1" si="29"/>
        <v>0</v>
      </c>
      <c r="BO45" s="2">
        <f t="shared" ca="1" si="29"/>
        <v>0</v>
      </c>
      <c r="BP45" s="2">
        <f t="shared" ca="1" si="29"/>
        <v>0</v>
      </c>
      <c r="BQ45" s="2">
        <f t="shared" ca="1" si="29"/>
        <v>0</v>
      </c>
    </row>
    <row r="46" spans="1:69" ht="14.5">
      <c r="E46" s="2" t="s">
        <v>115</v>
      </c>
      <c r="F46"/>
      <c r="G46" s="2" t="s">
        <v>252</v>
      </c>
      <c r="H46" s="2">
        <f ca="1">SUM(J46:BQ46)</f>
        <v>0</v>
      </c>
      <c r="I46"/>
      <c r="J46" s="2">
        <f t="shared" ref="J46:AO46" si="30">J45</f>
        <v>0</v>
      </c>
      <c r="K46" s="2">
        <f t="shared" ca="1" si="30"/>
        <v>0</v>
      </c>
      <c r="L46" s="2">
        <f t="shared" ca="1" si="30"/>
        <v>0</v>
      </c>
      <c r="M46" s="2">
        <f t="shared" ca="1" si="30"/>
        <v>0</v>
      </c>
      <c r="N46" s="2">
        <f t="shared" ca="1" si="30"/>
        <v>0</v>
      </c>
      <c r="O46" s="2">
        <f t="shared" ca="1" si="30"/>
        <v>0</v>
      </c>
      <c r="P46" s="2">
        <f t="shared" ca="1" si="30"/>
        <v>0</v>
      </c>
      <c r="Q46" s="2">
        <f t="shared" ca="1" si="30"/>
        <v>0</v>
      </c>
      <c r="R46" s="2">
        <f t="shared" ca="1" si="30"/>
        <v>0</v>
      </c>
      <c r="S46" s="2">
        <f t="shared" ca="1" si="30"/>
        <v>0</v>
      </c>
      <c r="T46" s="2">
        <f t="shared" ca="1" si="30"/>
        <v>0</v>
      </c>
      <c r="U46" s="2">
        <f t="shared" ca="1" si="30"/>
        <v>0</v>
      </c>
      <c r="V46" s="2">
        <f t="shared" ca="1" si="30"/>
        <v>0</v>
      </c>
      <c r="W46" s="2">
        <f t="shared" ca="1" si="30"/>
        <v>0</v>
      </c>
      <c r="X46" s="2">
        <f t="shared" ca="1" si="30"/>
        <v>0</v>
      </c>
      <c r="Y46" s="2">
        <f t="shared" ca="1" si="30"/>
        <v>0</v>
      </c>
      <c r="Z46" s="2">
        <f t="shared" ca="1" si="30"/>
        <v>0</v>
      </c>
      <c r="AA46" s="2">
        <f t="shared" ca="1" si="30"/>
        <v>0</v>
      </c>
      <c r="AB46" s="2">
        <f t="shared" ca="1" si="30"/>
        <v>0</v>
      </c>
      <c r="AC46" s="2">
        <f t="shared" ca="1" si="30"/>
        <v>0</v>
      </c>
      <c r="AD46" s="2">
        <f t="shared" ca="1" si="30"/>
        <v>0</v>
      </c>
      <c r="AE46" s="2">
        <f t="shared" ca="1" si="30"/>
        <v>0</v>
      </c>
      <c r="AF46" s="2">
        <f t="shared" ca="1" si="30"/>
        <v>0</v>
      </c>
      <c r="AG46" s="2">
        <f t="shared" ca="1" si="30"/>
        <v>0</v>
      </c>
      <c r="AH46" s="2">
        <f t="shared" ca="1" si="30"/>
        <v>0</v>
      </c>
      <c r="AI46" s="2">
        <f t="shared" ca="1" si="30"/>
        <v>0</v>
      </c>
      <c r="AJ46" s="2">
        <f t="shared" ca="1" si="30"/>
        <v>0</v>
      </c>
      <c r="AK46" s="2">
        <f t="shared" ca="1" si="30"/>
        <v>0</v>
      </c>
      <c r="AL46" s="2">
        <f t="shared" ca="1" si="30"/>
        <v>0</v>
      </c>
      <c r="AM46" s="2">
        <f t="shared" ca="1" si="30"/>
        <v>0</v>
      </c>
      <c r="AN46" s="2">
        <f t="shared" ca="1" si="30"/>
        <v>0</v>
      </c>
      <c r="AO46" s="2">
        <f t="shared" ca="1" si="30"/>
        <v>0</v>
      </c>
      <c r="AP46" s="2">
        <f t="shared" ref="AP46:BU46" ca="1" si="31">AP45</f>
        <v>0</v>
      </c>
      <c r="AQ46" s="2">
        <f t="shared" ca="1" si="31"/>
        <v>0</v>
      </c>
      <c r="AR46" s="2">
        <f t="shared" ca="1" si="31"/>
        <v>0</v>
      </c>
      <c r="AS46" s="2">
        <f t="shared" ca="1" si="31"/>
        <v>0</v>
      </c>
      <c r="AT46" s="2">
        <f t="shared" ca="1" si="31"/>
        <v>0</v>
      </c>
      <c r="AU46" s="2">
        <f t="shared" ca="1" si="31"/>
        <v>0</v>
      </c>
      <c r="AV46" s="2">
        <f t="shared" ca="1" si="31"/>
        <v>0</v>
      </c>
      <c r="AW46" s="2">
        <f t="shared" ca="1" si="31"/>
        <v>0</v>
      </c>
      <c r="AX46" s="2">
        <f t="shared" ca="1" si="31"/>
        <v>0</v>
      </c>
      <c r="AY46" s="2">
        <f t="shared" ca="1" si="31"/>
        <v>0</v>
      </c>
      <c r="AZ46" s="2">
        <f t="shared" ca="1" si="31"/>
        <v>0</v>
      </c>
      <c r="BA46" s="2">
        <f t="shared" ca="1" si="31"/>
        <v>0</v>
      </c>
      <c r="BB46" s="2">
        <f t="shared" ca="1" si="31"/>
        <v>0</v>
      </c>
      <c r="BC46" s="2">
        <f t="shared" ca="1" si="31"/>
        <v>0</v>
      </c>
      <c r="BD46" s="2">
        <f t="shared" ca="1" si="31"/>
        <v>0</v>
      </c>
      <c r="BE46" s="2">
        <f t="shared" ca="1" si="31"/>
        <v>0</v>
      </c>
      <c r="BF46" s="2">
        <f t="shared" ca="1" si="31"/>
        <v>0</v>
      </c>
      <c r="BG46" s="2">
        <f t="shared" ca="1" si="31"/>
        <v>0</v>
      </c>
      <c r="BH46" s="2">
        <f t="shared" ca="1" si="31"/>
        <v>0</v>
      </c>
      <c r="BI46" s="2">
        <f t="shared" ca="1" si="31"/>
        <v>0</v>
      </c>
      <c r="BJ46" s="2">
        <f t="shared" ca="1" si="31"/>
        <v>0</v>
      </c>
      <c r="BK46" s="2">
        <f t="shared" ca="1" si="31"/>
        <v>0</v>
      </c>
      <c r="BL46" s="2">
        <f t="shared" ca="1" si="31"/>
        <v>0</v>
      </c>
      <c r="BM46" s="2">
        <f t="shared" ca="1" si="31"/>
        <v>0</v>
      </c>
      <c r="BN46" s="2">
        <f t="shared" ca="1" si="31"/>
        <v>0</v>
      </c>
      <c r="BO46" s="2">
        <f t="shared" ca="1" si="31"/>
        <v>0</v>
      </c>
      <c r="BP46" s="2">
        <f t="shared" ca="1" si="31"/>
        <v>0</v>
      </c>
      <c r="BQ46" s="2">
        <f t="shared" ca="1" si="31"/>
        <v>0</v>
      </c>
    </row>
    <row r="47" spans="1:69">
      <c r="A47" s="31"/>
      <c r="B47" s="31"/>
      <c r="C47" s="51"/>
      <c r="D47" s="50"/>
      <c r="E47" s="3" t="str">
        <f>LEFT($E$46,LEN($E$46)-3)</f>
        <v xml:space="preserve">Invoice finance interest paid </v>
      </c>
      <c r="F47" s="3"/>
      <c r="G47" s="3" t="str">
        <f>G$46</f>
        <v>GBP</v>
      </c>
      <c r="H47" s="3">
        <f ca="1">SUM(J47:BQ47)</f>
        <v>0</v>
      </c>
      <c r="I47" s="3"/>
      <c r="J47" s="3">
        <f t="shared" ref="J47:AO47" si="32">-1*J46</f>
        <v>0</v>
      </c>
      <c r="K47" s="3">
        <f t="shared" ca="1" si="32"/>
        <v>0</v>
      </c>
      <c r="L47" s="3">
        <f t="shared" ca="1" si="32"/>
        <v>0</v>
      </c>
      <c r="M47" s="3">
        <f t="shared" ca="1" si="32"/>
        <v>0</v>
      </c>
      <c r="N47" s="3">
        <f t="shared" ca="1" si="32"/>
        <v>0</v>
      </c>
      <c r="O47" s="3">
        <f t="shared" ca="1" si="32"/>
        <v>0</v>
      </c>
      <c r="P47" s="3">
        <f t="shared" ca="1" si="32"/>
        <v>0</v>
      </c>
      <c r="Q47" s="3">
        <f t="shared" ca="1" si="32"/>
        <v>0</v>
      </c>
      <c r="R47" s="3">
        <f t="shared" ca="1" si="32"/>
        <v>0</v>
      </c>
      <c r="S47" s="3">
        <f t="shared" ca="1" si="32"/>
        <v>0</v>
      </c>
      <c r="T47" s="3">
        <f t="shared" ca="1" si="32"/>
        <v>0</v>
      </c>
      <c r="U47" s="3">
        <f t="shared" ca="1" si="32"/>
        <v>0</v>
      </c>
      <c r="V47" s="3">
        <f t="shared" ca="1" si="32"/>
        <v>0</v>
      </c>
      <c r="W47" s="3">
        <f t="shared" ca="1" si="32"/>
        <v>0</v>
      </c>
      <c r="X47" s="3">
        <f t="shared" ca="1" si="32"/>
        <v>0</v>
      </c>
      <c r="Y47" s="3">
        <f t="shared" ca="1" si="32"/>
        <v>0</v>
      </c>
      <c r="Z47" s="3">
        <f t="shared" ca="1" si="32"/>
        <v>0</v>
      </c>
      <c r="AA47" s="3">
        <f t="shared" ca="1" si="32"/>
        <v>0</v>
      </c>
      <c r="AB47" s="3">
        <f t="shared" ca="1" si="32"/>
        <v>0</v>
      </c>
      <c r="AC47" s="3">
        <f t="shared" ca="1" si="32"/>
        <v>0</v>
      </c>
      <c r="AD47" s="3">
        <f t="shared" ca="1" si="32"/>
        <v>0</v>
      </c>
      <c r="AE47" s="3">
        <f t="shared" ca="1" si="32"/>
        <v>0</v>
      </c>
      <c r="AF47" s="3">
        <f t="shared" ca="1" si="32"/>
        <v>0</v>
      </c>
      <c r="AG47" s="3">
        <f t="shared" ca="1" si="32"/>
        <v>0</v>
      </c>
      <c r="AH47" s="3">
        <f t="shared" ca="1" si="32"/>
        <v>0</v>
      </c>
      <c r="AI47" s="3">
        <f t="shared" ca="1" si="32"/>
        <v>0</v>
      </c>
      <c r="AJ47" s="3">
        <f t="shared" ca="1" si="32"/>
        <v>0</v>
      </c>
      <c r="AK47" s="3">
        <f t="shared" ca="1" si="32"/>
        <v>0</v>
      </c>
      <c r="AL47" s="3">
        <f t="shared" ca="1" si="32"/>
        <v>0</v>
      </c>
      <c r="AM47" s="3">
        <f t="shared" ca="1" si="32"/>
        <v>0</v>
      </c>
      <c r="AN47" s="3">
        <f t="shared" ca="1" si="32"/>
        <v>0</v>
      </c>
      <c r="AO47" s="3">
        <f t="shared" ca="1" si="32"/>
        <v>0</v>
      </c>
      <c r="AP47" s="3">
        <f t="shared" ref="AP47:BU47" ca="1" si="33">-1*AP46</f>
        <v>0</v>
      </c>
      <c r="AQ47" s="3">
        <f t="shared" ca="1" si="33"/>
        <v>0</v>
      </c>
      <c r="AR47" s="3">
        <f t="shared" ca="1" si="33"/>
        <v>0</v>
      </c>
      <c r="AS47" s="3">
        <f t="shared" ca="1" si="33"/>
        <v>0</v>
      </c>
      <c r="AT47" s="3">
        <f t="shared" ca="1" si="33"/>
        <v>0</v>
      </c>
      <c r="AU47" s="3">
        <f t="shared" ca="1" si="33"/>
        <v>0</v>
      </c>
      <c r="AV47" s="3">
        <f t="shared" ca="1" si="33"/>
        <v>0</v>
      </c>
      <c r="AW47" s="3">
        <f t="shared" ca="1" si="33"/>
        <v>0</v>
      </c>
      <c r="AX47" s="3">
        <f t="shared" ca="1" si="33"/>
        <v>0</v>
      </c>
      <c r="AY47" s="3">
        <f t="shared" ca="1" si="33"/>
        <v>0</v>
      </c>
      <c r="AZ47" s="3">
        <f t="shared" ca="1" si="33"/>
        <v>0</v>
      </c>
      <c r="BA47" s="3">
        <f t="shared" ca="1" si="33"/>
        <v>0</v>
      </c>
      <c r="BB47" s="3">
        <f t="shared" ca="1" si="33"/>
        <v>0</v>
      </c>
      <c r="BC47" s="3">
        <f t="shared" ca="1" si="33"/>
        <v>0</v>
      </c>
      <c r="BD47" s="3">
        <f t="shared" ca="1" si="33"/>
        <v>0</v>
      </c>
      <c r="BE47" s="3">
        <f t="shared" ca="1" si="33"/>
        <v>0</v>
      </c>
      <c r="BF47" s="3">
        <f t="shared" ca="1" si="33"/>
        <v>0</v>
      </c>
      <c r="BG47" s="3">
        <f t="shared" ca="1" si="33"/>
        <v>0</v>
      </c>
      <c r="BH47" s="3">
        <f t="shared" ca="1" si="33"/>
        <v>0</v>
      </c>
      <c r="BI47" s="3">
        <f t="shared" ca="1" si="33"/>
        <v>0</v>
      </c>
      <c r="BJ47" s="3">
        <f t="shared" ca="1" si="33"/>
        <v>0</v>
      </c>
      <c r="BK47" s="3">
        <f t="shared" ca="1" si="33"/>
        <v>0</v>
      </c>
      <c r="BL47" s="3">
        <f t="shared" ca="1" si="33"/>
        <v>0</v>
      </c>
      <c r="BM47" s="3">
        <f t="shared" ca="1" si="33"/>
        <v>0</v>
      </c>
      <c r="BN47" s="3">
        <f t="shared" ca="1" si="33"/>
        <v>0</v>
      </c>
      <c r="BO47" s="3">
        <f t="shared" ca="1" si="33"/>
        <v>0</v>
      </c>
      <c r="BP47" s="3">
        <f t="shared" ca="1" si="33"/>
        <v>0</v>
      </c>
      <c r="BQ47" s="3">
        <f t="shared" ca="1" si="33"/>
        <v>0</v>
      </c>
    </row>
    <row r="50" spans="1:13">
      <c r="B50" s="22" t="s">
        <v>36</v>
      </c>
    </row>
    <row r="51" spans="1:13">
      <c r="A51" s="17"/>
      <c r="B51" s="17"/>
      <c r="C51" s="26"/>
      <c r="D51" s="27"/>
      <c r="E51" s="36" t="str">
        <f>InpC!E$62</f>
        <v>All in Invoice Finance annual interest rate</v>
      </c>
      <c r="F51" s="36">
        <f>InpC!F$62</f>
        <v>8.5000000000000006E-2</v>
      </c>
      <c r="G51" s="36" t="str">
        <f>InpC!G$62</f>
        <v>%</v>
      </c>
      <c r="M51" s="45"/>
    </row>
    <row r="52" spans="1:13">
      <c r="A52" s="17"/>
      <c r="B52" s="17"/>
      <c r="C52" s="26"/>
      <c r="D52" s="27"/>
      <c r="E52" s="4" t="str">
        <f>InpC!E$56</f>
        <v>debt day count convention</v>
      </c>
      <c r="F52" s="4">
        <f>InpC!F$56</f>
        <v>360</v>
      </c>
      <c r="G52" s="4" t="str">
        <f>InpC!G$56</f>
        <v>day</v>
      </c>
    </row>
    <row r="53" spans="1:13">
      <c r="A53" s="17"/>
      <c r="B53" s="17"/>
      <c r="C53" s="26"/>
      <c r="D53" s="27"/>
      <c r="E53" s="4" t="str">
        <f>InpC!E$55</f>
        <v>Days in period</v>
      </c>
      <c r="F53" s="4">
        <f>InpC!F$55</f>
        <v>30</v>
      </c>
      <c r="G53" s="4" t="str">
        <f>InpC!G$55</f>
        <v>day</v>
      </c>
    </row>
    <row r="54" spans="1:13">
      <c r="E54" s="2" t="s">
        <v>36</v>
      </c>
      <c r="F54" s="45">
        <f>$F51/$F52*$F53</f>
        <v>7.0833333333333338E-3</v>
      </c>
      <c r="G54" s="2" t="s">
        <v>205</v>
      </c>
      <c r="M54" s="45"/>
    </row>
    <row r="57" spans="1:13">
      <c r="B57" s="22" t="s">
        <v>265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Q58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49.7265625" style="2" customWidth="1"/>
    <col min="6" max="6" width="20.7265625" style="2" customWidth="1"/>
    <col min="7" max="7" width="13.7265625" style="2" customWidth="1"/>
    <col min="8" max="8" width="9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48" width="11.7265625" style="2" customWidth="1"/>
    <col min="49" max="50" width="12.7265625" style="2" customWidth="1"/>
    <col min="51" max="51" width="11.7265625" style="2" customWidth="1"/>
    <col min="52" max="53" width="12.7265625" style="2" customWidth="1"/>
    <col min="54" max="54" width="11.7265625" style="2" customWidth="1"/>
    <col min="55" max="55" width="12.7265625" style="2" customWidth="1"/>
    <col min="56" max="57" width="11.7265625" style="2" customWidth="1"/>
    <col min="58" max="59" width="12.7265625" style="2" customWidth="1"/>
    <col min="60" max="60" width="11.7265625" style="2" customWidth="1"/>
    <col min="61" max="62" width="12.7265625" style="2" customWidth="1"/>
    <col min="63" max="63" width="11.7265625" style="2" customWidth="1"/>
    <col min="64" max="65" width="12.7265625" style="2" customWidth="1"/>
    <col min="66" max="66" width="11.7265625" style="2" customWidth="1"/>
    <col min="67" max="67" width="12.7265625" style="2" customWidth="1"/>
    <col min="68" max="69" width="11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Supply Chain finance</v>
      </c>
      <c r="B1" s="37"/>
      <c r="C1" s="58"/>
      <c r="D1" s="67"/>
      <c r="F1" s="42" t="str">
        <f>HYPERLINK("#Contents!A1","Go to contents")</f>
        <v>Go to contents</v>
      </c>
      <c r="H1" s="38"/>
      <c r="J1" s="38"/>
    </row>
    <row r="2" spans="1:69" s="43" customFormat="1">
      <c r="A2" s="39"/>
      <c r="B2" s="39"/>
      <c r="C2" s="56"/>
      <c r="D2" s="62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>
      <c r="A3" s="39"/>
      <c r="B3" s="39"/>
      <c r="C3" s="56"/>
      <c r="D3" s="62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62"/>
      <c r="E4" s="20" t="s">
        <v>325</v>
      </c>
      <c r="F4" s="22"/>
      <c r="G4" s="20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>
      <c r="A5" s="39"/>
      <c r="B5" s="39"/>
      <c r="C5" s="56"/>
      <c r="D5" s="62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6" spans="1:69">
      <c r="F6" s="22"/>
      <c r="G6" s="22"/>
      <c r="H6" s="22"/>
    </row>
    <row r="8" spans="1:69">
      <c r="B8" s="22" t="s">
        <v>133</v>
      </c>
    </row>
    <row r="9" spans="1:69" s="64" customFormat="1">
      <c r="A9" s="46"/>
      <c r="B9" s="46"/>
      <c r="C9" s="65"/>
      <c r="D9" s="63"/>
      <c r="E9" s="34" t="str">
        <f>InpC!E$68</f>
        <v>Opening Supply Chain Finance balance</v>
      </c>
      <c r="F9" s="34">
        <f>InpC!F$68</f>
        <v>0</v>
      </c>
      <c r="G9" s="34" t="str">
        <f>InpC!G$68</f>
        <v>GBP</v>
      </c>
    </row>
    <row r="10" spans="1:69">
      <c r="A10" s="17"/>
      <c r="B10" s="17"/>
      <c r="C10" s="26"/>
      <c r="D10" s="27"/>
      <c r="E10" s="10" t="str">
        <f>Time!E$28</f>
        <v>Period number</v>
      </c>
      <c r="F10" s="10">
        <f>Time!F$28</f>
        <v>0</v>
      </c>
      <c r="G10" s="10" t="str">
        <f>Time!G$28</f>
        <v>Counter</v>
      </c>
      <c r="H10" s="10">
        <f>Time!H$28</f>
        <v>0</v>
      </c>
      <c r="I10" s="10">
        <f>Time!I$28</f>
        <v>0</v>
      </c>
      <c r="J10" s="10">
        <f>Time!J$28</f>
        <v>1</v>
      </c>
      <c r="K10" s="10">
        <f>Time!K$28</f>
        <v>2</v>
      </c>
      <c r="L10" s="10">
        <f>Time!L$28</f>
        <v>3</v>
      </c>
      <c r="M10" s="10">
        <f>Time!M$28</f>
        <v>4</v>
      </c>
      <c r="N10" s="10">
        <f>Time!N$28</f>
        <v>5</v>
      </c>
      <c r="O10" s="10">
        <f>Time!O$28</f>
        <v>6</v>
      </c>
      <c r="P10" s="10">
        <f>Time!P$28</f>
        <v>7</v>
      </c>
      <c r="Q10" s="10">
        <f>Time!Q$28</f>
        <v>8</v>
      </c>
      <c r="R10" s="10">
        <f>Time!R$28</f>
        <v>9</v>
      </c>
      <c r="S10" s="10">
        <f>Time!S$28</f>
        <v>10</v>
      </c>
      <c r="T10" s="10">
        <f>Time!T$28</f>
        <v>11</v>
      </c>
      <c r="U10" s="10">
        <f>Time!U$28</f>
        <v>12</v>
      </c>
      <c r="V10" s="10">
        <f>Time!V$28</f>
        <v>13</v>
      </c>
      <c r="W10" s="10">
        <f>Time!W$28</f>
        <v>14</v>
      </c>
      <c r="X10" s="10">
        <f>Time!X$28</f>
        <v>15</v>
      </c>
      <c r="Y10" s="10">
        <f>Time!Y$28</f>
        <v>16</v>
      </c>
      <c r="Z10" s="10">
        <f>Time!Z$28</f>
        <v>17</v>
      </c>
      <c r="AA10" s="10">
        <f>Time!AA$28</f>
        <v>18</v>
      </c>
      <c r="AB10" s="10">
        <f>Time!AB$28</f>
        <v>19</v>
      </c>
      <c r="AC10" s="10">
        <f>Time!AC$28</f>
        <v>20</v>
      </c>
      <c r="AD10" s="10">
        <f>Time!AD$28</f>
        <v>21</v>
      </c>
      <c r="AE10" s="10">
        <f>Time!AE$28</f>
        <v>22</v>
      </c>
      <c r="AF10" s="10">
        <f>Time!AF$28</f>
        <v>23</v>
      </c>
      <c r="AG10" s="10">
        <f>Time!AG$28</f>
        <v>24</v>
      </c>
      <c r="AH10" s="10">
        <f>Time!AH$28</f>
        <v>25</v>
      </c>
      <c r="AI10" s="10">
        <f>Time!AI$28</f>
        <v>26</v>
      </c>
      <c r="AJ10" s="10">
        <f>Time!AJ$28</f>
        <v>27</v>
      </c>
      <c r="AK10" s="10">
        <f>Time!AK$28</f>
        <v>28</v>
      </c>
      <c r="AL10" s="10">
        <f>Time!AL$28</f>
        <v>29</v>
      </c>
      <c r="AM10" s="10">
        <f>Time!AM$28</f>
        <v>30</v>
      </c>
      <c r="AN10" s="10">
        <f>Time!AN$28</f>
        <v>31</v>
      </c>
      <c r="AO10" s="10">
        <f>Time!AO$28</f>
        <v>32</v>
      </c>
      <c r="AP10" s="10">
        <f>Time!AP$28</f>
        <v>33</v>
      </c>
      <c r="AQ10" s="10">
        <f>Time!AQ$28</f>
        <v>34</v>
      </c>
      <c r="AR10" s="10">
        <f>Time!AR$28</f>
        <v>35</v>
      </c>
      <c r="AS10" s="10">
        <f>Time!AS$28</f>
        <v>36</v>
      </c>
      <c r="AT10" s="10">
        <f>Time!AT$28</f>
        <v>37</v>
      </c>
      <c r="AU10" s="10">
        <f>Time!AU$28</f>
        <v>38</v>
      </c>
      <c r="AV10" s="10">
        <f>Time!AV$28</f>
        <v>39</v>
      </c>
      <c r="AW10" s="10">
        <f>Time!AW$28</f>
        <v>40</v>
      </c>
      <c r="AX10" s="10">
        <f>Time!AX$28</f>
        <v>41</v>
      </c>
      <c r="AY10" s="10">
        <f>Time!AY$28</f>
        <v>42</v>
      </c>
      <c r="AZ10" s="10">
        <f>Time!AZ$28</f>
        <v>43</v>
      </c>
      <c r="BA10" s="10">
        <f>Time!BA$28</f>
        <v>44</v>
      </c>
      <c r="BB10" s="10">
        <f>Time!BB$28</f>
        <v>45</v>
      </c>
      <c r="BC10" s="10">
        <f>Time!BC$28</f>
        <v>46</v>
      </c>
      <c r="BD10" s="10">
        <f>Time!BD$28</f>
        <v>47</v>
      </c>
      <c r="BE10" s="10">
        <f>Time!BE$28</f>
        <v>48</v>
      </c>
      <c r="BF10" s="10">
        <f>Time!BF$28</f>
        <v>49</v>
      </c>
      <c r="BG10" s="10">
        <f>Time!BG$28</f>
        <v>50</v>
      </c>
      <c r="BH10" s="10">
        <f>Time!BH$28</f>
        <v>51</v>
      </c>
      <c r="BI10" s="10">
        <f>Time!BI$28</f>
        <v>52</v>
      </c>
      <c r="BJ10" s="10">
        <f>Time!BJ$28</f>
        <v>53</v>
      </c>
      <c r="BK10" s="10">
        <f>Time!BK$28</f>
        <v>54</v>
      </c>
      <c r="BL10" s="10">
        <f>Time!BL$28</f>
        <v>55</v>
      </c>
      <c r="BM10" s="10">
        <f>Time!BM$28</f>
        <v>56</v>
      </c>
      <c r="BN10" s="10">
        <f>Time!BN$28</f>
        <v>57</v>
      </c>
      <c r="BO10" s="10">
        <f>Time!BO$28</f>
        <v>58</v>
      </c>
      <c r="BP10" s="10">
        <f>Time!BP$28</f>
        <v>59</v>
      </c>
      <c r="BQ10" s="10">
        <f>Time!BQ$28</f>
        <v>60</v>
      </c>
    </row>
    <row r="11" spans="1:69" ht="14.5">
      <c r="E11" s="2" t="s">
        <v>341</v>
      </c>
      <c r="F11"/>
      <c r="G11" s="2" t="s">
        <v>252</v>
      </c>
      <c r="H11"/>
      <c r="I11"/>
      <c r="J11" s="2">
        <f t="shared" ref="J11:AO11" si="0">I15</f>
        <v>0</v>
      </c>
      <c r="K11" s="2">
        <f t="shared" ca="1" si="0"/>
        <v>0</v>
      </c>
      <c r="L11" s="2">
        <f t="shared" ca="1" si="0"/>
        <v>0</v>
      </c>
      <c r="M11" s="2">
        <f t="shared" ca="1" si="0"/>
        <v>0</v>
      </c>
      <c r="N11" s="2">
        <f t="shared" ca="1" si="0"/>
        <v>0</v>
      </c>
      <c r="O11" s="2">
        <f t="shared" ca="1" si="0"/>
        <v>0</v>
      </c>
      <c r="P11" s="2">
        <f t="shared" ca="1" si="0"/>
        <v>0</v>
      </c>
      <c r="Q11" s="2">
        <f t="shared" ca="1" si="0"/>
        <v>0</v>
      </c>
      <c r="R11" s="2">
        <f t="shared" ca="1" si="0"/>
        <v>0</v>
      </c>
      <c r="S11" s="2">
        <f t="shared" ca="1" si="0"/>
        <v>0</v>
      </c>
      <c r="T11" s="2">
        <f t="shared" ca="1" si="0"/>
        <v>0</v>
      </c>
      <c r="U11" s="2">
        <f t="shared" ca="1" si="0"/>
        <v>0</v>
      </c>
      <c r="V11" s="2">
        <f t="shared" ca="1" si="0"/>
        <v>0</v>
      </c>
      <c r="W11" s="2">
        <f t="shared" ca="1" si="0"/>
        <v>0</v>
      </c>
      <c r="X11" s="2">
        <f t="shared" ca="1" si="0"/>
        <v>0</v>
      </c>
      <c r="Y11" s="2">
        <f t="shared" ca="1" si="0"/>
        <v>0</v>
      </c>
      <c r="Z11" s="2">
        <f t="shared" ca="1" si="0"/>
        <v>0</v>
      </c>
      <c r="AA11" s="2">
        <f t="shared" ca="1" si="0"/>
        <v>0</v>
      </c>
      <c r="AB11" s="2">
        <f t="shared" ca="1" si="0"/>
        <v>0</v>
      </c>
      <c r="AC11" s="2">
        <f t="shared" ca="1" si="0"/>
        <v>0</v>
      </c>
      <c r="AD11" s="2">
        <f t="shared" ca="1" si="0"/>
        <v>0</v>
      </c>
      <c r="AE11" s="2">
        <f t="shared" ca="1" si="0"/>
        <v>0</v>
      </c>
      <c r="AF11" s="2">
        <f t="shared" ca="1" si="0"/>
        <v>0</v>
      </c>
      <c r="AG11" s="2">
        <f t="shared" ca="1" si="0"/>
        <v>0</v>
      </c>
      <c r="AH11" s="2">
        <f t="shared" ca="1" si="0"/>
        <v>0</v>
      </c>
      <c r="AI11" s="2">
        <f t="shared" ca="1" si="0"/>
        <v>0</v>
      </c>
      <c r="AJ11" s="2">
        <f t="shared" ca="1" si="0"/>
        <v>0</v>
      </c>
      <c r="AK11" s="2">
        <f t="shared" ca="1" si="0"/>
        <v>0</v>
      </c>
      <c r="AL11" s="2">
        <f t="shared" ca="1" si="0"/>
        <v>0</v>
      </c>
      <c r="AM11" s="2">
        <f t="shared" ca="1" si="0"/>
        <v>0</v>
      </c>
      <c r="AN11" s="2">
        <f t="shared" ca="1" si="0"/>
        <v>0</v>
      </c>
      <c r="AO11" s="2">
        <f t="shared" ca="1" si="0"/>
        <v>0</v>
      </c>
      <c r="AP11" s="2">
        <f t="shared" ref="AP11:BQ11" ca="1" si="1">AO15</f>
        <v>0</v>
      </c>
      <c r="AQ11" s="2">
        <f t="shared" ca="1" si="1"/>
        <v>0</v>
      </c>
      <c r="AR11" s="2">
        <f t="shared" ca="1" si="1"/>
        <v>0</v>
      </c>
      <c r="AS11" s="2">
        <f t="shared" ca="1" si="1"/>
        <v>0</v>
      </c>
      <c r="AT11" s="2">
        <f t="shared" ca="1" si="1"/>
        <v>0</v>
      </c>
      <c r="AU11" s="2">
        <f t="shared" ca="1" si="1"/>
        <v>0</v>
      </c>
      <c r="AV11" s="2">
        <f t="shared" ca="1" si="1"/>
        <v>0</v>
      </c>
      <c r="AW11" s="2">
        <f t="shared" ca="1" si="1"/>
        <v>0</v>
      </c>
      <c r="AX11" s="2">
        <f t="shared" ca="1" si="1"/>
        <v>0</v>
      </c>
      <c r="AY11" s="2">
        <f t="shared" ca="1" si="1"/>
        <v>0</v>
      </c>
      <c r="AZ11" s="2">
        <f t="shared" ca="1" si="1"/>
        <v>0</v>
      </c>
      <c r="BA11" s="2">
        <f t="shared" ca="1" si="1"/>
        <v>0</v>
      </c>
      <c r="BB11" s="2">
        <f t="shared" ca="1" si="1"/>
        <v>0</v>
      </c>
      <c r="BC11" s="2">
        <f t="shared" ca="1" si="1"/>
        <v>0</v>
      </c>
      <c r="BD11" s="2">
        <f t="shared" ca="1" si="1"/>
        <v>0</v>
      </c>
      <c r="BE11" s="2">
        <f t="shared" ca="1" si="1"/>
        <v>0</v>
      </c>
      <c r="BF11" s="2">
        <f t="shared" ca="1" si="1"/>
        <v>0</v>
      </c>
      <c r="BG11" s="2">
        <f t="shared" ca="1" si="1"/>
        <v>0</v>
      </c>
      <c r="BH11" s="2">
        <f t="shared" ca="1" si="1"/>
        <v>0</v>
      </c>
      <c r="BI11" s="2">
        <f t="shared" ca="1" si="1"/>
        <v>0</v>
      </c>
      <c r="BJ11" s="2">
        <f t="shared" ca="1" si="1"/>
        <v>0</v>
      </c>
      <c r="BK11" s="2">
        <f t="shared" ca="1" si="1"/>
        <v>0</v>
      </c>
      <c r="BL11" s="2">
        <f t="shared" ca="1" si="1"/>
        <v>0</v>
      </c>
      <c r="BM11" s="2">
        <f t="shared" ca="1" si="1"/>
        <v>0</v>
      </c>
      <c r="BN11" s="2">
        <f t="shared" ca="1" si="1"/>
        <v>0</v>
      </c>
      <c r="BO11" s="2">
        <f t="shared" ca="1" si="1"/>
        <v>0</v>
      </c>
      <c r="BP11" s="2">
        <f t="shared" ca="1" si="1"/>
        <v>0</v>
      </c>
      <c r="BQ11" s="2">
        <f t="shared" ca="1" si="1"/>
        <v>0</v>
      </c>
    </row>
    <row r="12" spans="1:69">
      <c r="D12" s="66" t="s">
        <v>216</v>
      </c>
      <c r="E12" s="2" t="str">
        <f t="shared" ref="E12:AJ12" si="2">E$22</f>
        <v>Supply Chain Finance drawdown</v>
      </c>
      <c r="F12" s="2">
        <f t="shared" si="2"/>
        <v>0</v>
      </c>
      <c r="G12" s="2" t="str">
        <f t="shared" si="2"/>
        <v>GBP</v>
      </c>
      <c r="H12" s="2">
        <f t="shared" ca="1" si="2"/>
        <v>0</v>
      </c>
      <c r="I12" s="2">
        <f t="shared" si="2"/>
        <v>0</v>
      </c>
      <c r="J12" s="2">
        <f t="shared" ca="1" si="2"/>
        <v>0</v>
      </c>
      <c r="K12" s="2">
        <f t="shared" ca="1" si="2"/>
        <v>0</v>
      </c>
      <c r="L12" s="2">
        <f t="shared" ca="1" si="2"/>
        <v>0</v>
      </c>
      <c r="M12" s="2">
        <f t="shared" ca="1" si="2"/>
        <v>0</v>
      </c>
      <c r="N12" s="2">
        <f t="shared" ca="1" si="2"/>
        <v>0</v>
      </c>
      <c r="O12" s="2">
        <f t="shared" ca="1" si="2"/>
        <v>0</v>
      </c>
      <c r="P12" s="2">
        <f t="shared" ca="1" si="2"/>
        <v>0</v>
      </c>
      <c r="Q12" s="2">
        <f t="shared" ca="1" si="2"/>
        <v>0</v>
      </c>
      <c r="R12" s="2">
        <f t="shared" ca="1" si="2"/>
        <v>0</v>
      </c>
      <c r="S12" s="2">
        <f t="shared" ca="1" si="2"/>
        <v>0</v>
      </c>
      <c r="T12" s="2">
        <f t="shared" ca="1" si="2"/>
        <v>0</v>
      </c>
      <c r="U12" s="2">
        <f t="shared" ca="1" si="2"/>
        <v>0</v>
      </c>
      <c r="V12" s="2">
        <f t="shared" ca="1" si="2"/>
        <v>0</v>
      </c>
      <c r="W12" s="2">
        <f t="shared" ca="1" si="2"/>
        <v>0</v>
      </c>
      <c r="X12" s="2">
        <f t="shared" ca="1" si="2"/>
        <v>0</v>
      </c>
      <c r="Y12" s="2">
        <f t="shared" ca="1" si="2"/>
        <v>0</v>
      </c>
      <c r="Z12" s="2">
        <f t="shared" ca="1" si="2"/>
        <v>0</v>
      </c>
      <c r="AA12" s="2">
        <f t="shared" ca="1" si="2"/>
        <v>0</v>
      </c>
      <c r="AB12" s="2">
        <f t="shared" ca="1" si="2"/>
        <v>0</v>
      </c>
      <c r="AC12" s="2">
        <f t="shared" ca="1" si="2"/>
        <v>0</v>
      </c>
      <c r="AD12" s="2">
        <f t="shared" ca="1" si="2"/>
        <v>0</v>
      </c>
      <c r="AE12" s="2">
        <f t="shared" ca="1" si="2"/>
        <v>0</v>
      </c>
      <c r="AF12" s="2">
        <f t="shared" ca="1" si="2"/>
        <v>0</v>
      </c>
      <c r="AG12" s="2">
        <f t="shared" ca="1" si="2"/>
        <v>0</v>
      </c>
      <c r="AH12" s="2">
        <f t="shared" ca="1" si="2"/>
        <v>0</v>
      </c>
      <c r="AI12" s="2">
        <f t="shared" ca="1" si="2"/>
        <v>0</v>
      </c>
      <c r="AJ12" s="2">
        <f t="shared" ca="1" si="2"/>
        <v>0</v>
      </c>
      <c r="AK12" s="2">
        <f t="shared" ref="AK12:BQ12" ca="1" si="3">AK$22</f>
        <v>0</v>
      </c>
      <c r="AL12" s="2">
        <f t="shared" ca="1" si="3"/>
        <v>0</v>
      </c>
      <c r="AM12" s="2">
        <f t="shared" ca="1" si="3"/>
        <v>0</v>
      </c>
      <c r="AN12" s="2">
        <f t="shared" ca="1" si="3"/>
        <v>0</v>
      </c>
      <c r="AO12" s="2">
        <f t="shared" ca="1" si="3"/>
        <v>0</v>
      </c>
      <c r="AP12" s="2">
        <f t="shared" ca="1" si="3"/>
        <v>0</v>
      </c>
      <c r="AQ12" s="2">
        <f t="shared" ca="1" si="3"/>
        <v>0</v>
      </c>
      <c r="AR12" s="2">
        <f t="shared" ca="1" si="3"/>
        <v>0</v>
      </c>
      <c r="AS12" s="2">
        <f t="shared" ca="1" si="3"/>
        <v>0</v>
      </c>
      <c r="AT12" s="2">
        <f t="shared" ca="1" si="3"/>
        <v>0</v>
      </c>
      <c r="AU12" s="2">
        <f t="shared" ca="1" si="3"/>
        <v>0</v>
      </c>
      <c r="AV12" s="2">
        <f t="shared" ca="1" si="3"/>
        <v>0</v>
      </c>
      <c r="AW12" s="2">
        <f t="shared" ca="1" si="3"/>
        <v>0</v>
      </c>
      <c r="AX12" s="2">
        <f t="shared" ca="1" si="3"/>
        <v>0</v>
      </c>
      <c r="AY12" s="2">
        <f t="shared" ca="1" si="3"/>
        <v>0</v>
      </c>
      <c r="AZ12" s="2">
        <f t="shared" ca="1" si="3"/>
        <v>0</v>
      </c>
      <c r="BA12" s="2">
        <f t="shared" ca="1" si="3"/>
        <v>0</v>
      </c>
      <c r="BB12" s="2">
        <f t="shared" ca="1" si="3"/>
        <v>0</v>
      </c>
      <c r="BC12" s="2">
        <f t="shared" ca="1" si="3"/>
        <v>0</v>
      </c>
      <c r="BD12" s="2">
        <f t="shared" ca="1" si="3"/>
        <v>0</v>
      </c>
      <c r="BE12" s="2">
        <f t="shared" ca="1" si="3"/>
        <v>0</v>
      </c>
      <c r="BF12" s="2">
        <f t="shared" ca="1" si="3"/>
        <v>0</v>
      </c>
      <c r="BG12" s="2">
        <f t="shared" ca="1" si="3"/>
        <v>0</v>
      </c>
      <c r="BH12" s="2">
        <f t="shared" ca="1" si="3"/>
        <v>0</v>
      </c>
      <c r="BI12" s="2">
        <f t="shared" ca="1" si="3"/>
        <v>0</v>
      </c>
      <c r="BJ12" s="2">
        <f t="shared" ca="1" si="3"/>
        <v>0</v>
      </c>
      <c r="BK12" s="2">
        <f t="shared" ca="1" si="3"/>
        <v>0</v>
      </c>
      <c r="BL12" s="2">
        <f t="shared" ca="1" si="3"/>
        <v>0</v>
      </c>
      <c r="BM12" s="2">
        <f t="shared" ca="1" si="3"/>
        <v>0</v>
      </c>
      <c r="BN12" s="2">
        <f t="shared" ca="1" si="3"/>
        <v>0</v>
      </c>
      <c r="BO12" s="2">
        <f t="shared" ca="1" si="3"/>
        <v>0</v>
      </c>
      <c r="BP12" s="2">
        <f t="shared" ca="1" si="3"/>
        <v>0</v>
      </c>
      <c r="BQ12" s="2">
        <f t="shared" ca="1" si="3"/>
        <v>0</v>
      </c>
    </row>
    <row r="13" spans="1:69">
      <c r="D13" s="66" t="s">
        <v>216</v>
      </c>
      <c r="E13" s="2" t="str">
        <f t="shared" ref="E13:AJ13" si="4">E$35</f>
        <v>Supply Chain Finance unpaid interest</v>
      </c>
      <c r="F13" s="2">
        <f t="shared" si="4"/>
        <v>0</v>
      </c>
      <c r="G13" s="2" t="str">
        <f t="shared" si="4"/>
        <v>GBP</v>
      </c>
      <c r="H13" s="2">
        <f t="shared" ca="1" si="4"/>
        <v>0</v>
      </c>
      <c r="I13" s="2">
        <f t="shared" si="4"/>
        <v>0</v>
      </c>
      <c r="J13" s="2">
        <f t="shared" si="4"/>
        <v>0</v>
      </c>
      <c r="K13" s="2">
        <f t="shared" ca="1" si="4"/>
        <v>0</v>
      </c>
      <c r="L13" s="2">
        <f t="shared" ca="1" si="4"/>
        <v>0</v>
      </c>
      <c r="M13" s="2">
        <f t="shared" ca="1" si="4"/>
        <v>0</v>
      </c>
      <c r="N13" s="2">
        <f t="shared" ca="1" si="4"/>
        <v>0</v>
      </c>
      <c r="O13" s="2">
        <f t="shared" ca="1" si="4"/>
        <v>0</v>
      </c>
      <c r="P13" s="2">
        <f t="shared" ca="1" si="4"/>
        <v>0</v>
      </c>
      <c r="Q13" s="2">
        <f t="shared" ca="1" si="4"/>
        <v>0</v>
      </c>
      <c r="R13" s="2">
        <f t="shared" ca="1" si="4"/>
        <v>0</v>
      </c>
      <c r="S13" s="2">
        <f t="shared" ca="1" si="4"/>
        <v>0</v>
      </c>
      <c r="T13" s="2">
        <f t="shared" ca="1" si="4"/>
        <v>0</v>
      </c>
      <c r="U13" s="2">
        <f t="shared" ca="1" si="4"/>
        <v>0</v>
      </c>
      <c r="V13" s="2">
        <f t="shared" ca="1" si="4"/>
        <v>0</v>
      </c>
      <c r="W13" s="2">
        <f t="shared" ca="1" si="4"/>
        <v>0</v>
      </c>
      <c r="X13" s="2">
        <f t="shared" ca="1" si="4"/>
        <v>0</v>
      </c>
      <c r="Y13" s="2">
        <f t="shared" ca="1" si="4"/>
        <v>0</v>
      </c>
      <c r="Z13" s="2">
        <f t="shared" ca="1" si="4"/>
        <v>0</v>
      </c>
      <c r="AA13" s="2">
        <f t="shared" ca="1" si="4"/>
        <v>0</v>
      </c>
      <c r="AB13" s="2">
        <f t="shared" ca="1" si="4"/>
        <v>0</v>
      </c>
      <c r="AC13" s="2">
        <f t="shared" ca="1" si="4"/>
        <v>0</v>
      </c>
      <c r="AD13" s="2">
        <f t="shared" ca="1" si="4"/>
        <v>0</v>
      </c>
      <c r="AE13" s="2">
        <f t="shared" ca="1" si="4"/>
        <v>0</v>
      </c>
      <c r="AF13" s="2">
        <f t="shared" ca="1" si="4"/>
        <v>0</v>
      </c>
      <c r="AG13" s="2">
        <f t="shared" ca="1" si="4"/>
        <v>0</v>
      </c>
      <c r="AH13" s="2">
        <f t="shared" ca="1" si="4"/>
        <v>0</v>
      </c>
      <c r="AI13" s="2">
        <f t="shared" ca="1" si="4"/>
        <v>0</v>
      </c>
      <c r="AJ13" s="2">
        <f t="shared" ca="1" si="4"/>
        <v>0</v>
      </c>
      <c r="AK13" s="2">
        <f t="shared" ref="AK13:BQ13" ca="1" si="5">AK$35</f>
        <v>0</v>
      </c>
      <c r="AL13" s="2">
        <f t="shared" ca="1" si="5"/>
        <v>0</v>
      </c>
      <c r="AM13" s="2">
        <f t="shared" ca="1" si="5"/>
        <v>0</v>
      </c>
      <c r="AN13" s="2">
        <f t="shared" ca="1" si="5"/>
        <v>0</v>
      </c>
      <c r="AO13" s="2">
        <f t="shared" ca="1" si="5"/>
        <v>0</v>
      </c>
      <c r="AP13" s="2">
        <f t="shared" ca="1" si="5"/>
        <v>0</v>
      </c>
      <c r="AQ13" s="2">
        <f t="shared" ca="1" si="5"/>
        <v>0</v>
      </c>
      <c r="AR13" s="2">
        <f t="shared" ca="1" si="5"/>
        <v>0</v>
      </c>
      <c r="AS13" s="2">
        <f t="shared" ca="1" si="5"/>
        <v>0</v>
      </c>
      <c r="AT13" s="2">
        <f t="shared" ca="1" si="5"/>
        <v>0</v>
      </c>
      <c r="AU13" s="2">
        <f t="shared" ca="1" si="5"/>
        <v>0</v>
      </c>
      <c r="AV13" s="2">
        <f t="shared" ca="1" si="5"/>
        <v>0</v>
      </c>
      <c r="AW13" s="2">
        <f t="shared" ca="1" si="5"/>
        <v>0</v>
      </c>
      <c r="AX13" s="2">
        <f t="shared" ca="1" si="5"/>
        <v>0</v>
      </c>
      <c r="AY13" s="2">
        <f t="shared" ca="1" si="5"/>
        <v>0</v>
      </c>
      <c r="AZ13" s="2">
        <f t="shared" ca="1" si="5"/>
        <v>0</v>
      </c>
      <c r="BA13" s="2">
        <f t="shared" ca="1" si="5"/>
        <v>0</v>
      </c>
      <c r="BB13" s="2">
        <f t="shared" ca="1" si="5"/>
        <v>0</v>
      </c>
      <c r="BC13" s="2">
        <f t="shared" ca="1" si="5"/>
        <v>0</v>
      </c>
      <c r="BD13" s="2">
        <f t="shared" ca="1" si="5"/>
        <v>0</v>
      </c>
      <c r="BE13" s="2">
        <f t="shared" ca="1" si="5"/>
        <v>0</v>
      </c>
      <c r="BF13" s="2">
        <f t="shared" ca="1" si="5"/>
        <v>0</v>
      </c>
      <c r="BG13" s="2">
        <f t="shared" ca="1" si="5"/>
        <v>0</v>
      </c>
      <c r="BH13" s="2">
        <f t="shared" ca="1" si="5"/>
        <v>0</v>
      </c>
      <c r="BI13" s="2">
        <f t="shared" ca="1" si="5"/>
        <v>0</v>
      </c>
      <c r="BJ13" s="2">
        <f t="shared" ca="1" si="5"/>
        <v>0</v>
      </c>
      <c r="BK13" s="2">
        <f t="shared" ca="1" si="5"/>
        <v>0</v>
      </c>
      <c r="BL13" s="2">
        <f t="shared" ca="1" si="5"/>
        <v>0</v>
      </c>
      <c r="BM13" s="2">
        <f t="shared" ca="1" si="5"/>
        <v>0</v>
      </c>
      <c r="BN13" s="2">
        <f t="shared" ca="1" si="5"/>
        <v>0</v>
      </c>
      <c r="BO13" s="2">
        <f t="shared" ca="1" si="5"/>
        <v>0</v>
      </c>
      <c r="BP13" s="2">
        <f t="shared" ca="1" si="5"/>
        <v>0</v>
      </c>
      <c r="BQ13" s="2">
        <f t="shared" ca="1" si="5"/>
        <v>0</v>
      </c>
    </row>
    <row r="14" spans="1:69">
      <c r="D14" s="66" t="s">
        <v>293</v>
      </c>
      <c r="E14" s="2" t="str">
        <f t="shared" ref="E14:AJ14" si="6">E$28</f>
        <v>Supply Chain Finance principal repayment POS</v>
      </c>
      <c r="F14" s="2">
        <f t="shared" si="6"/>
        <v>0</v>
      </c>
      <c r="G14" s="2" t="str">
        <f t="shared" si="6"/>
        <v>GBP</v>
      </c>
      <c r="H14" s="2">
        <f t="shared" ca="1" si="6"/>
        <v>0</v>
      </c>
      <c r="I14" s="2">
        <f t="shared" si="6"/>
        <v>0</v>
      </c>
      <c r="J14" s="2">
        <f t="shared" ca="1" si="6"/>
        <v>0</v>
      </c>
      <c r="K14" s="2">
        <f t="shared" ca="1" si="6"/>
        <v>0</v>
      </c>
      <c r="L14" s="2">
        <f t="shared" ca="1" si="6"/>
        <v>0</v>
      </c>
      <c r="M14" s="2">
        <f t="shared" ca="1" si="6"/>
        <v>0</v>
      </c>
      <c r="N14" s="2">
        <f t="shared" ca="1" si="6"/>
        <v>0</v>
      </c>
      <c r="O14" s="2">
        <f t="shared" ca="1" si="6"/>
        <v>0</v>
      </c>
      <c r="P14" s="2">
        <f t="shared" ca="1" si="6"/>
        <v>0</v>
      </c>
      <c r="Q14" s="2">
        <f t="shared" ca="1" si="6"/>
        <v>0</v>
      </c>
      <c r="R14" s="2">
        <f t="shared" ca="1" si="6"/>
        <v>0</v>
      </c>
      <c r="S14" s="2">
        <f t="shared" ca="1" si="6"/>
        <v>0</v>
      </c>
      <c r="T14" s="2">
        <f t="shared" ca="1" si="6"/>
        <v>0</v>
      </c>
      <c r="U14" s="2">
        <f t="shared" ca="1" si="6"/>
        <v>0</v>
      </c>
      <c r="V14" s="2">
        <f t="shared" ca="1" si="6"/>
        <v>0</v>
      </c>
      <c r="W14" s="2">
        <f t="shared" ca="1" si="6"/>
        <v>0</v>
      </c>
      <c r="X14" s="2">
        <f t="shared" ca="1" si="6"/>
        <v>0</v>
      </c>
      <c r="Y14" s="2">
        <f t="shared" ca="1" si="6"/>
        <v>0</v>
      </c>
      <c r="Z14" s="2">
        <f t="shared" ca="1" si="6"/>
        <v>0</v>
      </c>
      <c r="AA14" s="2">
        <f t="shared" ca="1" si="6"/>
        <v>0</v>
      </c>
      <c r="AB14" s="2">
        <f t="shared" ca="1" si="6"/>
        <v>0</v>
      </c>
      <c r="AC14" s="2">
        <f t="shared" ca="1" si="6"/>
        <v>0</v>
      </c>
      <c r="AD14" s="2">
        <f t="shared" ca="1" si="6"/>
        <v>0</v>
      </c>
      <c r="AE14" s="2">
        <f t="shared" ca="1" si="6"/>
        <v>0</v>
      </c>
      <c r="AF14" s="2">
        <f t="shared" ca="1" si="6"/>
        <v>0</v>
      </c>
      <c r="AG14" s="2">
        <f t="shared" ca="1" si="6"/>
        <v>0</v>
      </c>
      <c r="AH14" s="2">
        <f t="shared" ca="1" si="6"/>
        <v>0</v>
      </c>
      <c r="AI14" s="2">
        <f t="shared" ca="1" si="6"/>
        <v>0</v>
      </c>
      <c r="AJ14" s="2">
        <f t="shared" ca="1" si="6"/>
        <v>0</v>
      </c>
      <c r="AK14" s="2">
        <f t="shared" ref="AK14:BQ14" ca="1" si="7">AK$28</f>
        <v>0</v>
      </c>
      <c r="AL14" s="2">
        <f t="shared" ca="1" si="7"/>
        <v>0</v>
      </c>
      <c r="AM14" s="2">
        <f t="shared" ca="1" si="7"/>
        <v>0</v>
      </c>
      <c r="AN14" s="2">
        <f t="shared" ca="1" si="7"/>
        <v>0</v>
      </c>
      <c r="AO14" s="2">
        <f t="shared" ca="1" si="7"/>
        <v>0</v>
      </c>
      <c r="AP14" s="2">
        <f t="shared" ca="1" si="7"/>
        <v>0</v>
      </c>
      <c r="AQ14" s="2">
        <f t="shared" ca="1" si="7"/>
        <v>0</v>
      </c>
      <c r="AR14" s="2">
        <f t="shared" ca="1" si="7"/>
        <v>0</v>
      </c>
      <c r="AS14" s="2">
        <f t="shared" ca="1" si="7"/>
        <v>0</v>
      </c>
      <c r="AT14" s="2">
        <f t="shared" ca="1" si="7"/>
        <v>0</v>
      </c>
      <c r="AU14" s="2">
        <f t="shared" ca="1" si="7"/>
        <v>0</v>
      </c>
      <c r="AV14" s="2">
        <f t="shared" ca="1" si="7"/>
        <v>0</v>
      </c>
      <c r="AW14" s="2">
        <f t="shared" ca="1" si="7"/>
        <v>0</v>
      </c>
      <c r="AX14" s="2">
        <f t="shared" ca="1" si="7"/>
        <v>0</v>
      </c>
      <c r="AY14" s="2">
        <f t="shared" ca="1" si="7"/>
        <v>0</v>
      </c>
      <c r="AZ14" s="2">
        <f t="shared" ca="1" si="7"/>
        <v>0</v>
      </c>
      <c r="BA14" s="2">
        <f t="shared" ca="1" si="7"/>
        <v>0</v>
      </c>
      <c r="BB14" s="2">
        <f t="shared" ca="1" si="7"/>
        <v>0</v>
      </c>
      <c r="BC14" s="2">
        <f t="shared" ca="1" si="7"/>
        <v>0</v>
      </c>
      <c r="BD14" s="2">
        <f t="shared" ca="1" si="7"/>
        <v>0</v>
      </c>
      <c r="BE14" s="2">
        <f t="shared" ca="1" si="7"/>
        <v>0</v>
      </c>
      <c r="BF14" s="2">
        <f t="shared" ca="1" si="7"/>
        <v>0</v>
      </c>
      <c r="BG14" s="2">
        <f t="shared" ca="1" si="7"/>
        <v>0</v>
      </c>
      <c r="BH14" s="2">
        <f t="shared" ca="1" si="7"/>
        <v>0</v>
      </c>
      <c r="BI14" s="2">
        <f t="shared" ca="1" si="7"/>
        <v>0</v>
      </c>
      <c r="BJ14" s="2">
        <f t="shared" ca="1" si="7"/>
        <v>0</v>
      </c>
      <c r="BK14" s="2">
        <f t="shared" ca="1" si="7"/>
        <v>0</v>
      </c>
      <c r="BL14" s="2">
        <f t="shared" ca="1" si="7"/>
        <v>0</v>
      </c>
      <c r="BM14" s="2">
        <f t="shared" ca="1" si="7"/>
        <v>0</v>
      </c>
      <c r="BN14" s="2">
        <f t="shared" ca="1" si="7"/>
        <v>0</v>
      </c>
      <c r="BO14" s="2">
        <f t="shared" ca="1" si="7"/>
        <v>0</v>
      </c>
      <c r="BP14" s="2">
        <f t="shared" ca="1" si="7"/>
        <v>0</v>
      </c>
      <c r="BQ14" s="2">
        <f t="shared" ca="1" si="7"/>
        <v>0</v>
      </c>
    </row>
    <row r="15" spans="1:69" s="32" customFormat="1">
      <c r="A15" s="48"/>
      <c r="B15" s="48"/>
      <c r="C15" s="68"/>
      <c r="D15" s="69"/>
      <c r="E15" s="11" t="s">
        <v>133</v>
      </c>
      <c r="F15" s="11"/>
      <c r="G15" s="11" t="s">
        <v>252</v>
      </c>
      <c r="H15" s="11"/>
      <c r="I15" s="11">
        <f t="shared" ref="I15:AN15" si="8">IF(I10=0,$F9,I11+I12+I13-I14)</f>
        <v>0</v>
      </c>
      <c r="J15" s="11">
        <f t="shared" ca="1" si="8"/>
        <v>0</v>
      </c>
      <c r="K15" s="11">
        <f t="shared" ca="1" si="8"/>
        <v>0</v>
      </c>
      <c r="L15" s="11">
        <f t="shared" ca="1" si="8"/>
        <v>0</v>
      </c>
      <c r="M15" s="11">
        <f t="shared" ca="1" si="8"/>
        <v>0</v>
      </c>
      <c r="N15" s="11">
        <f t="shared" ca="1" si="8"/>
        <v>0</v>
      </c>
      <c r="O15" s="11">
        <f t="shared" ca="1" si="8"/>
        <v>0</v>
      </c>
      <c r="P15" s="11">
        <f t="shared" ca="1" si="8"/>
        <v>0</v>
      </c>
      <c r="Q15" s="11">
        <f t="shared" ca="1" si="8"/>
        <v>0</v>
      </c>
      <c r="R15" s="11">
        <f t="shared" ca="1" si="8"/>
        <v>0</v>
      </c>
      <c r="S15" s="11">
        <f t="shared" ca="1" si="8"/>
        <v>0</v>
      </c>
      <c r="T15" s="11">
        <f t="shared" ca="1" si="8"/>
        <v>0</v>
      </c>
      <c r="U15" s="11">
        <f t="shared" ca="1" si="8"/>
        <v>0</v>
      </c>
      <c r="V15" s="11">
        <f t="shared" ca="1" si="8"/>
        <v>0</v>
      </c>
      <c r="W15" s="11">
        <f t="shared" ca="1" si="8"/>
        <v>0</v>
      </c>
      <c r="X15" s="11">
        <f t="shared" ca="1" si="8"/>
        <v>0</v>
      </c>
      <c r="Y15" s="11">
        <f t="shared" ca="1" si="8"/>
        <v>0</v>
      </c>
      <c r="Z15" s="11">
        <f t="shared" ca="1" si="8"/>
        <v>0</v>
      </c>
      <c r="AA15" s="11">
        <f t="shared" ca="1" si="8"/>
        <v>0</v>
      </c>
      <c r="AB15" s="11">
        <f t="shared" ca="1" si="8"/>
        <v>0</v>
      </c>
      <c r="AC15" s="11">
        <f t="shared" ca="1" si="8"/>
        <v>0</v>
      </c>
      <c r="AD15" s="11">
        <f t="shared" ca="1" si="8"/>
        <v>0</v>
      </c>
      <c r="AE15" s="11">
        <f t="shared" ca="1" si="8"/>
        <v>0</v>
      </c>
      <c r="AF15" s="11">
        <f t="shared" ca="1" si="8"/>
        <v>0</v>
      </c>
      <c r="AG15" s="11">
        <f t="shared" ca="1" si="8"/>
        <v>0</v>
      </c>
      <c r="AH15" s="11">
        <f t="shared" ca="1" si="8"/>
        <v>0</v>
      </c>
      <c r="AI15" s="11">
        <f t="shared" ca="1" si="8"/>
        <v>0</v>
      </c>
      <c r="AJ15" s="11">
        <f t="shared" ca="1" si="8"/>
        <v>0</v>
      </c>
      <c r="AK15" s="11">
        <f t="shared" ca="1" si="8"/>
        <v>0</v>
      </c>
      <c r="AL15" s="11">
        <f t="shared" ca="1" si="8"/>
        <v>0</v>
      </c>
      <c r="AM15" s="11">
        <f t="shared" ca="1" si="8"/>
        <v>0</v>
      </c>
      <c r="AN15" s="11">
        <f t="shared" ca="1" si="8"/>
        <v>0</v>
      </c>
      <c r="AO15" s="11">
        <f t="shared" ref="AO15:BT15" ca="1" si="9">IF(AO10=0,$F9,AO11+AO12+AO13-AO14)</f>
        <v>0</v>
      </c>
      <c r="AP15" s="11">
        <f t="shared" ca="1" si="9"/>
        <v>0</v>
      </c>
      <c r="AQ15" s="11">
        <f t="shared" ca="1" si="9"/>
        <v>0</v>
      </c>
      <c r="AR15" s="11">
        <f t="shared" ca="1" si="9"/>
        <v>0</v>
      </c>
      <c r="AS15" s="11">
        <f t="shared" ca="1" si="9"/>
        <v>0</v>
      </c>
      <c r="AT15" s="11">
        <f t="shared" ca="1" si="9"/>
        <v>0</v>
      </c>
      <c r="AU15" s="11">
        <f t="shared" ca="1" si="9"/>
        <v>0</v>
      </c>
      <c r="AV15" s="11">
        <f t="shared" ca="1" si="9"/>
        <v>0</v>
      </c>
      <c r="AW15" s="11">
        <f t="shared" ca="1" si="9"/>
        <v>0</v>
      </c>
      <c r="AX15" s="11">
        <f t="shared" ca="1" si="9"/>
        <v>0</v>
      </c>
      <c r="AY15" s="11">
        <f t="shared" ca="1" si="9"/>
        <v>0</v>
      </c>
      <c r="AZ15" s="11">
        <f t="shared" ca="1" si="9"/>
        <v>0</v>
      </c>
      <c r="BA15" s="11">
        <f t="shared" ca="1" si="9"/>
        <v>0</v>
      </c>
      <c r="BB15" s="11">
        <f t="shared" ca="1" si="9"/>
        <v>0</v>
      </c>
      <c r="BC15" s="11">
        <f t="shared" ca="1" si="9"/>
        <v>0</v>
      </c>
      <c r="BD15" s="11">
        <f t="shared" ca="1" si="9"/>
        <v>0</v>
      </c>
      <c r="BE15" s="11">
        <f t="shared" ca="1" si="9"/>
        <v>0</v>
      </c>
      <c r="BF15" s="11">
        <f t="shared" ca="1" si="9"/>
        <v>0</v>
      </c>
      <c r="BG15" s="11">
        <f t="shared" ca="1" si="9"/>
        <v>0</v>
      </c>
      <c r="BH15" s="11">
        <f t="shared" ca="1" si="9"/>
        <v>0</v>
      </c>
      <c r="BI15" s="11">
        <f t="shared" ca="1" si="9"/>
        <v>0</v>
      </c>
      <c r="BJ15" s="11">
        <f t="shared" ca="1" si="9"/>
        <v>0</v>
      </c>
      <c r="BK15" s="11">
        <f t="shared" ca="1" si="9"/>
        <v>0</v>
      </c>
      <c r="BL15" s="11">
        <f t="shared" ca="1" si="9"/>
        <v>0</v>
      </c>
      <c r="BM15" s="11">
        <f t="shared" ca="1" si="9"/>
        <v>0</v>
      </c>
      <c r="BN15" s="11">
        <f t="shared" ca="1" si="9"/>
        <v>0</v>
      </c>
      <c r="BO15" s="11">
        <f t="shared" ca="1" si="9"/>
        <v>0</v>
      </c>
      <c r="BP15" s="11">
        <f t="shared" ca="1" si="9"/>
        <v>0</v>
      </c>
      <c r="BQ15" s="11">
        <f t="shared" ca="1" si="9"/>
        <v>0</v>
      </c>
    </row>
    <row r="17" spans="1:69">
      <c r="B17" s="22" t="s">
        <v>15</v>
      </c>
    </row>
    <row r="18" spans="1:69">
      <c r="A18" s="17"/>
      <c r="B18" s="17"/>
      <c r="C18" s="26"/>
      <c r="D18" s="27"/>
      <c r="E18" s="4" t="str">
        <f>InpC!E$34</f>
        <v>Supplier price per unit</v>
      </c>
      <c r="F18" s="4">
        <f>InpC!F$34</f>
        <v>35</v>
      </c>
      <c r="G18" s="4" t="str">
        <f>InpC!G$34</f>
        <v>GBP</v>
      </c>
    </row>
    <row r="19" spans="1:69">
      <c r="A19" s="17"/>
      <c r="B19" s="17"/>
      <c r="C19" s="26"/>
      <c r="D19" s="27"/>
      <c r="E19" s="36" t="str">
        <f>InpC!E$70</f>
        <v>Supply Chain Finance Advance %</v>
      </c>
      <c r="F19" s="36">
        <f>InpC!F$70</f>
        <v>0.8</v>
      </c>
      <c r="G19" s="36" t="str">
        <f>InpC!G$70</f>
        <v>%</v>
      </c>
      <c r="M19" s="45"/>
    </row>
    <row r="20" spans="1:69">
      <c r="A20" s="17"/>
      <c r="B20" s="17"/>
      <c r="C20" s="26"/>
      <c r="D20" s="27"/>
      <c r="E20" s="4" t="str">
        <f>Inventory!E$26</f>
        <v>Units ordered</v>
      </c>
      <c r="F20" s="4">
        <f>Inventory!F$26</f>
        <v>0</v>
      </c>
      <c r="G20" s="4" t="str">
        <f>Inventory!G$26</f>
        <v>Units</v>
      </c>
      <c r="H20" s="4">
        <f ca="1">Inventory!H$26</f>
        <v>165000</v>
      </c>
      <c r="I20" s="4">
        <f>Inventory!I$26</f>
        <v>0</v>
      </c>
      <c r="J20" s="4">
        <f ca="1">Inventory!J$26</f>
        <v>5000</v>
      </c>
      <c r="K20" s="4">
        <f ca="1">Inventory!K$26</f>
        <v>0</v>
      </c>
      <c r="L20" s="4">
        <f ca="1">Inventory!L$26</f>
        <v>0</v>
      </c>
      <c r="M20" s="4">
        <f ca="1">Inventory!M$26</f>
        <v>0</v>
      </c>
      <c r="N20" s="4">
        <f ca="1">Inventory!N$26</f>
        <v>0</v>
      </c>
      <c r="O20" s="4">
        <f ca="1">Inventory!O$26</f>
        <v>0</v>
      </c>
      <c r="P20" s="4">
        <f ca="1">Inventory!P$26</f>
        <v>5000</v>
      </c>
      <c r="Q20" s="4">
        <f ca="1">Inventory!Q$26</f>
        <v>0</v>
      </c>
      <c r="R20" s="4">
        <f ca="1">Inventory!R$26</f>
        <v>0</v>
      </c>
      <c r="S20" s="4">
        <f ca="1">Inventory!S$26</f>
        <v>0</v>
      </c>
      <c r="T20" s="4">
        <f ca="1">Inventory!T$26</f>
        <v>0</v>
      </c>
      <c r="U20" s="4">
        <f ca="1">Inventory!U$26</f>
        <v>0</v>
      </c>
      <c r="V20" s="4">
        <f ca="1">Inventory!V$26</f>
        <v>5000</v>
      </c>
      <c r="W20" s="4">
        <f ca="1">Inventory!W$26</f>
        <v>0</v>
      </c>
      <c r="X20" s="4">
        <f ca="1">Inventory!X$26</f>
        <v>0</v>
      </c>
      <c r="Y20" s="4">
        <f ca="1">Inventory!Y$26</f>
        <v>0</v>
      </c>
      <c r="Z20" s="4">
        <f ca="1">Inventory!Z$26</f>
        <v>5000</v>
      </c>
      <c r="AA20" s="4">
        <f ca="1">Inventory!AA$26</f>
        <v>0</v>
      </c>
      <c r="AB20" s="4">
        <f ca="1">Inventory!AB$26</f>
        <v>0</v>
      </c>
      <c r="AC20" s="4">
        <f ca="1">Inventory!AC$26</f>
        <v>0</v>
      </c>
      <c r="AD20" s="4">
        <f ca="1">Inventory!AD$26</f>
        <v>5000</v>
      </c>
      <c r="AE20" s="4">
        <f ca="1">Inventory!AE$26</f>
        <v>0</v>
      </c>
      <c r="AF20" s="4">
        <f ca="1">Inventory!AF$26</f>
        <v>0</v>
      </c>
      <c r="AG20" s="4">
        <f ca="1">Inventory!AG$26</f>
        <v>5000</v>
      </c>
      <c r="AH20" s="4">
        <f ca="1">Inventory!AH$26</f>
        <v>0</v>
      </c>
      <c r="AI20" s="4">
        <f ca="1">Inventory!AI$26</f>
        <v>5000</v>
      </c>
      <c r="AJ20" s="4">
        <f ca="1">Inventory!AJ$26</f>
        <v>0</v>
      </c>
      <c r="AK20" s="4">
        <f ca="1">Inventory!AK$26</f>
        <v>0</v>
      </c>
      <c r="AL20" s="4">
        <f ca="1">Inventory!AL$26</f>
        <v>5000</v>
      </c>
      <c r="AM20" s="4">
        <f ca="1">Inventory!AM$26</f>
        <v>0</v>
      </c>
      <c r="AN20" s="4">
        <f ca="1">Inventory!AN$26</f>
        <v>0</v>
      </c>
      <c r="AO20" s="4">
        <f ca="1">Inventory!AO$26</f>
        <v>5000</v>
      </c>
      <c r="AP20" s="4">
        <f ca="1">Inventory!AP$26</f>
        <v>0</v>
      </c>
      <c r="AQ20" s="4">
        <f ca="1">Inventory!AQ$26</f>
        <v>5000</v>
      </c>
      <c r="AR20" s="4">
        <f ca="1">Inventory!AR$26</f>
        <v>0</v>
      </c>
      <c r="AS20" s="4">
        <f ca="1">Inventory!AS$26</f>
        <v>5000</v>
      </c>
      <c r="AT20" s="4">
        <f ca="1">Inventory!AT$26</f>
        <v>5000</v>
      </c>
      <c r="AU20" s="4">
        <f ca="1">Inventory!AU$26</f>
        <v>0</v>
      </c>
      <c r="AV20" s="4">
        <f ca="1">Inventory!AV$26</f>
        <v>5000</v>
      </c>
      <c r="AW20" s="4">
        <f ca="1">Inventory!AW$26</f>
        <v>5000</v>
      </c>
      <c r="AX20" s="4">
        <f ca="1">Inventory!AX$26</f>
        <v>0</v>
      </c>
      <c r="AY20" s="4">
        <f ca="1">Inventory!AY$26</f>
        <v>5000</v>
      </c>
      <c r="AZ20" s="4">
        <f ca="1">Inventory!AZ$26</f>
        <v>5000</v>
      </c>
      <c r="BA20" s="4">
        <f ca="1">Inventory!BA$26</f>
        <v>5000</v>
      </c>
      <c r="BB20" s="4">
        <f ca="1">Inventory!BB$26</f>
        <v>5000</v>
      </c>
      <c r="BC20" s="4">
        <f ca="1">Inventory!BC$26</f>
        <v>5000</v>
      </c>
      <c r="BD20" s="4">
        <f ca="1">Inventory!BD$26</f>
        <v>5000</v>
      </c>
      <c r="BE20" s="4">
        <f ca="1">Inventory!BE$26</f>
        <v>5000</v>
      </c>
      <c r="BF20" s="4">
        <f ca="1">Inventory!BF$26</f>
        <v>5000</v>
      </c>
      <c r="BG20" s="4">
        <f ca="1">Inventory!BG$26</f>
        <v>5000</v>
      </c>
      <c r="BH20" s="4">
        <f ca="1">Inventory!BH$26</f>
        <v>5000</v>
      </c>
      <c r="BI20" s="4">
        <f ca="1">Inventory!BI$26</f>
        <v>5000</v>
      </c>
      <c r="BJ20" s="4">
        <f ca="1">Inventory!BJ$26</f>
        <v>5000</v>
      </c>
      <c r="BK20" s="4">
        <f ca="1">Inventory!BK$26</f>
        <v>5000</v>
      </c>
      <c r="BL20" s="4">
        <f ca="1">Inventory!BL$26</f>
        <v>5000</v>
      </c>
      <c r="BM20" s="4">
        <f ca="1">Inventory!BM$26</f>
        <v>5000</v>
      </c>
      <c r="BN20" s="4">
        <f ca="1">Inventory!BN$26</f>
        <v>5000</v>
      </c>
      <c r="BO20" s="4">
        <f ca="1">Inventory!BO$26</f>
        <v>5000</v>
      </c>
      <c r="BP20" s="4">
        <f ca="1">Inventory!BP$26</f>
        <v>5000</v>
      </c>
      <c r="BQ20" s="4">
        <f ca="1">Inventory!BQ$26</f>
        <v>5000</v>
      </c>
    </row>
    <row r="21" spans="1:69">
      <c r="A21" s="17"/>
      <c r="B21" s="17"/>
      <c r="C21" s="26"/>
      <c r="D21" s="27"/>
      <c r="E21" s="4" t="str">
        <f>Time!E$229</f>
        <v>Supply Chain Finance enabled flag</v>
      </c>
      <c r="F21" s="4">
        <f>Time!F$229</f>
        <v>0</v>
      </c>
      <c r="G21" s="4" t="str">
        <f>Time!G$229</f>
        <v>flag</v>
      </c>
      <c r="H21" s="4">
        <f>Time!H$229</f>
        <v>0</v>
      </c>
      <c r="I21" s="4">
        <f>Time!I$229</f>
        <v>0</v>
      </c>
      <c r="J21" s="4">
        <f>Time!J$229</f>
        <v>0</v>
      </c>
      <c r="K21" s="4">
        <f>Time!K$229</f>
        <v>0</v>
      </c>
      <c r="L21" s="4">
        <f>Time!L$229</f>
        <v>0</v>
      </c>
      <c r="M21" s="4">
        <f>Time!M$229</f>
        <v>0</v>
      </c>
      <c r="N21" s="4">
        <f>Time!N$229</f>
        <v>0</v>
      </c>
      <c r="O21" s="4">
        <f>Time!O$229</f>
        <v>0</v>
      </c>
      <c r="P21" s="4">
        <f>Time!P$229</f>
        <v>0</v>
      </c>
      <c r="Q21" s="4">
        <f>Time!Q$229</f>
        <v>0</v>
      </c>
      <c r="R21" s="4">
        <f>Time!R$229</f>
        <v>0</v>
      </c>
      <c r="S21" s="4">
        <f>Time!S$229</f>
        <v>0</v>
      </c>
      <c r="T21" s="4">
        <f>Time!T$229</f>
        <v>0</v>
      </c>
      <c r="U21" s="4">
        <f>Time!U$229</f>
        <v>0</v>
      </c>
      <c r="V21" s="4">
        <f>Time!V$229</f>
        <v>0</v>
      </c>
      <c r="W21" s="4">
        <f>Time!W$229</f>
        <v>0</v>
      </c>
      <c r="X21" s="4">
        <f>Time!X$229</f>
        <v>0</v>
      </c>
      <c r="Y21" s="4">
        <f>Time!Y$229</f>
        <v>0</v>
      </c>
      <c r="Z21" s="4">
        <f>Time!Z$229</f>
        <v>0</v>
      </c>
      <c r="AA21" s="4">
        <f>Time!AA$229</f>
        <v>0</v>
      </c>
      <c r="AB21" s="4">
        <f>Time!AB$229</f>
        <v>0</v>
      </c>
      <c r="AC21" s="4">
        <f>Time!AC$229</f>
        <v>0</v>
      </c>
      <c r="AD21" s="4">
        <f>Time!AD$229</f>
        <v>0</v>
      </c>
      <c r="AE21" s="4">
        <f>Time!AE$229</f>
        <v>0</v>
      </c>
      <c r="AF21" s="4">
        <f>Time!AF$229</f>
        <v>0</v>
      </c>
      <c r="AG21" s="4">
        <f>Time!AG$229</f>
        <v>0</v>
      </c>
      <c r="AH21" s="4">
        <f>Time!AH$229</f>
        <v>0</v>
      </c>
      <c r="AI21" s="4">
        <f>Time!AI$229</f>
        <v>0</v>
      </c>
      <c r="AJ21" s="4">
        <f>Time!AJ$229</f>
        <v>0</v>
      </c>
      <c r="AK21" s="4">
        <f>Time!AK$229</f>
        <v>0</v>
      </c>
      <c r="AL21" s="4">
        <f>Time!AL$229</f>
        <v>0</v>
      </c>
      <c r="AM21" s="4">
        <f>Time!AM$229</f>
        <v>0</v>
      </c>
      <c r="AN21" s="4">
        <f>Time!AN$229</f>
        <v>0</v>
      </c>
      <c r="AO21" s="4">
        <f>Time!AO$229</f>
        <v>0</v>
      </c>
      <c r="AP21" s="4">
        <f>Time!AP$229</f>
        <v>0</v>
      </c>
      <c r="AQ21" s="4">
        <f>Time!AQ$229</f>
        <v>0</v>
      </c>
      <c r="AR21" s="4">
        <f>Time!AR$229</f>
        <v>0</v>
      </c>
      <c r="AS21" s="4">
        <f>Time!AS$229</f>
        <v>0</v>
      </c>
      <c r="AT21" s="4">
        <f>Time!AT$229</f>
        <v>0</v>
      </c>
      <c r="AU21" s="4">
        <f>Time!AU$229</f>
        <v>0</v>
      </c>
      <c r="AV21" s="4">
        <f>Time!AV$229</f>
        <v>0</v>
      </c>
      <c r="AW21" s="4">
        <f>Time!AW$229</f>
        <v>0</v>
      </c>
      <c r="AX21" s="4">
        <f>Time!AX$229</f>
        <v>0</v>
      </c>
      <c r="AY21" s="4">
        <f>Time!AY$229</f>
        <v>0</v>
      </c>
      <c r="AZ21" s="4">
        <f>Time!AZ$229</f>
        <v>0</v>
      </c>
      <c r="BA21" s="4">
        <f>Time!BA$229</f>
        <v>0</v>
      </c>
      <c r="BB21" s="4">
        <f>Time!BB$229</f>
        <v>0</v>
      </c>
      <c r="BC21" s="4">
        <f>Time!BC$229</f>
        <v>0</v>
      </c>
      <c r="BD21" s="4">
        <f>Time!BD$229</f>
        <v>0</v>
      </c>
      <c r="BE21" s="4">
        <f>Time!BE$229</f>
        <v>0</v>
      </c>
      <c r="BF21" s="4">
        <f>Time!BF$229</f>
        <v>0</v>
      </c>
      <c r="BG21" s="4">
        <f>Time!BG$229</f>
        <v>0</v>
      </c>
      <c r="BH21" s="4">
        <f>Time!BH$229</f>
        <v>0</v>
      </c>
      <c r="BI21" s="4">
        <f>Time!BI$229</f>
        <v>0</v>
      </c>
      <c r="BJ21" s="4">
        <f>Time!BJ$229</f>
        <v>0</v>
      </c>
      <c r="BK21" s="4">
        <f>Time!BK$229</f>
        <v>0</v>
      </c>
      <c r="BL21" s="4">
        <f>Time!BL$229</f>
        <v>0</v>
      </c>
      <c r="BM21" s="4">
        <f>Time!BM$229</f>
        <v>0</v>
      </c>
      <c r="BN21" s="4">
        <f>Time!BN$229</f>
        <v>0</v>
      </c>
      <c r="BO21" s="4">
        <f>Time!BO$229</f>
        <v>0</v>
      </c>
      <c r="BP21" s="4">
        <f>Time!BP$229</f>
        <v>0</v>
      </c>
      <c r="BQ21" s="4">
        <f>Time!BQ$229</f>
        <v>0</v>
      </c>
    </row>
    <row r="22" spans="1:69">
      <c r="A22" s="31"/>
      <c r="B22" s="31"/>
      <c r="C22" s="51"/>
      <c r="D22" s="50"/>
      <c r="E22" s="3" t="s">
        <v>15</v>
      </c>
      <c r="F22" s="3"/>
      <c r="G22" s="3" t="s">
        <v>252</v>
      </c>
      <c r="H22" s="3">
        <f ca="1">SUM(J22:BQ22)</f>
        <v>0</v>
      </c>
      <c r="I22" s="3"/>
      <c r="J22" s="3">
        <f t="shared" ref="J22:AO22" ca="1" si="10">J21*(J20*$F18*$F19)</f>
        <v>0</v>
      </c>
      <c r="K22" s="3">
        <f t="shared" ca="1" si="10"/>
        <v>0</v>
      </c>
      <c r="L22" s="3">
        <f t="shared" ca="1" si="10"/>
        <v>0</v>
      </c>
      <c r="M22" s="3">
        <f t="shared" ca="1" si="10"/>
        <v>0</v>
      </c>
      <c r="N22" s="3">
        <f t="shared" ca="1" si="10"/>
        <v>0</v>
      </c>
      <c r="O22" s="3">
        <f t="shared" ca="1" si="10"/>
        <v>0</v>
      </c>
      <c r="P22" s="3">
        <f t="shared" ca="1" si="10"/>
        <v>0</v>
      </c>
      <c r="Q22" s="3">
        <f t="shared" ca="1" si="10"/>
        <v>0</v>
      </c>
      <c r="R22" s="3">
        <f t="shared" ca="1" si="10"/>
        <v>0</v>
      </c>
      <c r="S22" s="3">
        <f t="shared" ca="1" si="10"/>
        <v>0</v>
      </c>
      <c r="T22" s="3">
        <f t="shared" ca="1" si="10"/>
        <v>0</v>
      </c>
      <c r="U22" s="3">
        <f t="shared" ca="1" si="10"/>
        <v>0</v>
      </c>
      <c r="V22" s="3">
        <f t="shared" ca="1" si="10"/>
        <v>0</v>
      </c>
      <c r="W22" s="3">
        <f t="shared" ca="1" si="10"/>
        <v>0</v>
      </c>
      <c r="X22" s="3">
        <f t="shared" ca="1" si="10"/>
        <v>0</v>
      </c>
      <c r="Y22" s="3">
        <f t="shared" ca="1" si="10"/>
        <v>0</v>
      </c>
      <c r="Z22" s="3">
        <f t="shared" ca="1" si="10"/>
        <v>0</v>
      </c>
      <c r="AA22" s="3">
        <f t="shared" ca="1" si="10"/>
        <v>0</v>
      </c>
      <c r="AB22" s="3">
        <f t="shared" ca="1" si="10"/>
        <v>0</v>
      </c>
      <c r="AC22" s="3">
        <f t="shared" ca="1" si="10"/>
        <v>0</v>
      </c>
      <c r="AD22" s="3">
        <f t="shared" ca="1" si="10"/>
        <v>0</v>
      </c>
      <c r="AE22" s="3">
        <f t="shared" ca="1" si="10"/>
        <v>0</v>
      </c>
      <c r="AF22" s="3">
        <f t="shared" ca="1" si="10"/>
        <v>0</v>
      </c>
      <c r="AG22" s="3">
        <f t="shared" ca="1" si="10"/>
        <v>0</v>
      </c>
      <c r="AH22" s="3">
        <f t="shared" ca="1" si="10"/>
        <v>0</v>
      </c>
      <c r="AI22" s="3">
        <f t="shared" ca="1" si="10"/>
        <v>0</v>
      </c>
      <c r="AJ22" s="3">
        <f t="shared" ca="1" si="10"/>
        <v>0</v>
      </c>
      <c r="AK22" s="3">
        <f t="shared" ca="1" si="10"/>
        <v>0</v>
      </c>
      <c r="AL22" s="3">
        <f t="shared" ca="1" si="10"/>
        <v>0</v>
      </c>
      <c r="AM22" s="3">
        <f t="shared" ca="1" si="10"/>
        <v>0</v>
      </c>
      <c r="AN22" s="3">
        <f t="shared" ca="1" si="10"/>
        <v>0</v>
      </c>
      <c r="AO22" s="3">
        <f t="shared" ca="1" si="10"/>
        <v>0</v>
      </c>
      <c r="AP22" s="3">
        <f t="shared" ref="AP22:BU22" ca="1" si="11">AP21*(AP20*$F18*$F19)</f>
        <v>0</v>
      </c>
      <c r="AQ22" s="3">
        <f t="shared" ca="1" si="11"/>
        <v>0</v>
      </c>
      <c r="AR22" s="3">
        <f t="shared" ca="1" si="11"/>
        <v>0</v>
      </c>
      <c r="AS22" s="3">
        <f t="shared" ca="1" si="11"/>
        <v>0</v>
      </c>
      <c r="AT22" s="3">
        <f t="shared" ca="1" si="11"/>
        <v>0</v>
      </c>
      <c r="AU22" s="3">
        <f t="shared" ca="1" si="11"/>
        <v>0</v>
      </c>
      <c r="AV22" s="3">
        <f t="shared" ca="1" si="11"/>
        <v>0</v>
      </c>
      <c r="AW22" s="3">
        <f t="shared" ca="1" si="11"/>
        <v>0</v>
      </c>
      <c r="AX22" s="3">
        <f t="shared" ca="1" si="11"/>
        <v>0</v>
      </c>
      <c r="AY22" s="3">
        <f t="shared" ca="1" si="11"/>
        <v>0</v>
      </c>
      <c r="AZ22" s="3">
        <f t="shared" ca="1" si="11"/>
        <v>0</v>
      </c>
      <c r="BA22" s="3">
        <f t="shared" ca="1" si="11"/>
        <v>0</v>
      </c>
      <c r="BB22" s="3">
        <f t="shared" ca="1" si="11"/>
        <v>0</v>
      </c>
      <c r="BC22" s="3">
        <f t="shared" ca="1" si="11"/>
        <v>0</v>
      </c>
      <c r="BD22" s="3">
        <f t="shared" ca="1" si="11"/>
        <v>0</v>
      </c>
      <c r="BE22" s="3">
        <f t="shared" ca="1" si="11"/>
        <v>0</v>
      </c>
      <c r="BF22" s="3">
        <f t="shared" ca="1" si="11"/>
        <v>0</v>
      </c>
      <c r="BG22" s="3">
        <f t="shared" ca="1" si="11"/>
        <v>0</v>
      </c>
      <c r="BH22" s="3">
        <f t="shared" ca="1" si="11"/>
        <v>0</v>
      </c>
      <c r="BI22" s="3">
        <f t="shared" ca="1" si="11"/>
        <v>0</v>
      </c>
      <c r="BJ22" s="3">
        <f t="shared" ca="1" si="11"/>
        <v>0</v>
      </c>
      <c r="BK22" s="3">
        <f t="shared" ca="1" si="11"/>
        <v>0</v>
      </c>
      <c r="BL22" s="3">
        <f t="shared" ca="1" si="11"/>
        <v>0</v>
      </c>
      <c r="BM22" s="3">
        <f t="shared" ca="1" si="11"/>
        <v>0</v>
      </c>
      <c r="BN22" s="3">
        <f t="shared" ca="1" si="11"/>
        <v>0</v>
      </c>
      <c r="BO22" s="3">
        <f t="shared" ca="1" si="11"/>
        <v>0</v>
      </c>
      <c r="BP22" s="3">
        <f t="shared" ca="1" si="11"/>
        <v>0</v>
      </c>
      <c r="BQ22" s="3">
        <f t="shared" ca="1" si="11"/>
        <v>0</v>
      </c>
    </row>
    <row r="25" spans="1:69">
      <c r="B25" s="22" t="s">
        <v>111</v>
      </c>
    </row>
    <row r="26" spans="1:69">
      <c r="A26" s="17"/>
      <c r="B26" s="17"/>
      <c r="C26" s="26"/>
      <c r="D26" s="27"/>
      <c r="E26" s="4" t="str">
        <f>InpC!E$33</f>
        <v>Order lead time (months)</v>
      </c>
      <c r="F26" s="4">
        <f>InpC!F$33</f>
        <v>6</v>
      </c>
      <c r="G26" s="4" t="str">
        <f>InpC!G$33</f>
        <v>Months</v>
      </c>
    </row>
    <row r="27" spans="1:69">
      <c r="E27" s="2" t="str">
        <f t="shared" ref="E27:AJ27" si="12">E$22</f>
        <v>Supply Chain Finance drawdown</v>
      </c>
      <c r="F27" s="2">
        <f t="shared" si="12"/>
        <v>0</v>
      </c>
      <c r="G27" s="2" t="str">
        <f t="shared" si="12"/>
        <v>GBP</v>
      </c>
      <c r="H27" s="2">
        <f t="shared" ca="1" si="12"/>
        <v>0</v>
      </c>
      <c r="I27" s="2">
        <f t="shared" si="12"/>
        <v>0</v>
      </c>
      <c r="J27" s="2">
        <f t="shared" ca="1" si="12"/>
        <v>0</v>
      </c>
      <c r="K27" s="2">
        <f t="shared" ca="1" si="12"/>
        <v>0</v>
      </c>
      <c r="L27" s="2">
        <f t="shared" ca="1" si="12"/>
        <v>0</v>
      </c>
      <c r="M27" s="2">
        <f t="shared" ca="1" si="12"/>
        <v>0</v>
      </c>
      <c r="N27" s="2">
        <f t="shared" ca="1" si="12"/>
        <v>0</v>
      </c>
      <c r="O27" s="2">
        <f t="shared" ca="1" si="12"/>
        <v>0</v>
      </c>
      <c r="P27" s="2">
        <f t="shared" ca="1" si="12"/>
        <v>0</v>
      </c>
      <c r="Q27" s="2">
        <f t="shared" ca="1" si="12"/>
        <v>0</v>
      </c>
      <c r="R27" s="2">
        <f t="shared" ca="1" si="12"/>
        <v>0</v>
      </c>
      <c r="S27" s="2">
        <f t="shared" ca="1" si="12"/>
        <v>0</v>
      </c>
      <c r="T27" s="2">
        <f t="shared" ca="1" si="12"/>
        <v>0</v>
      </c>
      <c r="U27" s="2">
        <f t="shared" ca="1" si="12"/>
        <v>0</v>
      </c>
      <c r="V27" s="2">
        <f t="shared" ca="1" si="12"/>
        <v>0</v>
      </c>
      <c r="W27" s="2">
        <f t="shared" ca="1" si="12"/>
        <v>0</v>
      </c>
      <c r="X27" s="2">
        <f t="shared" ca="1" si="12"/>
        <v>0</v>
      </c>
      <c r="Y27" s="2">
        <f t="shared" ca="1" si="12"/>
        <v>0</v>
      </c>
      <c r="Z27" s="2">
        <f t="shared" ca="1" si="12"/>
        <v>0</v>
      </c>
      <c r="AA27" s="2">
        <f t="shared" ca="1" si="12"/>
        <v>0</v>
      </c>
      <c r="AB27" s="2">
        <f t="shared" ca="1" si="12"/>
        <v>0</v>
      </c>
      <c r="AC27" s="2">
        <f t="shared" ca="1" si="12"/>
        <v>0</v>
      </c>
      <c r="AD27" s="2">
        <f t="shared" ca="1" si="12"/>
        <v>0</v>
      </c>
      <c r="AE27" s="2">
        <f t="shared" ca="1" si="12"/>
        <v>0</v>
      </c>
      <c r="AF27" s="2">
        <f t="shared" ca="1" si="12"/>
        <v>0</v>
      </c>
      <c r="AG27" s="2">
        <f t="shared" ca="1" si="12"/>
        <v>0</v>
      </c>
      <c r="AH27" s="2">
        <f t="shared" ca="1" si="12"/>
        <v>0</v>
      </c>
      <c r="AI27" s="2">
        <f t="shared" ca="1" si="12"/>
        <v>0</v>
      </c>
      <c r="AJ27" s="2">
        <f t="shared" ca="1" si="12"/>
        <v>0</v>
      </c>
      <c r="AK27" s="2">
        <f t="shared" ref="AK27:BQ27" ca="1" si="13">AK$22</f>
        <v>0</v>
      </c>
      <c r="AL27" s="2">
        <f t="shared" ca="1" si="13"/>
        <v>0</v>
      </c>
      <c r="AM27" s="2">
        <f t="shared" ca="1" si="13"/>
        <v>0</v>
      </c>
      <c r="AN27" s="2">
        <f t="shared" ca="1" si="13"/>
        <v>0</v>
      </c>
      <c r="AO27" s="2">
        <f t="shared" ca="1" si="13"/>
        <v>0</v>
      </c>
      <c r="AP27" s="2">
        <f t="shared" ca="1" si="13"/>
        <v>0</v>
      </c>
      <c r="AQ27" s="2">
        <f t="shared" ca="1" si="13"/>
        <v>0</v>
      </c>
      <c r="AR27" s="2">
        <f t="shared" ca="1" si="13"/>
        <v>0</v>
      </c>
      <c r="AS27" s="2">
        <f t="shared" ca="1" si="13"/>
        <v>0</v>
      </c>
      <c r="AT27" s="2">
        <f t="shared" ca="1" si="13"/>
        <v>0</v>
      </c>
      <c r="AU27" s="2">
        <f t="shared" ca="1" si="13"/>
        <v>0</v>
      </c>
      <c r="AV27" s="2">
        <f t="shared" ca="1" si="13"/>
        <v>0</v>
      </c>
      <c r="AW27" s="2">
        <f t="shared" ca="1" si="13"/>
        <v>0</v>
      </c>
      <c r="AX27" s="2">
        <f t="shared" ca="1" si="13"/>
        <v>0</v>
      </c>
      <c r="AY27" s="2">
        <f t="shared" ca="1" si="13"/>
        <v>0</v>
      </c>
      <c r="AZ27" s="2">
        <f t="shared" ca="1" si="13"/>
        <v>0</v>
      </c>
      <c r="BA27" s="2">
        <f t="shared" ca="1" si="13"/>
        <v>0</v>
      </c>
      <c r="BB27" s="2">
        <f t="shared" ca="1" si="13"/>
        <v>0</v>
      </c>
      <c r="BC27" s="2">
        <f t="shared" ca="1" si="13"/>
        <v>0</v>
      </c>
      <c r="BD27" s="2">
        <f t="shared" ca="1" si="13"/>
        <v>0</v>
      </c>
      <c r="BE27" s="2">
        <f t="shared" ca="1" si="13"/>
        <v>0</v>
      </c>
      <c r="BF27" s="2">
        <f t="shared" ca="1" si="13"/>
        <v>0</v>
      </c>
      <c r="BG27" s="2">
        <f t="shared" ca="1" si="13"/>
        <v>0</v>
      </c>
      <c r="BH27" s="2">
        <f t="shared" ca="1" si="13"/>
        <v>0</v>
      </c>
      <c r="BI27" s="2">
        <f t="shared" ca="1" si="13"/>
        <v>0</v>
      </c>
      <c r="BJ27" s="2">
        <f t="shared" ca="1" si="13"/>
        <v>0</v>
      </c>
      <c r="BK27" s="2">
        <f t="shared" ca="1" si="13"/>
        <v>0</v>
      </c>
      <c r="BL27" s="2">
        <f t="shared" ca="1" si="13"/>
        <v>0</v>
      </c>
      <c r="BM27" s="2">
        <f t="shared" ca="1" si="13"/>
        <v>0</v>
      </c>
      <c r="BN27" s="2">
        <f t="shared" ca="1" si="13"/>
        <v>0</v>
      </c>
      <c r="BO27" s="2">
        <f t="shared" ca="1" si="13"/>
        <v>0</v>
      </c>
      <c r="BP27" s="2">
        <f t="shared" ca="1" si="13"/>
        <v>0</v>
      </c>
      <c r="BQ27" s="2">
        <f t="shared" ca="1" si="13"/>
        <v>0</v>
      </c>
    </row>
    <row r="28" spans="1:69" ht="14.5">
      <c r="E28" s="2" t="s">
        <v>180</v>
      </c>
      <c r="F28"/>
      <c r="G28" s="2" t="s">
        <v>252</v>
      </c>
      <c r="H28" s="2">
        <f ca="1">SUM(J28:BQ28)</f>
        <v>0</v>
      </c>
      <c r="I28"/>
      <c r="J28" s="2">
        <f ca="1">IF(Time!J28&lt;1+$F26,0,OFFSET(J27,0,-1*($F26)))</f>
        <v>0</v>
      </c>
      <c r="K28" s="2">
        <f ca="1">IF(Time!K28&lt;1+$F26,0,OFFSET(K27,0,-1*($F26)))</f>
        <v>0</v>
      </c>
      <c r="L28" s="2">
        <f ca="1">IF(Time!L28&lt;1+$F26,0,OFFSET(L27,0,-1*($F26)))</f>
        <v>0</v>
      </c>
      <c r="M28" s="2">
        <f ca="1">IF(Time!M28&lt;1+$F26,0,OFFSET(M27,0,-1*($F26)))</f>
        <v>0</v>
      </c>
      <c r="N28" s="2">
        <f ca="1">IF(Time!N28&lt;1+$F26,0,OFFSET(N27,0,-1*($F26)))</f>
        <v>0</v>
      </c>
      <c r="O28" s="2">
        <f ca="1">IF(Time!O28&lt;1+$F26,0,OFFSET(O27,0,-1*($F26)))</f>
        <v>0</v>
      </c>
      <c r="P28" s="2">
        <f ca="1">IF(Time!P28&lt;1+$F26,0,OFFSET(P27,0,-1*($F26)))</f>
        <v>0</v>
      </c>
      <c r="Q28" s="2">
        <f ca="1">IF(Time!Q28&lt;1+$F26,0,OFFSET(Q27,0,-1*($F26)))</f>
        <v>0</v>
      </c>
      <c r="R28" s="2">
        <f ca="1">IF(Time!R28&lt;1+$F26,0,OFFSET(R27,0,-1*($F26)))</f>
        <v>0</v>
      </c>
      <c r="S28" s="2">
        <f ca="1">IF(Time!S28&lt;1+$F26,0,OFFSET(S27,0,-1*($F26)))</f>
        <v>0</v>
      </c>
      <c r="T28" s="2">
        <f ca="1">IF(Time!T28&lt;1+$F26,0,OFFSET(T27,0,-1*($F26)))</f>
        <v>0</v>
      </c>
      <c r="U28" s="2">
        <f ca="1">IF(Time!U28&lt;1+$F26,0,OFFSET(U27,0,-1*($F26)))</f>
        <v>0</v>
      </c>
      <c r="V28" s="2">
        <f ca="1">IF(Time!V28&lt;1+$F26,0,OFFSET(V27,0,-1*($F26)))</f>
        <v>0</v>
      </c>
      <c r="W28" s="2">
        <f ca="1">IF(Time!W28&lt;1+$F26,0,OFFSET(W27,0,-1*($F26)))</f>
        <v>0</v>
      </c>
      <c r="X28" s="2">
        <f ca="1">IF(Time!X28&lt;1+$F26,0,OFFSET(X27,0,-1*($F26)))</f>
        <v>0</v>
      </c>
      <c r="Y28" s="2">
        <f ca="1">IF(Time!Y28&lt;1+$F26,0,OFFSET(Y27,0,-1*($F26)))</f>
        <v>0</v>
      </c>
      <c r="Z28" s="2">
        <f ca="1">IF(Time!Z28&lt;1+$F26,0,OFFSET(Z27,0,-1*($F26)))</f>
        <v>0</v>
      </c>
      <c r="AA28" s="2">
        <f ca="1">IF(Time!AA28&lt;1+$F26,0,OFFSET(AA27,0,-1*($F26)))</f>
        <v>0</v>
      </c>
      <c r="AB28" s="2">
        <f ca="1">IF(Time!AB28&lt;1+$F26,0,OFFSET(AB27,0,-1*($F26)))</f>
        <v>0</v>
      </c>
      <c r="AC28" s="2">
        <f ca="1">IF(Time!AC28&lt;1+$F26,0,OFFSET(AC27,0,-1*($F26)))</f>
        <v>0</v>
      </c>
      <c r="AD28" s="2">
        <f ca="1">IF(Time!AD28&lt;1+$F26,0,OFFSET(AD27,0,-1*($F26)))</f>
        <v>0</v>
      </c>
      <c r="AE28" s="2">
        <f ca="1">IF(Time!AE28&lt;1+$F26,0,OFFSET(AE27,0,-1*($F26)))</f>
        <v>0</v>
      </c>
      <c r="AF28" s="2">
        <f ca="1">IF(Time!AF28&lt;1+$F26,0,OFFSET(AF27,0,-1*($F26)))</f>
        <v>0</v>
      </c>
      <c r="AG28" s="2">
        <f ca="1">IF(Time!AG28&lt;1+$F26,0,OFFSET(AG27,0,-1*($F26)))</f>
        <v>0</v>
      </c>
      <c r="AH28" s="2">
        <f ca="1">IF(Time!AH28&lt;1+$F26,0,OFFSET(AH27,0,-1*($F26)))</f>
        <v>0</v>
      </c>
      <c r="AI28" s="2">
        <f ca="1">IF(Time!AI28&lt;1+$F26,0,OFFSET(AI27,0,-1*($F26)))</f>
        <v>0</v>
      </c>
      <c r="AJ28" s="2">
        <f ca="1">IF(Time!AJ28&lt;1+$F26,0,OFFSET(AJ27,0,-1*($F26)))</f>
        <v>0</v>
      </c>
      <c r="AK28" s="2">
        <f ca="1">IF(Time!AK28&lt;1+$F26,0,OFFSET(AK27,0,-1*($F26)))</f>
        <v>0</v>
      </c>
      <c r="AL28" s="2">
        <f ca="1">IF(Time!AL28&lt;1+$F26,0,OFFSET(AL27,0,-1*($F26)))</f>
        <v>0</v>
      </c>
      <c r="AM28" s="2">
        <f ca="1">IF(Time!AM28&lt;1+$F26,0,OFFSET(AM27,0,-1*($F26)))</f>
        <v>0</v>
      </c>
      <c r="AN28" s="2">
        <f ca="1">IF(Time!AN28&lt;1+$F26,0,OFFSET(AN27,0,-1*($F26)))</f>
        <v>0</v>
      </c>
      <c r="AO28" s="2">
        <f ca="1">IF(Time!AO28&lt;1+$F26,0,OFFSET(AO27,0,-1*($F26)))</f>
        <v>0</v>
      </c>
      <c r="AP28" s="2">
        <f ca="1">IF(Time!AP28&lt;1+$F26,0,OFFSET(AP27,0,-1*($F26)))</f>
        <v>0</v>
      </c>
      <c r="AQ28" s="2">
        <f ca="1">IF(Time!AQ28&lt;1+$F26,0,OFFSET(AQ27,0,-1*($F26)))</f>
        <v>0</v>
      </c>
      <c r="AR28" s="2">
        <f ca="1">IF(Time!AR28&lt;1+$F26,0,OFFSET(AR27,0,-1*($F26)))</f>
        <v>0</v>
      </c>
      <c r="AS28" s="2">
        <f ca="1">IF(Time!AS28&lt;1+$F26,0,OFFSET(AS27,0,-1*($F26)))</f>
        <v>0</v>
      </c>
      <c r="AT28" s="2">
        <f ca="1">IF(Time!AT28&lt;1+$F26,0,OFFSET(AT27,0,-1*($F26)))</f>
        <v>0</v>
      </c>
      <c r="AU28" s="2">
        <f ca="1">IF(Time!AU28&lt;1+$F26,0,OFFSET(AU27,0,-1*($F26)))</f>
        <v>0</v>
      </c>
      <c r="AV28" s="2">
        <f ca="1">IF(Time!AV28&lt;1+$F26,0,OFFSET(AV27,0,-1*($F26)))</f>
        <v>0</v>
      </c>
      <c r="AW28" s="2">
        <f ca="1">IF(Time!AW28&lt;1+$F26,0,OFFSET(AW27,0,-1*($F26)))</f>
        <v>0</v>
      </c>
      <c r="AX28" s="2">
        <f ca="1">IF(Time!AX28&lt;1+$F26,0,OFFSET(AX27,0,-1*($F26)))</f>
        <v>0</v>
      </c>
      <c r="AY28" s="2">
        <f ca="1">IF(Time!AY28&lt;1+$F26,0,OFFSET(AY27,0,-1*($F26)))</f>
        <v>0</v>
      </c>
      <c r="AZ28" s="2">
        <f ca="1">IF(Time!AZ28&lt;1+$F26,0,OFFSET(AZ27,0,-1*($F26)))</f>
        <v>0</v>
      </c>
      <c r="BA28" s="2">
        <f ca="1">IF(Time!BA28&lt;1+$F26,0,OFFSET(BA27,0,-1*($F26)))</f>
        <v>0</v>
      </c>
      <c r="BB28" s="2">
        <f ca="1">IF(Time!BB28&lt;1+$F26,0,OFFSET(BB27,0,-1*($F26)))</f>
        <v>0</v>
      </c>
      <c r="BC28" s="2">
        <f ca="1">IF(Time!BC28&lt;1+$F26,0,OFFSET(BC27,0,-1*($F26)))</f>
        <v>0</v>
      </c>
      <c r="BD28" s="2">
        <f ca="1">IF(Time!BD28&lt;1+$F26,0,OFFSET(BD27,0,-1*($F26)))</f>
        <v>0</v>
      </c>
      <c r="BE28" s="2">
        <f ca="1">IF(Time!BE28&lt;1+$F26,0,OFFSET(BE27,0,-1*($F26)))</f>
        <v>0</v>
      </c>
      <c r="BF28" s="2">
        <f ca="1">IF(Time!BF28&lt;1+$F26,0,OFFSET(BF27,0,-1*($F26)))</f>
        <v>0</v>
      </c>
      <c r="BG28" s="2">
        <f ca="1">IF(Time!BG28&lt;1+$F26,0,OFFSET(BG27,0,-1*($F26)))</f>
        <v>0</v>
      </c>
      <c r="BH28" s="2">
        <f ca="1">IF(Time!BH28&lt;1+$F26,0,OFFSET(BH27,0,-1*($F26)))</f>
        <v>0</v>
      </c>
      <c r="BI28" s="2">
        <f ca="1">IF(Time!BI28&lt;1+$F26,0,OFFSET(BI27,0,-1*($F26)))</f>
        <v>0</v>
      </c>
      <c r="BJ28" s="2">
        <f ca="1">IF(Time!BJ28&lt;1+$F26,0,OFFSET(BJ27,0,-1*($F26)))</f>
        <v>0</v>
      </c>
      <c r="BK28" s="2">
        <f ca="1">IF(Time!BK28&lt;1+$F26,0,OFFSET(BK27,0,-1*($F26)))</f>
        <v>0</v>
      </c>
      <c r="BL28" s="2">
        <f ca="1">IF(Time!BL28&lt;1+$F26,0,OFFSET(BL27,0,-1*($F26)))</f>
        <v>0</v>
      </c>
      <c r="BM28" s="2">
        <f ca="1">IF(Time!BM28&lt;1+$F26,0,OFFSET(BM27,0,-1*($F26)))</f>
        <v>0</v>
      </c>
      <c r="BN28" s="2">
        <f ca="1">IF(Time!BN28&lt;1+$F26,0,OFFSET(BN27,0,-1*($F26)))</f>
        <v>0</v>
      </c>
      <c r="BO28" s="2">
        <f ca="1">IF(Time!BO28&lt;1+$F26,0,OFFSET(BO27,0,-1*($F26)))</f>
        <v>0</v>
      </c>
      <c r="BP28" s="2">
        <f ca="1">IF(Time!BP28&lt;1+$F26,0,OFFSET(BP27,0,-1*($F26)))</f>
        <v>0</v>
      </c>
      <c r="BQ28" s="2">
        <f ca="1">IF(Time!BQ28&lt;1+$F26,0,OFFSET(BQ27,0,-1*($F26)))</f>
        <v>0</v>
      </c>
    </row>
    <row r="29" spans="1:69">
      <c r="A29" s="31"/>
      <c r="B29" s="31"/>
      <c r="C29" s="51"/>
      <c r="D29" s="50"/>
      <c r="E29" s="3" t="str">
        <f>LEFT($E$28,LEN($E$28)-3)</f>
        <v xml:space="preserve">Supply Chain Finance principal repayment </v>
      </c>
      <c r="F29" s="3"/>
      <c r="G29" s="3" t="str">
        <f>G$28</f>
        <v>GBP</v>
      </c>
      <c r="H29" s="3">
        <f ca="1">SUM(J29:BQ29)</f>
        <v>0</v>
      </c>
      <c r="I29" s="3"/>
      <c r="J29" s="3">
        <f t="shared" ref="J29:AO29" ca="1" si="14">-1*J28</f>
        <v>0</v>
      </c>
      <c r="K29" s="3">
        <f t="shared" ca="1" si="14"/>
        <v>0</v>
      </c>
      <c r="L29" s="3">
        <f t="shared" ca="1" si="14"/>
        <v>0</v>
      </c>
      <c r="M29" s="3">
        <f t="shared" ca="1" si="14"/>
        <v>0</v>
      </c>
      <c r="N29" s="3">
        <f t="shared" ca="1" si="14"/>
        <v>0</v>
      </c>
      <c r="O29" s="3">
        <f t="shared" ca="1" si="14"/>
        <v>0</v>
      </c>
      <c r="P29" s="3">
        <f t="shared" ca="1" si="14"/>
        <v>0</v>
      </c>
      <c r="Q29" s="3">
        <f t="shared" ca="1" si="14"/>
        <v>0</v>
      </c>
      <c r="R29" s="3">
        <f t="shared" ca="1" si="14"/>
        <v>0</v>
      </c>
      <c r="S29" s="3">
        <f t="shared" ca="1" si="14"/>
        <v>0</v>
      </c>
      <c r="T29" s="3">
        <f t="shared" ca="1" si="14"/>
        <v>0</v>
      </c>
      <c r="U29" s="3">
        <f t="shared" ca="1" si="14"/>
        <v>0</v>
      </c>
      <c r="V29" s="3">
        <f t="shared" ca="1" si="14"/>
        <v>0</v>
      </c>
      <c r="W29" s="3">
        <f t="shared" ca="1" si="14"/>
        <v>0</v>
      </c>
      <c r="X29" s="3">
        <f t="shared" ca="1" si="14"/>
        <v>0</v>
      </c>
      <c r="Y29" s="3">
        <f t="shared" ca="1" si="14"/>
        <v>0</v>
      </c>
      <c r="Z29" s="3">
        <f t="shared" ca="1" si="14"/>
        <v>0</v>
      </c>
      <c r="AA29" s="3">
        <f t="shared" ca="1" si="14"/>
        <v>0</v>
      </c>
      <c r="AB29" s="3">
        <f t="shared" ca="1" si="14"/>
        <v>0</v>
      </c>
      <c r="AC29" s="3">
        <f t="shared" ca="1" si="14"/>
        <v>0</v>
      </c>
      <c r="AD29" s="3">
        <f t="shared" ca="1" si="14"/>
        <v>0</v>
      </c>
      <c r="AE29" s="3">
        <f t="shared" ca="1" si="14"/>
        <v>0</v>
      </c>
      <c r="AF29" s="3">
        <f t="shared" ca="1" si="14"/>
        <v>0</v>
      </c>
      <c r="AG29" s="3">
        <f t="shared" ca="1" si="14"/>
        <v>0</v>
      </c>
      <c r="AH29" s="3">
        <f t="shared" ca="1" si="14"/>
        <v>0</v>
      </c>
      <c r="AI29" s="3">
        <f t="shared" ca="1" si="14"/>
        <v>0</v>
      </c>
      <c r="AJ29" s="3">
        <f t="shared" ca="1" si="14"/>
        <v>0</v>
      </c>
      <c r="AK29" s="3">
        <f t="shared" ca="1" si="14"/>
        <v>0</v>
      </c>
      <c r="AL29" s="3">
        <f t="shared" ca="1" si="14"/>
        <v>0</v>
      </c>
      <c r="AM29" s="3">
        <f t="shared" ca="1" si="14"/>
        <v>0</v>
      </c>
      <c r="AN29" s="3">
        <f t="shared" ca="1" si="14"/>
        <v>0</v>
      </c>
      <c r="AO29" s="3">
        <f t="shared" ca="1" si="14"/>
        <v>0</v>
      </c>
      <c r="AP29" s="3">
        <f t="shared" ref="AP29:BU29" ca="1" si="15">-1*AP28</f>
        <v>0</v>
      </c>
      <c r="AQ29" s="3">
        <f t="shared" ca="1" si="15"/>
        <v>0</v>
      </c>
      <c r="AR29" s="3">
        <f t="shared" ca="1" si="15"/>
        <v>0</v>
      </c>
      <c r="AS29" s="3">
        <f t="shared" ca="1" si="15"/>
        <v>0</v>
      </c>
      <c r="AT29" s="3">
        <f t="shared" ca="1" si="15"/>
        <v>0</v>
      </c>
      <c r="AU29" s="3">
        <f t="shared" ca="1" si="15"/>
        <v>0</v>
      </c>
      <c r="AV29" s="3">
        <f t="shared" ca="1" si="15"/>
        <v>0</v>
      </c>
      <c r="AW29" s="3">
        <f t="shared" ca="1" si="15"/>
        <v>0</v>
      </c>
      <c r="AX29" s="3">
        <f t="shared" ca="1" si="15"/>
        <v>0</v>
      </c>
      <c r="AY29" s="3">
        <f t="shared" ca="1" si="15"/>
        <v>0</v>
      </c>
      <c r="AZ29" s="3">
        <f t="shared" ca="1" si="15"/>
        <v>0</v>
      </c>
      <c r="BA29" s="3">
        <f t="shared" ca="1" si="15"/>
        <v>0</v>
      </c>
      <c r="BB29" s="3">
        <f t="shared" ca="1" si="15"/>
        <v>0</v>
      </c>
      <c r="BC29" s="3">
        <f t="shared" ca="1" si="15"/>
        <v>0</v>
      </c>
      <c r="BD29" s="3">
        <f t="shared" ca="1" si="15"/>
        <v>0</v>
      </c>
      <c r="BE29" s="3">
        <f t="shared" ca="1" si="15"/>
        <v>0</v>
      </c>
      <c r="BF29" s="3">
        <f t="shared" ca="1" si="15"/>
        <v>0</v>
      </c>
      <c r="BG29" s="3">
        <f t="shared" ca="1" si="15"/>
        <v>0</v>
      </c>
      <c r="BH29" s="3">
        <f t="shared" ca="1" si="15"/>
        <v>0</v>
      </c>
      <c r="BI29" s="3">
        <f t="shared" ca="1" si="15"/>
        <v>0</v>
      </c>
      <c r="BJ29" s="3">
        <f t="shared" ca="1" si="15"/>
        <v>0</v>
      </c>
      <c r="BK29" s="3">
        <f t="shared" ca="1" si="15"/>
        <v>0</v>
      </c>
      <c r="BL29" s="3">
        <f t="shared" ca="1" si="15"/>
        <v>0</v>
      </c>
      <c r="BM29" s="3">
        <f t="shared" ca="1" si="15"/>
        <v>0</v>
      </c>
      <c r="BN29" s="3">
        <f t="shared" ca="1" si="15"/>
        <v>0</v>
      </c>
      <c r="BO29" s="3">
        <f t="shared" ca="1" si="15"/>
        <v>0</v>
      </c>
      <c r="BP29" s="3">
        <f t="shared" ca="1" si="15"/>
        <v>0</v>
      </c>
      <c r="BQ29" s="3">
        <f t="shared" ca="1" si="15"/>
        <v>0</v>
      </c>
    </row>
    <row r="32" spans="1:69">
      <c r="B32" s="22" t="s">
        <v>151</v>
      </c>
    </row>
    <row r="33" spans="1:69">
      <c r="E33" s="2" t="str">
        <f t="shared" ref="E33:AJ33" si="16">E$41</f>
        <v>Supply Chain Finance interest POS</v>
      </c>
      <c r="F33" s="2">
        <f t="shared" si="16"/>
        <v>0</v>
      </c>
      <c r="G33" s="2" t="str">
        <f t="shared" si="16"/>
        <v>GBP</v>
      </c>
      <c r="H33" s="2">
        <f t="shared" ca="1" si="16"/>
        <v>0</v>
      </c>
      <c r="I33" s="2">
        <f t="shared" si="16"/>
        <v>0</v>
      </c>
      <c r="J33" s="2">
        <f t="shared" si="16"/>
        <v>0</v>
      </c>
      <c r="K33" s="2">
        <f t="shared" ca="1" si="16"/>
        <v>0</v>
      </c>
      <c r="L33" s="2">
        <f t="shared" ca="1" si="16"/>
        <v>0</v>
      </c>
      <c r="M33" s="2">
        <f t="shared" ca="1" si="16"/>
        <v>0</v>
      </c>
      <c r="N33" s="2">
        <f t="shared" ca="1" si="16"/>
        <v>0</v>
      </c>
      <c r="O33" s="2">
        <f t="shared" ca="1" si="16"/>
        <v>0</v>
      </c>
      <c r="P33" s="2">
        <f t="shared" ca="1" si="16"/>
        <v>0</v>
      </c>
      <c r="Q33" s="2">
        <f t="shared" ca="1" si="16"/>
        <v>0</v>
      </c>
      <c r="R33" s="2">
        <f t="shared" ca="1" si="16"/>
        <v>0</v>
      </c>
      <c r="S33" s="2">
        <f t="shared" ca="1" si="16"/>
        <v>0</v>
      </c>
      <c r="T33" s="2">
        <f t="shared" ca="1" si="16"/>
        <v>0</v>
      </c>
      <c r="U33" s="2">
        <f t="shared" ca="1" si="16"/>
        <v>0</v>
      </c>
      <c r="V33" s="2">
        <f t="shared" ca="1" si="16"/>
        <v>0</v>
      </c>
      <c r="W33" s="2">
        <f t="shared" ca="1" si="16"/>
        <v>0</v>
      </c>
      <c r="X33" s="2">
        <f t="shared" ca="1" si="16"/>
        <v>0</v>
      </c>
      <c r="Y33" s="2">
        <f t="shared" ca="1" si="16"/>
        <v>0</v>
      </c>
      <c r="Z33" s="2">
        <f t="shared" ca="1" si="16"/>
        <v>0</v>
      </c>
      <c r="AA33" s="2">
        <f t="shared" ca="1" si="16"/>
        <v>0</v>
      </c>
      <c r="AB33" s="2">
        <f t="shared" ca="1" si="16"/>
        <v>0</v>
      </c>
      <c r="AC33" s="2">
        <f t="shared" ca="1" si="16"/>
        <v>0</v>
      </c>
      <c r="AD33" s="2">
        <f t="shared" ca="1" si="16"/>
        <v>0</v>
      </c>
      <c r="AE33" s="2">
        <f t="shared" ca="1" si="16"/>
        <v>0</v>
      </c>
      <c r="AF33" s="2">
        <f t="shared" ca="1" si="16"/>
        <v>0</v>
      </c>
      <c r="AG33" s="2">
        <f t="shared" ca="1" si="16"/>
        <v>0</v>
      </c>
      <c r="AH33" s="2">
        <f t="shared" ca="1" si="16"/>
        <v>0</v>
      </c>
      <c r="AI33" s="2">
        <f t="shared" ca="1" si="16"/>
        <v>0</v>
      </c>
      <c r="AJ33" s="2">
        <f t="shared" ca="1" si="16"/>
        <v>0</v>
      </c>
      <c r="AK33" s="2">
        <f t="shared" ref="AK33:BQ33" ca="1" si="17">AK$41</f>
        <v>0</v>
      </c>
      <c r="AL33" s="2">
        <f t="shared" ca="1" si="17"/>
        <v>0</v>
      </c>
      <c r="AM33" s="2">
        <f t="shared" ca="1" si="17"/>
        <v>0</v>
      </c>
      <c r="AN33" s="2">
        <f t="shared" ca="1" si="17"/>
        <v>0</v>
      </c>
      <c r="AO33" s="2">
        <f t="shared" ca="1" si="17"/>
        <v>0</v>
      </c>
      <c r="AP33" s="2">
        <f t="shared" ca="1" si="17"/>
        <v>0</v>
      </c>
      <c r="AQ33" s="2">
        <f t="shared" ca="1" si="17"/>
        <v>0</v>
      </c>
      <c r="AR33" s="2">
        <f t="shared" ca="1" si="17"/>
        <v>0</v>
      </c>
      <c r="AS33" s="2">
        <f t="shared" ca="1" si="17"/>
        <v>0</v>
      </c>
      <c r="AT33" s="2">
        <f t="shared" ca="1" si="17"/>
        <v>0</v>
      </c>
      <c r="AU33" s="2">
        <f t="shared" ca="1" si="17"/>
        <v>0</v>
      </c>
      <c r="AV33" s="2">
        <f t="shared" ca="1" si="17"/>
        <v>0</v>
      </c>
      <c r="AW33" s="2">
        <f t="shared" ca="1" si="17"/>
        <v>0</v>
      </c>
      <c r="AX33" s="2">
        <f t="shared" ca="1" si="17"/>
        <v>0</v>
      </c>
      <c r="AY33" s="2">
        <f t="shared" ca="1" si="17"/>
        <v>0</v>
      </c>
      <c r="AZ33" s="2">
        <f t="shared" ca="1" si="17"/>
        <v>0</v>
      </c>
      <c r="BA33" s="2">
        <f t="shared" ca="1" si="17"/>
        <v>0</v>
      </c>
      <c r="BB33" s="2">
        <f t="shared" ca="1" si="17"/>
        <v>0</v>
      </c>
      <c r="BC33" s="2">
        <f t="shared" ca="1" si="17"/>
        <v>0</v>
      </c>
      <c r="BD33" s="2">
        <f t="shared" ca="1" si="17"/>
        <v>0</v>
      </c>
      <c r="BE33" s="2">
        <f t="shared" ca="1" si="17"/>
        <v>0</v>
      </c>
      <c r="BF33" s="2">
        <f t="shared" ca="1" si="17"/>
        <v>0</v>
      </c>
      <c r="BG33" s="2">
        <f t="shared" ca="1" si="17"/>
        <v>0</v>
      </c>
      <c r="BH33" s="2">
        <f t="shared" ca="1" si="17"/>
        <v>0</v>
      </c>
      <c r="BI33" s="2">
        <f t="shared" ca="1" si="17"/>
        <v>0</v>
      </c>
      <c r="BJ33" s="2">
        <f t="shared" ca="1" si="17"/>
        <v>0</v>
      </c>
      <c r="BK33" s="2">
        <f t="shared" ca="1" si="17"/>
        <v>0</v>
      </c>
      <c r="BL33" s="2">
        <f t="shared" ca="1" si="17"/>
        <v>0</v>
      </c>
      <c r="BM33" s="2">
        <f t="shared" ca="1" si="17"/>
        <v>0</v>
      </c>
      <c r="BN33" s="2">
        <f t="shared" ca="1" si="17"/>
        <v>0</v>
      </c>
      <c r="BO33" s="2">
        <f t="shared" ca="1" si="17"/>
        <v>0</v>
      </c>
      <c r="BP33" s="2">
        <f t="shared" ca="1" si="17"/>
        <v>0</v>
      </c>
      <c r="BQ33" s="2">
        <f t="shared" ca="1" si="17"/>
        <v>0</v>
      </c>
    </row>
    <row r="34" spans="1:69">
      <c r="E34" s="2" t="str">
        <f t="shared" ref="E34:AJ34" si="18">E$47</f>
        <v>Supply Chain Finance interest paid POS</v>
      </c>
      <c r="F34" s="2">
        <f t="shared" si="18"/>
        <v>0</v>
      </c>
      <c r="G34" s="2" t="str">
        <f t="shared" si="18"/>
        <v>GBP</v>
      </c>
      <c r="H34" s="2">
        <f t="shared" ca="1" si="18"/>
        <v>0</v>
      </c>
      <c r="I34" s="2">
        <f t="shared" si="18"/>
        <v>0</v>
      </c>
      <c r="J34" s="2">
        <f t="shared" si="18"/>
        <v>0</v>
      </c>
      <c r="K34" s="2">
        <f t="shared" ca="1" si="18"/>
        <v>0</v>
      </c>
      <c r="L34" s="2">
        <f t="shared" ca="1" si="18"/>
        <v>0</v>
      </c>
      <c r="M34" s="2">
        <f t="shared" ca="1" si="18"/>
        <v>0</v>
      </c>
      <c r="N34" s="2">
        <f t="shared" ca="1" si="18"/>
        <v>0</v>
      </c>
      <c r="O34" s="2">
        <f t="shared" ca="1" si="18"/>
        <v>0</v>
      </c>
      <c r="P34" s="2">
        <f t="shared" ca="1" si="18"/>
        <v>0</v>
      </c>
      <c r="Q34" s="2">
        <f t="shared" ca="1" si="18"/>
        <v>0</v>
      </c>
      <c r="R34" s="2">
        <f t="shared" ca="1" si="18"/>
        <v>0</v>
      </c>
      <c r="S34" s="2">
        <f t="shared" ca="1" si="18"/>
        <v>0</v>
      </c>
      <c r="T34" s="2">
        <f t="shared" ca="1" si="18"/>
        <v>0</v>
      </c>
      <c r="U34" s="2">
        <f t="shared" ca="1" si="18"/>
        <v>0</v>
      </c>
      <c r="V34" s="2">
        <f t="shared" ca="1" si="18"/>
        <v>0</v>
      </c>
      <c r="W34" s="2">
        <f t="shared" ca="1" si="18"/>
        <v>0</v>
      </c>
      <c r="X34" s="2">
        <f t="shared" ca="1" si="18"/>
        <v>0</v>
      </c>
      <c r="Y34" s="2">
        <f t="shared" ca="1" si="18"/>
        <v>0</v>
      </c>
      <c r="Z34" s="2">
        <f t="shared" ca="1" si="18"/>
        <v>0</v>
      </c>
      <c r="AA34" s="2">
        <f t="shared" ca="1" si="18"/>
        <v>0</v>
      </c>
      <c r="AB34" s="2">
        <f t="shared" ca="1" si="18"/>
        <v>0</v>
      </c>
      <c r="AC34" s="2">
        <f t="shared" ca="1" si="18"/>
        <v>0</v>
      </c>
      <c r="AD34" s="2">
        <f t="shared" ca="1" si="18"/>
        <v>0</v>
      </c>
      <c r="AE34" s="2">
        <f t="shared" ca="1" si="18"/>
        <v>0</v>
      </c>
      <c r="AF34" s="2">
        <f t="shared" ca="1" si="18"/>
        <v>0</v>
      </c>
      <c r="AG34" s="2">
        <f t="shared" ca="1" si="18"/>
        <v>0</v>
      </c>
      <c r="AH34" s="2">
        <f t="shared" ca="1" si="18"/>
        <v>0</v>
      </c>
      <c r="AI34" s="2">
        <f t="shared" ca="1" si="18"/>
        <v>0</v>
      </c>
      <c r="AJ34" s="2">
        <f t="shared" ca="1" si="18"/>
        <v>0</v>
      </c>
      <c r="AK34" s="2">
        <f t="shared" ref="AK34:BQ34" ca="1" si="19">AK$47</f>
        <v>0</v>
      </c>
      <c r="AL34" s="2">
        <f t="shared" ca="1" si="19"/>
        <v>0</v>
      </c>
      <c r="AM34" s="2">
        <f t="shared" ca="1" si="19"/>
        <v>0</v>
      </c>
      <c r="AN34" s="2">
        <f t="shared" ca="1" si="19"/>
        <v>0</v>
      </c>
      <c r="AO34" s="2">
        <f t="shared" ca="1" si="19"/>
        <v>0</v>
      </c>
      <c r="AP34" s="2">
        <f t="shared" ca="1" si="19"/>
        <v>0</v>
      </c>
      <c r="AQ34" s="2">
        <f t="shared" ca="1" si="19"/>
        <v>0</v>
      </c>
      <c r="AR34" s="2">
        <f t="shared" ca="1" si="19"/>
        <v>0</v>
      </c>
      <c r="AS34" s="2">
        <f t="shared" ca="1" si="19"/>
        <v>0</v>
      </c>
      <c r="AT34" s="2">
        <f t="shared" ca="1" si="19"/>
        <v>0</v>
      </c>
      <c r="AU34" s="2">
        <f t="shared" ca="1" si="19"/>
        <v>0</v>
      </c>
      <c r="AV34" s="2">
        <f t="shared" ca="1" si="19"/>
        <v>0</v>
      </c>
      <c r="AW34" s="2">
        <f t="shared" ca="1" si="19"/>
        <v>0</v>
      </c>
      <c r="AX34" s="2">
        <f t="shared" ca="1" si="19"/>
        <v>0</v>
      </c>
      <c r="AY34" s="2">
        <f t="shared" ca="1" si="19"/>
        <v>0</v>
      </c>
      <c r="AZ34" s="2">
        <f t="shared" ca="1" si="19"/>
        <v>0</v>
      </c>
      <c r="BA34" s="2">
        <f t="shared" ca="1" si="19"/>
        <v>0</v>
      </c>
      <c r="BB34" s="2">
        <f t="shared" ca="1" si="19"/>
        <v>0</v>
      </c>
      <c r="BC34" s="2">
        <f t="shared" ca="1" si="19"/>
        <v>0</v>
      </c>
      <c r="BD34" s="2">
        <f t="shared" ca="1" si="19"/>
        <v>0</v>
      </c>
      <c r="BE34" s="2">
        <f t="shared" ca="1" si="19"/>
        <v>0</v>
      </c>
      <c r="BF34" s="2">
        <f t="shared" ca="1" si="19"/>
        <v>0</v>
      </c>
      <c r="BG34" s="2">
        <f t="shared" ca="1" si="19"/>
        <v>0</v>
      </c>
      <c r="BH34" s="2">
        <f t="shared" ca="1" si="19"/>
        <v>0</v>
      </c>
      <c r="BI34" s="2">
        <f t="shared" ca="1" si="19"/>
        <v>0</v>
      </c>
      <c r="BJ34" s="2">
        <f t="shared" ca="1" si="19"/>
        <v>0</v>
      </c>
      <c r="BK34" s="2">
        <f t="shared" ca="1" si="19"/>
        <v>0</v>
      </c>
      <c r="BL34" s="2">
        <f t="shared" ca="1" si="19"/>
        <v>0</v>
      </c>
      <c r="BM34" s="2">
        <f t="shared" ca="1" si="19"/>
        <v>0</v>
      </c>
      <c r="BN34" s="2">
        <f t="shared" ca="1" si="19"/>
        <v>0</v>
      </c>
      <c r="BO34" s="2">
        <f t="shared" ca="1" si="19"/>
        <v>0</v>
      </c>
      <c r="BP34" s="2">
        <f t="shared" ca="1" si="19"/>
        <v>0</v>
      </c>
      <c r="BQ34" s="2">
        <f t="shared" ca="1" si="19"/>
        <v>0</v>
      </c>
    </row>
    <row r="35" spans="1:69" ht="14.5">
      <c r="E35" s="2" t="s">
        <v>151</v>
      </c>
      <c r="F35"/>
      <c r="G35" s="2" t="s">
        <v>252</v>
      </c>
      <c r="H35" s="2">
        <f ca="1">SUM(J35:BQ35)</f>
        <v>0</v>
      </c>
      <c r="I35"/>
      <c r="J35" s="2">
        <f t="shared" ref="J35:AO35" si="20">J33-J34</f>
        <v>0</v>
      </c>
      <c r="K35" s="2">
        <f t="shared" ca="1" si="20"/>
        <v>0</v>
      </c>
      <c r="L35" s="2">
        <f t="shared" ca="1" si="20"/>
        <v>0</v>
      </c>
      <c r="M35" s="2">
        <f t="shared" ca="1" si="20"/>
        <v>0</v>
      </c>
      <c r="N35" s="2">
        <f t="shared" ca="1" si="20"/>
        <v>0</v>
      </c>
      <c r="O35" s="2">
        <f t="shared" ca="1" si="20"/>
        <v>0</v>
      </c>
      <c r="P35" s="2">
        <f t="shared" ca="1" si="20"/>
        <v>0</v>
      </c>
      <c r="Q35" s="2">
        <f t="shared" ca="1" si="20"/>
        <v>0</v>
      </c>
      <c r="R35" s="2">
        <f t="shared" ca="1" si="20"/>
        <v>0</v>
      </c>
      <c r="S35" s="2">
        <f t="shared" ca="1" si="20"/>
        <v>0</v>
      </c>
      <c r="T35" s="2">
        <f t="shared" ca="1" si="20"/>
        <v>0</v>
      </c>
      <c r="U35" s="2">
        <f t="shared" ca="1" si="20"/>
        <v>0</v>
      </c>
      <c r="V35" s="2">
        <f t="shared" ca="1" si="20"/>
        <v>0</v>
      </c>
      <c r="W35" s="2">
        <f t="shared" ca="1" si="20"/>
        <v>0</v>
      </c>
      <c r="X35" s="2">
        <f t="shared" ca="1" si="20"/>
        <v>0</v>
      </c>
      <c r="Y35" s="2">
        <f t="shared" ca="1" si="20"/>
        <v>0</v>
      </c>
      <c r="Z35" s="2">
        <f t="shared" ca="1" si="20"/>
        <v>0</v>
      </c>
      <c r="AA35" s="2">
        <f t="shared" ca="1" si="20"/>
        <v>0</v>
      </c>
      <c r="AB35" s="2">
        <f t="shared" ca="1" si="20"/>
        <v>0</v>
      </c>
      <c r="AC35" s="2">
        <f t="shared" ca="1" si="20"/>
        <v>0</v>
      </c>
      <c r="AD35" s="2">
        <f t="shared" ca="1" si="20"/>
        <v>0</v>
      </c>
      <c r="AE35" s="2">
        <f t="shared" ca="1" si="20"/>
        <v>0</v>
      </c>
      <c r="AF35" s="2">
        <f t="shared" ca="1" si="20"/>
        <v>0</v>
      </c>
      <c r="AG35" s="2">
        <f t="shared" ca="1" si="20"/>
        <v>0</v>
      </c>
      <c r="AH35" s="2">
        <f t="shared" ca="1" si="20"/>
        <v>0</v>
      </c>
      <c r="AI35" s="2">
        <f t="shared" ca="1" si="20"/>
        <v>0</v>
      </c>
      <c r="AJ35" s="2">
        <f t="shared" ca="1" si="20"/>
        <v>0</v>
      </c>
      <c r="AK35" s="2">
        <f t="shared" ca="1" si="20"/>
        <v>0</v>
      </c>
      <c r="AL35" s="2">
        <f t="shared" ca="1" si="20"/>
        <v>0</v>
      </c>
      <c r="AM35" s="2">
        <f t="shared" ca="1" si="20"/>
        <v>0</v>
      </c>
      <c r="AN35" s="2">
        <f t="shared" ca="1" si="20"/>
        <v>0</v>
      </c>
      <c r="AO35" s="2">
        <f t="shared" ca="1" si="20"/>
        <v>0</v>
      </c>
      <c r="AP35" s="2">
        <f t="shared" ref="AP35:BU35" ca="1" si="21">AP33-AP34</f>
        <v>0</v>
      </c>
      <c r="AQ35" s="2">
        <f t="shared" ca="1" si="21"/>
        <v>0</v>
      </c>
      <c r="AR35" s="2">
        <f t="shared" ca="1" si="21"/>
        <v>0</v>
      </c>
      <c r="AS35" s="2">
        <f t="shared" ca="1" si="21"/>
        <v>0</v>
      </c>
      <c r="AT35" s="2">
        <f t="shared" ca="1" si="21"/>
        <v>0</v>
      </c>
      <c r="AU35" s="2">
        <f t="shared" ca="1" si="21"/>
        <v>0</v>
      </c>
      <c r="AV35" s="2">
        <f t="shared" ca="1" si="21"/>
        <v>0</v>
      </c>
      <c r="AW35" s="2">
        <f t="shared" ca="1" si="21"/>
        <v>0</v>
      </c>
      <c r="AX35" s="2">
        <f t="shared" ca="1" si="21"/>
        <v>0</v>
      </c>
      <c r="AY35" s="2">
        <f t="shared" ca="1" si="21"/>
        <v>0</v>
      </c>
      <c r="AZ35" s="2">
        <f t="shared" ca="1" si="21"/>
        <v>0</v>
      </c>
      <c r="BA35" s="2">
        <f t="shared" ca="1" si="21"/>
        <v>0</v>
      </c>
      <c r="BB35" s="2">
        <f t="shared" ca="1" si="21"/>
        <v>0</v>
      </c>
      <c r="BC35" s="2">
        <f t="shared" ca="1" si="21"/>
        <v>0</v>
      </c>
      <c r="BD35" s="2">
        <f t="shared" ca="1" si="21"/>
        <v>0</v>
      </c>
      <c r="BE35" s="2">
        <f t="shared" ca="1" si="21"/>
        <v>0</v>
      </c>
      <c r="BF35" s="2">
        <f t="shared" ca="1" si="21"/>
        <v>0</v>
      </c>
      <c r="BG35" s="2">
        <f t="shared" ca="1" si="21"/>
        <v>0</v>
      </c>
      <c r="BH35" s="2">
        <f t="shared" ca="1" si="21"/>
        <v>0</v>
      </c>
      <c r="BI35" s="2">
        <f t="shared" ca="1" si="21"/>
        <v>0</v>
      </c>
      <c r="BJ35" s="2">
        <f t="shared" ca="1" si="21"/>
        <v>0</v>
      </c>
      <c r="BK35" s="2">
        <f t="shared" ca="1" si="21"/>
        <v>0</v>
      </c>
      <c r="BL35" s="2">
        <f t="shared" ca="1" si="21"/>
        <v>0</v>
      </c>
      <c r="BM35" s="2">
        <f t="shared" ca="1" si="21"/>
        <v>0</v>
      </c>
      <c r="BN35" s="2">
        <f t="shared" ca="1" si="21"/>
        <v>0</v>
      </c>
      <c r="BO35" s="2">
        <f t="shared" ca="1" si="21"/>
        <v>0</v>
      </c>
      <c r="BP35" s="2">
        <f t="shared" ca="1" si="21"/>
        <v>0</v>
      </c>
      <c r="BQ35" s="2">
        <f t="shared" ca="1" si="21"/>
        <v>0</v>
      </c>
    </row>
    <row r="38" spans="1:69">
      <c r="B38" s="22" t="s">
        <v>112</v>
      </c>
    </row>
    <row r="39" spans="1:69">
      <c r="E39" s="45" t="str">
        <f>E$55</f>
        <v>Supply Chain Finance period interest rate</v>
      </c>
      <c r="F39" s="45">
        <f>F$55</f>
        <v>6.6666666666666671E-3</v>
      </c>
      <c r="G39" s="45" t="str">
        <f>G$55</f>
        <v>%</v>
      </c>
      <c r="M39" s="45"/>
    </row>
    <row r="40" spans="1:69">
      <c r="E40" s="2" t="str">
        <f t="shared" ref="E40:AJ40" si="22">E$11</f>
        <v>Supply Chain Finance balance BEG</v>
      </c>
      <c r="F40" s="2">
        <f t="shared" si="22"/>
        <v>0</v>
      </c>
      <c r="G40" s="2" t="str">
        <f t="shared" si="22"/>
        <v>GBP</v>
      </c>
      <c r="H40" s="2">
        <f t="shared" si="22"/>
        <v>0</v>
      </c>
      <c r="I40" s="2">
        <f t="shared" si="22"/>
        <v>0</v>
      </c>
      <c r="J40" s="2">
        <f t="shared" si="22"/>
        <v>0</v>
      </c>
      <c r="K40" s="2">
        <f t="shared" ca="1" si="22"/>
        <v>0</v>
      </c>
      <c r="L40" s="2">
        <f t="shared" ca="1" si="22"/>
        <v>0</v>
      </c>
      <c r="M40" s="2">
        <f t="shared" ca="1" si="22"/>
        <v>0</v>
      </c>
      <c r="N40" s="2">
        <f t="shared" ca="1" si="22"/>
        <v>0</v>
      </c>
      <c r="O40" s="2">
        <f t="shared" ca="1" si="22"/>
        <v>0</v>
      </c>
      <c r="P40" s="2">
        <f t="shared" ca="1" si="22"/>
        <v>0</v>
      </c>
      <c r="Q40" s="2">
        <f t="shared" ca="1" si="22"/>
        <v>0</v>
      </c>
      <c r="R40" s="2">
        <f t="shared" ca="1" si="22"/>
        <v>0</v>
      </c>
      <c r="S40" s="2">
        <f t="shared" ca="1" si="22"/>
        <v>0</v>
      </c>
      <c r="T40" s="2">
        <f t="shared" ca="1" si="22"/>
        <v>0</v>
      </c>
      <c r="U40" s="2">
        <f t="shared" ca="1" si="22"/>
        <v>0</v>
      </c>
      <c r="V40" s="2">
        <f t="shared" ca="1" si="22"/>
        <v>0</v>
      </c>
      <c r="W40" s="2">
        <f t="shared" ca="1" si="22"/>
        <v>0</v>
      </c>
      <c r="X40" s="2">
        <f t="shared" ca="1" si="22"/>
        <v>0</v>
      </c>
      <c r="Y40" s="2">
        <f t="shared" ca="1" si="22"/>
        <v>0</v>
      </c>
      <c r="Z40" s="2">
        <f t="shared" ca="1" si="22"/>
        <v>0</v>
      </c>
      <c r="AA40" s="2">
        <f t="shared" ca="1" si="22"/>
        <v>0</v>
      </c>
      <c r="AB40" s="2">
        <f t="shared" ca="1" si="22"/>
        <v>0</v>
      </c>
      <c r="AC40" s="2">
        <f t="shared" ca="1" si="22"/>
        <v>0</v>
      </c>
      <c r="AD40" s="2">
        <f t="shared" ca="1" si="22"/>
        <v>0</v>
      </c>
      <c r="AE40" s="2">
        <f t="shared" ca="1" si="22"/>
        <v>0</v>
      </c>
      <c r="AF40" s="2">
        <f t="shared" ca="1" si="22"/>
        <v>0</v>
      </c>
      <c r="AG40" s="2">
        <f t="shared" ca="1" si="22"/>
        <v>0</v>
      </c>
      <c r="AH40" s="2">
        <f t="shared" ca="1" si="22"/>
        <v>0</v>
      </c>
      <c r="AI40" s="2">
        <f t="shared" ca="1" si="22"/>
        <v>0</v>
      </c>
      <c r="AJ40" s="2">
        <f t="shared" ca="1" si="22"/>
        <v>0</v>
      </c>
      <c r="AK40" s="2">
        <f t="shared" ref="AK40:BQ40" ca="1" si="23">AK$11</f>
        <v>0</v>
      </c>
      <c r="AL40" s="2">
        <f t="shared" ca="1" si="23"/>
        <v>0</v>
      </c>
      <c r="AM40" s="2">
        <f t="shared" ca="1" si="23"/>
        <v>0</v>
      </c>
      <c r="AN40" s="2">
        <f t="shared" ca="1" si="23"/>
        <v>0</v>
      </c>
      <c r="AO40" s="2">
        <f t="shared" ca="1" si="23"/>
        <v>0</v>
      </c>
      <c r="AP40" s="2">
        <f t="shared" ca="1" si="23"/>
        <v>0</v>
      </c>
      <c r="AQ40" s="2">
        <f t="shared" ca="1" si="23"/>
        <v>0</v>
      </c>
      <c r="AR40" s="2">
        <f t="shared" ca="1" si="23"/>
        <v>0</v>
      </c>
      <c r="AS40" s="2">
        <f t="shared" ca="1" si="23"/>
        <v>0</v>
      </c>
      <c r="AT40" s="2">
        <f t="shared" ca="1" si="23"/>
        <v>0</v>
      </c>
      <c r="AU40" s="2">
        <f t="shared" ca="1" si="23"/>
        <v>0</v>
      </c>
      <c r="AV40" s="2">
        <f t="shared" ca="1" si="23"/>
        <v>0</v>
      </c>
      <c r="AW40" s="2">
        <f t="shared" ca="1" si="23"/>
        <v>0</v>
      </c>
      <c r="AX40" s="2">
        <f t="shared" ca="1" si="23"/>
        <v>0</v>
      </c>
      <c r="AY40" s="2">
        <f t="shared" ca="1" si="23"/>
        <v>0</v>
      </c>
      <c r="AZ40" s="2">
        <f t="shared" ca="1" si="23"/>
        <v>0</v>
      </c>
      <c r="BA40" s="2">
        <f t="shared" ca="1" si="23"/>
        <v>0</v>
      </c>
      <c r="BB40" s="2">
        <f t="shared" ca="1" si="23"/>
        <v>0</v>
      </c>
      <c r="BC40" s="2">
        <f t="shared" ca="1" si="23"/>
        <v>0</v>
      </c>
      <c r="BD40" s="2">
        <f t="shared" ca="1" si="23"/>
        <v>0</v>
      </c>
      <c r="BE40" s="2">
        <f t="shared" ca="1" si="23"/>
        <v>0</v>
      </c>
      <c r="BF40" s="2">
        <f t="shared" ca="1" si="23"/>
        <v>0</v>
      </c>
      <c r="BG40" s="2">
        <f t="shared" ca="1" si="23"/>
        <v>0</v>
      </c>
      <c r="BH40" s="2">
        <f t="shared" ca="1" si="23"/>
        <v>0</v>
      </c>
      <c r="BI40" s="2">
        <f t="shared" ca="1" si="23"/>
        <v>0</v>
      </c>
      <c r="BJ40" s="2">
        <f t="shared" ca="1" si="23"/>
        <v>0</v>
      </c>
      <c r="BK40" s="2">
        <f t="shared" ca="1" si="23"/>
        <v>0</v>
      </c>
      <c r="BL40" s="2">
        <f t="shared" ca="1" si="23"/>
        <v>0</v>
      </c>
      <c r="BM40" s="2">
        <f t="shared" ca="1" si="23"/>
        <v>0</v>
      </c>
      <c r="BN40" s="2">
        <f t="shared" ca="1" si="23"/>
        <v>0</v>
      </c>
      <c r="BO40" s="2">
        <f t="shared" ca="1" si="23"/>
        <v>0</v>
      </c>
      <c r="BP40" s="2">
        <f t="shared" ca="1" si="23"/>
        <v>0</v>
      </c>
      <c r="BQ40" s="2">
        <f t="shared" ca="1" si="23"/>
        <v>0</v>
      </c>
    </row>
    <row r="41" spans="1:69" ht="14.5">
      <c r="E41" s="2" t="s">
        <v>280</v>
      </c>
      <c r="F41"/>
      <c r="G41" s="2" t="s">
        <v>252</v>
      </c>
      <c r="H41" s="2">
        <f ca="1">SUM(J41:BQ41)</f>
        <v>0</v>
      </c>
      <c r="I41"/>
      <c r="J41" s="2">
        <f t="shared" ref="J41:AO41" si="24">$F39*J40</f>
        <v>0</v>
      </c>
      <c r="K41" s="2">
        <f t="shared" ca="1" si="24"/>
        <v>0</v>
      </c>
      <c r="L41" s="2">
        <f t="shared" ca="1" si="24"/>
        <v>0</v>
      </c>
      <c r="M41" s="2">
        <f t="shared" ca="1" si="24"/>
        <v>0</v>
      </c>
      <c r="N41" s="2">
        <f t="shared" ca="1" si="24"/>
        <v>0</v>
      </c>
      <c r="O41" s="2">
        <f t="shared" ca="1" si="24"/>
        <v>0</v>
      </c>
      <c r="P41" s="2">
        <f t="shared" ca="1" si="24"/>
        <v>0</v>
      </c>
      <c r="Q41" s="2">
        <f t="shared" ca="1" si="24"/>
        <v>0</v>
      </c>
      <c r="R41" s="2">
        <f t="shared" ca="1" si="24"/>
        <v>0</v>
      </c>
      <c r="S41" s="2">
        <f t="shared" ca="1" si="24"/>
        <v>0</v>
      </c>
      <c r="T41" s="2">
        <f t="shared" ca="1" si="24"/>
        <v>0</v>
      </c>
      <c r="U41" s="2">
        <f t="shared" ca="1" si="24"/>
        <v>0</v>
      </c>
      <c r="V41" s="2">
        <f t="shared" ca="1" si="24"/>
        <v>0</v>
      </c>
      <c r="W41" s="2">
        <f t="shared" ca="1" si="24"/>
        <v>0</v>
      </c>
      <c r="X41" s="2">
        <f t="shared" ca="1" si="24"/>
        <v>0</v>
      </c>
      <c r="Y41" s="2">
        <f t="shared" ca="1" si="24"/>
        <v>0</v>
      </c>
      <c r="Z41" s="2">
        <f t="shared" ca="1" si="24"/>
        <v>0</v>
      </c>
      <c r="AA41" s="2">
        <f t="shared" ca="1" si="24"/>
        <v>0</v>
      </c>
      <c r="AB41" s="2">
        <f t="shared" ca="1" si="24"/>
        <v>0</v>
      </c>
      <c r="AC41" s="2">
        <f t="shared" ca="1" si="24"/>
        <v>0</v>
      </c>
      <c r="AD41" s="2">
        <f t="shared" ca="1" si="24"/>
        <v>0</v>
      </c>
      <c r="AE41" s="2">
        <f t="shared" ca="1" si="24"/>
        <v>0</v>
      </c>
      <c r="AF41" s="2">
        <f t="shared" ca="1" si="24"/>
        <v>0</v>
      </c>
      <c r="AG41" s="2">
        <f t="shared" ca="1" si="24"/>
        <v>0</v>
      </c>
      <c r="AH41" s="2">
        <f t="shared" ca="1" si="24"/>
        <v>0</v>
      </c>
      <c r="AI41" s="2">
        <f t="shared" ca="1" si="24"/>
        <v>0</v>
      </c>
      <c r="AJ41" s="2">
        <f t="shared" ca="1" si="24"/>
        <v>0</v>
      </c>
      <c r="AK41" s="2">
        <f t="shared" ca="1" si="24"/>
        <v>0</v>
      </c>
      <c r="AL41" s="2">
        <f t="shared" ca="1" si="24"/>
        <v>0</v>
      </c>
      <c r="AM41" s="2">
        <f t="shared" ca="1" si="24"/>
        <v>0</v>
      </c>
      <c r="AN41" s="2">
        <f t="shared" ca="1" si="24"/>
        <v>0</v>
      </c>
      <c r="AO41" s="2">
        <f t="shared" ca="1" si="24"/>
        <v>0</v>
      </c>
      <c r="AP41" s="2">
        <f t="shared" ref="AP41:BU41" ca="1" si="25">$F39*AP40</f>
        <v>0</v>
      </c>
      <c r="AQ41" s="2">
        <f t="shared" ca="1" si="25"/>
        <v>0</v>
      </c>
      <c r="AR41" s="2">
        <f t="shared" ca="1" si="25"/>
        <v>0</v>
      </c>
      <c r="AS41" s="2">
        <f t="shared" ca="1" si="25"/>
        <v>0</v>
      </c>
      <c r="AT41" s="2">
        <f t="shared" ca="1" si="25"/>
        <v>0</v>
      </c>
      <c r="AU41" s="2">
        <f t="shared" ca="1" si="25"/>
        <v>0</v>
      </c>
      <c r="AV41" s="2">
        <f t="shared" ca="1" si="25"/>
        <v>0</v>
      </c>
      <c r="AW41" s="2">
        <f t="shared" ca="1" si="25"/>
        <v>0</v>
      </c>
      <c r="AX41" s="2">
        <f t="shared" ca="1" si="25"/>
        <v>0</v>
      </c>
      <c r="AY41" s="2">
        <f t="shared" ca="1" si="25"/>
        <v>0</v>
      </c>
      <c r="AZ41" s="2">
        <f t="shared" ca="1" si="25"/>
        <v>0</v>
      </c>
      <c r="BA41" s="2">
        <f t="shared" ca="1" si="25"/>
        <v>0</v>
      </c>
      <c r="BB41" s="2">
        <f t="shared" ca="1" si="25"/>
        <v>0</v>
      </c>
      <c r="BC41" s="2">
        <f t="shared" ca="1" si="25"/>
        <v>0</v>
      </c>
      <c r="BD41" s="2">
        <f t="shared" ca="1" si="25"/>
        <v>0</v>
      </c>
      <c r="BE41" s="2">
        <f t="shared" ca="1" si="25"/>
        <v>0</v>
      </c>
      <c r="BF41" s="2">
        <f t="shared" ca="1" si="25"/>
        <v>0</v>
      </c>
      <c r="BG41" s="2">
        <f t="shared" ca="1" si="25"/>
        <v>0</v>
      </c>
      <c r="BH41" s="2">
        <f t="shared" ca="1" si="25"/>
        <v>0</v>
      </c>
      <c r="BI41" s="2">
        <f t="shared" ca="1" si="25"/>
        <v>0</v>
      </c>
      <c r="BJ41" s="2">
        <f t="shared" ca="1" si="25"/>
        <v>0</v>
      </c>
      <c r="BK41" s="2">
        <f t="shared" ca="1" si="25"/>
        <v>0</v>
      </c>
      <c r="BL41" s="2">
        <f t="shared" ca="1" si="25"/>
        <v>0</v>
      </c>
      <c r="BM41" s="2">
        <f t="shared" ca="1" si="25"/>
        <v>0</v>
      </c>
      <c r="BN41" s="2">
        <f t="shared" ca="1" si="25"/>
        <v>0</v>
      </c>
      <c r="BO41" s="2">
        <f t="shared" ca="1" si="25"/>
        <v>0</v>
      </c>
      <c r="BP41" s="2">
        <f t="shared" ca="1" si="25"/>
        <v>0</v>
      </c>
      <c r="BQ41" s="2">
        <f t="shared" ca="1" si="25"/>
        <v>0</v>
      </c>
    </row>
    <row r="42" spans="1:69">
      <c r="A42" s="31"/>
      <c r="B42" s="31"/>
      <c r="C42" s="51"/>
      <c r="D42" s="50"/>
      <c r="E42" s="3" t="str">
        <f>LEFT($E$41,LEN($E$41)-3)</f>
        <v xml:space="preserve">Supply Chain Finance interest </v>
      </c>
      <c r="F42" s="3"/>
      <c r="G42" s="3" t="str">
        <f>G$41</f>
        <v>GBP</v>
      </c>
      <c r="H42" s="3">
        <f ca="1">SUM(J42:BQ42)</f>
        <v>0</v>
      </c>
      <c r="I42" s="3"/>
      <c r="J42" s="3">
        <f t="shared" ref="J42:AO42" si="26">-1*J41</f>
        <v>0</v>
      </c>
      <c r="K42" s="3">
        <f t="shared" ca="1" si="26"/>
        <v>0</v>
      </c>
      <c r="L42" s="3">
        <f t="shared" ca="1" si="26"/>
        <v>0</v>
      </c>
      <c r="M42" s="3">
        <f t="shared" ca="1" si="26"/>
        <v>0</v>
      </c>
      <c r="N42" s="3">
        <f t="shared" ca="1" si="26"/>
        <v>0</v>
      </c>
      <c r="O42" s="3">
        <f t="shared" ca="1" si="26"/>
        <v>0</v>
      </c>
      <c r="P42" s="3">
        <f t="shared" ca="1" si="26"/>
        <v>0</v>
      </c>
      <c r="Q42" s="3">
        <f t="shared" ca="1" si="26"/>
        <v>0</v>
      </c>
      <c r="R42" s="3">
        <f t="shared" ca="1" si="26"/>
        <v>0</v>
      </c>
      <c r="S42" s="3">
        <f t="shared" ca="1" si="26"/>
        <v>0</v>
      </c>
      <c r="T42" s="3">
        <f t="shared" ca="1" si="26"/>
        <v>0</v>
      </c>
      <c r="U42" s="3">
        <f t="shared" ca="1" si="26"/>
        <v>0</v>
      </c>
      <c r="V42" s="3">
        <f t="shared" ca="1" si="26"/>
        <v>0</v>
      </c>
      <c r="W42" s="3">
        <f t="shared" ca="1" si="26"/>
        <v>0</v>
      </c>
      <c r="X42" s="3">
        <f t="shared" ca="1" si="26"/>
        <v>0</v>
      </c>
      <c r="Y42" s="3">
        <f t="shared" ca="1" si="26"/>
        <v>0</v>
      </c>
      <c r="Z42" s="3">
        <f t="shared" ca="1" si="26"/>
        <v>0</v>
      </c>
      <c r="AA42" s="3">
        <f t="shared" ca="1" si="26"/>
        <v>0</v>
      </c>
      <c r="AB42" s="3">
        <f t="shared" ca="1" si="26"/>
        <v>0</v>
      </c>
      <c r="AC42" s="3">
        <f t="shared" ca="1" si="26"/>
        <v>0</v>
      </c>
      <c r="AD42" s="3">
        <f t="shared" ca="1" si="26"/>
        <v>0</v>
      </c>
      <c r="AE42" s="3">
        <f t="shared" ca="1" si="26"/>
        <v>0</v>
      </c>
      <c r="AF42" s="3">
        <f t="shared" ca="1" si="26"/>
        <v>0</v>
      </c>
      <c r="AG42" s="3">
        <f t="shared" ca="1" si="26"/>
        <v>0</v>
      </c>
      <c r="AH42" s="3">
        <f t="shared" ca="1" si="26"/>
        <v>0</v>
      </c>
      <c r="AI42" s="3">
        <f t="shared" ca="1" si="26"/>
        <v>0</v>
      </c>
      <c r="AJ42" s="3">
        <f t="shared" ca="1" si="26"/>
        <v>0</v>
      </c>
      <c r="AK42" s="3">
        <f t="shared" ca="1" si="26"/>
        <v>0</v>
      </c>
      <c r="AL42" s="3">
        <f t="shared" ca="1" si="26"/>
        <v>0</v>
      </c>
      <c r="AM42" s="3">
        <f t="shared" ca="1" si="26"/>
        <v>0</v>
      </c>
      <c r="AN42" s="3">
        <f t="shared" ca="1" si="26"/>
        <v>0</v>
      </c>
      <c r="AO42" s="3">
        <f t="shared" ca="1" si="26"/>
        <v>0</v>
      </c>
      <c r="AP42" s="3">
        <f t="shared" ref="AP42:BU42" ca="1" si="27">-1*AP41</f>
        <v>0</v>
      </c>
      <c r="AQ42" s="3">
        <f t="shared" ca="1" si="27"/>
        <v>0</v>
      </c>
      <c r="AR42" s="3">
        <f t="shared" ca="1" si="27"/>
        <v>0</v>
      </c>
      <c r="AS42" s="3">
        <f t="shared" ca="1" si="27"/>
        <v>0</v>
      </c>
      <c r="AT42" s="3">
        <f t="shared" ca="1" si="27"/>
        <v>0</v>
      </c>
      <c r="AU42" s="3">
        <f t="shared" ca="1" si="27"/>
        <v>0</v>
      </c>
      <c r="AV42" s="3">
        <f t="shared" ca="1" si="27"/>
        <v>0</v>
      </c>
      <c r="AW42" s="3">
        <f t="shared" ca="1" si="27"/>
        <v>0</v>
      </c>
      <c r="AX42" s="3">
        <f t="shared" ca="1" si="27"/>
        <v>0</v>
      </c>
      <c r="AY42" s="3">
        <f t="shared" ca="1" si="27"/>
        <v>0</v>
      </c>
      <c r="AZ42" s="3">
        <f t="shared" ca="1" si="27"/>
        <v>0</v>
      </c>
      <c r="BA42" s="3">
        <f t="shared" ca="1" si="27"/>
        <v>0</v>
      </c>
      <c r="BB42" s="3">
        <f t="shared" ca="1" si="27"/>
        <v>0</v>
      </c>
      <c r="BC42" s="3">
        <f t="shared" ca="1" si="27"/>
        <v>0</v>
      </c>
      <c r="BD42" s="3">
        <f t="shared" ca="1" si="27"/>
        <v>0</v>
      </c>
      <c r="BE42" s="3">
        <f t="shared" ca="1" si="27"/>
        <v>0</v>
      </c>
      <c r="BF42" s="3">
        <f t="shared" ca="1" si="27"/>
        <v>0</v>
      </c>
      <c r="BG42" s="3">
        <f t="shared" ca="1" si="27"/>
        <v>0</v>
      </c>
      <c r="BH42" s="3">
        <f t="shared" ca="1" si="27"/>
        <v>0</v>
      </c>
      <c r="BI42" s="3">
        <f t="shared" ca="1" si="27"/>
        <v>0</v>
      </c>
      <c r="BJ42" s="3">
        <f t="shared" ca="1" si="27"/>
        <v>0</v>
      </c>
      <c r="BK42" s="3">
        <f t="shared" ca="1" si="27"/>
        <v>0</v>
      </c>
      <c r="BL42" s="3">
        <f t="shared" ca="1" si="27"/>
        <v>0</v>
      </c>
      <c r="BM42" s="3">
        <f t="shared" ca="1" si="27"/>
        <v>0</v>
      </c>
      <c r="BN42" s="3">
        <f t="shared" ca="1" si="27"/>
        <v>0</v>
      </c>
      <c r="BO42" s="3">
        <f t="shared" ca="1" si="27"/>
        <v>0</v>
      </c>
      <c r="BP42" s="3">
        <f t="shared" ca="1" si="27"/>
        <v>0</v>
      </c>
      <c r="BQ42" s="3">
        <f t="shared" ca="1" si="27"/>
        <v>0</v>
      </c>
    </row>
    <row r="45" spans="1:69">
      <c r="B45" s="22" t="s">
        <v>197</v>
      </c>
    </row>
    <row r="46" spans="1:69">
      <c r="E46" s="2" t="str">
        <f t="shared" ref="E46:AJ46" si="28">E$41</f>
        <v>Supply Chain Finance interest POS</v>
      </c>
      <c r="F46" s="2">
        <f t="shared" si="28"/>
        <v>0</v>
      </c>
      <c r="G46" s="2" t="str">
        <f t="shared" si="28"/>
        <v>GBP</v>
      </c>
      <c r="H46" s="2">
        <f t="shared" ca="1" si="28"/>
        <v>0</v>
      </c>
      <c r="I46" s="2">
        <f t="shared" si="28"/>
        <v>0</v>
      </c>
      <c r="J46" s="2">
        <f t="shared" si="28"/>
        <v>0</v>
      </c>
      <c r="K46" s="2">
        <f t="shared" ca="1" si="28"/>
        <v>0</v>
      </c>
      <c r="L46" s="2">
        <f t="shared" ca="1" si="28"/>
        <v>0</v>
      </c>
      <c r="M46" s="2">
        <f t="shared" ca="1" si="28"/>
        <v>0</v>
      </c>
      <c r="N46" s="2">
        <f t="shared" ca="1" si="28"/>
        <v>0</v>
      </c>
      <c r="O46" s="2">
        <f t="shared" ca="1" si="28"/>
        <v>0</v>
      </c>
      <c r="P46" s="2">
        <f t="shared" ca="1" si="28"/>
        <v>0</v>
      </c>
      <c r="Q46" s="2">
        <f t="shared" ca="1" si="28"/>
        <v>0</v>
      </c>
      <c r="R46" s="2">
        <f t="shared" ca="1" si="28"/>
        <v>0</v>
      </c>
      <c r="S46" s="2">
        <f t="shared" ca="1" si="28"/>
        <v>0</v>
      </c>
      <c r="T46" s="2">
        <f t="shared" ca="1" si="28"/>
        <v>0</v>
      </c>
      <c r="U46" s="2">
        <f t="shared" ca="1" si="28"/>
        <v>0</v>
      </c>
      <c r="V46" s="2">
        <f t="shared" ca="1" si="28"/>
        <v>0</v>
      </c>
      <c r="W46" s="2">
        <f t="shared" ca="1" si="28"/>
        <v>0</v>
      </c>
      <c r="X46" s="2">
        <f t="shared" ca="1" si="28"/>
        <v>0</v>
      </c>
      <c r="Y46" s="2">
        <f t="shared" ca="1" si="28"/>
        <v>0</v>
      </c>
      <c r="Z46" s="2">
        <f t="shared" ca="1" si="28"/>
        <v>0</v>
      </c>
      <c r="AA46" s="2">
        <f t="shared" ca="1" si="28"/>
        <v>0</v>
      </c>
      <c r="AB46" s="2">
        <f t="shared" ca="1" si="28"/>
        <v>0</v>
      </c>
      <c r="AC46" s="2">
        <f t="shared" ca="1" si="28"/>
        <v>0</v>
      </c>
      <c r="AD46" s="2">
        <f t="shared" ca="1" si="28"/>
        <v>0</v>
      </c>
      <c r="AE46" s="2">
        <f t="shared" ca="1" si="28"/>
        <v>0</v>
      </c>
      <c r="AF46" s="2">
        <f t="shared" ca="1" si="28"/>
        <v>0</v>
      </c>
      <c r="AG46" s="2">
        <f t="shared" ca="1" si="28"/>
        <v>0</v>
      </c>
      <c r="AH46" s="2">
        <f t="shared" ca="1" si="28"/>
        <v>0</v>
      </c>
      <c r="AI46" s="2">
        <f t="shared" ca="1" si="28"/>
        <v>0</v>
      </c>
      <c r="AJ46" s="2">
        <f t="shared" ca="1" si="28"/>
        <v>0</v>
      </c>
      <c r="AK46" s="2">
        <f t="shared" ref="AK46:BQ46" ca="1" si="29">AK$41</f>
        <v>0</v>
      </c>
      <c r="AL46" s="2">
        <f t="shared" ca="1" si="29"/>
        <v>0</v>
      </c>
      <c r="AM46" s="2">
        <f t="shared" ca="1" si="29"/>
        <v>0</v>
      </c>
      <c r="AN46" s="2">
        <f t="shared" ca="1" si="29"/>
        <v>0</v>
      </c>
      <c r="AO46" s="2">
        <f t="shared" ca="1" si="29"/>
        <v>0</v>
      </c>
      <c r="AP46" s="2">
        <f t="shared" ca="1" si="29"/>
        <v>0</v>
      </c>
      <c r="AQ46" s="2">
        <f t="shared" ca="1" si="29"/>
        <v>0</v>
      </c>
      <c r="AR46" s="2">
        <f t="shared" ca="1" si="29"/>
        <v>0</v>
      </c>
      <c r="AS46" s="2">
        <f t="shared" ca="1" si="29"/>
        <v>0</v>
      </c>
      <c r="AT46" s="2">
        <f t="shared" ca="1" si="29"/>
        <v>0</v>
      </c>
      <c r="AU46" s="2">
        <f t="shared" ca="1" si="29"/>
        <v>0</v>
      </c>
      <c r="AV46" s="2">
        <f t="shared" ca="1" si="29"/>
        <v>0</v>
      </c>
      <c r="AW46" s="2">
        <f t="shared" ca="1" si="29"/>
        <v>0</v>
      </c>
      <c r="AX46" s="2">
        <f t="shared" ca="1" si="29"/>
        <v>0</v>
      </c>
      <c r="AY46" s="2">
        <f t="shared" ca="1" si="29"/>
        <v>0</v>
      </c>
      <c r="AZ46" s="2">
        <f t="shared" ca="1" si="29"/>
        <v>0</v>
      </c>
      <c r="BA46" s="2">
        <f t="shared" ca="1" si="29"/>
        <v>0</v>
      </c>
      <c r="BB46" s="2">
        <f t="shared" ca="1" si="29"/>
        <v>0</v>
      </c>
      <c r="BC46" s="2">
        <f t="shared" ca="1" si="29"/>
        <v>0</v>
      </c>
      <c r="BD46" s="2">
        <f t="shared" ca="1" si="29"/>
        <v>0</v>
      </c>
      <c r="BE46" s="2">
        <f t="shared" ca="1" si="29"/>
        <v>0</v>
      </c>
      <c r="BF46" s="2">
        <f t="shared" ca="1" si="29"/>
        <v>0</v>
      </c>
      <c r="BG46" s="2">
        <f t="shared" ca="1" si="29"/>
        <v>0</v>
      </c>
      <c r="BH46" s="2">
        <f t="shared" ca="1" si="29"/>
        <v>0</v>
      </c>
      <c r="BI46" s="2">
        <f t="shared" ca="1" si="29"/>
        <v>0</v>
      </c>
      <c r="BJ46" s="2">
        <f t="shared" ca="1" si="29"/>
        <v>0</v>
      </c>
      <c r="BK46" s="2">
        <f t="shared" ca="1" si="29"/>
        <v>0</v>
      </c>
      <c r="BL46" s="2">
        <f t="shared" ca="1" si="29"/>
        <v>0</v>
      </c>
      <c r="BM46" s="2">
        <f t="shared" ca="1" si="29"/>
        <v>0</v>
      </c>
      <c r="BN46" s="2">
        <f t="shared" ca="1" si="29"/>
        <v>0</v>
      </c>
      <c r="BO46" s="2">
        <f t="shared" ca="1" si="29"/>
        <v>0</v>
      </c>
      <c r="BP46" s="2">
        <f t="shared" ca="1" si="29"/>
        <v>0</v>
      </c>
      <c r="BQ46" s="2">
        <f t="shared" ca="1" si="29"/>
        <v>0</v>
      </c>
    </row>
    <row r="47" spans="1:69" ht="14.5">
      <c r="E47" s="2" t="s">
        <v>281</v>
      </c>
      <c r="F47"/>
      <c r="G47" s="2" t="s">
        <v>252</v>
      </c>
      <c r="H47" s="2">
        <f ca="1">SUM(J47:BQ47)</f>
        <v>0</v>
      </c>
      <c r="I47"/>
      <c r="J47" s="2">
        <f t="shared" ref="J47:AO47" si="30">J46</f>
        <v>0</v>
      </c>
      <c r="K47" s="2">
        <f t="shared" ca="1" si="30"/>
        <v>0</v>
      </c>
      <c r="L47" s="2">
        <f t="shared" ca="1" si="30"/>
        <v>0</v>
      </c>
      <c r="M47" s="2">
        <f t="shared" ca="1" si="30"/>
        <v>0</v>
      </c>
      <c r="N47" s="2">
        <f t="shared" ca="1" si="30"/>
        <v>0</v>
      </c>
      <c r="O47" s="2">
        <f t="shared" ca="1" si="30"/>
        <v>0</v>
      </c>
      <c r="P47" s="2">
        <f t="shared" ca="1" si="30"/>
        <v>0</v>
      </c>
      <c r="Q47" s="2">
        <f t="shared" ca="1" si="30"/>
        <v>0</v>
      </c>
      <c r="R47" s="2">
        <f t="shared" ca="1" si="30"/>
        <v>0</v>
      </c>
      <c r="S47" s="2">
        <f t="shared" ca="1" si="30"/>
        <v>0</v>
      </c>
      <c r="T47" s="2">
        <f t="shared" ca="1" si="30"/>
        <v>0</v>
      </c>
      <c r="U47" s="2">
        <f t="shared" ca="1" si="30"/>
        <v>0</v>
      </c>
      <c r="V47" s="2">
        <f t="shared" ca="1" si="30"/>
        <v>0</v>
      </c>
      <c r="W47" s="2">
        <f t="shared" ca="1" si="30"/>
        <v>0</v>
      </c>
      <c r="X47" s="2">
        <f t="shared" ca="1" si="30"/>
        <v>0</v>
      </c>
      <c r="Y47" s="2">
        <f t="shared" ca="1" si="30"/>
        <v>0</v>
      </c>
      <c r="Z47" s="2">
        <f t="shared" ca="1" si="30"/>
        <v>0</v>
      </c>
      <c r="AA47" s="2">
        <f t="shared" ca="1" si="30"/>
        <v>0</v>
      </c>
      <c r="AB47" s="2">
        <f t="shared" ca="1" si="30"/>
        <v>0</v>
      </c>
      <c r="AC47" s="2">
        <f t="shared" ca="1" si="30"/>
        <v>0</v>
      </c>
      <c r="AD47" s="2">
        <f t="shared" ca="1" si="30"/>
        <v>0</v>
      </c>
      <c r="AE47" s="2">
        <f t="shared" ca="1" si="30"/>
        <v>0</v>
      </c>
      <c r="AF47" s="2">
        <f t="shared" ca="1" si="30"/>
        <v>0</v>
      </c>
      <c r="AG47" s="2">
        <f t="shared" ca="1" si="30"/>
        <v>0</v>
      </c>
      <c r="AH47" s="2">
        <f t="shared" ca="1" si="30"/>
        <v>0</v>
      </c>
      <c r="AI47" s="2">
        <f t="shared" ca="1" si="30"/>
        <v>0</v>
      </c>
      <c r="AJ47" s="2">
        <f t="shared" ca="1" si="30"/>
        <v>0</v>
      </c>
      <c r="AK47" s="2">
        <f t="shared" ca="1" si="30"/>
        <v>0</v>
      </c>
      <c r="AL47" s="2">
        <f t="shared" ca="1" si="30"/>
        <v>0</v>
      </c>
      <c r="AM47" s="2">
        <f t="shared" ca="1" si="30"/>
        <v>0</v>
      </c>
      <c r="AN47" s="2">
        <f t="shared" ca="1" si="30"/>
        <v>0</v>
      </c>
      <c r="AO47" s="2">
        <f t="shared" ca="1" si="30"/>
        <v>0</v>
      </c>
      <c r="AP47" s="2">
        <f t="shared" ref="AP47:BU47" ca="1" si="31">AP46</f>
        <v>0</v>
      </c>
      <c r="AQ47" s="2">
        <f t="shared" ca="1" si="31"/>
        <v>0</v>
      </c>
      <c r="AR47" s="2">
        <f t="shared" ca="1" si="31"/>
        <v>0</v>
      </c>
      <c r="AS47" s="2">
        <f t="shared" ca="1" si="31"/>
        <v>0</v>
      </c>
      <c r="AT47" s="2">
        <f t="shared" ca="1" si="31"/>
        <v>0</v>
      </c>
      <c r="AU47" s="2">
        <f t="shared" ca="1" si="31"/>
        <v>0</v>
      </c>
      <c r="AV47" s="2">
        <f t="shared" ca="1" si="31"/>
        <v>0</v>
      </c>
      <c r="AW47" s="2">
        <f t="shared" ca="1" si="31"/>
        <v>0</v>
      </c>
      <c r="AX47" s="2">
        <f t="shared" ca="1" si="31"/>
        <v>0</v>
      </c>
      <c r="AY47" s="2">
        <f t="shared" ca="1" si="31"/>
        <v>0</v>
      </c>
      <c r="AZ47" s="2">
        <f t="shared" ca="1" si="31"/>
        <v>0</v>
      </c>
      <c r="BA47" s="2">
        <f t="shared" ca="1" si="31"/>
        <v>0</v>
      </c>
      <c r="BB47" s="2">
        <f t="shared" ca="1" si="31"/>
        <v>0</v>
      </c>
      <c r="BC47" s="2">
        <f t="shared" ca="1" si="31"/>
        <v>0</v>
      </c>
      <c r="BD47" s="2">
        <f t="shared" ca="1" si="31"/>
        <v>0</v>
      </c>
      <c r="BE47" s="2">
        <f t="shared" ca="1" si="31"/>
        <v>0</v>
      </c>
      <c r="BF47" s="2">
        <f t="shared" ca="1" si="31"/>
        <v>0</v>
      </c>
      <c r="BG47" s="2">
        <f t="shared" ca="1" si="31"/>
        <v>0</v>
      </c>
      <c r="BH47" s="2">
        <f t="shared" ca="1" si="31"/>
        <v>0</v>
      </c>
      <c r="BI47" s="2">
        <f t="shared" ca="1" si="31"/>
        <v>0</v>
      </c>
      <c r="BJ47" s="2">
        <f t="shared" ca="1" si="31"/>
        <v>0</v>
      </c>
      <c r="BK47" s="2">
        <f t="shared" ca="1" si="31"/>
        <v>0</v>
      </c>
      <c r="BL47" s="2">
        <f t="shared" ca="1" si="31"/>
        <v>0</v>
      </c>
      <c r="BM47" s="2">
        <f t="shared" ca="1" si="31"/>
        <v>0</v>
      </c>
      <c r="BN47" s="2">
        <f t="shared" ca="1" si="31"/>
        <v>0</v>
      </c>
      <c r="BO47" s="2">
        <f t="shared" ca="1" si="31"/>
        <v>0</v>
      </c>
      <c r="BP47" s="2">
        <f t="shared" ca="1" si="31"/>
        <v>0</v>
      </c>
      <c r="BQ47" s="2">
        <f t="shared" ca="1" si="31"/>
        <v>0</v>
      </c>
    </row>
    <row r="48" spans="1:69">
      <c r="A48" s="31"/>
      <c r="B48" s="31"/>
      <c r="C48" s="51"/>
      <c r="D48" s="50"/>
      <c r="E48" s="3" t="str">
        <f>LEFT($E$47,LEN($E$47)-3)</f>
        <v xml:space="preserve">Supply Chain Finance interest paid </v>
      </c>
      <c r="F48" s="3"/>
      <c r="G48" s="3" t="str">
        <f>G$47</f>
        <v>GBP</v>
      </c>
      <c r="H48" s="3">
        <f ca="1">SUM(J48:BQ48)</f>
        <v>0</v>
      </c>
      <c r="I48" s="3"/>
      <c r="J48" s="3">
        <f t="shared" ref="J48:AO48" si="32">-1*J47</f>
        <v>0</v>
      </c>
      <c r="K48" s="3">
        <f t="shared" ca="1" si="32"/>
        <v>0</v>
      </c>
      <c r="L48" s="3">
        <f t="shared" ca="1" si="32"/>
        <v>0</v>
      </c>
      <c r="M48" s="3">
        <f t="shared" ca="1" si="32"/>
        <v>0</v>
      </c>
      <c r="N48" s="3">
        <f t="shared" ca="1" si="32"/>
        <v>0</v>
      </c>
      <c r="O48" s="3">
        <f t="shared" ca="1" si="32"/>
        <v>0</v>
      </c>
      <c r="P48" s="3">
        <f t="shared" ca="1" si="32"/>
        <v>0</v>
      </c>
      <c r="Q48" s="3">
        <f t="shared" ca="1" si="32"/>
        <v>0</v>
      </c>
      <c r="R48" s="3">
        <f t="shared" ca="1" si="32"/>
        <v>0</v>
      </c>
      <c r="S48" s="3">
        <f t="shared" ca="1" si="32"/>
        <v>0</v>
      </c>
      <c r="T48" s="3">
        <f t="shared" ca="1" si="32"/>
        <v>0</v>
      </c>
      <c r="U48" s="3">
        <f t="shared" ca="1" si="32"/>
        <v>0</v>
      </c>
      <c r="V48" s="3">
        <f t="shared" ca="1" si="32"/>
        <v>0</v>
      </c>
      <c r="W48" s="3">
        <f t="shared" ca="1" si="32"/>
        <v>0</v>
      </c>
      <c r="X48" s="3">
        <f t="shared" ca="1" si="32"/>
        <v>0</v>
      </c>
      <c r="Y48" s="3">
        <f t="shared" ca="1" si="32"/>
        <v>0</v>
      </c>
      <c r="Z48" s="3">
        <f t="shared" ca="1" si="32"/>
        <v>0</v>
      </c>
      <c r="AA48" s="3">
        <f t="shared" ca="1" si="32"/>
        <v>0</v>
      </c>
      <c r="AB48" s="3">
        <f t="shared" ca="1" si="32"/>
        <v>0</v>
      </c>
      <c r="AC48" s="3">
        <f t="shared" ca="1" si="32"/>
        <v>0</v>
      </c>
      <c r="AD48" s="3">
        <f t="shared" ca="1" si="32"/>
        <v>0</v>
      </c>
      <c r="AE48" s="3">
        <f t="shared" ca="1" si="32"/>
        <v>0</v>
      </c>
      <c r="AF48" s="3">
        <f t="shared" ca="1" si="32"/>
        <v>0</v>
      </c>
      <c r="AG48" s="3">
        <f t="shared" ca="1" si="32"/>
        <v>0</v>
      </c>
      <c r="AH48" s="3">
        <f t="shared" ca="1" si="32"/>
        <v>0</v>
      </c>
      <c r="AI48" s="3">
        <f t="shared" ca="1" si="32"/>
        <v>0</v>
      </c>
      <c r="AJ48" s="3">
        <f t="shared" ca="1" si="32"/>
        <v>0</v>
      </c>
      <c r="AK48" s="3">
        <f t="shared" ca="1" si="32"/>
        <v>0</v>
      </c>
      <c r="AL48" s="3">
        <f t="shared" ca="1" si="32"/>
        <v>0</v>
      </c>
      <c r="AM48" s="3">
        <f t="shared" ca="1" si="32"/>
        <v>0</v>
      </c>
      <c r="AN48" s="3">
        <f t="shared" ca="1" si="32"/>
        <v>0</v>
      </c>
      <c r="AO48" s="3">
        <f t="shared" ca="1" si="32"/>
        <v>0</v>
      </c>
      <c r="AP48" s="3">
        <f t="shared" ref="AP48:BU48" ca="1" si="33">-1*AP47</f>
        <v>0</v>
      </c>
      <c r="AQ48" s="3">
        <f t="shared" ca="1" si="33"/>
        <v>0</v>
      </c>
      <c r="AR48" s="3">
        <f t="shared" ca="1" si="33"/>
        <v>0</v>
      </c>
      <c r="AS48" s="3">
        <f t="shared" ca="1" si="33"/>
        <v>0</v>
      </c>
      <c r="AT48" s="3">
        <f t="shared" ca="1" si="33"/>
        <v>0</v>
      </c>
      <c r="AU48" s="3">
        <f t="shared" ca="1" si="33"/>
        <v>0</v>
      </c>
      <c r="AV48" s="3">
        <f t="shared" ca="1" si="33"/>
        <v>0</v>
      </c>
      <c r="AW48" s="3">
        <f t="shared" ca="1" si="33"/>
        <v>0</v>
      </c>
      <c r="AX48" s="3">
        <f t="shared" ca="1" si="33"/>
        <v>0</v>
      </c>
      <c r="AY48" s="3">
        <f t="shared" ca="1" si="33"/>
        <v>0</v>
      </c>
      <c r="AZ48" s="3">
        <f t="shared" ca="1" si="33"/>
        <v>0</v>
      </c>
      <c r="BA48" s="3">
        <f t="shared" ca="1" si="33"/>
        <v>0</v>
      </c>
      <c r="BB48" s="3">
        <f t="shared" ca="1" si="33"/>
        <v>0</v>
      </c>
      <c r="BC48" s="3">
        <f t="shared" ca="1" si="33"/>
        <v>0</v>
      </c>
      <c r="BD48" s="3">
        <f t="shared" ca="1" si="33"/>
        <v>0</v>
      </c>
      <c r="BE48" s="3">
        <f t="shared" ca="1" si="33"/>
        <v>0</v>
      </c>
      <c r="BF48" s="3">
        <f t="shared" ca="1" si="33"/>
        <v>0</v>
      </c>
      <c r="BG48" s="3">
        <f t="shared" ca="1" si="33"/>
        <v>0</v>
      </c>
      <c r="BH48" s="3">
        <f t="shared" ca="1" si="33"/>
        <v>0</v>
      </c>
      <c r="BI48" s="3">
        <f t="shared" ca="1" si="33"/>
        <v>0</v>
      </c>
      <c r="BJ48" s="3">
        <f t="shared" ca="1" si="33"/>
        <v>0</v>
      </c>
      <c r="BK48" s="3">
        <f t="shared" ca="1" si="33"/>
        <v>0</v>
      </c>
      <c r="BL48" s="3">
        <f t="shared" ca="1" si="33"/>
        <v>0</v>
      </c>
      <c r="BM48" s="3">
        <f t="shared" ca="1" si="33"/>
        <v>0</v>
      </c>
      <c r="BN48" s="3">
        <f t="shared" ca="1" si="33"/>
        <v>0</v>
      </c>
      <c r="BO48" s="3">
        <f t="shared" ca="1" si="33"/>
        <v>0</v>
      </c>
      <c r="BP48" s="3">
        <f t="shared" ca="1" si="33"/>
        <v>0</v>
      </c>
      <c r="BQ48" s="3">
        <f t="shared" ca="1" si="33"/>
        <v>0</v>
      </c>
    </row>
    <row r="51" spans="1:13">
      <c r="B51" s="22" t="s">
        <v>219</v>
      </c>
    </row>
    <row r="52" spans="1:13">
      <c r="A52" s="17"/>
      <c r="B52" s="17"/>
      <c r="C52" s="26"/>
      <c r="D52" s="27"/>
      <c r="E52" s="36" t="str">
        <f>InpC!E$69</f>
        <v>All in Supply Chain Finance annual interest rate</v>
      </c>
      <c r="F52" s="36">
        <f>InpC!F$69</f>
        <v>0.08</v>
      </c>
      <c r="G52" s="36" t="str">
        <f>InpC!G$69</f>
        <v>%</v>
      </c>
      <c r="M52" s="45"/>
    </row>
    <row r="53" spans="1:13">
      <c r="A53" s="17"/>
      <c r="B53" s="17"/>
      <c r="C53" s="26"/>
      <c r="D53" s="27"/>
      <c r="E53" s="4" t="str">
        <f>InpC!E$56</f>
        <v>debt day count convention</v>
      </c>
      <c r="F53" s="4">
        <f>InpC!F$56</f>
        <v>360</v>
      </c>
      <c r="G53" s="4" t="str">
        <f>InpC!G$56</f>
        <v>day</v>
      </c>
    </row>
    <row r="54" spans="1:13">
      <c r="A54" s="17"/>
      <c r="B54" s="17"/>
      <c r="C54" s="26"/>
      <c r="D54" s="27"/>
      <c r="E54" s="4" t="str">
        <f>InpC!E$55</f>
        <v>Days in period</v>
      </c>
      <c r="F54" s="4">
        <f>InpC!F$55</f>
        <v>30</v>
      </c>
      <c r="G54" s="4" t="str">
        <f>InpC!G$55</f>
        <v>day</v>
      </c>
    </row>
    <row r="55" spans="1:13">
      <c r="E55" s="2" t="s">
        <v>219</v>
      </c>
      <c r="F55" s="45">
        <f>$F52/$F53*$F54</f>
        <v>6.6666666666666671E-3</v>
      </c>
      <c r="G55" s="2" t="s">
        <v>205</v>
      </c>
      <c r="M55" s="45"/>
    </row>
    <row r="58" spans="1:13">
      <c r="B58" s="22" t="s">
        <v>265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BQ58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42.7265625" style="2" customWidth="1"/>
    <col min="6" max="6" width="20.7265625" style="2" customWidth="1"/>
    <col min="7" max="7" width="13.7265625" style="2" customWidth="1"/>
    <col min="8" max="8" width="12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48" width="11.7265625" style="2" customWidth="1"/>
    <col min="49" max="50" width="12.7265625" style="2" customWidth="1"/>
    <col min="51" max="51" width="11.7265625" style="2" customWidth="1"/>
    <col min="52" max="53" width="12.7265625" style="2" customWidth="1"/>
    <col min="54" max="54" width="11.7265625" style="2" customWidth="1"/>
    <col min="55" max="55" width="12.7265625" style="2" customWidth="1"/>
    <col min="56" max="57" width="11.7265625" style="2" customWidth="1"/>
    <col min="58" max="59" width="12.7265625" style="2" customWidth="1"/>
    <col min="60" max="60" width="11.7265625" style="2" customWidth="1"/>
    <col min="61" max="62" width="12.7265625" style="2" customWidth="1"/>
    <col min="63" max="63" width="11.7265625" style="2" customWidth="1"/>
    <col min="64" max="65" width="12.7265625" style="2" customWidth="1"/>
    <col min="66" max="66" width="11.7265625" style="2" customWidth="1"/>
    <col min="67" max="67" width="12.7265625" style="2" customWidth="1"/>
    <col min="68" max="69" width="11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Asset Finance</v>
      </c>
      <c r="B1" s="37"/>
      <c r="C1" s="58"/>
      <c r="D1" s="67"/>
      <c r="F1" s="42" t="str">
        <f>HYPERLINK("#Contents!A1","Go to contents")</f>
        <v>Go to contents</v>
      </c>
      <c r="H1" s="38"/>
      <c r="J1" s="38"/>
    </row>
    <row r="2" spans="1:69" s="43" customFormat="1">
      <c r="A2" s="39"/>
      <c r="B2" s="39"/>
      <c r="C2" s="56"/>
      <c r="D2" s="62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>
      <c r="A3" s="39"/>
      <c r="B3" s="39"/>
      <c r="C3" s="56"/>
      <c r="D3" s="62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62"/>
      <c r="E4" s="20" t="s">
        <v>325</v>
      </c>
      <c r="F4" s="22"/>
      <c r="G4" s="20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>
      <c r="A5" s="39"/>
      <c r="B5" s="39"/>
      <c r="C5" s="56"/>
      <c r="D5" s="62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6" spans="1:69">
      <c r="F6" s="22"/>
      <c r="G6" s="22"/>
      <c r="H6" s="22"/>
    </row>
    <row r="8" spans="1:69">
      <c r="B8" s="22" t="s">
        <v>134</v>
      </c>
    </row>
    <row r="9" spans="1:69" s="64" customFormat="1">
      <c r="A9" s="46"/>
      <c r="B9" s="46"/>
      <c r="C9" s="65"/>
      <c r="D9" s="63"/>
      <c r="E9" s="34" t="str">
        <f>InpC!E$78</f>
        <v>Opening Asset Finance balance</v>
      </c>
      <c r="F9" s="34">
        <f>InpC!F$78</f>
        <v>0</v>
      </c>
      <c r="G9" s="34" t="str">
        <f>InpC!G$78</f>
        <v>GBP</v>
      </c>
    </row>
    <row r="10" spans="1:69">
      <c r="A10" s="17"/>
      <c r="B10" s="17"/>
      <c r="C10" s="26"/>
      <c r="D10" s="27"/>
      <c r="E10" s="10" t="str">
        <f>Time!E$28</f>
        <v>Period number</v>
      </c>
      <c r="F10" s="10">
        <f>Time!F$28</f>
        <v>0</v>
      </c>
      <c r="G10" s="10" t="str">
        <f>Time!G$28</f>
        <v>Counter</v>
      </c>
      <c r="H10" s="10">
        <f>Time!H$28</f>
        <v>0</v>
      </c>
      <c r="I10" s="10">
        <f>Time!I$28</f>
        <v>0</v>
      </c>
      <c r="J10" s="10">
        <f>Time!J$28</f>
        <v>1</v>
      </c>
      <c r="K10" s="10">
        <f>Time!K$28</f>
        <v>2</v>
      </c>
      <c r="L10" s="10">
        <f>Time!L$28</f>
        <v>3</v>
      </c>
      <c r="M10" s="10">
        <f>Time!M$28</f>
        <v>4</v>
      </c>
      <c r="N10" s="10">
        <f>Time!N$28</f>
        <v>5</v>
      </c>
      <c r="O10" s="10">
        <f>Time!O$28</f>
        <v>6</v>
      </c>
      <c r="P10" s="10">
        <f>Time!P$28</f>
        <v>7</v>
      </c>
      <c r="Q10" s="10">
        <f>Time!Q$28</f>
        <v>8</v>
      </c>
      <c r="R10" s="10">
        <f>Time!R$28</f>
        <v>9</v>
      </c>
      <c r="S10" s="10">
        <f>Time!S$28</f>
        <v>10</v>
      </c>
      <c r="T10" s="10">
        <f>Time!T$28</f>
        <v>11</v>
      </c>
      <c r="U10" s="10">
        <f>Time!U$28</f>
        <v>12</v>
      </c>
      <c r="V10" s="10">
        <f>Time!V$28</f>
        <v>13</v>
      </c>
      <c r="W10" s="10">
        <f>Time!W$28</f>
        <v>14</v>
      </c>
      <c r="X10" s="10">
        <f>Time!X$28</f>
        <v>15</v>
      </c>
      <c r="Y10" s="10">
        <f>Time!Y$28</f>
        <v>16</v>
      </c>
      <c r="Z10" s="10">
        <f>Time!Z$28</f>
        <v>17</v>
      </c>
      <c r="AA10" s="10">
        <f>Time!AA$28</f>
        <v>18</v>
      </c>
      <c r="AB10" s="10">
        <f>Time!AB$28</f>
        <v>19</v>
      </c>
      <c r="AC10" s="10">
        <f>Time!AC$28</f>
        <v>20</v>
      </c>
      <c r="AD10" s="10">
        <f>Time!AD$28</f>
        <v>21</v>
      </c>
      <c r="AE10" s="10">
        <f>Time!AE$28</f>
        <v>22</v>
      </c>
      <c r="AF10" s="10">
        <f>Time!AF$28</f>
        <v>23</v>
      </c>
      <c r="AG10" s="10">
        <f>Time!AG$28</f>
        <v>24</v>
      </c>
      <c r="AH10" s="10">
        <f>Time!AH$28</f>
        <v>25</v>
      </c>
      <c r="AI10" s="10">
        <f>Time!AI$28</f>
        <v>26</v>
      </c>
      <c r="AJ10" s="10">
        <f>Time!AJ$28</f>
        <v>27</v>
      </c>
      <c r="AK10" s="10">
        <f>Time!AK$28</f>
        <v>28</v>
      </c>
      <c r="AL10" s="10">
        <f>Time!AL$28</f>
        <v>29</v>
      </c>
      <c r="AM10" s="10">
        <f>Time!AM$28</f>
        <v>30</v>
      </c>
      <c r="AN10" s="10">
        <f>Time!AN$28</f>
        <v>31</v>
      </c>
      <c r="AO10" s="10">
        <f>Time!AO$28</f>
        <v>32</v>
      </c>
      <c r="AP10" s="10">
        <f>Time!AP$28</f>
        <v>33</v>
      </c>
      <c r="AQ10" s="10">
        <f>Time!AQ$28</f>
        <v>34</v>
      </c>
      <c r="AR10" s="10">
        <f>Time!AR$28</f>
        <v>35</v>
      </c>
      <c r="AS10" s="10">
        <f>Time!AS$28</f>
        <v>36</v>
      </c>
      <c r="AT10" s="10">
        <f>Time!AT$28</f>
        <v>37</v>
      </c>
      <c r="AU10" s="10">
        <f>Time!AU$28</f>
        <v>38</v>
      </c>
      <c r="AV10" s="10">
        <f>Time!AV$28</f>
        <v>39</v>
      </c>
      <c r="AW10" s="10">
        <f>Time!AW$28</f>
        <v>40</v>
      </c>
      <c r="AX10" s="10">
        <f>Time!AX$28</f>
        <v>41</v>
      </c>
      <c r="AY10" s="10">
        <f>Time!AY$28</f>
        <v>42</v>
      </c>
      <c r="AZ10" s="10">
        <f>Time!AZ$28</f>
        <v>43</v>
      </c>
      <c r="BA10" s="10">
        <f>Time!BA$28</f>
        <v>44</v>
      </c>
      <c r="BB10" s="10">
        <f>Time!BB$28</f>
        <v>45</v>
      </c>
      <c r="BC10" s="10">
        <f>Time!BC$28</f>
        <v>46</v>
      </c>
      <c r="BD10" s="10">
        <f>Time!BD$28</f>
        <v>47</v>
      </c>
      <c r="BE10" s="10">
        <f>Time!BE$28</f>
        <v>48</v>
      </c>
      <c r="BF10" s="10">
        <f>Time!BF$28</f>
        <v>49</v>
      </c>
      <c r="BG10" s="10">
        <f>Time!BG$28</f>
        <v>50</v>
      </c>
      <c r="BH10" s="10">
        <f>Time!BH$28</f>
        <v>51</v>
      </c>
      <c r="BI10" s="10">
        <f>Time!BI$28</f>
        <v>52</v>
      </c>
      <c r="BJ10" s="10">
        <f>Time!BJ$28</f>
        <v>53</v>
      </c>
      <c r="BK10" s="10">
        <f>Time!BK$28</f>
        <v>54</v>
      </c>
      <c r="BL10" s="10">
        <f>Time!BL$28</f>
        <v>55</v>
      </c>
      <c r="BM10" s="10">
        <f>Time!BM$28</f>
        <v>56</v>
      </c>
      <c r="BN10" s="10">
        <f>Time!BN$28</f>
        <v>57</v>
      </c>
      <c r="BO10" s="10">
        <f>Time!BO$28</f>
        <v>58</v>
      </c>
      <c r="BP10" s="10">
        <f>Time!BP$28</f>
        <v>59</v>
      </c>
      <c r="BQ10" s="10">
        <f>Time!BQ$28</f>
        <v>60</v>
      </c>
    </row>
    <row r="11" spans="1:69" ht="14.5">
      <c r="E11" s="2" t="s">
        <v>342</v>
      </c>
      <c r="F11"/>
      <c r="G11" s="2" t="s">
        <v>252</v>
      </c>
      <c r="H11"/>
      <c r="I11"/>
      <c r="J11" s="2">
        <f t="shared" ref="J11:AO11" si="0">I15</f>
        <v>0</v>
      </c>
      <c r="K11" s="2">
        <f t="shared" ca="1" si="0"/>
        <v>0</v>
      </c>
      <c r="L11" s="2">
        <f t="shared" ca="1" si="0"/>
        <v>0</v>
      </c>
      <c r="M11" s="2">
        <f t="shared" ca="1" si="0"/>
        <v>0</v>
      </c>
      <c r="N11" s="2">
        <f t="shared" ca="1" si="0"/>
        <v>0</v>
      </c>
      <c r="O11" s="2">
        <f t="shared" ca="1" si="0"/>
        <v>0</v>
      </c>
      <c r="P11" s="2">
        <f t="shared" ca="1" si="0"/>
        <v>0</v>
      </c>
      <c r="Q11" s="2">
        <f t="shared" ca="1" si="0"/>
        <v>0</v>
      </c>
      <c r="R11" s="2">
        <f t="shared" ca="1" si="0"/>
        <v>0</v>
      </c>
      <c r="S11" s="2">
        <f t="shared" ca="1" si="0"/>
        <v>0</v>
      </c>
      <c r="T11" s="2">
        <f t="shared" ca="1" si="0"/>
        <v>0</v>
      </c>
      <c r="U11" s="2">
        <f t="shared" ca="1" si="0"/>
        <v>0</v>
      </c>
      <c r="V11" s="2">
        <f t="shared" ca="1" si="0"/>
        <v>0</v>
      </c>
      <c r="W11" s="2">
        <f t="shared" ca="1" si="0"/>
        <v>0</v>
      </c>
      <c r="X11" s="2">
        <f t="shared" ca="1" si="0"/>
        <v>0</v>
      </c>
      <c r="Y11" s="2">
        <f t="shared" ca="1" si="0"/>
        <v>0</v>
      </c>
      <c r="Z11" s="2">
        <f t="shared" ca="1" si="0"/>
        <v>0</v>
      </c>
      <c r="AA11" s="2">
        <f t="shared" ca="1" si="0"/>
        <v>0</v>
      </c>
      <c r="AB11" s="2">
        <f t="shared" ca="1" si="0"/>
        <v>0</v>
      </c>
      <c r="AC11" s="2">
        <f t="shared" ca="1" si="0"/>
        <v>0</v>
      </c>
      <c r="AD11" s="2">
        <f t="shared" ca="1" si="0"/>
        <v>0</v>
      </c>
      <c r="AE11" s="2">
        <f t="shared" ca="1" si="0"/>
        <v>0</v>
      </c>
      <c r="AF11" s="2">
        <f t="shared" ca="1" si="0"/>
        <v>0</v>
      </c>
      <c r="AG11" s="2">
        <f t="shared" ca="1" si="0"/>
        <v>0</v>
      </c>
      <c r="AH11" s="2">
        <f t="shared" ca="1" si="0"/>
        <v>0</v>
      </c>
      <c r="AI11" s="2">
        <f t="shared" ca="1" si="0"/>
        <v>0</v>
      </c>
      <c r="AJ11" s="2">
        <f t="shared" ca="1" si="0"/>
        <v>0</v>
      </c>
      <c r="AK11" s="2">
        <f t="shared" ca="1" si="0"/>
        <v>0</v>
      </c>
      <c r="AL11" s="2">
        <f t="shared" ca="1" si="0"/>
        <v>0</v>
      </c>
      <c r="AM11" s="2">
        <f t="shared" ca="1" si="0"/>
        <v>0</v>
      </c>
      <c r="AN11" s="2">
        <f t="shared" ca="1" si="0"/>
        <v>0</v>
      </c>
      <c r="AO11" s="2">
        <f t="shared" ca="1" si="0"/>
        <v>0</v>
      </c>
      <c r="AP11" s="2">
        <f t="shared" ref="AP11:BQ11" ca="1" si="1">AO15</f>
        <v>0</v>
      </c>
      <c r="AQ11" s="2">
        <f t="shared" ca="1" si="1"/>
        <v>0</v>
      </c>
      <c r="AR11" s="2">
        <f t="shared" ca="1" si="1"/>
        <v>0</v>
      </c>
      <c r="AS11" s="2">
        <f t="shared" ca="1" si="1"/>
        <v>0</v>
      </c>
      <c r="AT11" s="2">
        <f t="shared" ca="1" si="1"/>
        <v>0</v>
      </c>
      <c r="AU11" s="2">
        <f t="shared" ca="1" si="1"/>
        <v>0</v>
      </c>
      <c r="AV11" s="2">
        <f t="shared" ca="1" si="1"/>
        <v>0</v>
      </c>
      <c r="AW11" s="2">
        <f t="shared" ca="1" si="1"/>
        <v>0</v>
      </c>
      <c r="AX11" s="2">
        <f t="shared" ca="1" si="1"/>
        <v>0</v>
      </c>
      <c r="AY11" s="2">
        <f t="shared" ca="1" si="1"/>
        <v>0</v>
      </c>
      <c r="AZ11" s="2">
        <f t="shared" ca="1" si="1"/>
        <v>0</v>
      </c>
      <c r="BA11" s="2">
        <f t="shared" ca="1" si="1"/>
        <v>0</v>
      </c>
      <c r="BB11" s="2">
        <f t="shared" ca="1" si="1"/>
        <v>0</v>
      </c>
      <c r="BC11" s="2">
        <f t="shared" ca="1" si="1"/>
        <v>0</v>
      </c>
      <c r="BD11" s="2">
        <f t="shared" ca="1" si="1"/>
        <v>0</v>
      </c>
      <c r="BE11" s="2">
        <f t="shared" ca="1" si="1"/>
        <v>0</v>
      </c>
      <c r="BF11" s="2">
        <f t="shared" ca="1" si="1"/>
        <v>0</v>
      </c>
      <c r="BG11" s="2">
        <f t="shared" ca="1" si="1"/>
        <v>0</v>
      </c>
      <c r="BH11" s="2">
        <f t="shared" ca="1" si="1"/>
        <v>0</v>
      </c>
      <c r="BI11" s="2">
        <f t="shared" ca="1" si="1"/>
        <v>0</v>
      </c>
      <c r="BJ11" s="2">
        <f t="shared" ca="1" si="1"/>
        <v>0</v>
      </c>
      <c r="BK11" s="2">
        <f t="shared" ca="1" si="1"/>
        <v>0</v>
      </c>
      <c r="BL11" s="2">
        <f t="shared" ca="1" si="1"/>
        <v>0</v>
      </c>
      <c r="BM11" s="2">
        <f t="shared" ca="1" si="1"/>
        <v>0</v>
      </c>
      <c r="BN11" s="2">
        <f t="shared" ca="1" si="1"/>
        <v>0</v>
      </c>
      <c r="BO11" s="2">
        <f t="shared" ca="1" si="1"/>
        <v>0</v>
      </c>
      <c r="BP11" s="2">
        <f t="shared" ca="1" si="1"/>
        <v>0</v>
      </c>
      <c r="BQ11" s="2">
        <f t="shared" ca="1" si="1"/>
        <v>0</v>
      </c>
    </row>
    <row r="12" spans="1:69">
      <c r="D12" s="66" t="s">
        <v>216</v>
      </c>
      <c r="E12" s="2" t="str">
        <f t="shared" ref="E12:AJ12" si="2">E$22</f>
        <v>Asset Finance drawdown</v>
      </c>
      <c r="F12" s="2">
        <f t="shared" si="2"/>
        <v>0</v>
      </c>
      <c r="G12" s="2" t="str">
        <f t="shared" si="2"/>
        <v>GBP</v>
      </c>
      <c r="H12" s="2">
        <f t="shared" ca="1" si="2"/>
        <v>0</v>
      </c>
      <c r="I12" s="2">
        <f t="shared" si="2"/>
        <v>0</v>
      </c>
      <c r="J12" s="2">
        <f t="shared" ca="1" si="2"/>
        <v>0</v>
      </c>
      <c r="K12" s="2">
        <f t="shared" ca="1" si="2"/>
        <v>0</v>
      </c>
      <c r="L12" s="2">
        <f t="shared" ca="1" si="2"/>
        <v>0</v>
      </c>
      <c r="M12" s="2">
        <f t="shared" ca="1" si="2"/>
        <v>0</v>
      </c>
      <c r="N12" s="2">
        <f t="shared" ca="1" si="2"/>
        <v>0</v>
      </c>
      <c r="O12" s="2">
        <f t="shared" ca="1" si="2"/>
        <v>0</v>
      </c>
      <c r="P12" s="2">
        <f t="shared" ca="1" si="2"/>
        <v>0</v>
      </c>
      <c r="Q12" s="2">
        <f t="shared" ca="1" si="2"/>
        <v>0</v>
      </c>
      <c r="R12" s="2">
        <f t="shared" ca="1" si="2"/>
        <v>0</v>
      </c>
      <c r="S12" s="2">
        <f t="shared" ca="1" si="2"/>
        <v>0</v>
      </c>
      <c r="T12" s="2">
        <f t="shared" ca="1" si="2"/>
        <v>0</v>
      </c>
      <c r="U12" s="2">
        <f t="shared" ca="1" si="2"/>
        <v>0</v>
      </c>
      <c r="V12" s="2">
        <f t="shared" ca="1" si="2"/>
        <v>0</v>
      </c>
      <c r="W12" s="2">
        <f t="shared" ca="1" si="2"/>
        <v>0</v>
      </c>
      <c r="X12" s="2">
        <f t="shared" ca="1" si="2"/>
        <v>0</v>
      </c>
      <c r="Y12" s="2">
        <f t="shared" ca="1" si="2"/>
        <v>0</v>
      </c>
      <c r="Z12" s="2">
        <f t="shared" ca="1" si="2"/>
        <v>0</v>
      </c>
      <c r="AA12" s="2">
        <f t="shared" ca="1" si="2"/>
        <v>0</v>
      </c>
      <c r="AB12" s="2">
        <f t="shared" ca="1" si="2"/>
        <v>0</v>
      </c>
      <c r="AC12" s="2">
        <f t="shared" ca="1" si="2"/>
        <v>0</v>
      </c>
      <c r="AD12" s="2">
        <f t="shared" ca="1" si="2"/>
        <v>0</v>
      </c>
      <c r="AE12" s="2">
        <f t="shared" ca="1" si="2"/>
        <v>0</v>
      </c>
      <c r="AF12" s="2">
        <f t="shared" ca="1" si="2"/>
        <v>0</v>
      </c>
      <c r="AG12" s="2">
        <f t="shared" ca="1" si="2"/>
        <v>0</v>
      </c>
      <c r="AH12" s="2">
        <f t="shared" ca="1" si="2"/>
        <v>0</v>
      </c>
      <c r="AI12" s="2">
        <f t="shared" ca="1" si="2"/>
        <v>0</v>
      </c>
      <c r="AJ12" s="2">
        <f t="shared" ca="1" si="2"/>
        <v>0</v>
      </c>
      <c r="AK12" s="2">
        <f t="shared" ref="AK12:BQ12" ca="1" si="3">AK$22</f>
        <v>0</v>
      </c>
      <c r="AL12" s="2">
        <f t="shared" ca="1" si="3"/>
        <v>0</v>
      </c>
      <c r="AM12" s="2">
        <f t="shared" ca="1" si="3"/>
        <v>0</v>
      </c>
      <c r="AN12" s="2">
        <f t="shared" ca="1" si="3"/>
        <v>0</v>
      </c>
      <c r="AO12" s="2">
        <f t="shared" ca="1" si="3"/>
        <v>0</v>
      </c>
      <c r="AP12" s="2">
        <f t="shared" ca="1" si="3"/>
        <v>0</v>
      </c>
      <c r="AQ12" s="2">
        <f t="shared" ca="1" si="3"/>
        <v>0</v>
      </c>
      <c r="AR12" s="2">
        <f t="shared" ca="1" si="3"/>
        <v>0</v>
      </c>
      <c r="AS12" s="2">
        <f t="shared" ca="1" si="3"/>
        <v>0</v>
      </c>
      <c r="AT12" s="2">
        <f t="shared" ca="1" si="3"/>
        <v>0</v>
      </c>
      <c r="AU12" s="2">
        <f t="shared" ca="1" si="3"/>
        <v>0</v>
      </c>
      <c r="AV12" s="2">
        <f t="shared" ca="1" si="3"/>
        <v>0</v>
      </c>
      <c r="AW12" s="2">
        <f t="shared" ca="1" si="3"/>
        <v>0</v>
      </c>
      <c r="AX12" s="2">
        <f t="shared" ca="1" si="3"/>
        <v>0</v>
      </c>
      <c r="AY12" s="2">
        <f t="shared" ca="1" si="3"/>
        <v>0</v>
      </c>
      <c r="AZ12" s="2">
        <f t="shared" ca="1" si="3"/>
        <v>0</v>
      </c>
      <c r="BA12" s="2">
        <f t="shared" ca="1" si="3"/>
        <v>0</v>
      </c>
      <c r="BB12" s="2">
        <f t="shared" ca="1" si="3"/>
        <v>0</v>
      </c>
      <c r="BC12" s="2">
        <f t="shared" ca="1" si="3"/>
        <v>0</v>
      </c>
      <c r="BD12" s="2">
        <f t="shared" ca="1" si="3"/>
        <v>0</v>
      </c>
      <c r="BE12" s="2">
        <f t="shared" ca="1" si="3"/>
        <v>0</v>
      </c>
      <c r="BF12" s="2">
        <f t="shared" ca="1" si="3"/>
        <v>0</v>
      </c>
      <c r="BG12" s="2">
        <f t="shared" ca="1" si="3"/>
        <v>0</v>
      </c>
      <c r="BH12" s="2">
        <f t="shared" ca="1" si="3"/>
        <v>0</v>
      </c>
      <c r="BI12" s="2">
        <f t="shared" ca="1" si="3"/>
        <v>0</v>
      </c>
      <c r="BJ12" s="2">
        <f t="shared" ca="1" si="3"/>
        <v>0</v>
      </c>
      <c r="BK12" s="2">
        <f t="shared" ca="1" si="3"/>
        <v>0</v>
      </c>
      <c r="BL12" s="2">
        <f t="shared" ca="1" si="3"/>
        <v>0</v>
      </c>
      <c r="BM12" s="2">
        <f t="shared" ca="1" si="3"/>
        <v>0</v>
      </c>
      <c r="BN12" s="2">
        <f t="shared" ca="1" si="3"/>
        <v>0</v>
      </c>
      <c r="BO12" s="2">
        <f t="shared" ca="1" si="3"/>
        <v>0</v>
      </c>
      <c r="BP12" s="2">
        <f t="shared" ca="1" si="3"/>
        <v>0</v>
      </c>
      <c r="BQ12" s="2">
        <f t="shared" ca="1" si="3"/>
        <v>0</v>
      </c>
    </row>
    <row r="13" spans="1:69">
      <c r="D13" s="66" t="s">
        <v>216</v>
      </c>
      <c r="E13" s="2" t="str">
        <f t="shared" ref="E13:AJ13" si="4">E$35</f>
        <v>Asset Finance unpaid interest</v>
      </c>
      <c r="F13" s="2">
        <f t="shared" si="4"/>
        <v>0</v>
      </c>
      <c r="G13" s="2" t="str">
        <f t="shared" si="4"/>
        <v>GBP</v>
      </c>
      <c r="H13" s="2">
        <f t="shared" ca="1" si="4"/>
        <v>0</v>
      </c>
      <c r="I13" s="2">
        <f t="shared" si="4"/>
        <v>0</v>
      </c>
      <c r="J13" s="2">
        <f t="shared" si="4"/>
        <v>0</v>
      </c>
      <c r="K13" s="2">
        <f t="shared" ca="1" si="4"/>
        <v>0</v>
      </c>
      <c r="L13" s="2">
        <f t="shared" ca="1" si="4"/>
        <v>0</v>
      </c>
      <c r="M13" s="2">
        <f t="shared" ca="1" si="4"/>
        <v>0</v>
      </c>
      <c r="N13" s="2">
        <f t="shared" ca="1" si="4"/>
        <v>0</v>
      </c>
      <c r="O13" s="2">
        <f t="shared" ca="1" si="4"/>
        <v>0</v>
      </c>
      <c r="P13" s="2">
        <f t="shared" ca="1" si="4"/>
        <v>0</v>
      </c>
      <c r="Q13" s="2">
        <f t="shared" ca="1" si="4"/>
        <v>0</v>
      </c>
      <c r="R13" s="2">
        <f t="shared" ca="1" si="4"/>
        <v>0</v>
      </c>
      <c r="S13" s="2">
        <f t="shared" ca="1" si="4"/>
        <v>0</v>
      </c>
      <c r="T13" s="2">
        <f t="shared" ca="1" si="4"/>
        <v>0</v>
      </c>
      <c r="U13" s="2">
        <f t="shared" ca="1" si="4"/>
        <v>0</v>
      </c>
      <c r="V13" s="2">
        <f t="shared" ca="1" si="4"/>
        <v>0</v>
      </c>
      <c r="W13" s="2">
        <f t="shared" ca="1" si="4"/>
        <v>0</v>
      </c>
      <c r="X13" s="2">
        <f t="shared" ca="1" si="4"/>
        <v>0</v>
      </c>
      <c r="Y13" s="2">
        <f t="shared" ca="1" si="4"/>
        <v>0</v>
      </c>
      <c r="Z13" s="2">
        <f t="shared" ca="1" si="4"/>
        <v>0</v>
      </c>
      <c r="AA13" s="2">
        <f t="shared" ca="1" si="4"/>
        <v>0</v>
      </c>
      <c r="AB13" s="2">
        <f t="shared" ca="1" si="4"/>
        <v>0</v>
      </c>
      <c r="AC13" s="2">
        <f t="shared" ca="1" si="4"/>
        <v>0</v>
      </c>
      <c r="AD13" s="2">
        <f t="shared" ca="1" si="4"/>
        <v>0</v>
      </c>
      <c r="AE13" s="2">
        <f t="shared" ca="1" si="4"/>
        <v>0</v>
      </c>
      <c r="AF13" s="2">
        <f t="shared" ca="1" si="4"/>
        <v>0</v>
      </c>
      <c r="AG13" s="2">
        <f t="shared" ca="1" si="4"/>
        <v>0</v>
      </c>
      <c r="AH13" s="2">
        <f t="shared" ca="1" si="4"/>
        <v>0</v>
      </c>
      <c r="AI13" s="2">
        <f t="shared" ca="1" si="4"/>
        <v>0</v>
      </c>
      <c r="AJ13" s="2">
        <f t="shared" ca="1" si="4"/>
        <v>0</v>
      </c>
      <c r="AK13" s="2">
        <f t="shared" ref="AK13:BQ13" ca="1" si="5">AK$35</f>
        <v>0</v>
      </c>
      <c r="AL13" s="2">
        <f t="shared" ca="1" si="5"/>
        <v>0</v>
      </c>
      <c r="AM13" s="2">
        <f t="shared" ca="1" si="5"/>
        <v>0</v>
      </c>
      <c r="AN13" s="2">
        <f t="shared" ca="1" si="5"/>
        <v>0</v>
      </c>
      <c r="AO13" s="2">
        <f t="shared" ca="1" si="5"/>
        <v>0</v>
      </c>
      <c r="AP13" s="2">
        <f t="shared" ca="1" si="5"/>
        <v>0</v>
      </c>
      <c r="AQ13" s="2">
        <f t="shared" ca="1" si="5"/>
        <v>0</v>
      </c>
      <c r="AR13" s="2">
        <f t="shared" ca="1" si="5"/>
        <v>0</v>
      </c>
      <c r="AS13" s="2">
        <f t="shared" ca="1" si="5"/>
        <v>0</v>
      </c>
      <c r="AT13" s="2">
        <f t="shared" ca="1" si="5"/>
        <v>0</v>
      </c>
      <c r="AU13" s="2">
        <f t="shared" ca="1" si="5"/>
        <v>0</v>
      </c>
      <c r="AV13" s="2">
        <f t="shared" ca="1" si="5"/>
        <v>0</v>
      </c>
      <c r="AW13" s="2">
        <f t="shared" ca="1" si="5"/>
        <v>0</v>
      </c>
      <c r="AX13" s="2">
        <f t="shared" ca="1" si="5"/>
        <v>0</v>
      </c>
      <c r="AY13" s="2">
        <f t="shared" ca="1" si="5"/>
        <v>0</v>
      </c>
      <c r="AZ13" s="2">
        <f t="shared" ca="1" si="5"/>
        <v>0</v>
      </c>
      <c r="BA13" s="2">
        <f t="shared" ca="1" si="5"/>
        <v>0</v>
      </c>
      <c r="BB13" s="2">
        <f t="shared" ca="1" si="5"/>
        <v>0</v>
      </c>
      <c r="BC13" s="2">
        <f t="shared" ca="1" si="5"/>
        <v>0</v>
      </c>
      <c r="BD13" s="2">
        <f t="shared" ca="1" si="5"/>
        <v>0</v>
      </c>
      <c r="BE13" s="2">
        <f t="shared" ca="1" si="5"/>
        <v>0</v>
      </c>
      <c r="BF13" s="2">
        <f t="shared" ca="1" si="5"/>
        <v>0</v>
      </c>
      <c r="BG13" s="2">
        <f t="shared" ca="1" si="5"/>
        <v>0</v>
      </c>
      <c r="BH13" s="2">
        <f t="shared" ca="1" si="5"/>
        <v>0</v>
      </c>
      <c r="BI13" s="2">
        <f t="shared" ca="1" si="5"/>
        <v>0</v>
      </c>
      <c r="BJ13" s="2">
        <f t="shared" ca="1" si="5"/>
        <v>0</v>
      </c>
      <c r="BK13" s="2">
        <f t="shared" ca="1" si="5"/>
        <v>0</v>
      </c>
      <c r="BL13" s="2">
        <f t="shared" ca="1" si="5"/>
        <v>0</v>
      </c>
      <c r="BM13" s="2">
        <f t="shared" ca="1" si="5"/>
        <v>0</v>
      </c>
      <c r="BN13" s="2">
        <f t="shared" ca="1" si="5"/>
        <v>0</v>
      </c>
      <c r="BO13" s="2">
        <f t="shared" ca="1" si="5"/>
        <v>0</v>
      </c>
      <c r="BP13" s="2">
        <f t="shared" ca="1" si="5"/>
        <v>0</v>
      </c>
      <c r="BQ13" s="2">
        <f t="shared" ca="1" si="5"/>
        <v>0</v>
      </c>
    </row>
    <row r="14" spans="1:69">
      <c r="D14" s="66" t="s">
        <v>293</v>
      </c>
      <c r="E14" s="2" t="str">
        <f t="shared" ref="E14:AJ14" si="6">E$28</f>
        <v>Asset Finance principal repayment POS</v>
      </c>
      <c r="F14" s="2">
        <f t="shared" si="6"/>
        <v>0</v>
      </c>
      <c r="G14" s="2" t="str">
        <f t="shared" si="6"/>
        <v>GBP</v>
      </c>
      <c r="H14" s="2">
        <f t="shared" ca="1" si="6"/>
        <v>0</v>
      </c>
      <c r="I14" s="2">
        <f t="shared" si="6"/>
        <v>0</v>
      </c>
      <c r="J14" s="2">
        <f t="shared" si="6"/>
        <v>0</v>
      </c>
      <c r="K14" s="2">
        <f t="shared" ca="1" si="6"/>
        <v>0</v>
      </c>
      <c r="L14" s="2">
        <f t="shared" ca="1" si="6"/>
        <v>0</v>
      </c>
      <c r="M14" s="2">
        <f t="shared" ca="1" si="6"/>
        <v>0</v>
      </c>
      <c r="N14" s="2">
        <f t="shared" ca="1" si="6"/>
        <v>0</v>
      </c>
      <c r="O14" s="2">
        <f t="shared" ca="1" si="6"/>
        <v>0</v>
      </c>
      <c r="P14" s="2">
        <f t="shared" ca="1" si="6"/>
        <v>0</v>
      </c>
      <c r="Q14" s="2">
        <f t="shared" ca="1" si="6"/>
        <v>0</v>
      </c>
      <c r="R14" s="2">
        <f t="shared" ca="1" si="6"/>
        <v>0</v>
      </c>
      <c r="S14" s="2">
        <f t="shared" ca="1" si="6"/>
        <v>0</v>
      </c>
      <c r="T14" s="2">
        <f t="shared" ca="1" si="6"/>
        <v>0</v>
      </c>
      <c r="U14" s="2">
        <f t="shared" ca="1" si="6"/>
        <v>0</v>
      </c>
      <c r="V14" s="2">
        <f t="shared" ca="1" si="6"/>
        <v>0</v>
      </c>
      <c r="W14" s="2">
        <f t="shared" ca="1" si="6"/>
        <v>0</v>
      </c>
      <c r="X14" s="2">
        <f t="shared" ca="1" si="6"/>
        <v>0</v>
      </c>
      <c r="Y14" s="2">
        <f t="shared" ca="1" si="6"/>
        <v>0</v>
      </c>
      <c r="Z14" s="2">
        <f t="shared" ca="1" si="6"/>
        <v>0</v>
      </c>
      <c r="AA14" s="2">
        <f t="shared" ca="1" si="6"/>
        <v>0</v>
      </c>
      <c r="AB14" s="2">
        <f t="shared" ca="1" si="6"/>
        <v>0</v>
      </c>
      <c r="AC14" s="2">
        <f t="shared" ca="1" si="6"/>
        <v>0</v>
      </c>
      <c r="AD14" s="2">
        <f t="shared" ca="1" si="6"/>
        <v>0</v>
      </c>
      <c r="AE14" s="2">
        <f t="shared" ca="1" si="6"/>
        <v>0</v>
      </c>
      <c r="AF14" s="2">
        <f t="shared" ca="1" si="6"/>
        <v>0</v>
      </c>
      <c r="AG14" s="2">
        <f t="shared" ca="1" si="6"/>
        <v>0</v>
      </c>
      <c r="AH14" s="2">
        <f t="shared" ca="1" si="6"/>
        <v>0</v>
      </c>
      <c r="AI14" s="2">
        <f t="shared" ca="1" si="6"/>
        <v>0</v>
      </c>
      <c r="AJ14" s="2">
        <f t="shared" ca="1" si="6"/>
        <v>0</v>
      </c>
      <c r="AK14" s="2">
        <f t="shared" ref="AK14:BQ14" ca="1" si="7">AK$28</f>
        <v>0</v>
      </c>
      <c r="AL14" s="2">
        <f t="shared" ca="1" si="7"/>
        <v>0</v>
      </c>
      <c r="AM14" s="2">
        <f t="shared" ca="1" si="7"/>
        <v>0</v>
      </c>
      <c r="AN14" s="2">
        <f t="shared" ca="1" si="7"/>
        <v>0</v>
      </c>
      <c r="AO14" s="2">
        <f t="shared" ca="1" si="7"/>
        <v>0</v>
      </c>
      <c r="AP14" s="2">
        <f t="shared" ca="1" si="7"/>
        <v>0</v>
      </c>
      <c r="AQ14" s="2">
        <f t="shared" ca="1" si="7"/>
        <v>0</v>
      </c>
      <c r="AR14" s="2">
        <f t="shared" ca="1" si="7"/>
        <v>0</v>
      </c>
      <c r="AS14" s="2">
        <f t="shared" ca="1" si="7"/>
        <v>0</v>
      </c>
      <c r="AT14" s="2">
        <f t="shared" ca="1" si="7"/>
        <v>0</v>
      </c>
      <c r="AU14" s="2">
        <f t="shared" ca="1" si="7"/>
        <v>0</v>
      </c>
      <c r="AV14" s="2">
        <f t="shared" ca="1" si="7"/>
        <v>0</v>
      </c>
      <c r="AW14" s="2">
        <f t="shared" ca="1" si="7"/>
        <v>0</v>
      </c>
      <c r="AX14" s="2">
        <f t="shared" ca="1" si="7"/>
        <v>0</v>
      </c>
      <c r="AY14" s="2">
        <f t="shared" ca="1" si="7"/>
        <v>0</v>
      </c>
      <c r="AZ14" s="2">
        <f t="shared" ca="1" si="7"/>
        <v>0</v>
      </c>
      <c r="BA14" s="2">
        <f t="shared" ca="1" si="7"/>
        <v>0</v>
      </c>
      <c r="BB14" s="2">
        <f t="shared" ca="1" si="7"/>
        <v>0</v>
      </c>
      <c r="BC14" s="2">
        <f t="shared" ca="1" si="7"/>
        <v>0</v>
      </c>
      <c r="BD14" s="2">
        <f t="shared" ca="1" si="7"/>
        <v>0</v>
      </c>
      <c r="BE14" s="2">
        <f t="shared" ca="1" si="7"/>
        <v>0</v>
      </c>
      <c r="BF14" s="2">
        <f t="shared" ca="1" si="7"/>
        <v>0</v>
      </c>
      <c r="BG14" s="2">
        <f t="shared" ca="1" si="7"/>
        <v>0</v>
      </c>
      <c r="BH14" s="2">
        <f t="shared" ca="1" si="7"/>
        <v>0</v>
      </c>
      <c r="BI14" s="2">
        <f t="shared" ca="1" si="7"/>
        <v>0</v>
      </c>
      <c r="BJ14" s="2">
        <f t="shared" ca="1" si="7"/>
        <v>0</v>
      </c>
      <c r="BK14" s="2">
        <f t="shared" ca="1" si="7"/>
        <v>0</v>
      </c>
      <c r="BL14" s="2">
        <f t="shared" ca="1" si="7"/>
        <v>0</v>
      </c>
      <c r="BM14" s="2">
        <f t="shared" ca="1" si="7"/>
        <v>0</v>
      </c>
      <c r="BN14" s="2">
        <f t="shared" ca="1" si="7"/>
        <v>0</v>
      </c>
      <c r="BO14" s="2">
        <f t="shared" ca="1" si="7"/>
        <v>0</v>
      </c>
      <c r="BP14" s="2">
        <f t="shared" ca="1" si="7"/>
        <v>0</v>
      </c>
      <c r="BQ14" s="2">
        <f t="shared" ca="1" si="7"/>
        <v>0</v>
      </c>
    </row>
    <row r="15" spans="1:69" s="32" customFormat="1">
      <c r="A15" s="48"/>
      <c r="B15" s="48"/>
      <c r="C15" s="68"/>
      <c r="D15" s="69"/>
      <c r="E15" s="11" t="s">
        <v>134</v>
      </c>
      <c r="F15" s="11"/>
      <c r="G15" s="11" t="s">
        <v>252</v>
      </c>
      <c r="H15" s="11"/>
      <c r="I15" s="11">
        <f t="shared" ref="I15:AN15" si="8">IF(I10=0,$F9,I11+I12+I13-I14)</f>
        <v>0</v>
      </c>
      <c r="J15" s="11">
        <f t="shared" ca="1" si="8"/>
        <v>0</v>
      </c>
      <c r="K15" s="11">
        <f t="shared" ca="1" si="8"/>
        <v>0</v>
      </c>
      <c r="L15" s="11">
        <f t="shared" ca="1" si="8"/>
        <v>0</v>
      </c>
      <c r="M15" s="11">
        <f t="shared" ca="1" si="8"/>
        <v>0</v>
      </c>
      <c r="N15" s="11">
        <f t="shared" ca="1" si="8"/>
        <v>0</v>
      </c>
      <c r="O15" s="11">
        <f t="shared" ca="1" si="8"/>
        <v>0</v>
      </c>
      <c r="P15" s="11">
        <f t="shared" ca="1" si="8"/>
        <v>0</v>
      </c>
      <c r="Q15" s="11">
        <f t="shared" ca="1" si="8"/>
        <v>0</v>
      </c>
      <c r="R15" s="11">
        <f t="shared" ca="1" si="8"/>
        <v>0</v>
      </c>
      <c r="S15" s="11">
        <f t="shared" ca="1" si="8"/>
        <v>0</v>
      </c>
      <c r="T15" s="11">
        <f t="shared" ca="1" si="8"/>
        <v>0</v>
      </c>
      <c r="U15" s="11">
        <f t="shared" ca="1" si="8"/>
        <v>0</v>
      </c>
      <c r="V15" s="11">
        <f t="shared" ca="1" si="8"/>
        <v>0</v>
      </c>
      <c r="W15" s="11">
        <f t="shared" ca="1" si="8"/>
        <v>0</v>
      </c>
      <c r="X15" s="11">
        <f t="shared" ca="1" si="8"/>
        <v>0</v>
      </c>
      <c r="Y15" s="11">
        <f t="shared" ca="1" si="8"/>
        <v>0</v>
      </c>
      <c r="Z15" s="11">
        <f t="shared" ca="1" si="8"/>
        <v>0</v>
      </c>
      <c r="AA15" s="11">
        <f t="shared" ca="1" si="8"/>
        <v>0</v>
      </c>
      <c r="AB15" s="11">
        <f t="shared" ca="1" si="8"/>
        <v>0</v>
      </c>
      <c r="AC15" s="11">
        <f t="shared" ca="1" si="8"/>
        <v>0</v>
      </c>
      <c r="AD15" s="11">
        <f t="shared" ca="1" si="8"/>
        <v>0</v>
      </c>
      <c r="AE15" s="11">
        <f t="shared" ca="1" si="8"/>
        <v>0</v>
      </c>
      <c r="AF15" s="11">
        <f t="shared" ca="1" si="8"/>
        <v>0</v>
      </c>
      <c r="AG15" s="11">
        <f t="shared" ca="1" si="8"/>
        <v>0</v>
      </c>
      <c r="AH15" s="11">
        <f t="shared" ca="1" si="8"/>
        <v>0</v>
      </c>
      <c r="AI15" s="11">
        <f t="shared" ca="1" si="8"/>
        <v>0</v>
      </c>
      <c r="AJ15" s="11">
        <f t="shared" ca="1" si="8"/>
        <v>0</v>
      </c>
      <c r="AK15" s="11">
        <f t="shared" ca="1" si="8"/>
        <v>0</v>
      </c>
      <c r="AL15" s="11">
        <f t="shared" ca="1" si="8"/>
        <v>0</v>
      </c>
      <c r="AM15" s="11">
        <f t="shared" ca="1" si="8"/>
        <v>0</v>
      </c>
      <c r="AN15" s="11">
        <f t="shared" ca="1" si="8"/>
        <v>0</v>
      </c>
      <c r="AO15" s="11">
        <f t="shared" ref="AO15:BT15" ca="1" si="9">IF(AO10=0,$F9,AO11+AO12+AO13-AO14)</f>
        <v>0</v>
      </c>
      <c r="AP15" s="11">
        <f t="shared" ca="1" si="9"/>
        <v>0</v>
      </c>
      <c r="AQ15" s="11">
        <f t="shared" ca="1" si="9"/>
        <v>0</v>
      </c>
      <c r="AR15" s="11">
        <f t="shared" ca="1" si="9"/>
        <v>0</v>
      </c>
      <c r="AS15" s="11">
        <f t="shared" ca="1" si="9"/>
        <v>0</v>
      </c>
      <c r="AT15" s="11">
        <f t="shared" ca="1" si="9"/>
        <v>0</v>
      </c>
      <c r="AU15" s="11">
        <f t="shared" ca="1" si="9"/>
        <v>0</v>
      </c>
      <c r="AV15" s="11">
        <f t="shared" ca="1" si="9"/>
        <v>0</v>
      </c>
      <c r="AW15" s="11">
        <f t="shared" ca="1" si="9"/>
        <v>0</v>
      </c>
      <c r="AX15" s="11">
        <f t="shared" ca="1" si="9"/>
        <v>0</v>
      </c>
      <c r="AY15" s="11">
        <f t="shared" ca="1" si="9"/>
        <v>0</v>
      </c>
      <c r="AZ15" s="11">
        <f t="shared" ca="1" si="9"/>
        <v>0</v>
      </c>
      <c r="BA15" s="11">
        <f t="shared" ca="1" si="9"/>
        <v>0</v>
      </c>
      <c r="BB15" s="11">
        <f t="shared" ca="1" si="9"/>
        <v>0</v>
      </c>
      <c r="BC15" s="11">
        <f t="shared" ca="1" si="9"/>
        <v>0</v>
      </c>
      <c r="BD15" s="11">
        <f t="shared" ca="1" si="9"/>
        <v>0</v>
      </c>
      <c r="BE15" s="11">
        <f t="shared" ca="1" si="9"/>
        <v>0</v>
      </c>
      <c r="BF15" s="11">
        <f t="shared" ca="1" si="9"/>
        <v>0</v>
      </c>
      <c r="BG15" s="11">
        <f t="shared" ca="1" si="9"/>
        <v>0</v>
      </c>
      <c r="BH15" s="11">
        <f t="shared" ca="1" si="9"/>
        <v>0</v>
      </c>
      <c r="BI15" s="11">
        <f t="shared" ca="1" si="9"/>
        <v>0</v>
      </c>
      <c r="BJ15" s="11">
        <f t="shared" ca="1" si="9"/>
        <v>0</v>
      </c>
      <c r="BK15" s="11">
        <f t="shared" ca="1" si="9"/>
        <v>0</v>
      </c>
      <c r="BL15" s="11">
        <f t="shared" ca="1" si="9"/>
        <v>0</v>
      </c>
      <c r="BM15" s="11">
        <f t="shared" ca="1" si="9"/>
        <v>0</v>
      </c>
      <c r="BN15" s="11">
        <f t="shared" ca="1" si="9"/>
        <v>0</v>
      </c>
      <c r="BO15" s="11">
        <f t="shared" ca="1" si="9"/>
        <v>0</v>
      </c>
      <c r="BP15" s="11">
        <f t="shared" ca="1" si="9"/>
        <v>0</v>
      </c>
      <c r="BQ15" s="11">
        <f t="shared" ca="1" si="9"/>
        <v>0</v>
      </c>
    </row>
    <row r="17" spans="1:69">
      <c r="B17" s="22" t="s">
        <v>16</v>
      </c>
    </row>
    <row r="18" spans="1:69">
      <c r="A18" s="17"/>
      <c r="B18" s="17"/>
      <c r="C18" s="26"/>
      <c r="D18" s="27"/>
      <c r="E18" s="4" t="str">
        <f>InpC!E$34</f>
        <v>Supplier price per unit</v>
      </c>
      <c r="F18" s="4">
        <f>InpC!F$34</f>
        <v>35</v>
      </c>
      <c r="G18" s="4" t="str">
        <f>InpC!G$34</f>
        <v>GBP</v>
      </c>
    </row>
    <row r="19" spans="1:69">
      <c r="A19" s="17"/>
      <c r="B19" s="17"/>
      <c r="C19" s="26"/>
      <c r="D19" s="27"/>
      <c r="E19" s="36" t="str">
        <f>InpC!E$77</f>
        <v>Asset Finance Advance %</v>
      </c>
      <c r="F19" s="36">
        <f>InpC!F$77</f>
        <v>1</v>
      </c>
      <c r="G19" s="36" t="str">
        <f>InpC!G$77</f>
        <v>%</v>
      </c>
      <c r="M19" s="45"/>
    </row>
    <row r="20" spans="1:69">
      <c r="A20" s="17"/>
      <c r="B20" s="17"/>
      <c r="C20" s="26"/>
      <c r="D20" s="27"/>
      <c r="E20" s="4" t="str">
        <f>Inventory!E$26</f>
        <v>Units ordered</v>
      </c>
      <c r="F20" s="4">
        <f>Inventory!F$26</f>
        <v>0</v>
      </c>
      <c r="G20" s="4" t="str">
        <f>Inventory!G$26</f>
        <v>Units</v>
      </c>
      <c r="H20" s="4">
        <f ca="1">Inventory!H$26</f>
        <v>165000</v>
      </c>
      <c r="I20" s="4">
        <f>Inventory!I$26</f>
        <v>0</v>
      </c>
      <c r="J20" s="4">
        <f ca="1">Inventory!J$26</f>
        <v>5000</v>
      </c>
      <c r="K20" s="4">
        <f ca="1">Inventory!K$26</f>
        <v>0</v>
      </c>
      <c r="L20" s="4">
        <f ca="1">Inventory!L$26</f>
        <v>0</v>
      </c>
      <c r="M20" s="4">
        <f ca="1">Inventory!M$26</f>
        <v>0</v>
      </c>
      <c r="N20" s="4">
        <f ca="1">Inventory!N$26</f>
        <v>0</v>
      </c>
      <c r="O20" s="4">
        <f ca="1">Inventory!O$26</f>
        <v>0</v>
      </c>
      <c r="P20" s="4">
        <f ca="1">Inventory!P$26</f>
        <v>5000</v>
      </c>
      <c r="Q20" s="4">
        <f ca="1">Inventory!Q$26</f>
        <v>0</v>
      </c>
      <c r="R20" s="4">
        <f ca="1">Inventory!R$26</f>
        <v>0</v>
      </c>
      <c r="S20" s="4">
        <f ca="1">Inventory!S$26</f>
        <v>0</v>
      </c>
      <c r="T20" s="4">
        <f ca="1">Inventory!T$26</f>
        <v>0</v>
      </c>
      <c r="U20" s="4">
        <f ca="1">Inventory!U$26</f>
        <v>0</v>
      </c>
      <c r="V20" s="4">
        <f ca="1">Inventory!V$26</f>
        <v>5000</v>
      </c>
      <c r="W20" s="4">
        <f ca="1">Inventory!W$26</f>
        <v>0</v>
      </c>
      <c r="X20" s="4">
        <f ca="1">Inventory!X$26</f>
        <v>0</v>
      </c>
      <c r="Y20" s="4">
        <f ca="1">Inventory!Y$26</f>
        <v>0</v>
      </c>
      <c r="Z20" s="4">
        <f ca="1">Inventory!Z$26</f>
        <v>5000</v>
      </c>
      <c r="AA20" s="4">
        <f ca="1">Inventory!AA$26</f>
        <v>0</v>
      </c>
      <c r="AB20" s="4">
        <f ca="1">Inventory!AB$26</f>
        <v>0</v>
      </c>
      <c r="AC20" s="4">
        <f ca="1">Inventory!AC$26</f>
        <v>0</v>
      </c>
      <c r="AD20" s="4">
        <f ca="1">Inventory!AD$26</f>
        <v>5000</v>
      </c>
      <c r="AE20" s="4">
        <f ca="1">Inventory!AE$26</f>
        <v>0</v>
      </c>
      <c r="AF20" s="4">
        <f ca="1">Inventory!AF$26</f>
        <v>0</v>
      </c>
      <c r="AG20" s="4">
        <f ca="1">Inventory!AG$26</f>
        <v>5000</v>
      </c>
      <c r="AH20" s="4">
        <f ca="1">Inventory!AH$26</f>
        <v>0</v>
      </c>
      <c r="AI20" s="4">
        <f ca="1">Inventory!AI$26</f>
        <v>5000</v>
      </c>
      <c r="AJ20" s="4">
        <f ca="1">Inventory!AJ$26</f>
        <v>0</v>
      </c>
      <c r="AK20" s="4">
        <f ca="1">Inventory!AK$26</f>
        <v>0</v>
      </c>
      <c r="AL20" s="4">
        <f ca="1">Inventory!AL$26</f>
        <v>5000</v>
      </c>
      <c r="AM20" s="4">
        <f ca="1">Inventory!AM$26</f>
        <v>0</v>
      </c>
      <c r="AN20" s="4">
        <f ca="1">Inventory!AN$26</f>
        <v>0</v>
      </c>
      <c r="AO20" s="4">
        <f ca="1">Inventory!AO$26</f>
        <v>5000</v>
      </c>
      <c r="AP20" s="4">
        <f ca="1">Inventory!AP$26</f>
        <v>0</v>
      </c>
      <c r="AQ20" s="4">
        <f ca="1">Inventory!AQ$26</f>
        <v>5000</v>
      </c>
      <c r="AR20" s="4">
        <f ca="1">Inventory!AR$26</f>
        <v>0</v>
      </c>
      <c r="AS20" s="4">
        <f ca="1">Inventory!AS$26</f>
        <v>5000</v>
      </c>
      <c r="AT20" s="4">
        <f ca="1">Inventory!AT$26</f>
        <v>5000</v>
      </c>
      <c r="AU20" s="4">
        <f ca="1">Inventory!AU$26</f>
        <v>0</v>
      </c>
      <c r="AV20" s="4">
        <f ca="1">Inventory!AV$26</f>
        <v>5000</v>
      </c>
      <c r="AW20" s="4">
        <f ca="1">Inventory!AW$26</f>
        <v>5000</v>
      </c>
      <c r="AX20" s="4">
        <f ca="1">Inventory!AX$26</f>
        <v>0</v>
      </c>
      <c r="AY20" s="4">
        <f ca="1">Inventory!AY$26</f>
        <v>5000</v>
      </c>
      <c r="AZ20" s="4">
        <f ca="1">Inventory!AZ$26</f>
        <v>5000</v>
      </c>
      <c r="BA20" s="4">
        <f ca="1">Inventory!BA$26</f>
        <v>5000</v>
      </c>
      <c r="BB20" s="4">
        <f ca="1">Inventory!BB$26</f>
        <v>5000</v>
      </c>
      <c r="BC20" s="4">
        <f ca="1">Inventory!BC$26</f>
        <v>5000</v>
      </c>
      <c r="BD20" s="4">
        <f ca="1">Inventory!BD$26</f>
        <v>5000</v>
      </c>
      <c r="BE20" s="4">
        <f ca="1">Inventory!BE$26</f>
        <v>5000</v>
      </c>
      <c r="BF20" s="4">
        <f ca="1">Inventory!BF$26</f>
        <v>5000</v>
      </c>
      <c r="BG20" s="4">
        <f ca="1">Inventory!BG$26</f>
        <v>5000</v>
      </c>
      <c r="BH20" s="4">
        <f ca="1">Inventory!BH$26</f>
        <v>5000</v>
      </c>
      <c r="BI20" s="4">
        <f ca="1">Inventory!BI$26</f>
        <v>5000</v>
      </c>
      <c r="BJ20" s="4">
        <f ca="1">Inventory!BJ$26</f>
        <v>5000</v>
      </c>
      <c r="BK20" s="4">
        <f ca="1">Inventory!BK$26</f>
        <v>5000</v>
      </c>
      <c r="BL20" s="4">
        <f ca="1">Inventory!BL$26</f>
        <v>5000</v>
      </c>
      <c r="BM20" s="4">
        <f ca="1">Inventory!BM$26</f>
        <v>5000</v>
      </c>
      <c r="BN20" s="4">
        <f ca="1">Inventory!BN$26</f>
        <v>5000</v>
      </c>
      <c r="BO20" s="4">
        <f ca="1">Inventory!BO$26</f>
        <v>5000</v>
      </c>
      <c r="BP20" s="4">
        <f ca="1">Inventory!BP$26</f>
        <v>5000</v>
      </c>
      <c r="BQ20" s="4">
        <f ca="1">Inventory!BQ$26</f>
        <v>5000</v>
      </c>
    </row>
    <row r="21" spans="1:69">
      <c r="A21" s="17"/>
      <c r="B21" s="17"/>
      <c r="C21" s="26"/>
      <c r="D21" s="27"/>
      <c r="E21" s="4" t="str">
        <f>Time!E$245</f>
        <v>Asset Finance Enabled flag</v>
      </c>
      <c r="F21" s="4">
        <f>Time!F$245</f>
        <v>0</v>
      </c>
      <c r="G21" s="4" t="str">
        <f>Time!G$245</f>
        <v>flag</v>
      </c>
      <c r="H21" s="4">
        <f>Time!H$245</f>
        <v>0</v>
      </c>
      <c r="I21" s="4">
        <f>Time!I$245</f>
        <v>0</v>
      </c>
      <c r="J21" s="4">
        <f>Time!J$245</f>
        <v>0</v>
      </c>
      <c r="K21" s="4">
        <f>Time!K$245</f>
        <v>0</v>
      </c>
      <c r="L21" s="4">
        <f>Time!L$245</f>
        <v>0</v>
      </c>
      <c r="M21" s="4">
        <f>Time!M$245</f>
        <v>0</v>
      </c>
      <c r="N21" s="4">
        <f>Time!N$245</f>
        <v>0</v>
      </c>
      <c r="O21" s="4">
        <f>Time!O$245</f>
        <v>0</v>
      </c>
      <c r="P21" s="4">
        <f>Time!P$245</f>
        <v>0</v>
      </c>
      <c r="Q21" s="4">
        <f>Time!Q$245</f>
        <v>0</v>
      </c>
      <c r="R21" s="4">
        <f>Time!R$245</f>
        <v>0</v>
      </c>
      <c r="S21" s="4">
        <f>Time!S$245</f>
        <v>0</v>
      </c>
      <c r="T21" s="4">
        <f>Time!T$245</f>
        <v>0</v>
      </c>
      <c r="U21" s="4">
        <f>Time!U$245</f>
        <v>0</v>
      </c>
      <c r="V21" s="4">
        <f>Time!V$245</f>
        <v>0</v>
      </c>
      <c r="W21" s="4">
        <f>Time!W$245</f>
        <v>0</v>
      </c>
      <c r="X21" s="4">
        <f>Time!X$245</f>
        <v>0</v>
      </c>
      <c r="Y21" s="4">
        <f>Time!Y$245</f>
        <v>0</v>
      </c>
      <c r="Z21" s="4">
        <f>Time!Z$245</f>
        <v>0</v>
      </c>
      <c r="AA21" s="4">
        <f>Time!AA$245</f>
        <v>0</v>
      </c>
      <c r="AB21" s="4">
        <f>Time!AB$245</f>
        <v>0</v>
      </c>
      <c r="AC21" s="4">
        <f>Time!AC$245</f>
        <v>0</v>
      </c>
      <c r="AD21" s="4">
        <f>Time!AD$245</f>
        <v>0</v>
      </c>
      <c r="AE21" s="4">
        <f>Time!AE$245</f>
        <v>0</v>
      </c>
      <c r="AF21" s="4">
        <f>Time!AF$245</f>
        <v>0</v>
      </c>
      <c r="AG21" s="4">
        <f>Time!AG$245</f>
        <v>0</v>
      </c>
      <c r="AH21" s="4">
        <f>Time!AH$245</f>
        <v>0</v>
      </c>
      <c r="AI21" s="4">
        <f>Time!AI$245</f>
        <v>0</v>
      </c>
      <c r="AJ21" s="4">
        <f>Time!AJ$245</f>
        <v>0</v>
      </c>
      <c r="AK21" s="4">
        <f>Time!AK$245</f>
        <v>0</v>
      </c>
      <c r="AL21" s="4">
        <f>Time!AL$245</f>
        <v>0</v>
      </c>
      <c r="AM21" s="4">
        <f>Time!AM$245</f>
        <v>0</v>
      </c>
      <c r="AN21" s="4">
        <f>Time!AN$245</f>
        <v>0</v>
      </c>
      <c r="AO21" s="4">
        <f>Time!AO$245</f>
        <v>0</v>
      </c>
      <c r="AP21" s="4">
        <f>Time!AP$245</f>
        <v>0</v>
      </c>
      <c r="AQ21" s="4">
        <f>Time!AQ$245</f>
        <v>0</v>
      </c>
      <c r="AR21" s="4">
        <f>Time!AR$245</f>
        <v>0</v>
      </c>
      <c r="AS21" s="4">
        <f>Time!AS$245</f>
        <v>0</v>
      </c>
      <c r="AT21" s="4">
        <f>Time!AT$245</f>
        <v>0</v>
      </c>
      <c r="AU21" s="4">
        <f>Time!AU$245</f>
        <v>0</v>
      </c>
      <c r="AV21" s="4">
        <f>Time!AV$245</f>
        <v>0</v>
      </c>
      <c r="AW21" s="4">
        <f>Time!AW$245</f>
        <v>0</v>
      </c>
      <c r="AX21" s="4">
        <f>Time!AX$245</f>
        <v>0</v>
      </c>
      <c r="AY21" s="4">
        <f>Time!AY$245</f>
        <v>0</v>
      </c>
      <c r="AZ21" s="4">
        <f>Time!AZ$245</f>
        <v>0</v>
      </c>
      <c r="BA21" s="4">
        <f>Time!BA$245</f>
        <v>0</v>
      </c>
      <c r="BB21" s="4">
        <f>Time!BB$245</f>
        <v>0</v>
      </c>
      <c r="BC21" s="4">
        <f>Time!BC$245</f>
        <v>0</v>
      </c>
      <c r="BD21" s="4">
        <f>Time!BD$245</f>
        <v>0</v>
      </c>
      <c r="BE21" s="4">
        <f>Time!BE$245</f>
        <v>0</v>
      </c>
      <c r="BF21" s="4">
        <f>Time!BF$245</f>
        <v>0</v>
      </c>
      <c r="BG21" s="4">
        <f>Time!BG$245</f>
        <v>0</v>
      </c>
      <c r="BH21" s="4">
        <f>Time!BH$245</f>
        <v>0</v>
      </c>
      <c r="BI21" s="4">
        <f>Time!BI$245</f>
        <v>0</v>
      </c>
      <c r="BJ21" s="4">
        <f>Time!BJ$245</f>
        <v>0</v>
      </c>
      <c r="BK21" s="4">
        <f>Time!BK$245</f>
        <v>0</v>
      </c>
      <c r="BL21" s="4">
        <f>Time!BL$245</f>
        <v>0</v>
      </c>
      <c r="BM21" s="4">
        <f>Time!BM$245</f>
        <v>0</v>
      </c>
      <c r="BN21" s="4">
        <f>Time!BN$245</f>
        <v>0</v>
      </c>
      <c r="BO21" s="4">
        <f>Time!BO$245</f>
        <v>0</v>
      </c>
      <c r="BP21" s="4">
        <f>Time!BP$245</f>
        <v>0</v>
      </c>
      <c r="BQ21" s="4">
        <f>Time!BQ$245</f>
        <v>0</v>
      </c>
    </row>
    <row r="22" spans="1:69">
      <c r="A22" s="31"/>
      <c r="B22" s="31"/>
      <c r="C22" s="51"/>
      <c r="D22" s="50"/>
      <c r="E22" s="3" t="s">
        <v>16</v>
      </c>
      <c r="F22" s="3"/>
      <c r="G22" s="3" t="s">
        <v>252</v>
      </c>
      <c r="H22" s="3">
        <f ca="1">SUM(J22:BQ22)</f>
        <v>0</v>
      </c>
      <c r="I22" s="3"/>
      <c r="J22" s="3">
        <f t="shared" ref="J22:AO22" ca="1" si="10">J21*J20*$F18*$F19</f>
        <v>0</v>
      </c>
      <c r="K22" s="3">
        <f t="shared" ca="1" si="10"/>
        <v>0</v>
      </c>
      <c r="L22" s="3">
        <f t="shared" ca="1" si="10"/>
        <v>0</v>
      </c>
      <c r="M22" s="3">
        <f t="shared" ca="1" si="10"/>
        <v>0</v>
      </c>
      <c r="N22" s="3">
        <f t="shared" ca="1" si="10"/>
        <v>0</v>
      </c>
      <c r="O22" s="3">
        <f t="shared" ca="1" si="10"/>
        <v>0</v>
      </c>
      <c r="P22" s="3">
        <f t="shared" ca="1" si="10"/>
        <v>0</v>
      </c>
      <c r="Q22" s="3">
        <f t="shared" ca="1" si="10"/>
        <v>0</v>
      </c>
      <c r="R22" s="3">
        <f t="shared" ca="1" si="10"/>
        <v>0</v>
      </c>
      <c r="S22" s="3">
        <f t="shared" ca="1" si="10"/>
        <v>0</v>
      </c>
      <c r="T22" s="3">
        <f t="shared" ca="1" si="10"/>
        <v>0</v>
      </c>
      <c r="U22" s="3">
        <f t="shared" ca="1" si="10"/>
        <v>0</v>
      </c>
      <c r="V22" s="3">
        <f t="shared" ca="1" si="10"/>
        <v>0</v>
      </c>
      <c r="W22" s="3">
        <f t="shared" ca="1" si="10"/>
        <v>0</v>
      </c>
      <c r="X22" s="3">
        <f t="shared" ca="1" si="10"/>
        <v>0</v>
      </c>
      <c r="Y22" s="3">
        <f t="shared" ca="1" si="10"/>
        <v>0</v>
      </c>
      <c r="Z22" s="3">
        <f t="shared" ca="1" si="10"/>
        <v>0</v>
      </c>
      <c r="AA22" s="3">
        <f t="shared" ca="1" si="10"/>
        <v>0</v>
      </c>
      <c r="AB22" s="3">
        <f t="shared" ca="1" si="10"/>
        <v>0</v>
      </c>
      <c r="AC22" s="3">
        <f t="shared" ca="1" si="10"/>
        <v>0</v>
      </c>
      <c r="AD22" s="3">
        <f t="shared" ca="1" si="10"/>
        <v>0</v>
      </c>
      <c r="AE22" s="3">
        <f t="shared" ca="1" si="10"/>
        <v>0</v>
      </c>
      <c r="AF22" s="3">
        <f t="shared" ca="1" si="10"/>
        <v>0</v>
      </c>
      <c r="AG22" s="3">
        <f t="shared" ca="1" si="10"/>
        <v>0</v>
      </c>
      <c r="AH22" s="3">
        <f t="shared" ca="1" si="10"/>
        <v>0</v>
      </c>
      <c r="AI22" s="3">
        <f t="shared" ca="1" si="10"/>
        <v>0</v>
      </c>
      <c r="AJ22" s="3">
        <f t="shared" ca="1" si="10"/>
        <v>0</v>
      </c>
      <c r="AK22" s="3">
        <f t="shared" ca="1" si="10"/>
        <v>0</v>
      </c>
      <c r="AL22" s="3">
        <f t="shared" ca="1" si="10"/>
        <v>0</v>
      </c>
      <c r="AM22" s="3">
        <f t="shared" ca="1" si="10"/>
        <v>0</v>
      </c>
      <c r="AN22" s="3">
        <f t="shared" ca="1" si="10"/>
        <v>0</v>
      </c>
      <c r="AO22" s="3">
        <f t="shared" ca="1" si="10"/>
        <v>0</v>
      </c>
      <c r="AP22" s="3">
        <f t="shared" ref="AP22:BU22" ca="1" si="11">AP21*AP20*$F18*$F19</f>
        <v>0</v>
      </c>
      <c r="AQ22" s="3">
        <f t="shared" ca="1" si="11"/>
        <v>0</v>
      </c>
      <c r="AR22" s="3">
        <f t="shared" ca="1" si="11"/>
        <v>0</v>
      </c>
      <c r="AS22" s="3">
        <f t="shared" ca="1" si="11"/>
        <v>0</v>
      </c>
      <c r="AT22" s="3">
        <f t="shared" ca="1" si="11"/>
        <v>0</v>
      </c>
      <c r="AU22" s="3">
        <f t="shared" ca="1" si="11"/>
        <v>0</v>
      </c>
      <c r="AV22" s="3">
        <f t="shared" ca="1" si="11"/>
        <v>0</v>
      </c>
      <c r="AW22" s="3">
        <f t="shared" ca="1" si="11"/>
        <v>0</v>
      </c>
      <c r="AX22" s="3">
        <f t="shared" ca="1" si="11"/>
        <v>0</v>
      </c>
      <c r="AY22" s="3">
        <f t="shared" ca="1" si="11"/>
        <v>0</v>
      </c>
      <c r="AZ22" s="3">
        <f t="shared" ca="1" si="11"/>
        <v>0</v>
      </c>
      <c r="BA22" s="3">
        <f t="shared" ca="1" si="11"/>
        <v>0</v>
      </c>
      <c r="BB22" s="3">
        <f t="shared" ca="1" si="11"/>
        <v>0</v>
      </c>
      <c r="BC22" s="3">
        <f t="shared" ca="1" si="11"/>
        <v>0</v>
      </c>
      <c r="BD22" s="3">
        <f t="shared" ca="1" si="11"/>
        <v>0</v>
      </c>
      <c r="BE22" s="3">
        <f t="shared" ca="1" si="11"/>
        <v>0</v>
      </c>
      <c r="BF22" s="3">
        <f t="shared" ca="1" si="11"/>
        <v>0</v>
      </c>
      <c r="BG22" s="3">
        <f t="shared" ca="1" si="11"/>
        <v>0</v>
      </c>
      <c r="BH22" s="3">
        <f t="shared" ca="1" si="11"/>
        <v>0</v>
      </c>
      <c r="BI22" s="3">
        <f t="shared" ca="1" si="11"/>
        <v>0</v>
      </c>
      <c r="BJ22" s="3">
        <f t="shared" ca="1" si="11"/>
        <v>0</v>
      </c>
      <c r="BK22" s="3">
        <f t="shared" ca="1" si="11"/>
        <v>0</v>
      </c>
      <c r="BL22" s="3">
        <f t="shared" ca="1" si="11"/>
        <v>0</v>
      </c>
      <c r="BM22" s="3">
        <f t="shared" ca="1" si="11"/>
        <v>0</v>
      </c>
      <c r="BN22" s="3">
        <f t="shared" ca="1" si="11"/>
        <v>0</v>
      </c>
      <c r="BO22" s="3">
        <f t="shared" ca="1" si="11"/>
        <v>0</v>
      </c>
      <c r="BP22" s="3">
        <f t="shared" ca="1" si="11"/>
        <v>0</v>
      </c>
      <c r="BQ22" s="3">
        <f t="shared" ca="1" si="11"/>
        <v>0</v>
      </c>
    </row>
    <row r="25" spans="1:69">
      <c r="B25" s="22" t="s">
        <v>259</v>
      </c>
    </row>
    <row r="26" spans="1:69">
      <c r="A26" s="17"/>
      <c r="B26" s="17"/>
      <c r="C26" s="26"/>
      <c r="D26" s="27"/>
      <c r="E26" s="4" t="str">
        <f>InpC!E$76</f>
        <v>Asset Finance Period</v>
      </c>
      <c r="F26" s="4">
        <f>InpC!F$76</f>
        <v>24</v>
      </c>
      <c r="G26" s="4" t="str">
        <f>InpC!G$76</f>
        <v>Months</v>
      </c>
    </row>
    <row r="27" spans="1:69">
      <c r="E27" s="2" t="str">
        <f t="shared" ref="E27:AJ27" si="12">E$11</f>
        <v>Asset Finance balance BEG</v>
      </c>
      <c r="F27" s="2">
        <f t="shared" si="12"/>
        <v>0</v>
      </c>
      <c r="G27" s="2" t="str">
        <f t="shared" si="12"/>
        <v>GBP</v>
      </c>
      <c r="H27" s="2">
        <f t="shared" si="12"/>
        <v>0</v>
      </c>
      <c r="I27" s="2">
        <f t="shared" si="12"/>
        <v>0</v>
      </c>
      <c r="J27" s="2">
        <f t="shared" si="12"/>
        <v>0</v>
      </c>
      <c r="K27" s="2">
        <f t="shared" ca="1" si="12"/>
        <v>0</v>
      </c>
      <c r="L27" s="2">
        <f t="shared" ca="1" si="12"/>
        <v>0</v>
      </c>
      <c r="M27" s="2">
        <f t="shared" ca="1" si="12"/>
        <v>0</v>
      </c>
      <c r="N27" s="2">
        <f t="shared" ca="1" si="12"/>
        <v>0</v>
      </c>
      <c r="O27" s="2">
        <f t="shared" ca="1" si="12"/>
        <v>0</v>
      </c>
      <c r="P27" s="2">
        <f t="shared" ca="1" si="12"/>
        <v>0</v>
      </c>
      <c r="Q27" s="2">
        <f t="shared" ca="1" si="12"/>
        <v>0</v>
      </c>
      <c r="R27" s="2">
        <f t="shared" ca="1" si="12"/>
        <v>0</v>
      </c>
      <c r="S27" s="2">
        <f t="shared" ca="1" si="12"/>
        <v>0</v>
      </c>
      <c r="T27" s="2">
        <f t="shared" ca="1" si="12"/>
        <v>0</v>
      </c>
      <c r="U27" s="2">
        <f t="shared" ca="1" si="12"/>
        <v>0</v>
      </c>
      <c r="V27" s="2">
        <f t="shared" ca="1" si="12"/>
        <v>0</v>
      </c>
      <c r="W27" s="2">
        <f t="shared" ca="1" si="12"/>
        <v>0</v>
      </c>
      <c r="X27" s="2">
        <f t="shared" ca="1" si="12"/>
        <v>0</v>
      </c>
      <c r="Y27" s="2">
        <f t="shared" ca="1" si="12"/>
        <v>0</v>
      </c>
      <c r="Z27" s="2">
        <f t="shared" ca="1" si="12"/>
        <v>0</v>
      </c>
      <c r="AA27" s="2">
        <f t="shared" ca="1" si="12"/>
        <v>0</v>
      </c>
      <c r="AB27" s="2">
        <f t="shared" ca="1" si="12"/>
        <v>0</v>
      </c>
      <c r="AC27" s="2">
        <f t="shared" ca="1" si="12"/>
        <v>0</v>
      </c>
      <c r="AD27" s="2">
        <f t="shared" ca="1" si="12"/>
        <v>0</v>
      </c>
      <c r="AE27" s="2">
        <f t="shared" ca="1" si="12"/>
        <v>0</v>
      </c>
      <c r="AF27" s="2">
        <f t="shared" ca="1" si="12"/>
        <v>0</v>
      </c>
      <c r="AG27" s="2">
        <f t="shared" ca="1" si="12"/>
        <v>0</v>
      </c>
      <c r="AH27" s="2">
        <f t="shared" ca="1" si="12"/>
        <v>0</v>
      </c>
      <c r="AI27" s="2">
        <f t="shared" ca="1" si="12"/>
        <v>0</v>
      </c>
      <c r="AJ27" s="2">
        <f t="shared" ca="1" si="12"/>
        <v>0</v>
      </c>
      <c r="AK27" s="2">
        <f t="shared" ref="AK27:BQ27" ca="1" si="13">AK$11</f>
        <v>0</v>
      </c>
      <c r="AL27" s="2">
        <f t="shared" ca="1" si="13"/>
        <v>0</v>
      </c>
      <c r="AM27" s="2">
        <f t="shared" ca="1" si="13"/>
        <v>0</v>
      </c>
      <c r="AN27" s="2">
        <f t="shared" ca="1" si="13"/>
        <v>0</v>
      </c>
      <c r="AO27" s="2">
        <f t="shared" ca="1" si="13"/>
        <v>0</v>
      </c>
      <c r="AP27" s="2">
        <f t="shared" ca="1" si="13"/>
        <v>0</v>
      </c>
      <c r="AQ27" s="2">
        <f t="shared" ca="1" si="13"/>
        <v>0</v>
      </c>
      <c r="AR27" s="2">
        <f t="shared" ca="1" si="13"/>
        <v>0</v>
      </c>
      <c r="AS27" s="2">
        <f t="shared" ca="1" si="13"/>
        <v>0</v>
      </c>
      <c r="AT27" s="2">
        <f t="shared" ca="1" si="13"/>
        <v>0</v>
      </c>
      <c r="AU27" s="2">
        <f t="shared" ca="1" si="13"/>
        <v>0</v>
      </c>
      <c r="AV27" s="2">
        <f t="shared" ca="1" si="13"/>
        <v>0</v>
      </c>
      <c r="AW27" s="2">
        <f t="shared" ca="1" si="13"/>
        <v>0</v>
      </c>
      <c r="AX27" s="2">
        <f t="shared" ca="1" si="13"/>
        <v>0</v>
      </c>
      <c r="AY27" s="2">
        <f t="shared" ca="1" si="13"/>
        <v>0</v>
      </c>
      <c r="AZ27" s="2">
        <f t="shared" ca="1" si="13"/>
        <v>0</v>
      </c>
      <c r="BA27" s="2">
        <f t="shared" ca="1" si="13"/>
        <v>0</v>
      </c>
      <c r="BB27" s="2">
        <f t="shared" ca="1" si="13"/>
        <v>0</v>
      </c>
      <c r="BC27" s="2">
        <f t="shared" ca="1" si="13"/>
        <v>0</v>
      </c>
      <c r="BD27" s="2">
        <f t="shared" ca="1" si="13"/>
        <v>0</v>
      </c>
      <c r="BE27" s="2">
        <f t="shared" ca="1" si="13"/>
        <v>0</v>
      </c>
      <c r="BF27" s="2">
        <f t="shared" ca="1" si="13"/>
        <v>0</v>
      </c>
      <c r="BG27" s="2">
        <f t="shared" ca="1" si="13"/>
        <v>0</v>
      </c>
      <c r="BH27" s="2">
        <f t="shared" ca="1" si="13"/>
        <v>0</v>
      </c>
      <c r="BI27" s="2">
        <f t="shared" ca="1" si="13"/>
        <v>0</v>
      </c>
      <c r="BJ27" s="2">
        <f t="shared" ca="1" si="13"/>
        <v>0</v>
      </c>
      <c r="BK27" s="2">
        <f t="shared" ca="1" si="13"/>
        <v>0</v>
      </c>
      <c r="BL27" s="2">
        <f t="shared" ca="1" si="13"/>
        <v>0</v>
      </c>
      <c r="BM27" s="2">
        <f t="shared" ca="1" si="13"/>
        <v>0</v>
      </c>
      <c r="BN27" s="2">
        <f t="shared" ca="1" si="13"/>
        <v>0</v>
      </c>
      <c r="BO27" s="2">
        <f t="shared" ca="1" si="13"/>
        <v>0</v>
      </c>
      <c r="BP27" s="2">
        <f t="shared" ca="1" si="13"/>
        <v>0</v>
      </c>
      <c r="BQ27" s="2">
        <f t="shared" ca="1" si="13"/>
        <v>0</v>
      </c>
    </row>
    <row r="28" spans="1:69" ht="14.5">
      <c r="E28" s="2" t="s">
        <v>245</v>
      </c>
      <c r="F28"/>
      <c r="G28" s="2" t="s">
        <v>252</v>
      </c>
      <c r="H28" s="2">
        <f ca="1">SUM(J28:BQ28)</f>
        <v>0</v>
      </c>
      <c r="I28"/>
      <c r="J28" s="2">
        <f t="shared" ref="J28:AO28" si="14">J27/$F26</f>
        <v>0</v>
      </c>
      <c r="K28" s="2">
        <f t="shared" ca="1" si="14"/>
        <v>0</v>
      </c>
      <c r="L28" s="2">
        <f t="shared" ca="1" si="14"/>
        <v>0</v>
      </c>
      <c r="M28" s="2">
        <f t="shared" ca="1" si="14"/>
        <v>0</v>
      </c>
      <c r="N28" s="2">
        <f t="shared" ca="1" si="14"/>
        <v>0</v>
      </c>
      <c r="O28" s="2">
        <f t="shared" ca="1" si="14"/>
        <v>0</v>
      </c>
      <c r="P28" s="2">
        <f t="shared" ca="1" si="14"/>
        <v>0</v>
      </c>
      <c r="Q28" s="2">
        <f t="shared" ca="1" si="14"/>
        <v>0</v>
      </c>
      <c r="R28" s="2">
        <f t="shared" ca="1" si="14"/>
        <v>0</v>
      </c>
      <c r="S28" s="2">
        <f t="shared" ca="1" si="14"/>
        <v>0</v>
      </c>
      <c r="T28" s="2">
        <f t="shared" ca="1" si="14"/>
        <v>0</v>
      </c>
      <c r="U28" s="2">
        <f t="shared" ca="1" si="14"/>
        <v>0</v>
      </c>
      <c r="V28" s="2">
        <f t="shared" ca="1" si="14"/>
        <v>0</v>
      </c>
      <c r="W28" s="2">
        <f t="shared" ca="1" si="14"/>
        <v>0</v>
      </c>
      <c r="X28" s="2">
        <f t="shared" ca="1" si="14"/>
        <v>0</v>
      </c>
      <c r="Y28" s="2">
        <f t="shared" ca="1" si="14"/>
        <v>0</v>
      </c>
      <c r="Z28" s="2">
        <f t="shared" ca="1" si="14"/>
        <v>0</v>
      </c>
      <c r="AA28" s="2">
        <f t="shared" ca="1" si="14"/>
        <v>0</v>
      </c>
      <c r="AB28" s="2">
        <f t="shared" ca="1" si="14"/>
        <v>0</v>
      </c>
      <c r="AC28" s="2">
        <f t="shared" ca="1" si="14"/>
        <v>0</v>
      </c>
      <c r="AD28" s="2">
        <f t="shared" ca="1" si="14"/>
        <v>0</v>
      </c>
      <c r="AE28" s="2">
        <f t="shared" ca="1" si="14"/>
        <v>0</v>
      </c>
      <c r="AF28" s="2">
        <f t="shared" ca="1" si="14"/>
        <v>0</v>
      </c>
      <c r="AG28" s="2">
        <f t="shared" ca="1" si="14"/>
        <v>0</v>
      </c>
      <c r="AH28" s="2">
        <f t="shared" ca="1" si="14"/>
        <v>0</v>
      </c>
      <c r="AI28" s="2">
        <f t="shared" ca="1" si="14"/>
        <v>0</v>
      </c>
      <c r="AJ28" s="2">
        <f t="shared" ca="1" si="14"/>
        <v>0</v>
      </c>
      <c r="AK28" s="2">
        <f t="shared" ca="1" si="14"/>
        <v>0</v>
      </c>
      <c r="AL28" s="2">
        <f t="shared" ca="1" si="14"/>
        <v>0</v>
      </c>
      <c r="AM28" s="2">
        <f t="shared" ca="1" si="14"/>
        <v>0</v>
      </c>
      <c r="AN28" s="2">
        <f t="shared" ca="1" si="14"/>
        <v>0</v>
      </c>
      <c r="AO28" s="2">
        <f t="shared" ca="1" si="14"/>
        <v>0</v>
      </c>
      <c r="AP28" s="2">
        <f t="shared" ref="AP28:BU28" ca="1" si="15">AP27/$F26</f>
        <v>0</v>
      </c>
      <c r="AQ28" s="2">
        <f t="shared" ca="1" si="15"/>
        <v>0</v>
      </c>
      <c r="AR28" s="2">
        <f t="shared" ca="1" si="15"/>
        <v>0</v>
      </c>
      <c r="AS28" s="2">
        <f t="shared" ca="1" si="15"/>
        <v>0</v>
      </c>
      <c r="AT28" s="2">
        <f t="shared" ca="1" si="15"/>
        <v>0</v>
      </c>
      <c r="AU28" s="2">
        <f t="shared" ca="1" si="15"/>
        <v>0</v>
      </c>
      <c r="AV28" s="2">
        <f t="shared" ca="1" si="15"/>
        <v>0</v>
      </c>
      <c r="AW28" s="2">
        <f t="shared" ca="1" si="15"/>
        <v>0</v>
      </c>
      <c r="AX28" s="2">
        <f t="shared" ca="1" si="15"/>
        <v>0</v>
      </c>
      <c r="AY28" s="2">
        <f t="shared" ca="1" si="15"/>
        <v>0</v>
      </c>
      <c r="AZ28" s="2">
        <f t="shared" ca="1" si="15"/>
        <v>0</v>
      </c>
      <c r="BA28" s="2">
        <f t="shared" ca="1" si="15"/>
        <v>0</v>
      </c>
      <c r="BB28" s="2">
        <f t="shared" ca="1" si="15"/>
        <v>0</v>
      </c>
      <c r="BC28" s="2">
        <f t="shared" ca="1" si="15"/>
        <v>0</v>
      </c>
      <c r="BD28" s="2">
        <f t="shared" ca="1" si="15"/>
        <v>0</v>
      </c>
      <c r="BE28" s="2">
        <f t="shared" ca="1" si="15"/>
        <v>0</v>
      </c>
      <c r="BF28" s="2">
        <f t="shared" ca="1" si="15"/>
        <v>0</v>
      </c>
      <c r="BG28" s="2">
        <f t="shared" ca="1" si="15"/>
        <v>0</v>
      </c>
      <c r="BH28" s="2">
        <f t="shared" ca="1" si="15"/>
        <v>0</v>
      </c>
      <c r="BI28" s="2">
        <f t="shared" ca="1" si="15"/>
        <v>0</v>
      </c>
      <c r="BJ28" s="2">
        <f t="shared" ca="1" si="15"/>
        <v>0</v>
      </c>
      <c r="BK28" s="2">
        <f t="shared" ca="1" si="15"/>
        <v>0</v>
      </c>
      <c r="BL28" s="2">
        <f t="shared" ca="1" si="15"/>
        <v>0</v>
      </c>
      <c r="BM28" s="2">
        <f t="shared" ca="1" si="15"/>
        <v>0</v>
      </c>
      <c r="BN28" s="2">
        <f t="shared" ca="1" si="15"/>
        <v>0</v>
      </c>
      <c r="BO28" s="2">
        <f t="shared" ca="1" si="15"/>
        <v>0</v>
      </c>
      <c r="BP28" s="2">
        <f t="shared" ca="1" si="15"/>
        <v>0</v>
      </c>
      <c r="BQ28" s="2">
        <f t="shared" ca="1" si="15"/>
        <v>0</v>
      </c>
    </row>
    <row r="29" spans="1:69">
      <c r="A29" s="31"/>
      <c r="B29" s="31"/>
      <c r="C29" s="51"/>
      <c r="D29" s="50"/>
      <c r="E29" s="3" t="str">
        <f>LEFT($E$28,LEN($E$28)-3)</f>
        <v xml:space="preserve">Asset Finance principal repayment </v>
      </c>
      <c r="F29" s="3"/>
      <c r="G29" s="3" t="str">
        <f>G$28</f>
        <v>GBP</v>
      </c>
      <c r="H29" s="3">
        <f ca="1">SUM(J29:BQ29)</f>
        <v>0</v>
      </c>
      <c r="I29" s="3"/>
      <c r="J29" s="3">
        <f t="shared" ref="J29:AO29" si="16">-1*J28</f>
        <v>0</v>
      </c>
      <c r="K29" s="3">
        <f t="shared" ca="1" si="16"/>
        <v>0</v>
      </c>
      <c r="L29" s="3">
        <f t="shared" ca="1" si="16"/>
        <v>0</v>
      </c>
      <c r="M29" s="3">
        <f t="shared" ca="1" si="16"/>
        <v>0</v>
      </c>
      <c r="N29" s="3">
        <f t="shared" ca="1" si="16"/>
        <v>0</v>
      </c>
      <c r="O29" s="3">
        <f t="shared" ca="1" si="16"/>
        <v>0</v>
      </c>
      <c r="P29" s="3">
        <f t="shared" ca="1" si="16"/>
        <v>0</v>
      </c>
      <c r="Q29" s="3">
        <f t="shared" ca="1" si="16"/>
        <v>0</v>
      </c>
      <c r="R29" s="3">
        <f t="shared" ca="1" si="16"/>
        <v>0</v>
      </c>
      <c r="S29" s="3">
        <f t="shared" ca="1" si="16"/>
        <v>0</v>
      </c>
      <c r="T29" s="3">
        <f t="shared" ca="1" si="16"/>
        <v>0</v>
      </c>
      <c r="U29" s="3">
        <f t="shared" ca="1" si="16"/>
        <v>0</v>
      </c>
      <c r="V29" s="3">
        <f t="shared" ca="1" si="16"/>
        <v>0</v>
      </c>
      <c r="W29" s="3">
        <f t="shared" ca="1" si="16"/>
        <v>0</v>
      </c>
      <c r="X29" s="3">
        <f t="shared" ca="1" si="16"/>
        <v>0</v>
      </c>
      <c r="Y29" s="3">
        <f t="shared" ca="1" si="16"/>
        <v>0</v>
      </c>
      <c r="Z29" s="3">
        <f t="shared" ca="1" si="16"/>
        <v>0</v>
      </c>
      <c r="AA29" s="3">
        <f t="shared" ca="1" si="16"/>
        <v>0</v>
      </c>
      <c r="AB29" s="3">
        <f t="shared" ca="1" si="16"/>
        <v>0</v>
      </c>
      <c r="AC29" s="3">
        <f t="shared" ca="1" si="16"/>
        <v>0</v>
      </c>
      <c r="AD29" s="3">
        <f t="shared" ca="1" si="16"/>
        <v>0</v>
      </c>
      <c r="AE29" s="3">
        <f t="shared" ca="1" si="16"/>
        <v>0</v>
      </c>
      <c r="AF29" s="3">
        <f t="shared" ca="1" si="16"/>
        <v>0</v>
      </c>
      <c r="AG29" s="3">
        <f t="shared" ca="1" si="16"/>
        <v>0</v>
      </c>
      <c r="AH29" s="3">
        <f t="shared" ca="1" si="16"/>
        <v>0</v>
      </c>
      <c r="AI29" s="3">
        <f t="shared" ca="1" si="16"/>
        <v>0</v>
      </c>
      <c r="AJ29" s="3">
        <f t="shared" ca="1" si="16"/>
        <v>0</v>
      </c>
      <c r="AK29" s="3">
        <f t="shared" ca="1" si="16"/>
        <v>0</v>
      </c>
      <c r="AL29" s="3">
        <f t="shared" ca="1" si="16"/>
        <v>0</v>
      </c>
      <c r="AM29" s="3">
        <f t="shared" ca="1" si="16"/>
        <v>0</v>
      </c>
      <c r="AN29" s="3">
        <f t="shared" ca="1" si="16"/>
        <v>0</v>
      </c>
      <c r="AO29" s="3">
        <f t="shared" ca="1" si="16"/>
        <v>0</v>
      </c>
      <c r="AP29" s="3">
        <f t="shared" ref="AP29:BU29" ca="1" si="17">-1*AP28</f>
        <v>0</v>
      </c>
      <c r="AQ29" s="3">
        <f t="shared" ca="1" si="17"/>
        <v>0</v>
      </c>
      <c r="AR29" s="3">
        <f t="shared" ca="1" si="17"/>
        <v>0</v>
      </c>
      <c r="AS29" s="3">
        <f t="shared" ca="1" si="17"/>
        <v>0</v>
      </c>
      <c r="AT29" s="3">
        <f t="shared" ca="1" si="17"/>
        <v>0</v>
      </c>
      <c r="AU29" s="3">
        <f t="shared" ca="1" si="17"/>
        <v>0</v>
      </c>
      <c r="AV29" s="3">
        <f t="shared" ca="1" si="17"/>
        <v>0</v>
      </c>
      <c r="AW29" s="3">
        <f t="shared" ca="1" si="17"/>
        <v>0</v>
      </c>
      <c r="AX29" s="3">
        <f t="shared" ca="1" si="17"/>
        <v>0</v>
      </c>
      <c r="AY29" s="3">
        <f t="shared" ca="1" si="17"/>
        <v>0</v>
      </c>
      <c r="AZ29" s="3">
        <f t="shared" ca="1" si="17"/>
        <v>0</v>
      </c>
      <c r="BA29" s="3">
        <f t="shared" ca="1" si="17"/>
        <v>0</v>
      </c>
      <c r="BB29" s="3">
        <f t="shared" ca="1" si="17"/>
        <v>0</v>
      </c>
      <c r="BC29" s="3">
        <f t="shared" ca="1" si="17"/>
        <v>0</v>
      </c>
      <c r="BD29" s="3">
        <f t="shared" ca="1" si="17"/>
        <v>0</v>
      </c>
      <c r="BE29" s="3">
        <f t="shared" ca="1" si="17"/>
        <v>0</v>
      </c>
      <c r="BF29" s="3">
        <f t="shared" ca="1" si="17"/>
        <v>0</v>
      </c>
      <c r="BG29" s="3">
        <f t="shared" ca="1" si="17"/>
        <v>0</v>
      </c>
      <c r="BH29" s="3">
        <f t="shared" ca="1" si="17"/>
        <v>0</v>
      </c>
      <c r="BI29" s="3">
        <f t="shared" ca="1" si="17"/>
        <v>0</v>
      </c>
      <c r="BJ29" s="3">
        <f t="shared" ca="1" si="17"/>
        <v>0</v>
      </c>
      <c r="BK29" s="3">
        <f t="shared" ca="1" si="17"/>
        <v>0</v>
      </c>
      <c r="BL29" s="3">
        <f t="shared" ca="1" si="17"/>
        <v>0</v>
      </c>
      <c r="BM29" s="3">
        <f t="shared" ca="1" si="17"/>
        <v>0</v>
      </c>
      <c r="BN29" s="3">
        <f t="shared" ca="1" si="17"/>
        <v>0</v>
      </c>
      <c r="BO29" s="3">
        <f t="shared" ca="1" si="17"/>
        <v>0</v>
      </c>
      <c r="BP29" s="3">
        <f t="shared" ca="1" si="17"/>
        <v>0</v>
      </c>
      <c r="BQ29" s="3">
        <f t="shared" ca="1" si="17"/>
        <v>0</v>
      </c>
    </row>
    <row r="32" spans="1:69">
      <c r="B32" s="22" t="s">
        <v>317</v>
      </c>
    </row>
    <row r="33" spans="1:69">
      <c r="E33" s="2" t="str">
        <f t="shared" ref="E33:AJ33" si="18">E$41</f>
        <v>Asset Finance interest POS</v>
      </c>
      <c r="F33" s="2">
        <f t="shared" si="18"/>
        <v>0</v>
      </c>
      <c r="G33" s="2" t="str">
        <f t="shared" si="18"/>
        <v>GBP</v>
      </c>
      <c r="H33" s="2">
        <f t="shared" ca="1" si="18"/>
        <v>0</v>
      </c>
      <c r="I33" s="2">
        <f t="shared" si="18"/>
        <v>0</v>
      </c>
      <c r="J33" s="2">
        <f t="shared" si="18"/>
        <v>0</v>
      </c>
      <c r="K33" s="2">
        <f t="shared" ca="1" si="18"/>
        <v>0</v>
      </c>
      <c r="L33" s="2">
        <f t="shared" ca="1" si="18"/>
        <v>0</v>
      </c>
      <c r="M33" s="2">
        <f t="shared" ca="1" si="18"/>
        <v>0</v>
      </c>
      <c r="N33" s="2">
        <f t="shared" ca="1" si="18"/>
        <v>0</v>
      </c>
      <c r="O33" s="2">
        <f t="shared" ca="1" si="18"/>
        <v>0</v>
      </c>
      <c r="P33" s="2">
        <f t="shared" ca="1" si="18"/>
        <v>0</v>
      </c>
      <c r="Q33" s="2">
        <f t="shared" ca="1" si="18"/>
        <v>0</v>
      </c>
      <c r="R33" s="2">
        <f t="shared" ca="1" si="18"/>
        <v>0</v>
      </c>
      <c r="S33" s="2">
        <f t="shared" ca="1" si="18"/>
        <v>0</v>
      </c>
      <c r="T33" s="2">
        <f t="shared" ca="1" si="18"/>
        <v>0</v>
      </c>
      <c r="U33" s="2">
        <f t="shared" ca="1" si="18"/>
        <v>0</v>
      </c>
      <c r="V33" s="2">
        <f t="shared" ca="1" si="18"/>
        <v>0</v>
      </c>
      <c r="W33" s="2">
        <f t="shared" ca="1" si="18"/>
        <v>0</v>
      </c>
      <c r="X33" s="2">
        <f t="shared" ca="1" si="18"/>
        <v>0</v>
      </c>
      <c r="Y33" s="2">
        <f t="shared" ca="1" si="18"/>
        <v>0</v>
      </c>
      <c r="Z33" s="2">
        <f t="shared" ca="1" si="18"/>
        <v>0</v>
      </c>
      <c r="AA33" s="2">
        <f t="shared" ca="1" si="18"/>
        <v>0</v>
      </c>
      <c r="AB33" s="2">
        <f t="shared" ca="1" si="18"/>
        <v>0</v>
      </c>
      <c r="AC33" s="2">
        <f t="shared" ca="1" si="18"/>
        <v>0</v>
      </c>
      <c r="AD33" s="2">
        <f t="shared" ca="1" si="18"/>
        <v>0</v>
      </c>
      <c r="AE33" s="2">
        <f t="shared" ca="1" si="18"/>
        <v>0</v>
      </c>
      <c r="AF33" s="2">
        <f t="shared" ca="1" si="18"/>
        <v>0</v>
      </c>
      <c r="AG33" s="2">
        <f t="shared" ca="1" si="18"/>
        <v>0</v>
      </c>
      <c r="AH33" s="2">
        <f t="shared" ca="1" si="18"/>
        <v>0</v>
      </c>
      <c r="AI33" s="2">
        <f t="shared" ca="1" si="18"/>
        <v>0</v>
      </c>
      <c r="AJ33" s="2">
        <f t="shared" ca="1" si="18"/>
        <v>0</v>
      </c>
      <c r="AK33" s="2">
        <f t="shared" ref="AK33:BQ33" ca="1" si="19">AK$41</f>
        <v>0</v>
      </c>
      <c r="AL33" s="2">
        <f t="shared" ca="1" si="19"/>
        <v>0</v>
      </c>
      <c r="AM33" s="2">
        <f t="shared" ca="1" si="19"/>
        <v>0</v>
      </c>
      <c r="AN33" s="2">
        <f t="shared" ca="1" si="19"/>
        <v>0</v>
      </c>
      <c r="AO33" s="2">
        <f t="shared" ca="1" si="19"/>
        <v>0</v>
      </c>
      <c r="AP33" s="2">
        <f t="shared" ca="1" si="19"/>
        <v>0</v>
      </c>
      <c r="AQ33" s="2">
        <f t="shared" ca="1" si="19"/>
        <v>0</v>
      </c>
      <c r="AR33" s="2">
        <f t="shared" ca="1" si="19"/>
        <v>0</v>
      </c>
      <c r="AS33" s="2">
        <f t="shared" ca="1" si="19"/>
        <v>0</v>
      </c>
      <c r="AT33" s="2">
        <f t="shared" ca="1" si="19"/>
        <v>0</v>
      </c>
      <c r="AU33" s="2">
        <f t="shared" ca="1" si="19"/>
        <v>0</v>
      </c>
      <c r="AV33" s="2">
        <f t="shared" ca="1" si="19"/>
        <v>0</v>
      </c>
      <c r="AW33" s="2">
        <f t="shared" ca="1" si="19"/>
        <v>0</v>
      </c>
      <c r="AX33" s="2">
        <f t="shared" ca="1" si="19"/>
        <v>0</v>
      </c>
      <c r="AY33" s="2">
        <f t="shared" ca="1" si="19"/>
        <v>0</v>
      </c>
      <c r="AZ33" s="2">
        <f t="shared" ca="1" si="19"/>
        <v>0</v>
      </c>
      <c r="BA33" s="2">
        <f t="shared" ca="1" si="19"/>
        <v>0</v>
      </c>
      <c r="BB33" s="2">
        <f t="shared" ca="1" si="19"/>
        <v>0</v>
      </c>
      <c r="BC33" s="2">
        <f t="shared" ca="1" si="19"/>
        <v>0</v>
      </c>
      <c r="BD33" s="2">
        <f t="shared" ca="1" si="19"/>
        <v>0</v>
      </c>
      <c r="BE33" s="2">
        <f t="shared" ca="1" si="19"/>
        <v>0</v>
      </c>
      <c r="BF33" s="2">
        <f t="shared" ca="1" si="19"/>
        <v>0</v>
      </c>
      <c r="BG33" s="2">
        <f t="shared" ca="1" si="19"/>
        <v>0</v>
      </c>
      <c r="BH33" s="2">
        <f t="shared" ca="1" si="19"/>
        <v>0</v>
      </c>
      <c r="BI33" s="2">
        <f t="shared" ca="1" si="19"/>
        <v>0</v>
      </c>
      <c r="BJ33" s="2">
        <f t="shared" ca="1" si="19"/>
        <v>0</v>
      </c>
      <c r="BK33" s="2">
        <f t="shared" ca="1" si="19"/>
        <v>0</v>
      </c>
      <c r="BL33" s="2">
        <f t="shared" ca="1" si="19"/>
        <v>0</v>
      </c>
      <c r="BM33" s="2">
        <f t="shared" ca="1" si="19"/>
        <v>0</v>
      </c>
      <c r="BN33" s="2">
        <f t="shared" ca="1" si="19"/>
        <v>0</v>
      </c>
      <c r="BO33" s="2">
        <f t="shared" ca="1" si="19"/>
        <v>0</v>
      </c>
      <c r="BP33" s="2">
        <f t="shared" ca="1" si="19"/>
        <v>0</v>
      </c>
      <c r="BQ33" s="2">
        <f t="shared" ca="1" si="19"/>
        <v>0</v>
      </c>
    </row>
    <row r="34" spans="1:69">
      <c r="E34" s="2" t="str">
        <f t="shared" ref="E34:AJ34" si="20">E$47</f>
        <v>Asset Finance interest paid POS</v>
      </c>
      <c r="F34" s="2">
        <f t="shared" si="20"/>
        <v>0</v>
      </c>
      <c r="G34" s="2" t="str">
        <f t="shared" si="20"/>
        <v>GBP</v>
      </c>
      <c r="H34" s="2">
        <f t="shared" ca="1" si="20"/>
        <v>0</v>
      </c>
      <c r="I34" s="2">
        <f t="shared" si="20"/>
        <v>0</v>
      </c>
      <c r="J34" s="2">
        <f t="shared" si="20"/>
        <v>0</v>
      </c>
      <c r="K34" s="2">
        <f t="shared" ca="1" si="20"/>
        <v>0</v>
      </c>
      <c r="L34" s="2">
        <f t="shared" ca="1" si="20"/>
        <v>0</v>
      </c>
      <c r="M34" s="2">
        <f t="shared" ca="1" si="20"/>
        <v>0</v>
      </c>
      <c r="N34" s="2">
        <f t="shared" ca="1" si="20"/>
        <v>0</v>
      </c>
      <c r="O34" s="2">
        <f t="shared" ca="1" si="20"/>
        <v>0</v>
      </c>
      <c r="P34" s="2">
        <f t="shared" ca="1" si="20"/>
        <v>0</v>
      </c>
      <c r="Q34" s="2">
        <f t="shared" ca="1" si="20"/>
        <v>0</v>
      </c>
      <c r="R34" s="2">
        <f t="shared" ca="1" si="20"/>
        <v>0</v>
      </c>
      <c r="S34" s="2">
        <f t="shared" ca="1" si="20"/>
        <v>0</v>
      </c>
      <c r="T34" s="2">
        <f t="shared" ca="1" si="20"/>
        <v>0</v>
      </c>
      <c r="U34" s="2">
        <f t="shared" ca="1" si="20"/>
        <v>0</v>
      </c>
      <c r="V34" s="2">
        <f t="shared" ca="1" si="20"/>
        <v>0</v>
      </c>
      <c r="W34" s="2">
        <f t="shared" ca="1" si="20"/>
        <v>0</v>
      </c>
      <c r="X34" s="2">
        <f t="shared" ca="1" si="20"/>
        <v>0</v>
      </c>
      <c r="Y34" s="2">
        <f t="shared" ca="1" si="20"/>
        <v>0</v>
      </c>
      <c r="Z34" s="2">
        <f t="shared" ca="1" si="20"/>
        <v>0</v>
      </c>
      <c r="AA34" s="2">
        <f t="shared" ca="1" si="20"/>
        <v>0</v>
      </c>
      <c r="AB34" s="2">
        <f t="shared" ca="1" si="20"/>
        <v>0</v>
      </c>
      <c r="AC34" s="2">
        <f t="shared" ca="1" si="20"/>
        <v>0</v>
      </c>
      <c r="AD34" s="2">
        <f t="shared" ca="1" si="20"/>
        <v>0</v>
      </c>
      <c r="AE34" s="2">
        <f t="shared" ca="1" si="20"/>
        <v>0</v>
      </c>
      <c r="AF34" s="2">
        <f t="shared" ca="1" si="20"/>
        <v>0</v>
      </c>
      <c r="AG34" s="2">
        <f t="shared" ca="1" si="20"/>
        <v>0</v>
      </c>
      <c r="AH34" s="2">
        <f t="shared" ca="1" si="20"/>
        <v>0</v>
      </c>
      <c r="AI34" s="2">
        <f t="shared" ca="1" si="20"/>
        <v>0</v>
      </c>
      <c r="AJ34" s="2">
        <f t="shared" ca="1" si="20"/>
        <v>0</v>
      </c>
      <c r="AK34" s="2">
        <f t="shared" ref="AK34:BQ34" ca="1" si="21">AK$47</f>
        <v>0</v>
      </c>
      <c r="AL34" s="2">
        <f t="shared" ca="1" si="21"/>
        <v>0</v>
      </c>
      <c r="AM34" s="2">
        <f t="shared" ca="1" si="21"/>
        <v>0</v>
      </c>
      <c r="AN34" s="2">
        <f t="shared" ca="1" si="21"/>
        <v>0</v>
      </c>
      <c r="AO34" s="2">
        <f t="shared" ca="1" si="21"/>
        <v>0</v>
      </c>
      <c r="AP34" s="2">
        <f t="shared" ca="1" si="21"/>
        <v>0</v>
      </c>
      <c r="AQ34" s="2">
        <f t="shared" ca="1" si="21"/>
        <v>0</v>
      </c>
      <c r="AR34" s="2">
        <f t="shared" ca="1" si="21"/>
        <v>0</v>
      </c>
      <c r="AS34" s="2">
        <f t="shared" ca="1" si="21"/>
        <v>0</v>
      </c>
      <c r="AT34" s="2">
        <f t="shared" ca="1" si="21"/>
        <v>0</v>
      </c>
      <c r="AU34" s="2">
        <f t="shared" ca="1" si="21"/>
        <v>0</v>
      </c>
      <c r="AV34" s="2">
        <f t="shared" ca="1" si="21"/>
        <v>0</v>
      </c>
      <c r="AW34" s="2">
        <f t="shared" ca="1" si="21"/>
        <v>0</v>
      </c>
      <c r="AX34" s="2">
        <f t="shared" ca="1" si="21"/>
        <v>0</v>
      </c>
      <c r="AY34" s="2">
        <f t="shared" ca="1" si="21"/>
        <v>0</v>
      </c>
      <c r="AZ34" s="2">
        <f t="shared" ca="1" si="21"/>
        <v>0</v>
      </c>
      <c r="BA34" s="2">
        <f t="shared" ca="1" si="21"/>
        <v>0</v>
      </c>
      <c r="BB34" s="2">
        <f t="shared" ca="1" si="21"/>
        <v>0</v>
      </c>
      <c r="BC34" s="2">
        <f t="shared" ca="1" si="21"/>
        <v>0</v>
      </c>
      <c r="BD34" s="2">
        <f t="shared" ca="1" si="21"/>
        <v>0</v>
      </c>
      <c r="BE34" s="2">
        <f t="shared" ca="1" si="21"/>
        <v>0</v>
      </c>
      <c r="BF34" s="2">
        <f t="shared" ca="1" si="21"/>
        <v>0</v>
      </c>
      <c r="BG34" s="2">
        <f t="shared" ca="1" si="21"/>
        <v>0</v>
      </c>
      <c r="BH34" s="2">
        <f t="shared" ca="1" si="21"/>
        <v>0</v>
      </c>
      <c r="BI34" s="2">
        <f t="shared" ca="1" si="21"/>
        <v>0</v>
      </c>
      <c r="BJ34" s="2">
        <f t="shared" ca="1" si="21"/>
        <v>0</v>
      </c>
      <c r="BK34" s="2">
        <f t="shared" ca="1" si="21"/>
        <v>0</v>
      </c>
      <c r="BL34" s="2">
        <f t="shared" ca="1" si="21"/>
        <v>0</v>
      </c>
      <c r="BM34" s="2">
        <f t="shared" ca="1" si="21"/>
        <v>0</v>
      </c>
      <c r="BN34" s="2">
        <f t="shared" ca="1" si="21"/>
        <v>0</v>
      </c>
      <c r="BO34" s="2">
        <f t="shared" ca="1" si="21"/>
        <v>0</v>
      </c>
      <c r="BP34" s="2">
        <f t="shared" ca="1" si="21"/>
        <v>0</v>
      </c>
      <c r="BQ34" s="2">
        <f t="shared" ca="1" si="21"/>
        <v>0</v>
      </c>
    </row>
    <row r="35" spans="1:69" ht="14.5">
      <c r="E35" s="2" t="s">
        <v>317</v>
      </c>
      <c r="F35"/>
      <c r="G35" s="2" t="s">
        <v>252</v>
      </c>
      <c r="H35" s="2">
        <f ca="1">SUM(J35:BQ35)</f>
        <v>0</v>
      </c>
      <c r="I35"/>
      <c r="J35" s="2">
        <f t="shared" ref="J35:AO35" si="22">J33-J34</f>
        <v>0</v>
      </c>
      <c r="K35" s="2">
        <f t="shared" ca="1" si="22"/>
        <v>0</v>
      </c>
      <c r="L35" s="2">
        <f t="shared" ca="1" si="22"/>
        <v>0</v>
      </c>
      <c r="M35" s="2">
        <f t="shared" ca="1" si="22"/>
        <v>0</v>
      </c>
      <c r="N35" s="2">
        <f t="shared" ca="1" si="22"/>
        <v>0</v>
      </c>
      <c r="O35" s="2">
        <f t="shared" ca="1" si="22"/>
        <v>0</v>
      </c>
      <c r="P35" s="2">
        <f t="shared" ca="1" si="22"/>
        <v>0</v>
      </c>
      <c r="Q35" s="2">
        <f t="shared" ca="1" si="22"/>
        <v>0</v>
      </c>
      <c r="R35" s="2">
        <f t="shared" ca="1" si="22"/>
        <v>0</v>
      </c>
      <c r="S35" s="2">
        <f t="shared" ca="1" si="22"/>
        <v>0</v>
      </c>
      <c r="T35" s="2">
        <f t="shared" ca="1" si="22"/>
        <v>0</v>
      </c>
      <c r="U35" s="2">
        <f t="shared" ca="1" si="22"/>
        <v>0</v>
      </c>
      <c r="V35" s="2">
        <f t="shared" ca="1" si="22"/>
        <v>0</v>
      </c>
      <c r="W35" s="2">
        <f t="shared" ca="1" si="22"/>
        <v>0</v>
      </c>
      <c r="X35" s="2">
        <f t="shared" ca="1" si="22"/>
        <v>0</v>
      </c>
      <c r="Y35" s="2">
        <f t="shared" ca="1" si="22"/>
        <v>0</v>
      </c>
      <c r="Z35" s="2">
        <f t="shared" ca="1" si="22"/>
        <v>0</v>
      </c>
      <c r="AA35" s="2">
        <f t="shared" ca="1" si="22"/>
        <v>0</v>
      </c>
      <c r="AB35" s="2">
        <f t="shared" ca="1" si="22"/>
        <v>0</v>
      </c>
      <c r="AC35" s="2">
        <f t="shared" ca="1" si="22"/>
        <v>0</v>
      </c>
      <c r="AD35" s="2">
        <f t="shared" ca="1" si="22"/>
        <v>0</v>
      </c>
      <c r="AE35" s="2">
        <f t="shared" ca="1" si="22"/>
        <v>0</v>
      </c>
      <c r="AF35" s="2">
        <f t="shared" ca="1" si="22"/>
        <v>0</v>
      </c>
      <c r="AG35" s="2">
        <f t="shared" ca="1" si="22"/>
        <v>0</v>
      </c>
      <c r="AH35" s="2">
        <f t="shared" ca="1" si="22"/>
        <v>0</v>
      </c>
      <c r="AI35" s="2">
        <f t="shared" ca="1" si="22"/>
        <v>0</v>
      </c>
      <c r="AJ35" s="2">
        <f t="shared" ca="1" si="22"/>
        <v>0</v>
      </c>
      <c r="AK35" s="2">
        <f t="shared" ca="1" si="22"/>
        <v>0</v>
      </c>
      <c r="AL35" s="2">
        <f t="shared" ca="1" si="22"/>
        <v>0</v>
      </c>
      <c r="AM35" s="2">
        <f t="shared" ca="1" si="22"/>
        <v>0</v>
      </c>
      <c r="AN35" s="2">
        <f t="shared" ca="1" si="22"/>
        <v>0</v>
      </c>
      <c r="AO35" s="2">
        <f t="shared" ca="1" si="22"/>
        <v>0</v>
      </c>
      <c r="AP35" s="2">
        <f t="shared" ref="AP35:BU35" ca="1" si="23">AP33-AP34</f>
        <v>0</v>
      </c>
      <c r="AQ35" s="2">
        <f t="shared" ca="1" si="23"/>
        <v>0</v>
      </c>
      <c r="AR35" s="2">
        <f t="shared" ca="1" si="23"/>
        <v>0</v>
      </c>
      <c r="AS35" s="2">
        <f t="shared" ca="1" si="23"/>
        <v>0</v>
      </c>
      <c r="AT35" s="2">
        <f t="shared" ca="1" si="23"/>
        <v>0</v>
      </c>
      <c r="AU35" s="2">
        <f t="shared" ca="1" si="23"/>
        <v>0</v>
      </c>
      <c r="AV35" s="2">
        <f t="shared" ca="1" si="23"/>
        <v>0</v>
      </c>
      <c r="AW35" s="2">
        <f t="shared" ca="1" si="23"/>
        <v>0</v>
      </c>
      <c r="AX35" s="2">
        <f t="shared" ca="1" si="23"/>
        <v>0</v>
      </c>
      <c r="AY35" s="2">
        <f t="shared" ca="1" si="23"/>
        <v>0</v>
      </c>
      <c r="AZ35" s="2">
        <f t="shared" ca="1" si="23"/>
        <v>0</v>
      </c>
      <c r="BA35" s="2">
        <f t="shared" ca="1" si="23"/>
        <v>0</v>
      </c>
      <c r="BB35" s="2">
        <f t="shared" ca="1" si="23"/>
        <v>0</v>
      </c>
      <c r="BC35" s="2">
        <f t="shared" ca="1" si="23"/>
        <v>0</v>
      </c>
      <c r="BD35" s="2">
        <f t="shared" ca="1" si="23"/>
        <v>0</v>
      </c>
      <c r="BE35" s="2">
        <f t="shared" ca="1" si="23"/>
        <v>0</v>
      </c>
      <c r="BF35" s="2">
        <f t="shared" ca="1" si="23"/>
        <v>0</v>
      </c>
      <c r="BG35" s="2">
        <f t="shared" ca="1" si="23"/>
        <v>0</v>
      </c>
      <c r="BH35" s="2">
        <f t="shared" ca="1" si="23"/>
        <v>0</v>
      </c>
      <c r="BI35" s="2">
        <f t="shared" ca="1" si="23"/>
        <v>0</v>
      </c>
      <c r="BJ35" s="2">
        <f t="shared" ca="1" si="23"/>
        <v>0</v>
      </c>
      <c r="BK35" s="2">
        <f t="shared" ca="1" si="23"/>
        <v>0</v>
      </c>
      <c r="BL35" s="2">
        <f t="shared" ca="1" si="23"/>
        <v>0</v>
      </c>
      <c r="BM35" s="2">
        <f t="shared" ca="1" si="23"/>
        <v>0</v>
      </c>
      <c r="BN35" s="2">
        <f t="shared" ca="1" si="23"/>
        <v>0</v>
      </c>
      <c r="BO35" s="2">
        <f t="shared" ca="1" si="23"/>
        <v>0</v>
      </c>
      <c r="BP35" s="2">
        <f t="shared" ca="1" si="23"/>
        <v>0</v>
      </c>
      <c r="BQ35" s="2">
        <f t="shared" ca="1" si="23"/>
        <v>0</v>
      </c>
    </row>
    <row r="38" spans="1:69">
      <c r="B38" s="22" t="s">
        <v>135</v>
      </c>
    </row>
    <row r="39" spans="1:69">
      <c r="E39" s="45" t="str">
        <f>E$55</f>
        <v>Asset Finance period interest rate</v>
      </c>
      <c r="F39" s="45">
        <f>F$55</f>
        <v>6.6666666666666671E-3</v>
      </c>
      <c r="G39" s="45" t="str">
        <f>G$55</f>
        <v>%</v>
      </c>
      <c r="M39" s="45"/>
    </row>
    <row r="40" spans="1:69">
      <c r="E40" s="2" t="str">
        <f t="shared" ref="E40:AJ40" si="24">E$11</f>
        <v>Asset Finance balance BEG</v>
      </c>
      <c r="F40" s="2">
        <f t="shared" si="24"/>
        <v>0</v>
      </c>
      <c r="G40" s="2" t="str">
        <f t="shared" si="24"/>
        <v>GBP</v>
      </c>
      <c r="H40" s="2">
        <f t="shared" si="24"/>
        <v>0</v>
      </c>
      <c r="I40" s="2">
        <f t="shared" si="24"/>
        <v>0</v>
      </c>
      <c r="J40" s="2">
        <f t="shared" si="24"/>
        <v>0</v>
      </c>
      <c r="K40" s="2">
        <f t="shared" ca="1" si="24"/>
        <v>0</v>
      </c>
      <c r="L40" s="2">
        <f t="shared" ca="1" si="24"/>
        <v>0</v>
      </c>
      <c r="M40" s="2">
        <f t="shared" ca="1" si="24"/>
        <v>0</v>
      </c>
      <c r="N40" s="2">
        <f t="shared" ca="1" si="24"/>
        <v>0</v>
      </c>
      <c r="O40" s="2">
        <f t="shared" ca="1" si="24"/>
        <v>0</v>
      </c>
      <c r="P40" s="2">
        <f t="shared" ca="1" si="24"/>
        <v>0</v>
      </c>
      <c r="Q40" s="2">
        <f t="shared" ca="1" si="24"/>
        <v>0</v>
      </c>
      <c r="R40" s="2">
        <f t="shared" ca="1" si="24"/>
        <v>0</v>
      </c>
      <c r="S40" s="2">
        <f t="shared" ca="1" si="24"/>
        <v>0</v>
      </c>
      <c r="T40" s="2">
        <f t="shared" ca="1" si="24"/>
        <v>0</v>
      </c>
      <c r="U40" s="2">
        <f t="shared" ca="1" si="24"/>
        <v>0</v>
      </c>
      <c r="V40" s="2">
        <f t="shared" ca="1" si="24"/>
        <v>0</v>
      </c>
      <c r="W40" s="2">
        <f t="shared" ca="1" si="24"/>
        <v>0</v>
      </c>
      <c r="X40" s="2">
        <f t="shared" ca="1" si="24"/>
        <v>0</v>
      </c>
      <c r="Y40" s="2">
        <f t="shared" ca="1" si="24"/>
        <v>0</v>
      </c>
      <c r="Z40" s="2">
        <f t="shared" ca="1" si="24"/>
        <v>0</v>
      </c>
      <c r="AA40" s="2">
        <f t="shared" ca="1" si="24"/>
        <v>0</v>
      </c>
      <c r="AB40" s="2">
        <f t="shared" ca="1" si="24"/>
        <v>0</v>
      </c>
      <c r="AC40" s="2">
        <f t="shared" ca="1" si="24"/>
        <v>0</v>
      </c>
      <c r="AD40" s="2">
        <f t="shared" ca="1" si="24"/>
        <v>0</v>
      </c>
      <c r="AE40" s="2">
        <f t="shared" ca="1" si="24"/>
        <v>0</v>
      </c>
      <c r="AF40" s="2">
        <f t="shared" ca="1" si="24"/>
        <v>0</v>
      </c>
      <c r="AG40" s="2">
        <f t="shared" ca="1" si="24"/>
        <v>0</v>
      </c>
      <c r="AH40" s="2">
        <f t="shared" ca="1" si="24"/>
        <v>0</v>
      </c>
      <c r="AI40" s="2">
        <f t="shared" ca="1" si="24"/>
        <v>0</v>
      </c>
      <c r="AJ40" s="2">
        <f t="shared" ca="1" si="24"/>
        <v>0</v>
      </c>
      <c r="AK40" s="2">
        <f t="shared" ref="AK40:BQ40" ca="1" si="25">AK$11</f>
        <v>0</v>
      </c>
      <c r="AL40" s="2">
        <f t="shared" ca="1" si="25"/>
        <v>0</v>
      </c>
      <c r="AM40" s="2">
        <f t="shared" ca="1" si="25"/>
        <v>0</v>
      </c>
      <c r="AN40" s="2">
        <f t="shared" ca="1" si="25"/>
        <v>0</v>
      </c>
      <c r="AO40" s="2">
        <f t="shared" ca="1" si="25"/>
        <v>0</v>
      </c>
      <c r="AP40" s="2">
        <f t="shared" ca="1" si="25"/>
        <v>0</v>
      </c>
      <c r="AQ40" s="2">
        <f t="shared" ca="1" si="25"/>
        <v>0</v>
      </c>
      <c r="AR40" s="2">
        <f t="shared" ca="1" si="25"/>
        <v>0</v>
      </c>
      <c r="AS40" s="2">
        <f t="shared" ca="1" si="25"/>
        <v>0</v>
      </c>
      <c r="AT40" s="2">
        <f t="shared" ca="1" si="25"/>
        <v>0</v>
      </c>
      <c r="AU40" s="2">
        <f t="shared" ca="1" si="25"/>
        <v>0</v>
      </c>
      <c r="AV40" s="2">
        <f t="shared" ca="1" si="25"/>
        <v>0</v>
      </c>
      <c r="AW40" s="2">
        <f t="shared" ca="1" si="25"/>
        <v>0</v>
      </c>
      <c r="AX40" s="2">
        <f t="shared" ca="1" si="25"/>
        <v>0</v>
      </c>
      <c r="AY40" s="2">
        <f t="shared" ca="1" si="25"/>
        <v>0</v>
      </c>
      <c r="AZ40" s="2">
        <f t="shared" ca="1" si="25"/>
        <v>0</v>
      </c>
      <c r="BA40" s="2">
        <f t="shared" ca="1" si="25"/>
        <v>0</v>
      </c>
      <c r="BB40" s="2">
        <f t="shared" ca="1" si="25"/>
        <v>0</v>
      </c>
      <c r="BC40" s="2">
        <f t="shared" ca="1" si="25"/>
        <v>0</v>
      </c>
      <c r="BD40" s="2">
        <f t="shared" ca="1" si="25"/>
        <v>0</v>
      </c>
      <c r="BE40" s="2">
        <f t="shared" ca="1" si="25"/>
        <v>0</v>
      </c>
      <c r="BF40" s="2">
        <f t="shared" ca="1" si="25"/>
        <v>0</v>
      </c>
      <c r="BG40" s="2">
        <f t="shared" ca="1" si="25"/>
        <v>0</v>
      </c>
      <c r="BH40" s="2">
        <f t="shared" ca="1" si="25"/>
        <v>0</v>
      </c>
      <c r="BI40" s="2">
        <f t="shared" ca="1" si="25"/>
        <v>0</v>
      </c>
      <c r="BJ40" s="2">
        <f t="shared" ca="1" si="25"/>
        <v>0</v>
      </c>
      <c r="BK40" s="2">
        <f t="shared" ca="1" si="25"/>
        <v>0</v>
      </c>
      <c r="BL40" s="2">
        <f t="shared" ca="1" si="25"/>
        <v>0</v>
      </c>
      <c r="BM40" s="2">
        <f t="shared" ca="1" si="25"/>
        <v>0</v>
      </c>
      <c r="BN40" s="2">
        <f t="shared" ca="1" si="25"/>
        <v>0</v>
      </c>
      <c r="BO40" s="2">
        <f t="shared" ca="1" si="25"/>
        <v>0</v>
      </c>
      <c r="BP40" s="2">
        <f t="shared" ca="1" si="25"/>
        <v>0</v>
      </c>
      <c r="BQ40" s="2">
        <f t="shared" ca="1" si="25"/>
        <v>0</v>
      </c>
    </row>
    <row r="41" spans="1:69" ht="14.5">
      <c r="E41" s="2" t="s">
        <v>23</v>
      </c>
      <c r="F41"/>
      <c r="G41" s="2" t="s">
        <v>252</v>
      </c>
      <c r="H41" s="2">
        <f ca="1">SUM(J41:BQ41)</f>
        <v>0</v>
      </c>
      <c r="I41"/>
      <c r="J41" s="2">
        <f t="shared" ref="J41:AO41" si="26">$F39*J40</f>
        <v>0</v>
      </c>
      <c r="K41" s="2">
        <f t="shared" ca="1" si="26"/>
        <v>0</v>
      </c>
      <c r="L41" s="2">
        <f t="shared" ca="1" si="26"/>
        <v>0</v>
      </c>
      <c r="M41" s="2">
        <f t="shared" ca="1" si="26"/>
        <v>0</v>
      </c>
      <c r="N41" s="2">
        <f t="shared" ca="1" si="26"/>
        <v>0</v>
      </c>
      <c r="O41" s="2">
        <f t="shared" ca="1" si="26"/>
        <v>0</v>
      </c>
      <c r="P41" s="2">
        <f t="shared" ca="1" si="26"/>
        <v>0</v>
      </c>
      <c r="Q41" s="2">
        <f t="shared" ca="1" si="26"/>
        <v>0</v>
      </c>
      <c r="R41" s="2">
        <f t="shared" ca="1" si="26"/>
        <v>0</v>
      </c>
      <c r="S41" s="2">
        <f t="shared" ca="1" si="26"/>
        <v>0</v>
      </c>
      <c r="T41" s="2">
        <f t="shared" ca="1" si="26"/>
        <v>0</v>
      </c>
      <c r="U41" s="2">
        <f t="shared" ca="1" si="26"/>
        <v>0</v>
      </c>
      <c r="V41" s="2">
        <f t="shared" ca="1" si="26"/>
        <v>0</v>
      </c>
      <c r="W41" s="2">
        <f t="shared" ca="1" si="26"/>
        <v>0</v>
      </c>
      <c r="X41" s="2">
        <f t="shared" ca="1" si="26"/>
        <v>0</v>
      </c>
      <c r="Y41" s="2">
        <f t="shared" ca="1" si="26"/>
        <v>0</v>
      </c>
      <c r="Z41" s="2">
        <f t="shared" ca="1" si="26"/>
        <v>0</v>
      </c>
      <c r="AA41" s="2">
        <f t="shared" ca="1" si="26"/>
        <v>0</v>
      </c>
      <c r="AB41" s="2">
        <f t="shared" ca="1" si="26"/>
        <v>0</v>
      </c>
      <c r="AC41" s="2">
        <f t="shared" ca="1" si="26"/>
        <v>0</v>
      </c>
      <c r="AD41" s="2">
        <f t="shared" ca="1" si="26"/>
        <v>0</v>
      </c>
      <c r="AE41" s="2">
        <f t="shared" ca="1" si="26"/>
        <v>0</v>
      </c>
      <c r="AF41" s="2">
        <f t="shared" ca="1" si="26"/>
        <v>0</v>
      </c>
      <c r="AG41" s="2">
        <f t="shared" ca="1" si="26"/>
        <v>0</v>
      </c>
      <c r="AH41" s="2">
        <f t="shared" ca="1" si="26"/>
        <v>0</v>
      </c>
      <c r="AI41" s="2">
        <f t="shared" ca="1" si="26"/>
        <v>0</v>
      </c>
      <c r="AJ41" s="2">
        <f t="shared" ca="1" si="26"/>
        <v>0</v>
      </c>
      <c r="AK41" s="2">
        <f t="shared" ca="1" si="26"/>
        <v>0</v>
      </c>
      <c r="AL41" s="2">
        <f t="shared" ca="1" si="26"/>
        <v>0</v>
      </c>
      <c r="AM41" s="2">
        <f t="shared" ca="1" si="26"/>
        <v>0</v>
      </c>
      <c r="AN41" s="2">
        <f t="shared" ca="1" si="26"/>
        <v>0</v>
      </c>
      <c r="AO41" s="2">
        <f t="shared" ca="1" si="26"/>
        <v>0</v>
      </c>
      <c r="AP41" s="2">
        <f t="shared" ref="AP41:BU41" ca="1" si="27">$F39*AP40</f>
        <v>0</v>
      </c>
      <c r="AQ41" s="2">
        <f t="shared" ca="1" si="27"/>
        <v>0</v>
      </c>
      <c r="AR41" s="2">
        <f t="shared" ca="1" si="27"/>
        <v>0</v>
      </c>
      <c r="AS41" s="2">
        <f t="shared" ca="1" si="27"/>
        <v>0</v>
      </c>
      <c r="AT41" s="2">
        <f t="shared" ca="1" si="27"/>
        <v>0</v>
      </c>
      <c r="AU41" s="2">
        <f t="shared" ca="1" si="27"/>
        <v>0</v>
      </c>
      <c r="AV41" s="2">
        <f t="shared" ca="1" si="27"/>
        <v>0</v>
      </c>
      <c r="AW41" s="2">
        <f t="shared" ca="1" si="27"/>
        <v>0</v>
      </c>
      <c r="AX41" s="2">
        <f t="shared" ca="1" si="27"/>
        <v>0</v>
      </c>
      <c r="AY41" s="2">
        <f t="shared" ca="1" si="27"/>
        <v>0</v>
      </c>
      <c r="AZ41" s="2">
        <f t="shared" ca="1" si="27"/>
        <v>0</v>
      </c>
      <c r="BA41" s="2">
        <f t="shared" ca="1" si="27"/>
        <v>0</v>
      </c>
      <c r="BB41" s="2">
        <f t="shared" ca="1" si="27"/>
        <v>0</v>
      </c>
      <c r="BC41" s="2">
        <f t="shared" ca="1" si="27"/>
        <v>0</v>
      </c>
      <c r="BD41" s="2">
        <f t="shared" ca="1" si="27"/>
        <v>0</v>
      </c>
      <c r="BE41" s="2">
        <f t="shared" ca="1" si="27"/>
        <v>0</v>
      </c>
      <c r="BF41" s="2">
        <f t="shared" ca="1" si="27"/>
        <v>0</v>
      </c>
      <c r="BG41" s="2">
        <f t="shared" ca="1" si="27"/>
        <v>0</v>
      </c>
      <c r="BH41" s="2">
        <f t="shared" ca="1" si="27"/>
        <v>0</v>
      </c>
      <c r="BI41" s="2">
        <f t="shared" ca="1" si="27"/>
        <v>0</v>
      </c>
      <c r="BJ41" s="2">
        <f t="shared" ca="1" si="27"/>
        <v>0</v>
      </c>
      <c r="BK41" s="2">
        <f t="shared" ca="1" si="27"/>
        <v>0</v>
      </c>
      <c r="BL41" s="2">
        <f t="shared" ca="1" si="27"/>
        <v>0</v>
      </c>
      <c r="BM41" s="2">
        <f t="shared" ca="1" si="27"/>
        <v>0</v>
      </c>
      <c r="BN41" s="2">
        <f t="shared" ca="1" si="27"/>
        <v>0</v>
      </c>
      <c r="BO41" s="2">
        <f t="shared" ca="1" si="27"/>
        <v>0</v>
      </c>
      <c r="BP41" s="2">
        <f t="shared" ca="1" si="27"/>
        <v>0</v>
      </c>
      <c r="BQ41" s="2">
        <f t="shared" ca="1" si="27"/>
        <v>0</v>
      </c>
    </row>
    <row r="42" spans="1:69">
      <c r="A42" s="31"/>
      <c r="B42" s="31"/>
      <c r="C42" s="51"/>
      <c r="D42" s="50"/>
      <c r="E42" s="3" t="str">
        <f>LEFT($E$41,LEN($E$41)-3)</f>
        <v xml:space="preserve">Asset Finance interest </v>
      </c>
      <c r="F42" s="3"/>
      <c r="G42" s="3" t="str">
        <f>G$41</f>
        <v>GBP</v>
      </c>
      <c r="H42" s="3">
        <f ca="1">SUM(J42:BQ42)</f>
        <v>0</v>
      </c>
      <c r="I42" s="3"/>
      <c r="J42" s="3">
        <f t="shared" ref="J42:AO42" si="28">-1*J41</f>
        <v>0</v>
      </c>
      <c r="K42" s="3">
        <f t="shared" ca="1" si="28"/>
        <v>0</v>
      </c>
      <c r="L42" s="3">
        <f t="shared" ca="1" si="28"/>
        <v>0</v>
      </c>
      <c r="M42" s="3">
        <f t="shared" ca="1" si="28"/>
        <v>0</v>
      </c>
      <c r="N42" s="3">
        <f t="shared" ca="1" si="28"/>
        <v>0</v>
      </c>
      <c r="O42" s="3">
        <f t="shared" ca="1" si="28"/>
        <v>0</v>
      </c>
      <c r="P42" s="3">
        <f t="shared" ca="1" si="28"/>
        <v>0</v>
      </c>
      <c r="Q42" s="3">
        <f t="shared" ca="1" si="28"/>
        <v>0</v>
      </c>
      <c r="R42" s="3">
        <f t="shared" ca="1" si="28"/>
        <v>0</v>
      </c>
      <c r="S42" s="3">
        <f t="shared" ca="1" si="28"/>
        <v>0</v>
      </c>
      <c r="T42" s="3">
        <f t="shared" ca="1" si="28"/>
        <v>0</v>
      </c>
      <c r="U42" s="3">
        <f t="shared" ca="1" si="28"/>
        <v>0</v>
      </c>
      <c r="V42" s="3">
        <f t="shared" ca="1" si="28"/>
        <v>0</v>
      </c>
      <c r="W42" s="3">
        <f t="shared" ca="1" si="28"/>
        <v>0</v>
      </c>
      <c r="X42" s="3">
        <f t="shared" ca="1" si="28"/>
        <v>0</v>
      </c>
      <c r="Y42" s="3">
        <f t="shared" ca="1" si="28"/>
        <v>0</v>
      </c>
      <c r="Z42" s="3">
        <f t="shared" ca="1" si="28"/>
        <v>0</v>
      </c>
      <c r="AA42" s="3">
        <f t="shared" ca="1" si="28"/>
        <v>0</v>
      </c>
      <c r="AB42" s="3">
        <f t="shared" ca="1" si="28"/>
        <v>0</v>
      </c>
      <c r="AC42" s="3">
        <f t="shared" ca="1" si="28"/>
        <v>0</v>
      </c>
      <c r="AD42" s="3">
        <f t="shared" ca="1" si="28"/>
        <v>0</v>
      </c>
      <c r="AE42" s="3">
        <f t="shared" ca="1" si="28"/>
        <v>0</v>
      </c>
      <c r="AF42" s="3">
        <f t="shared" ca="1" si="28"/>
        <v>0</v>
      </c>
      <c r="AG42" s="3">
        <f t="shared" ca="1" si="28"/>
        <v>0</v>
      </c>
      <c r="AH42" s="3">
        <f t="shared" ca="1" si="28"/>
        <v>0</v>
      </c>
      <c r="AI42" s="3">
        <f t="shared" ca="1" si="28"/>
        <v>0</v>
      </c>
      <c r="AJ42" s="3">
        <f t="shared" ca="1" si="28"/>
        <v>0</v>
      </c>
      <c r="AK42" s="3">
        <f t="shared" ca="1" si="28"/>
        <v>0</v>
      </c>
      <c r="AL42" s="3">
        <f t="shared" ca="1" si="28"/>
        <v>0</v>
      </c>
      <c r="AM42" s="3">
        <f t="shared" ca="1" si="28"/>
        <v>0</v>
      </c>
      <c r="AN42" s="3">
        <f t="shared" ca="1" si="28"/>
        <v>0</v>
      </c>
      <c r="AO42" s="3">
        <f t="shared" ca="1" si="28"/>
        <v>0</v>
      </c>
      <c r="AP42" s="3">
        <f t="shared" ref="AP42:BU42" ca="1" si="29">-1*AP41</f>
        <v>0</v>
      </c>
      <c r="AQ42" s="3">
        <f t="shared" ca="1" si="29"/>
        <v>0</v>
      </c>
      <c r="AR42" s="3">
        <f t="shared" ca="1" si="29"/>
        <v>0</v>
      </c>
      <c r="AS42" s="3">
        <f t="shared" ca="1" si="29"/>
        <v>0</v>
      </c>
      <c r="AT42" s="3">
        <f t="shared" ca="1" si="29"/>
        <v>0</v>
      </c>
      <c r="AU42" s="3">
        <f t="shared" ca="1" si="29"/>
        <v>0</v>
      </c>
      <c r="AV42" s="3">
        <f t="shared" ca="1" si="29"/>
        <v>0</v>
      </c>
      <c r="AW42" s="3">
        <f t="shared" ca="1" si="29"/>
        <v>0</v>
      </c>
      <c r="AX42" s="3">
        <f t="shared" ca="1" si="29"/>
        <v>0</v>
      </c>
      <c r="AY42" s="3">
        <f t="shared" ca="1" si="29"/>
        <v>0</v>
      </c>
      <c r="AZ42" s="3">
        <f t="shared" ca="1" si="29"/>
        <v>0</v>
      </c>
      <c r="BA42" s="3">
        <f t="shared" ca="1" si="29"/>
        <v>0</v>
      </c>
      <c r="BB42" s="3">
        <f t="shared" ca="1" si="29"/>
        <v>0</v>
      </c>
      <c r="BC42" s="3">
        <f t="shared" ca="1" si="29"/>
        <v>0</v>
      </c>
      <c r="BD42" s="3">
        <f t="shared" ca="1" si="29"/>
        <v>0</v>
      </c>
      <c r="BE42" s="3">
        <f t="shared" ca="1" si="29"/>
        <v>0</v>
      </c>
      <c r="BF42" s="3">
        <f t="shared" ca="1" si="29"/>
        <v>0</v>
      </c>
      <c r="BG42" s="3">
        <f t="shared" ca="1" si="29"/>
        <v>0</v>
      </c>
      <c r="BH42" s="3">
        <f t="shared" ca="1" si="29"/>
        <v>0</v>
      </c>
      <c r="BI42" s="3">
        <f t="shared" ca="1" si="29"/>
        <v>0</v>
      </c>
      <c r="BJ42" s="3">
        <f t="shared" ca="1" si="29"/>
        <v>0</v>
      </c>
      <c r="BK42" s="3">
        <f t="shared" ca="1" si="29"/>
        <v>0</v>
      </c>
      <c r="BL42" s="3">
        <f t="shared" ca="1" si="29"/>
        <v>0</v>
      </c>
      <c r="BM42" s="3">
        <f t="shared" ca="1" si="29"/>
        <v>0</v>
      </c>
      <c r="BN42" s="3">
        <f t="shared" ca="1" si="29"/>
        <v>0</v>
      </c>
      <c r="BO42" s="3">
        <f t="shared" ca="1" si="29"/>
        <v>0</v>
      </c>
      <c r="BP42" s="3">
        <f t="shared" ca="1" si="29"/>
        <v>0</v>
      </c>
      <c r="BQ42" s="3">
        <f t="shared" ca="1" si="29"/>
        <v>0</v>
      </c>
    </row>
    <row r="45" spans="1:69">
      <c r="B45" s="22" t="s">
        <v>82</v>
      </c>
    </row>
    <row r="46" spans="1:69">
      <c r="E46" s="2" t="str">
        <f t="shared" ref="E46:AJ46" si="30">E$41</f>
        <v>Asset Finance interest POS</v>
      </c>
      <c r="F46" s="2">
        <f t="shared" si="30"/>
        <v>0</v>
      </c>
      <c r="G46" s="2" t="str">
        <f t="shared" si="30"/>
        <v>GBP</v>
      </c>
      <c r="H46" s="2">
        <f t="shared" ca="1" si="30"/>
        <v>0</v>
      </c>
      <c r="I46" s="2">
        <f t="shared" si="30"/>
        <v>0</v>
      </c>
      <c r="J46" s="2">
        <f t="shared" si="30"/>
        <v>0</v>
      </c>
      <c r="K46" s="2">
        <f t="shared" ca="1" si="30"/>
        <v>0</v>
      </c>
      <c r="L46" s="2">
        <f t="shared" ca="1" si="30"/>
        <v>0</v>
      </c>
      <c r="M46" s="2">
        <f t="shared" ca="1" si="30"/>
        <v>0</v>
      </c>
      <c r="N46" s="2">
        <f t="shared" ca="1" si="30"/>
        <v>0</v>
      </c>
      <c r="O46" s="2">
        <f t="shared" ca="1" si="30"/>
        <v>0</v>
      </c>
      <c r="P46" s="2">
        <f t="shared" ca="1" si="30"/>
        <v>0</v>
      </c>
      <c r="Q46" s="2">
        <f t="shared" ca="1" si="30"/>
        <v>0</v>
      </c>
      <c r="R46" s="2">
        <f t="shared" ca="1" si="30"/>
        <v>0</v>
      </c>
      <c r="S46" s="2">
        <f t="shared" ca="1" si="30"/>
        <v>0</v>
      </c>
      <c r="T46" s="2">
        <f t="shared" ca="1" si="30"/>
        <v>0</v>
      </c>
      <c r="U46" s="2">
        <f t="shared" ca="1" si="30"/>
        <v>0</v>
      </c>
      <c r="V46" s="2">
        <f t="shared" ca="1" si="30"/>
        <v>0</v>
      </c>
      <c r="W46" s="2">
        <f t="shared" ca="1" si="30"/>
        <v>0</v>
      </c>
      <c r="X46" s="2">
        <f t="shared" ca="1" si="30"/>
        <v>0</v>
      </c>
      <c r="Y46" s="2">
        <f t="shared" ca="1" si="30"/>
        <v>0</v>
      </c>
      <c r="Z46" s="2">
        <f t="shared" ca="1" si="30"/>
        <v>0</v>
      </c>
      <c r="AA46" s="2">
        <f t="shared" ca="1" si="30"/>
        <v>0</v>
      </c>
      <c r="AB46" s="2">
        <f t="shared" ca="1" si="30"/>
        <v>0</v>
      </c>
      <c r="AC46" s="2">
        <f t="shared" ca="1" si="30"/>
        <v>0</v>
      </c>
      <c r="AD46" s="2">
        <f t="shared" ca="1" si="30"/>
        <v>0</v>
      </c>
      <c r="AE46" s="2">
        <f t="shared" ca="1" si="30"/>
        <v>0</v>
      </c>
      <c r="AF46" s="2">
        <f t="shared" ca="1" si="30"/>
        <v>0</v>
      </c>
      <c r="AG46" s="2">
        <f t="shared" ca="1" si="30"/>
        <v>0</v>
      </c>
      <c r="AH46" s="2">
        <f t="shared" ca="1" si="30"/>
        <v>0</v>
      </c>
      <c r="AI46" s="2">
        <f t="shared" ca="1" si="30"/>
        <v>0</v>
      </c>
      <c r="AJ46" s="2">
        <f t="shared" ca="1" si="30"/>
        <v>0</v>
      </c>
      <c r="AK46" s="2">
        <f t="shared" ref="AK46:BQ46" ca="1" si="31">AK$41</f>
        <v>0</v>
      </c>
      <c r="AL46" s="2">
        <f t="shared" ca="1" si="31"/>
        <v>0</v>
      </c>
      <c r="AM46" s="2">
        <f t="shared" ca="1" si="31"/>
        <v>0</v>
      </c>
      <c r="AN46" s="2">
        <f t="shared" ca="1" si="31"/>
        <v>0</v>
      </c>
      <c r="AO46" s="2">
        <f t="shared" ca="1" si="31"/>
        <v>0</v>
      </c>
      <c r="AP46" s="2">
        <f t="shared" ca="1" si="31"/>
        <v>0</v>
      </c>
      <c r="AQ46" s="2">
        <f t="shared" ca="1" si="31"/>
        <v>0</v>
      </c>
      <c r="AR46" s="2">
        <f t="shared" ca="1" si="31"/>
        <v>0</v>
      </c>
      <c r="AS46" s="2">
        <f t="shared" ca="1" si="31"/>
        <v>0</v>
      </c>
      <c r="AT46" s="2">
        <f t="shared" ca="1" si="31"/>
        <v>0</v>
      </c>
      <c r="AU46" s="2">
        <f t="shared" ca="1" si="31"/>
        <v>0</v>
      </c>
      <c r="AV46" s="2">
        <f t="shared" ca="1" si="31"/>
        <v>0</v>
      </c>
      <c r="AW46" s="2">
        <f t="shared" ca="1" si="31"/>
        <v>0</v>
      </c>
      <c r="AX46" s="2">
        <f t="shared" ca="1" si="31"/>
        <v>0</v>
      </c>
      <c r="AY46" s="2">
        <f t="shared" ca="1" si="31"/>
        <v>0</v>
      </c>
      <c r="AZ46" s="2">
        <f t="shared" ca="1" si="31"/>
        <v>0</v>
      </c>
      <c r="BA46" s="2">
        <f t="shared" ca="1" si="31"/>
        <v>0</v>
      </c>
      <c r="BB46" s="2">
        <f t="shared" ca="1" si="31"/>
        <v>0</v>
      </c>
      <c r="BC46" s="2">
        <f t="shared" ca="1" si="31"/>
        <v>0</v>
      </c>
      <c r="BD46" s="2">
        <f t="shared" ca="1" si="31"/>
        <v>0</v>
      </c>
      <c r="BE46" s="2">
        <f t="shared" ca="1" si="31"/>
        <v>0</v>
      </c>
      <c r="BF46" s="2">
        <f t="shared" ca="1" si="31"/>
        <v>0</v>
      </c>
      <c r="BG46" s="2">
        <f t="shared" ca="1" si="31"/>
        <v>0</v>
      </c>
      <c r="BH46" s="2">
        <f t="shared" ca="1" si="31"/>
        <v>0</v>
      </c>
      <c r="BI46" s="2">
        <f t="shared" ca="1" si="31"/>
        <v>0</v>
      </c>
      <c r="BJ46" s="2">
        <f t="shared" ca="1" si="31"/>
        <v>0</v>
      </c>
      <c r="BK46" s="2">
        <f t="shared" ca="1" si="31"/>
        <v>0</v>
      </c>
      <c r="BL46" s="2">
        <f t="shared" ca="1" si="31"/>
        <v>0</v>
      </c>
      <c r="BM46" s="2">
        <f t="shared" ca="1" si="31"/>
        <v>0</v>
      </c>
      <c r="BN46" s="2">
        <f t="shared" ca="1" si="31"/>
        <v>0</v>
      </c>
      <c r="BO46" s="2">
        <f t="shared" ca="1" si="31"/>
        <v>0</v>
      </c>
      <c r="BP46" s="2">
        <f t="shared" ca="1" si="31"/>
        <v>0</v>
      </c>
      <c r="BQ46" s="2">
        <f t="shared" ca="1" si="31"/>
        <v>0</v>
      </c>
    </row>
    <row r="47" spans="1:69" ht="14.5">
      <c r="E47" s="2" t="s">
        <v>246</v>
      </c>
      <c r="F47"/>
      <c r="G47" s="2" t="s">
        <v>252</v>
      </c>
      <c r="H47" s="2">
        <f ca="1">SUM(J47:BQ47)</f>
        <v>0</v>
      </c>
      <c r="I47"/>
      <c r="J47" s="2">
        <f t="shared" ref="J47:AO47" si="32">J46</f>
        <v>0</v>
      </c>
      <c r="K47" s="2">
        <f t="shared" ca="1" si="32"/>
        <v>0</v>
      </c>
      <c r="L47" s="2">
        <f t="shared" ca="1" si="32"/>
        <v>0</v>
      </c>
      <c r="M47" s="2">
        <f t="shared" ca="1" si="32"/>
        <v>0</v>
      </c>
      <c r="N47" s="2">
        <f t="shared" ca="1" si="32"/>
        <v>0</v>
      </c>
      <c r="O47" s="2">
        <f t="shared" ca="1" si="32"/>
        <v>0</v>
      </c>
      <c r="P47" s="2">
        <f t="shared" ca="1" si="32"/>
        <v>0</v>
      </c>
      <c r="Q47" s="2">
        <f t="shared" ca="1" si="32"/>
        <v>0</v>
      </c>
      <c r="R47" s="2">
        <f t="shared" ca="1" si="32"/>
        <v>0</v>
      </c>
      <c r="S47" s="2">
        <f t="shared" ca="1" si="32"/>
        <v>0</v>
      </c>
      <c r="T47" s="2">
        <f t="shared" ca="1" si="32"/>
        <v>0</v>
      </c>
      <c r="U47" s="2">
        <f t="shared" ca="1" si="32"/>
        <v>0</v>
      </c>
      <c r="V47" s="2">
        <f t="shared" ca="1" si="32"/>
        <v>0</v>
      </c>
      <c r="W47" s="2">
        <f t="shared" ca="1" si="32"/>
        <v>0</v>
      </c>
      <c r="X47" s="2">
        <f t="shared" ca="1" si="32"/>
        <v>0</v>
      </c>
      <c r="Y47" s="2">
        <f t="shared" ca="1" si="32"/>
        <v>0</v>
      </c>
      <c r="Z47" s="2">
        <f t="shared" ca="1" si="32"/>
        <v>0</v>
      </c>
      <c r="AA47" s="2">
        <f t="shared" ca="1" si="32"/>
        <v>0</v>
      </c>
      <c r="AB47" s="2">
        <f t="shared" ca="1" si="32"/>
        <v>0</v>
      </c>
      <c r="AC47" s="2">
        <f t="shared" ca="1" si="32"/>
        <v>0</v>
      </c>
      <c r="AD47" s="2">
        <f t="shared" ca="1" si="32"/>
        <v>0</v>
      </c>
      <c r="AE47" s="2">
        <f t="shared" ca="1" si="32"/>
        <v>0</v>
      </c>
      <c r="AF47" s="2">
        <f t="shared" ca="1" si="32"/>
        <v>0</v>
      </c>
      <c r="AG47" s="2">
        <f t="shared" ca="1" si="32"/>
        <v>0</v>
      </c>
      <c r="AH47" s="2">
        <f t="shared" ca="1" si="32"/>
        <v>0</v>
      </c>
      <c r="AI47" s="2">
        <f t="shared" ca="1" si="32"/>
        <v>0</v>
      </c>
      <c r="AJ47" s="2">
        <f t="shared" ca="1" si="32"/>
        <v>0</v>
      </c>
      <c r="AK47" s="2">
        <f t="shared" ca="1" si="32"/>
        <v>0</v>
      </c>
      <c r="AL47" s="2">
        <f t="shared" ca="1" si="32"/>
        <v>0</v>
      </c>
      <c r="AM47" s="2">
        <f t="shared" ca="1" si="32"/>
        <v>0</v>
      </c>
      <c r="AN47" s="2">
        <f t="shared" ca="1" si="32"/>
        <v>0</v>
      </c>
      <c r="AO47" s="2">
        <f t="shared" ca="1" si="32"/>
        <v>0</v>
      </c>
      <c r="AP47" s="2">
        <f t="shared" ref="AP47:BU47" ca="1" si="33">AP46</f>
        <v>0</v>
      </c>
      <c r="AQ47" s="2">
        <f t="shared" ca="1" si="33"/>
        <v>0</v>
      </c>
      <c r="AR47" s="2">
        <f t="shared" ca="1" si="33"/>
        <v>0</v>
      </c>
      <c r="AS47" s="2">
        <f t="shared" ca="1" si="33"/>
        <v>0</v>
      </c>
      <c r="AT47" s="2">
        <f t="shared" ca="1" si="33"/>
        <v>0</v>
      </c>
      <c r="AU47" s="2">
        <f t="shared" ca="1" si="33"/>
        <v>0</v>
      </c>
      <c r="AV47" s="2">
        <f t="shared" ca="1" si="33"/>
        <v>0</v>
      </c>
      <c r="AW47" s="2">
        <f t="shared" ca="1" si="33"/>
        <v>0</v>
      </c>
      <c r="AX47" s="2">
        <f t="shared" ca="1" si="33"/>
        <v>0</v>
      </c>
      <c r="AY47" s="2">
        <f t="shared" ca="1" si="33"/>
        <v>0</v>
      </c>
      <c r="AZ47" s="2">
        <f t="shared" ca="1" si="33"/>
        <v>0</v>
      </c>
      <c r="BA47" s="2">
        <f t="shared" ca="1" si="33"/>
        <v>0</v>
      </c>
      <c r="BB47" s="2">
        <f t="shared" ca="1" si="33"/>
        <v>0</v>
      </c>
      <c r="BC47" s="2">
        <f t="shared" ca="1" si="33"/>
        <v>0</v>
      </c>
      <c r="BD47" s="2">
        <f t="shared" ca="1" si="33"/>
        <v>0</v>
      </c>
      <c r="BE47" s="2">
        <f t="shared" ca="1" si="33"/>
        <v>0</v>
      </c>
      <c r="BF47" s="2">
        <f t="shared" ca="1" si="33"/>
        <v>0</v>
      </c>
      <c r="BG47" s="2">
        <f t="shared" ca="1" si="33"/>
        <v>0</v>
      </c>
      <c r="BH47" s="2">
        <f t="shared" ca="1" si="33"/>
        <v>0</v>
      </c>
      <c r="BI47" s="2">
        <f t="shared" ca="1" si="33"/>
        <v>0</v>
      </c>
      <c r="BJ47" s="2">
        <f t="shared" ca="1" si="33"/>
        <v>0</v>
      </c>
      <c r="BK47" s="2">
        <f t="shared" ca="1" si="33"/>
        <v>0</v>
      </c>
      <c r="BL47" s="2">
        <f t="shared" ca="1" si="33"/>
        <v>0</v>
      </c>
      <c r="BM47" s="2">
        <f t="shared" ca="1" si="33"/>
        <v>0</v>
      </c>
      <c r="BN47" s="2">
        <f t="shared" ca="1" si="33"/>
        <v>0</v>
      </c>
      <c r="BO47" s="2">
        <f t="shared" ca="1" si="33"/>
        <v>0</v>
      </c>
      <c r="BP47" s="2">
        <f t="shared" ca="1" si="33"/>
        <v>0</v>
      </c>
      <c r="BQ47" s="2">
        <f t="shared" ca="1" si="33"/>
        <v>0</v>
      </c>
    </row>
    <row r="48" spans="1:69">
      <c r="A48" s="31"/>
      <c r="B48" s="31"/>
      <c r="C48" s="51"/>
      <c r="D48" s="50"/>
      <c r="E48" s="3" t="str">
        <f>LEFT($E$47,LEN($E$47)-3)</f>
        <v xml:space="preserve">Asset Finance interest paid </v>
      </c>
      <c r="F48" s="3"/>
      <c r="G48" s="3" t="str">
        <f>G$47</f>
        <v>GBP</v>
      </c>
      <c r="H48" s="3">
        <f ca="1">SUM(J48:BQ48)</f>
        <v>0</v>
      </c>
      <c r="I48" s="3"/>
      <c r="J48" s="3">
        <f t="shared" ref="J48:AO48" si="34">-1*J47</f>
        <v>0</v>
      </c>
      <c r="K48" s="3">
        <f t="shared" ca="1" si="34"/>
        <v>0</v>
      </c>
      <c r="L48" s="3">
        <f t="shared" ca="1" si="34"/>
        <v>0</v>
      </c>
      <c r="M48" s="3">
        <f t="shared" ca="1" si="34"/>
        <v>0</v>
      </c>
      <c r="N48" s="3">
        <f t="shared" ca="1" si="34"/>
        <v>0</v>
      </c>
      <c r="O48" s="3">
        <f t="shared" ca="1" si="34"/>
        <v>0</v>
      </c>
      <c r="P48" s="3">
        <f t="shared" ca="1" si="34"/>
        <v>0</v>
      </c>
      <c r="Q48" s="3">
        <f t="shared" ca="1" si="34"/>
        <v>0</v>
      </c>
      <c r="R48" s="3">
        <f t="shared" ca="1" si="34"/>
        <v>0</v>
      </c>
      <c r="S48" s="3">
        <f t="shared" ca="1" si="34"/>
        <v>0</v>
      </c>
      <c r="T48" s="3">
        <f t="shared" ca="1" si="34"/>
        <v>0</v>
      </c>
      <c r="U48" s="3">
        <f t="shared" ca="1" si="34"/>
        <v>0</v>
      </c>
      <c r="V48" s="3">
        <f t="shared" ca="1" si="34"/>
        <v>0</v>
      </c>
      <c r="W48" s="3">
        <f t="shared" ca="1" si="34"/>
        <v>0</v>
      </c>
      <c r="X48" s="3">
        <f t="shared" ca="1" si="34"/>
        <v>0</v>
      </c>
      <c r="Y48" s="3">
        <f t="shared" ca="1" si="34"/>
        <v>0</v>
      </c>
      <c r="Z48" s="3">
        <f t="shared" ca="1" si="34"/>
        <v>0</v>
      </c>
      <c r="AA48" s="3">
        <f t="shared" ca="1" si="34"/>
        <v>0</v>
      </c>
      <c r="AB48" s="3">
        <f t="shared" ca="1" si="34"/>
        <v>0</v>
      </c>
      <c r="AC48" s="3">
        <f t="shared" ca="1" si="34"/>
        <v>0</v>
      </c>
      <c r="AD48" s="3">
        <f t="shared" ca="1" si="34"/>
        <v>0</v>
      </c>
      <c r="AE48" s="3">
        <f t="shared" ca="1" si="34"/>
        <v>0</v>
      </c>
      <c r="AF48" s="3">
        <f t="shared" ca="1" si="34"/>
        <v>0</v>
      </c>
      <c r="AG48" s="3">
        <f t="shared" ca="1" si="34"/>
        <v>0</v>
      </c>
      <c r="AH48" s="3">
        <f t="shared" ca="1" si="34"/>
        <v>0</v>
      </c>
      <c r="AI48" s="3">
        <f t="shared" ca="1" si="34"/>
        <v>0</v>
      </c>
      <c r="AJ48" s="3">
        <f t="shared" ca="1" si="34"/>
        <v>0</v>
      </c>
      <c r="AK48" s="3">
        <f t="shared" ca="1" si="34"/>
        <v>0</v>
      </c>
      <c r="AL48" s="3">
        <f t="shared" ca="1" si="34"/>
        <v>0</v>
      </c>
      <c r="AM48" s="3">
        <f t="shared" ca="1" si="34"/>
        <v>0</v>
      </c>
      <c r="AN48" s="3">
        <f t="shared" ca="1" si="34"/>
        <v>0</v>
      </c>
      <c r="AO48" s="3">
        <f t="shared" ca="1" si="34"/>
        <v>0</v>
      </c>
      <c r="AP48" s="3">
        <f t="shared" ref="AP48:BU48" ca="1" si="35">-1*AP47</f>
        <v>0</v>
      </c>
      <c r="AQ48" s="3">
        <f t="shared" ca="1" si="35"/>
        <v>0</v>
      </c>
      <c r="AR48" s="3">
        <f t="shared" ca="1" si="35"/>
        <v>0</v>
      </c>
      <c r="AS48" s="3">
        <f t="shared" ca="1" si="35"/>
        <v>0</v>
      </c>
      <c r="AT48" s="3">
        <f t="shared" ca="1" si="35"/>
        <v>0</v>
      </c>
      <c r="AU48" s="3">
        <f t="shared" ca="1" si="35"/>
        <v>0</v>
      </c>
      <c r="AV48" s="3">
        <f t="shared" ca="1" si="35"/>
        <v>0</v>
      </c>
      <c r="AW48" s="3">
        <f t="shared" ca="1" si="35"/>
        <v>0</v>
      </c>
      <c r="AX48" s="3">
        <f t="shared" ca="1" si="35"/>
        <v>0</v>
      </c>
      <c r="AY48" s="3">
        <f t="shared" ca="1" si="35"/>
        <v>0</v>
      </c>
      <c r="AZ48" s="3">
        <f t="shared" ca="1" si="35"/>
        <v>0</v>
      </c>
      <c r="BA48" s="3">
        <f t="shared" ca="1" si="35"/>
        <v>0</v>
      </c>
      <c r="BB48" s="3">
        <f t="shared" ca="1" si="35"/>
        <v>0</v>
      </c>
      <c r="BC48" s="3">
        <f t="shared" ca="1" si="35"/>
        <v>0</v>
      </c>
      <c r="BD48" s="3">
        <f t="shared" ca="1" si="35"/>
        <v>0</v>
      </c>
      <c r="BE48" s="3">
        <f t="shared" ca="1" si="35"/>
        <v>0</v>
      </c>
      <c r="BF48" s="3">
        <f t="shared" ca="1" si="35"/>
        <v>0</v>
      </c>
      <c r="BG48" s="3">
        <f t="shared" ca="1" si="35"/>
        <v>0</v>
      </c>
      <c r="BH48" s="3">
        <f t="shared" ca="1" si="35"/>
        <v>0</v>
      </c>
      <c r="BI48" s="3">
        <f t="shared" ca="1" si="35"/>
        <v>0</v>
      </c>
      <c r="BJ48" s="3">
        <f t="shared" ca="1" si="35"/>
        <v>0</v>
      </c>
      <c r="BK48" s="3">
        <f t="shared" ca="1" si="35"/>
        <v>0</v>
      </c>
      <c r="BL48" s="3">
        <f t="shared" ca="1" si="35"/>
        <v>0</v>
      </c>
      <c r="BM48" s="3">
        <f t="shared" ca="1" si="35"/>
        <v>0</v>
      </c>
      <c r="BN48" s="3">
        <f t="shared" ca="1" si="35"/>
        <v>0</v>
      </c>
      <c r="BO48" s="3">
        <f t="shared" ca="1" si="35"/>
        <v>0</v>
      </c>
      <c r="BP48" s="3">
        <f t="shared" ca="1" si="35"/>
        <v>0</v>
      </c>
      <c r="BQ48" s="3">
        <f t="shared" ca="1" si="35"/>
        <v>0</v>
      </c>
    </row>
    <row r="51" spans="1:13">
      <c r="B51" s="22" t="s">
        <v>241</v>
      </c>
    </row>
    <row r="52" spans="1:13">
      <c r="A52" s="17"/>
      <c r="B52" s="17"/>
      <c r="C52" s="26"/>
      <c r="D52" s="27"/>
      <c r="E52" s="36" t="str">
        <f>InpC!E$75</f>
        <v>All in Trade finance annual interest rate</v>
      </c>
      <c r="F52" s="36">
        <f>InpC!F$75</f>
        <v>0.08</v>
      </c>
      <c r="G52" s="36" t="str">
        <f>InpC!G$75</f>
        <v>%</v>
      </c>
      <c r="M52" s="45"/>
    </row>
    <row r="53" spans="1:13">
      <c r="A53" s="17"/>
      <c r="B53" s="17"/>
      <c r="C53" s="26"/>
      <c r="D53" s="27"/>
      <c r="E53" s="4" t="str">
        <f>InpC!E$56</f>
        <v>debt day count convention</v>
      </c>
      <c r="F53" s="4">
        <f>InpC!F$56</f>
        <v>360</v>
      </c>
      <c r="G53" s="4" t="str">
        <f>InpC!G$56</f>
        <v>day</v>
      </c>
    </row>
    <row r="54" spans="1:13">
      <c r="A54" s="17"/>
      <c r="B54" s="17"/>
      <c r="C54" s="26"/>
      <c r="D54" s="27"/>
      <c r="E54" s="4" t="str">
        <f>InpC!E$55</f>
        <v>Days in period</v>
      </c>
      <c r="F54" s="4">
        <f>InpC!F$55</f>
        <v>30</v>
      </c>
      <c r="G54" s="4" t="str">
        <f>InpC!G$55</f>
        <v>day</v>
      </c>
    </row>
    <row r="55" spans="1:13">
      <c r="E55" s="2" t="s">
        <v>241</v>
      </c>
      <c r="F55" s="45">
        <f>$F52/$F53*$F54</f>
        <v>6.6666666666666671E-3</v>
      </c>
      <c r="G55" s="2" t="s">
        <v>205</v>
      </c>
      <c r="M55" s="45"/>
    </row>
    <row r="58" spans="1:13">
      <c r="B58" s="22" t="s">
        <v>265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BQ54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46.7265625" style="2" customWidth="1"/>
    <col min="6" max="6" width="20.7265625" style="2" customWidth="1"/>
    <col min="7" max="8" width="13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48" width="11.7265625" style="2" customWidth="1"/>
    <col min="49" max="50" width="12.7265625" style="2" customWidth="1"/>
    <col min="51" max="51" width="11.7265625" style="2" customWidth="1"/>
    <col min="52" max="53" width="12.7265625" style="2" customWidth="1"/>
    <col min="54" max="54" width="11.7265625" style="2" customWidth="1"/>
    <col min="55" max="55" width="12.7265625" style="2" customWidth="1"/>
    <col min="56" max="57" width="11.7265625" style="2" customWidth="1"/>
    <col min="58" max="59" width="12.7265625" style="2" customWidth="1"/>
    <col min="60" max="60" width="11.7265625" style="2" customWidth="1"/>
    <col min="61" max="67" width="12.7265625" style="2" customWidth="1"/>
    <col min="68" max="68" width="11.7265625" style="2" customWidth="1"/>
    <col min="69" max="69" width="12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VAT</v>
      </c>
      <c r="B1" s="37"/>
      <c r="C1" s="58"/>
      <c r="D1" s="67"/>
      <c r="F1" s="42" t="str">
        <f>HYPERLINK("#Contents!A1","Go to contents")</f>
        <v>Go to contents</v>
      </c>
      <c r="H1" s="38"/>
      <c r="J1" s="38"/>
    </row>
    <row r="2" spans="1:69" s="43" customFormat="1">
      <c r="A2" s="39"/>
      <c r="B2" s="39"/>
      <c r="C2" s="56"/>
      <c r="D2" s="62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>
      <c r="A3" s="39"/>
      <c r="B3" s="39"/>
      <c r="C3" s="56"/>
      <c r="D3" s="62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62"/>
      <c r="E4" s="20" t="s">
        <v>325</v>
      </c>
      <c r="F4" s="22"/>
      <c r="G4" s="20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>
      <c r="A5" s="39"/>
      <c r="B5" s="39"/>
      <c r="C5" s="56"/>
      <c r="D5" s="62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6" spans="1:69">
      <c r="F6" s="22"/>
      <c r="G6" s="22"/>
      <c r="H6" s="22"/>
    </row>
    <row r="8" spans="1:69">
      <c r="B8" s="22" t="s">
        <v>338</v>
      </c>
    </row>
    <row r="9" spans="1:69">
      <c r="A9" s="17"/>
      <c r="B9" s="17"/>
      <c r="C9" s="26"/>
      <c r="D9" s="27"/>
      <c r="E9" s="4" t="str">
        <f>Inventory!E$11</f>
        <v>VAT on inventory</v>
      </c>
      <c r="F9" s="4">
        <f>Inventory!F$11</f>
        <v>0</v>
      </c>
      <c r="G9" s="4" t="str">
        <f>Inventory!G$11</f>
        <v>GBP</v>
      </c>
      <c r="H9" s="4">
        <f ca="1">Inventory!H$11</f>
        <v>1155000</v>
      </c>
      <c r="I9" s="4">
        <f>Inventory!I$11</f>
        <v>0</v>
      </c>
      <c r="J9" s="4">
        <f ca="1">Inventory!J$11</f>
        <v>35000</v>
      </c>
      <c r="K9" s="4">
        <f ca="1">Inventory!K$11</f>
        <v>0</v>
      </c>
      <c r="L9" s="4">
        <f ca="1">Inventory!L$11</f>
        <v>0</v>
      </c>
      <c r="M9" s="4">
        <f ca="1">Inventory!M$11</f>
        <v>0</v>
      </c>
      <c r="N9" s="4">
        <f ca="1">Inventory!N$11</f>
        <v>0</v>
      </c>
      <c r="O9" s="4">
        <f ca="1">Inventory!O$11</f>
        <v>0</v>
      </c>
      <c r="P9" s="4">
        <f ca="1">Inventory!P$11</f>
        <v>35000</v>
      </c>
      <c r="Q9" s="4">
        <f ca="1">Inventory!Q$11</f>
        <v>0</v>
      </c>
      <c r="R9" s="4">
        <f ca="1">Inventory!R$11</f>
        <v>0</v>
      </c>
      <c r="S9" s="4">
        <f ca="1">Inventory!S$11</f>
        <v>0</v>
      </c>
      <c r="T9" s="4">
        <f ca="1">Inventory!T$11</f>
        <v>0</v>
      </c>
      <c r="U9" s="4">
        <f ca="1">Inventory!U$11</f>
        <v>0</v>
      </c>
      <c r="V9" s="4">
        <f ca="1">Inventory!V$11</f>
        <v>35000</v>
      </c>
      <c r="W9" s="4">
        <f ca="1">Inventory!W$11</f>
        <v>0</v>
      </c>
      <c r="X9" s="4">
        <f ca="1">Inventory!X$11</f>
        <v>0</v>
      </c>
      <c r="Y9" s="4">
        <f ca="1">Inventory!Y$11</f>
        <v>0</v>
      </c>
      <c r="Z9" s="4">
        <f ca="1">Inventory!Z$11</f>
        <v>35000</v>
      </c>
      <c r="AA9" s="4">
        <f ca="1">Inventory!AA$11</f>
        <v>0</v>
      </c>
      <c r="AB9" s="4">
        <f ca="1">Inventory!AB$11</f>
        <v>0</v>
      </c>
      <c r="AC9" s="4">
        <f ca="1">Inventory!AC$11</f>
        <v>0</v>
      </c>
      <c r="AD9" s="4">
        <f ca="1">Inventory!AD$11</f>
        <v>35000</v>
      </c>
      <c r="AE9" s="4">
        <f ca="1">Inventory!AE$11</f>
        <v>0</v>
      </c>
      <c r="AF9" s="4">
        <f ca="1">Inventory!AF$11</f>
        <v>0</v>
      </c>
      <c r="AG9" s="4">
        <f ca="1">Inventory!AG$11</f>
        <v>35000</v>
      </c>
      <c r="AH9" s="4">
        <f ca="1">Inventory!AH$11</f>
        <v>0</v>
      </c>
      <c r="AI9" s="4">
        <f ca="1">Inventory!AI$11</f>
        <v>35000</v>
      </c>
      <c r="AJ9" s="4">
        <f ca="1">Inventory!AJ$11</f>
        <v>0</v>
      </c>
      <c r="AK9" s="4">
        <f ca="1">Inventory!AK$11</f>
        <v>0</v>
      </c>
      <c r="AL9" s="4">
        <f ca="1">Inventory!AL$11</f>
        <v>35000</v>
      </c>
      <c r="AM9" s="4">
        <f ca="1">Inventory!AM$11</f>
        <v>0</v>
      </c>
      <c r="AN9" s="4">
        <f ca="1">Inventory!AN$11</f>
        <v>0</v>
      </c>
      <c r="AO9" s="4">
        <f ca="1">Inventory!AO$11</f>
        <v>35000</v>
      </c>
      <c r="AP9" s="4">
        <f ca="1">Inventory!AP$11</f>
        <v>0</v>
      </c>
      <c r="AQ9" s="4">
        <f ca="1">Inventory!AQ$11</f>
        <v>35000</v>
      </c>
      <c r="AR9" s="4">
        <f ca="1">Inventory!AR$11</f>
        <v>0</v>
      </c>
      <c r="AS9" s="4">
        <f ca="1">Inventory!AS$11</f>
        <v>35000</v>
      </c>
      <c r="AT9" s="4">
        <f ca="1">Inventory!AT$11</f>
        <v>35000</v>
      </c>
      <c r="AU9" s="4">
        <f ca="1">Inventory!AU$11</f>
        <v>0</v>
      </c>
      <c r="AV9" s="4">
        <f ca="1">Inventory!AV$11</f>
        <v>35000</v>
      </c>
      <c r="AW9" s="4">
        <f ca="1">Inventory!AW$11</f>
        <v>35000</v>
      </c>
      <c r="AX9" s="4">
        <f ca="1">Inventory!AX$11</f>
        <v>0</v>
      </c>
      <c r="AY9" s="4">
        <f ca="1">Inventory!AY$11</f>
        <v>35000</v>
      </c>
      <c r="AZ9" s="4">
        <f ca="1">Inventory!AZ$11</f>
        <v>35000</v>
      </c>
      <c r="BA9" s="4">
        <f ca="1">Inventory!BA$11</f>
        <v>35000</v>
      </c>
      <c r="BB9" s="4">
        <f ca="1">Inventory!BB$11</f>
        <v>35000</v>
      </c>
      <c r="BC9" s="4">
        <f ca="1">Inventory!BC$11</f>
        <v>35000</v>
      </c>
      <c r="BD9" s="4">
        <f ca="1">Inventory!BD$11</f>
        <v>35000</v>
      </c>
      <c r="BE9" s="4">
        <f ca="1">Inventory!BE$11</f>
        <v>35000</v>
      </c>
      <c r="BF9" s="4">
        <f ca="1">Inventory!BF$11</f>
        <v>35000</v>
      </c>
      <c r="BG9" s="4">
        <f ca="1">Inventory!BG$11</f>
        <v>35000</v>
      </c>
      <c r="BH9" s="4">
        <f ca="1">Inventory!BH$11</f>
        <v>35000</v>
      </c>
      <c r="BI9" s="4">
        <f ca="1">Inventory!BI$11</f>
        <v>35000</v>
      </c>
      <c r="BJ9" s="4">
        <f ca="1">Inventory!BJ$11</f>
        <v>35000</v>
      </c>
      <c r="BK9" s="4">
        <f ca="1">Inventory!BK$11</f>
        <v>35000</v>
      </c>
      <c r="BL9" s="4">
        <f ca="1">Inventory!BL$11</f>
        <v>35000</v>
      </c>
      <c r="BM9" s="4">
        <f ca="1">Inventory!BM$11</f>
        <v>35000</v>
      </c>
      <c r="BN9" s="4">
        <f ca="1">Inventory!BN$11</f>
        <v>35000</v>
      </c>
      <c r="BO9" s="4">
        <f ca="1">Inventory!BO$11</f>
        <v>35000</v>
      </c>
      <c r="BP9" s="4">
        <f ca="1">Inventory!BP$11</f>
        <v>35000</v>
      </c>
      <c r="BQ9" s="4">
        <f ca="1">Inventory!BQ$11</f>
        <v>35000</v>
      </c>
    </row>
    <row r="10" spans="1:69">
      <c r="A10" s="17"/>
      <c r="B10" s="17"/>
      <c r="C10" s="26"/>
      <c r="D10" s="27"/>
      <c r="E10" s="4" t="str">
        <f>Expense!E$13</f>
        <v>VAT on operating expense</v>
      </c>
      <c r="F10" s="4">
        <f>Expense!F$13</f>
        <v>0</v>
      </c>
      <c r="G10" s="4" t="str">
        <f>Expense!G$13</f>
        <v>GBP</v>
      </c>
      <c r="H10" s="4">
        <f ca="1">Expense!H$13</f>
        <v>1509890.9023222984</v>
      </c>
      <c r="I10" s="4">
        <f>Expense!I$13</f>
        <v>0</v>
      </c>
      <c r="J10" s="4">
        <f ca="1">Expense!J$13</f>
        <v>4600</v>
      </c>
      <c r="K10" s="4">
        <f ca="1">Expense!K$13</f>
        <v>4727.3385096090778</v>
      </c>
      <c r="L10" s="4">
        <f ca="1">Expense!L$13</f>
        <v>4857.9164770385696</v>
      </c>
      <c r="M10" s="4">
        <f ca="1">Expense!M$13</f>
        <v>5061.6800526344441</v>
      </c>
      <c r="N10" s="4">
        <f ca="1">Expense!N$13</f>
        <v>5213.3277485616682</v>
      </c>
      <c r="O10" s="4">
        <f ca="1">Expense!O$13</f>
        <v>5368.8333215445264</v>
      </c>
      <c r="P10" s="4">
        <f ca="1">Expense!P$13</f>
        <v>5601.3696335963396</v>
      </c>
      <c r="Q10" s="4">
        <f ca="1">Expense!Q$13</f>
        <v>5775.9739920761522</v>
      </c>
      <c r="R10" s="4">
        <f ca="1">Expense!R$13</f>
        <v>5967.1591003470094</v>
      </c>
      <c r="S10" s="4">
        <f ca="1">Expense!S$13</f>
        <v>6233.7147140034831</v>
      </c>
      <c r="T10" s="4">
        <f ca="1">Expense!T$13</f>
        <v>6428.6014865335992</v>
      </c>
      <c r="U10" s="4">
        <f ca="1">Expense!U$13</f>
        <v>6654.8546194502633</v>
      </c>
      <c r="V10" s="4">
        <f ca="1">Expense!V$13</f>
        <v>6950</v>
      </c>
      <c r="W10" s="4">
        <f ca="1">Expense!W$13</f>
        <v>7208.5439494530356</v>
      </c>
      <c r="X10" s="4">
        <f ca="1">Expense!X$13</f>
        <v>7469.5587470494575</v>
      </c>
      <c r="Y10" s="4">
        <f ca="1">Expense!Y$13</f>
        <v>7822.4763028165098</v>
      </c>
      <c r="Z10" s="4">
        <f ca="1">Expense!Z$13</f>
        <v>8125.5593493625029</v>
      </c>
      <c r="AA10" s="4">
        <f ca="1">Expense!AA$13</f>
        <v>8436.3281311731298</v>
      </c>
      <c r="AB10" s="4">
        <f ca="1">Expense!AB$13</f>
        <v>8844.9829741575886</v>
      </c>
      <c r="AC10" s="4">
        <f ca="1">Expense!AC$13</f>
        <v>9193.8642690893521</v>
      </c>
      <c r="AD10" s="4">
        <f ca="1">Expense!AD$13</f>
        <v>9579.383218451263</v>
      </c>
      <c r="AE10" s="4">
        <f ca="1">Expense!AE$13</f>
        <v>10055.187415476941</v>
      </c>
      <c r="AF10" s="4">
        <f ca="1">Expense!AF$13</f>
        <v>10442.534390430781</v>
      </c>
      <c r="AG10" s="4">
        <f ca="1">Expense!AG$13</f>
        <v>10896.082105193702</v>
      </c>
      <c r="AH10" s="4">
        <f ca="1">Expense!AH$13</f>
        <v>13320.577193145402</v>
      </c>
      <c r="AI10" s="4">
        <f ca="1">Expense!AI$13</f>
        <v>13944.379281912792</v>
      </c>
      <c r="AJ10" s="4">
        <f ca="1">Expense!AJ$13</f>
        <v>14584.023145157085</v>
      </c>
      <c r="AK10" s="4">
        <f ca="1">Expense!AK$13</f>
        <v>15357.867692458432</v>
      </c>
      <c r="AL10" s="4">
        <f ca="1">Expense!AL$13</f>
        <v>16100.658239396424</v>
      </c>
      <c r="AM10" s="4">
        <f ca="1">Expense!AM$13</f>
        <v>16862.312334790175</v>
      </c>
      <c r="AN10" s="4">
        <f ca="1">Expense!AN$13</f>
        <v>17771.53285119728</v>
      </c>
      <c r="AO10" s="4">
        <f ca="1">Expense!AO$13</f>
        <v>18626.657522912752</v>
      </c>
      <c r="AP10" s="4">
        <f ca="1">Expense!AP$13</f>
        <v>19568.599755500381</v>
      </c>
      <c r="AQ10" s="4">
        <f ca="1">Expense!AQ$13</f>
        <v>20639.449547300381</v>
      </c>
      <c r="AR10" s="4">
        <f ca="1">Expense!AR$13</f>
        <v>21589.570811324942</v>
      </c>
      <c r="AS10" s="4">
        <f ca="1">Expense!AS$13</f>
        <v>22700.339868049345</v>
      </c>
      <c r="AT10" s="4">
        <f ca="1">Expense!AT$13</f>
        <v>23915.689452701365</v>
      </c>
      <c r="AU10" s="4">
        <f ca="1">Expense!AU$13</f>
        <v>25166.852188497451</v>
      </c>
      <c r="AV10" s="4">
        <f ca="1">Expense!AV$13</f>
        <v>26446.10698445603</v>
      </c>
      <c r="AW10" s="4">
        <f ca="1">Expense!AW$13</f>
        <v>27927.631402897503</v>
      </c>
      <c r="AX10" s="4">
        <f ca="1">Expense!AX$13</f>
        <v>29413.162940544353</v>
      </c>
      <c r="AY10" s="4">
        <f ca="1">Expense!AY$13</f>
        <v>30936.414564695315</v>
      </c>
      <c r="AZ10" s="4">
        <f ca="1">Expense!AZ$13</f>
        <v>32687.058228961119</v>
      </c>
      <c r="BA10" s="4">
        <f ca="1">Expense!BA$13</f>
        <v>34397.23114335617</v>
      </c>
      <c r="BB10" s="4">
        <f ca="1">Expense!BB$13</f>
        <v>36282.22542868973</v>
      </c>
      <c r="BC10" s="4">
        <f ca="1">Expense!BC$13</f>
        <v>38354.324542406634</v>
      </c>
      <c r="BD10" s="4">
        <f ca="1">Expense!BD$13</f>
        <v>40252.418195116945</v>
      </c>
      <c r="BE10" s="4">
        <f ca="1">Expense!BE$13</f>
        <v>42474.94855865655</v>
      </c>
      <c r="BF10" s="4">
        <f ca="1">Expense!BF$13</f>
        <v>44837.980702468194</v>
      </c>
      <c r="BG10" s="4">
        <f ca="1">Expense!BG$13</f>
        <v>47333.298726622728</v>
      </c>
      <c r="BH10" s="4">
        <f ca="1">Expense!BH$13</f>
        <v>49892.005914960384</v>
      </c>
      <c r="BI10" s="4">
        <f ca="1">Expense!BI$13</f>
        <v>52782.544494917063</v>
      </c>
      <c r="BJ10" s="4">
        <f ca="1">Expense!BJ$13</f>
        <v>55753.904827720369</v>
      </c>
      <c r="BK10" s="4">
        <f ca="1">Expense!BK$13</f>
        <v>58800.747342632094</v>
      </c>
      <c r="BL10" s="4">
        <f ca="1">Expense!BL$13</f>
        <v>62227.918037138115</v>
      </c>
      <c r="BM10" s="4">
        <f ca="1">Expense!BM$13</f>
        <v>65648.722168800407</v>
      </c>
      <c r="BN10" s="4">
        <f ca="1">Expense!BN$13</f>
        <v>69336.126514579606</v>
      </c>
      <c r="BO10" s="4">
        <f ca="1">Expense!BO$13</f>
        <v>73396.726507121508</v>
      </c>
      <c r="BP10" s="4">
        <f ca="1">Expense!BP$13</f>
        <v>77300.407935835538</v>
      </c>
      <c r="BQ10" s="4">
        <f ca="1">Expense!BQ$13</f>
        <v>81745.216767328384</v>
      </c>
    </row>
    <row r="11" spans="1:69" ht="14.5">
      <c r="E11" s="2" t="s">
        <v>338</v>
      </c>
      <c r="F11"/>
      <c r="G11" s="2" t="s">
        <v>252</v>
      </c>
      <c r="H11" s="2">
        <f ca="1">SUM(J11:BQ11)</f>
        <v>2664890.9023222984</v>
      </c>
      <c r="I11"/>
      <c r="J11" s="2">
        <f t="shared" ref="J11:AO11" ca="1" si="0">J9+J10</f>
        <v>39600</v>
      </c>
      <c r="K11" s="2">
        <f t="shared" ca="1" si="0"/>
        <v>4727.3385096090778</v>
      </c>
      <c r="L11" s="2">
        <f t="shared" ca="1" si="0"/>
        <v>4857.9164770385696</v>
      </c>
      <c r="M11" s="2">
        <f t="shared" ca="1" si="0"/>
        <v>5061.6800526344441</v>
      </c>
      <c r="N11" s="2">
        <f t="shared" ca="1" si="0"/>
        <v>5213.3277485616682</v>
      </c>
      <c r="O11" s="2">
        <f t="shared" ca="1" si="0"/>
        <v>5368.8333215445264</v>
      </c>
      <c r="P11" s="2">
        <f t="shared" ca="1" si="0"/>
        <v>40601.36963359634</v>
      </c>
      <c r="Q11" s="2">
        <f t="shared" ca="1" si="0"/>
        <v>5775.9739920761522</v>
      </c>
      <c r="R11" s="2">
        <f t="shared" ca="1" si="0"/>
        <v>5967.1591003470094</v>
      </c>
      <c r="S11" s="2">
        <f t="shared" ca="1" si="0"/>
        <v>6233.7147140034831</v>
      </c>
      <c r="T11" s="2">
        <f t="shared" ca="1" si="0"/>
        <v>6428.6014865335992</v>
      </c>
      <c r="U11" s="2">
        <f t="shared" ca="1" si="0"/>
        <v>6654.8546194502633</v>
      </c>
      <c r="V11" s="2">
        <f t="shared" ca="1" si="0"/>
        <v>41950</v>
      </c>
      <c r="W11" s="2">
        <f t="shared" ca="1" si="0"/>
        <v>7208.5439494530356</v>
      </c>
      <c r="X11" s="2">
        <f t="shared" ca="1" si="0"/>
        <v>7469.5587470494575</v>
      </c>
      <c r="Y11" s="2">
        <f t="shared" ca="1" si="0"/>
        <v>7822.4763028165098</v>
      </c>
      <c r="Z11" s="2">
        <f t="shared" ca="1" si="0"/>
        <v>43125.559349362506</v>
      </c>
      <c r="AA11" s="2">
        <f t="shared" ca="1" si="0"/>
        <v>8436.3281311731298</v>
      </c>
      <c r="AB11" s="2">
        <f t="shared" ca="1" si="0"/>
        <v>8844.9829741575886</v>
      </c>
      <c r="AC11" s="2">
        <f t="shared" ca="1" si="0"/>
        <v>9193.8642690893521</v>
      </c>
      <c r="AD11" s="2">
        <f t="shared" ca="1" si="0"/>
        <v>44579.383218451265</v>
      </c>
      <c r="AE11" s="2">
        <f t="shared" ca="1" si="0"/>
        <v>10055.187415476941</v>
      </c>
      <c r="AF11" s="2">
        <f t="shared" ca="1" si="0"/>
        <v>10442.534390430781</v>
      </c>
      <c r="AG11" s="2">
        <f t="shared" ca="1" si="0"/>
        <v>45896.082105193702</v>
      </c>
      <c r="AH11" s="2">
        <f t="shared" ca="1" si="0"/>
        <v>13320.577193145402</v>
      </c>
      <c r="AI11" s="2">
        <f t="shared" ca="1" si="0"/>
        <v>48944.379281912792</v>
      </c>
      <c r="AJ11" s="2">
        <f t="shared" ca="1" si="0"/>
        <v>14584.023145157085</v>
      </c>
      <c r="AK11" s="2">
        <f t="shared" ca="1" si="0"/>
        <v>15357.867692458432</v>
      </c>
      <c r="AL11" s="2">
        <f t="shared" ca="1" si="0"/>
        <v>51100.65823939642</v>
      </c>
      <c r="AM11" s="2">
        <f t="shared" ca="1" si="0"/>
        <v>16862.312334790175</v>
      </c>
      <c r="AN11" s="2">
        <f t="shared" ca="1" si="0"/>
        <v>17771.53285119728</v>
      </c>
      <c r="AO11" s="2">
        <f t="shared" ca="1" si="0"/>
        <v>53626.657522912748</v>
      </c>
      <c r="AP11" s="2">
        <f t="shared" ref="AP11:BU11" ca="1" si="1">AP9+AP10</f>
        <v>19568.599755500381</v>
      </c>
      <c r="AQ11" s="2">
        <f t="shared" ca="1" si="1"/>
        <v>55639.449547300377</v>
      </c>
      <c r="AR11" s="2">
        <f t="shared" ca="1" si="1"/>
        <v>21589.570811324942</v>
      </c>
      <c r="AS11" s="2">
        <f t="shared" ca="1" si="1"/>
        <v>57700.339868049341</v>
      </c>
      <c r="AT11" s="2">
        <f t="shared" ca="1" si="1"/>
        <v>58915.689452701365</v>
      </c>
      <c r="AU11" s="2">
        <f t="shared" ca="1" si="1"/>
        <v>25166.852188497451</v>
      </c>
      <c r="AV11" s="2">
        <f t="shared" ca="1" si="1"/>
        <v>61446.106984456026</v>
      </c>
      <c r="AW11" s="2">
        <f t="shared" ca="1" si="1"/>
        <v>62927.631402897503</v>
      </c>
      <c r="AX11" s="2">
        <f t="shared" ca="1" si="1"/>
        <v>29413.162940544353</v>
      </c>
      <c r="AY11" s="2">
        <f t="shared" ca="1" si="1"/>
        <v>65936.414564695311</v>
      </c>
      <c r="AZ11" s="2">
        <f t="shared" ca="1" si="1"/>
        <v>67687.058228961119</v>
      </c>
      <c r="BA11" s="2">
        <f t="shared" ca="1" si="1"/>
        <v>69397.23114335617</v>
      </c>
      <c r="BB11" s="2">
        <f t="shared" ca="1" si="1"/>
        <v>71282.225428689737</v>
      </c>
      <c r="BC11" s="2">
        <f t="shared" ca="1" si="1"/>
        <v>73354.324542406626</v>
      </c>
      <c r="BD11" s="2">
        <f t="shared" ca="1" si="1"/>
        <v>75252.418195116945</v>
      </c>
      <c r="BE11" s="2">
        <f t="shared" ca="1" si="1"/>
        <v>77474.948558656557</v>
      </c>
      <c r="BF11" s="2">
        <f t="shared" ca="1" si="1"/>
        <v>79837.980702468194</v>
      </c>
      <c r="BG11" s="2">
        <f t="shared" ca="1" si="1"/>
        <v>82333.298726622728</v>
      </c>
      <c r="BH11" s="2">
        <f t="shared" ca="1" si="1"/>
        <v>84892.005914960377</v>
      </c>
      <c r="BI11" s="2">
        <f t="shared" ca="1" si="1"/>
        <v>87782.544494917063</v>
      </c>
      <c r="BJ11" s="2">
        <f t="shared" ca="1" si="1"/>
        <v>90753.904827720369</v>
      </c>
      <c r="BK11" s="2">
        <f t="shared" ca="1" si="1"/>
        <v>93800.747342632094</v>
      </c>
      <c r="BL11" s="2">
        <f t="shared" ca="1" si="1"/>
        <v>97227.918037138123</v>
      </c>
      <c r="BM11" s="2">
        <f t="shared" ca="1" si="1"/>
        <v>100648.72216880041</v>
      </c>
      <c r="BN11" s="2">
        <f t="shared" ca="1" si="1"/>
        <v>104336.12651457961</v>
      </c>
      <c r="BO11" s="2">
        <f t="shared" ca="1" si="1"/>
        <v>108396.72650712151</v>
      </c>
      <c r="BP11" s="2">
        <f t="shared" ca="1" si="1"/>
        <v>112300.40793583554</v>
      </c>
      <c r="BQ11" s="2">
        <f t="shared" ca="1" si="1"/>
        <v>116745.21676732838</v>
      </c>
    </row>
    <row r="14" spans="1:69">
      <c r="B14" s="22" t="s">
        <v>260</v>
      </c>
    </row>
    <row r="15" spans="1:69">
      <c r="A15" s="17"/>
      <c r="B15" s="17"/>
      <c r="C15" s="26"/>
      <c r="D15" s="27"/>
      <c r="E15" s="36" t="str">
        <f>InpC!E$84</f>
        <v>VAT rate</v>
      </c>
      <c r="F15" s="36">
        <f>InpC!F$84</f>
        <v>0.2</v>
      </c>
      <c r="G15" s="36" t="str">
        <f>InpC!G$84</f>
        <v>%</v>
      </c>
      <c r="M15" s="45"/>
    </row>
    <row r="16" spans="1:69">
      <c r="A16" s="17"/>
      <c r="B16" s="17"/>
      <c r="C16" s="26"/>
      <c r="D16" s="27"/>
      <c r="E16" s="4" t="str">
        <f>Income!E$12</f>
        <v>New Deferred Income from customer orders</v>
      </c>
      <c r="F16" s="4">
        <f>Income!F$12</f>
        <v>0</v>
      </c>
      <c r="G16" s="4" t="str">
        <f>Income!G$12</f>
        <v>GBP</v>
      </c>
      <c r="H16" s="4">
        <f ca="1">Income!H$12</f>
        <v>155676823.34106967</v>
      </c>
      <c r="I16" s="4">
        <f>Income!I$12</f>
        <v>0</v>
      </c>
      <c r="J16" s="4">
        <f ca="1">Income!J$12</f>
        <v>0</v>
      </c>
      <c r="K16" s="4">
        <f ca="1">Income!K$12</f>
        <v>0</v>
      </c>
      <c r="L16" s="4">
        <f ca="1">Income!L$12</f>
        <v>0</v>
      </c>
      <c r="M16" s="4">
        <f ca="1">Income!M$12</f>
        <v>0</v>
      </c>
      <c r="N16" s="4">
        <f ca="1">Income!N$12</f>
        <v>0</v>
      </c>
      <c r="O16" s="4">
        <f ca="1">Income!O$12</f>
        <v>0</v>
      </c>
      <c r="P16" s="4">
        <f ca="1">Income!P$12</f>
        <v>0</v>
      </c>
      <c r="Q16" s="4">
        <f ca="1">Income!Q$12</f>
        <v>1762505.9357504949</v>
      </c>
      <c r="R16" s="4">
        <f ca="1">Income!R$12</f>
        <v>315292.46620001376</v>
      </c>
      <c r="S16" s="4">
        <f ca="1">Income!S$12</f>
        <v>22201.598049491131</v>
      </c>
      <c r="T16" s="4">
        <f ca="1">Income!T$12</f>
        <v>0</v>
      </c>
      <c r="U16" s="4">
        <f ca="1">Income!U$12</f>
        <v>0</v>
      </c>
      <c r="V16" s="4">
        <f ca="1">Income!V$12</f>
        <v>0</v>
      </c>
      <c r="W16" s="4">
        <f ca="1">Income!W$12</f>
        <v>1857878.3998730909</v>
      </c>
      <c r="X16" s="4">
        <f ca="1">Income!X$12</f>
        <v>242121.60012690915</v>
      </c>
      <c r="Y16" s="4">
        <f ca="1">Income!Y$12</f>
        <v>0</v>
      </c>
      <c r="Z16" s="4">
        <f ca="1">Income!Z$12</f>
        <v>0</v>
      </c>
      <c r="AA16" s="4">
        <f ca="1">Income!AA$12</f>
        <v>0</v>
      </c>
      <c r="AB16" s="4">
        <f ca="1">Income!AB$12</f>
        <v>0</v>
      </c>
      <c r="AC16" s="4">
        <f ca="1">Income!AC$12</f>
        <v>3862505.9357504947</v>
      </c>
      <c r="AD16" s="4">
        <f ca="1">Income!AD$12</f>
        <v>315292.46620001376</v>
      </c>
      <c r="AE16" s="4">
        <f ca="1">Income!AE$12</f>
        <v>22201.598049491131</v>
      </c>
      <c r="AF16" s="4">
        <f ca="1">Income!AF$12</f>
        <v>0</v>
      </c>
      <c r="AG16" s="4">
        <f ca="1">Income!AG$12</f>
        <v>2100000</v>
      </c>
      <c r="AH16" s="4">
        <f ca="1">Income!AH$12</f>
        <v>0</v>
      </c>
      <c r="AI16" s="4">
        <f ca="1">Income!AI$12</f>
        <v>2277878.3998730909</v>
      </c>
      <c r="AJ16" s="4">
        <f ca="1">Income!AJ$12</f>
        <v>687589.30204872461</v>
      </c>
      <c r="AK16" s="4">
        <f ca="1">Income!AK$12</f>
        <v>2571583.2954077139</v>
      </c>
      <c r="AL16" s="4">
        <f ca="1">Income!AL$12</f>
        <v>500178.87349997833</v>
      </c>
      <c r="AM16" s="4">
        <f ca="1">Income!AM$12</f>
        <v>530508.41268542316</v>
      </c>
      <c r="AN16" s="4">
        <f ca="1">Income!AN$12</f>
        <v>2661609.5272819945</v>
      </c>
      <c r="AO16" s="4">
        <f ca="1">Income!AO$12</f>
        <v>2695664.060704065</v>
      </c>
      <c r="AP16" s="4">
        <f ca="1">Income!AP$12</f>
        <v>2730584.9324000278</v>
      </c>
      <c r="AQ16" s="4">
        <f ca="1">Income!AQ$12</f>
        <v>668821.95405419893</v>
      </c>
      <c r="AR16" s="4">
        <f ca="1">Income!AR$12</f>
        <v>709377.56873186189</v>
      </c>
      <c r="AS16" s="4">
        <f ca="1">Income!AS$12</f>
        <v>4948354.9232378844</v>
      </c>
      <c r="AT16" s="4">
        <f ca="1">Income!AT$12</f>
        <v>793605.54982121789</v>
      </c>
      <c r="AU16" s="4">
        <f ca="1">Income!AU$12</f>
        <v>1260000</v>
      </c>
      <c r="AV16" s="4">
        <f ca="1">Income!AV$12</f>
        <v>3437176.4918124224</v>
      </c>
      <c r="AW16" s="4">
        <f ca="1">Income!AW$12</f>
        <v>3515495.0448176051</v>
      </c>
      <c r="AX16" s="4">
        <f ca="1">Income!AX$12</f>
        <v>3601246.3407871048</v>
      </c>
      <c r="AY16" s="4">
        <f ca="1">Income!AY$12</f>
        <v>1592192.4892817482</v>
      </c>
      <c r="AZ16" s="4">
        <f ca="1">Income!AZ$12</f>
        <v>5885447.3602404445</v>
      </c>
      <c r="BA16" s="4">
        <f ca="1">Income!BA$12</f>
        <v>3887552.4907236225</v>
      </c>
      <c r="BB16" s="4">
        <f ca="1">Income!BB$12</f>
        <v>3992249.6214059377</v>
      </c>
      <c r="BC16" s="4">
        <f ca="1">Income!BC$12</f>
        <v>4107590.4329324914</v>
      </c>
      <c r="BD16" s="4">
        <f ca="1">Income!BD$12</f>
        <v>4229249.1996237636</v>
      </c>
      <c r="BE16" s="4">
        <f ca="1">Income!BE$12</f>
        <v>4345695.9491205551</v>
      </c>
      <c r="BF16" s="4">
        <f ca="1">Income!BF$12</f>
        <v>4481656.1186564714</v>
      </c>
      <c r="BG16" s="4">
        <f ca="1">Income!BG$12</f>
        <v>4999062.8244264536</v>
      </c>
      <c r="BH16" s="4">
        <f ca="1">Income!BH$12</f>
        <v>7275532.0320705371</v>
      </c>
      <c r="BI16" s="4">
        <f ca="1">Income!BI$12</f>
        <v>5355663.7642386807</v>
      </c>
      <c r="BJ16" s="4">
        <f ca="1">Income!BJ$12</f>
        <v>7652890.5610489771</v>
      </c>
      <c r="BK16" s="4">
        <f ca="1">Income!BK$12</f>
        <v>5762065.2797457725</v>
      </c>
      <c r="BL16" s="4">
        <f ca="1">Income!BL$12</f>
        <v>8076549.8551866487</v>
      </c>
      <c r="BM16" s="4">
        <f ca="1">Income!BM$12</f>
        <v>8311389.6879160414</v>
      </c>
      <c r="BN16" s="4">
        <f ca="1">Income!BN$12</f>
        <v>6452190.8812454883</v>
      </c>
      <c r="BO16" s="4">
        <f ca="1">Income!BO$12</f>
        <v>8817683.1176353954</v>
      </c>
      <c r="BP16" s="4">
        <f ca="1">Income!BP$12</f>
        <v>9097496.6753058098</v>
      </c>
      <c r="BQ16" s="4">
        <f ca="1">Income!BQ$12</f>
        <v>7264990.3231014879</v>
      </c>
    </row>
    <row r="17" spans="1:69">
      <c r="A17" s="31"/>
      <c r="B17" s="31"/>
      <c r="C17" s="51"/>
      <c r="D17" s="50"/>
      <c r="E17" s="3" t="s">
        <v>260</v>
      </c>
      <c r="F17" s="3"/>
      <c r="G17" s="3" t="s">
        <v>252</v>
      </c>
      <c r="H17" s="3">
        <f ca="1">SUM(J17:BQ17)</f>
        <v>31135364.66821393</v>
      </c>
      <c r="I17" s="3"/>
      <c r="J17" s="3">
        <f t="shared" ref="J17:AO17" ca="1" si="2">J16*$F15</f>
        <v>0</v>
      </c>
      <c r="K17" s="3">
        <f t="shared" ca="1" si="2"/>
        <v>0</v>
      </c>
      <c r="L17" s="3">
        <f t="shared" ca="1" si="2"/>
        <v>0</v>
      </c>
      <c r="M17" s="3">
        <f t="shared" ca="1" si="2"/>
        <v>0</v>
      </c>
      <c r="N17" s="3">
        <f t="shared" ca="1" si="2"/>
        <v>0</v>
      </c>
      <c r="O17" s="3">
        <f t="shared" ca="1" si="2"/>
        <v>0</v>
      </c>
      <c r="P17" s="3">
        <f t="shared" ca="1" si="2"/>
        <v>0</v>
      </c>
      <c r="Q17" s="3">
        <f t="shared" ca="1" si="2"/>
        <v>352501.18715009902</v>
      </c>
      <c r="R17" s="3">
        <f t="shared" ca="1" si="2"/>
        <v>63058.493240002754</v>
      </c>
      <c r="S17" s="3">
        <f t="shared" ca="1" si="2"/>
        <v>4440.3196098982262</v>
      </c>
      <c r="T17" s="3">
        <f t="shared" ca="1" si="2"/>
        <v>0</v>
      </c>
      <c r="U17" s="3">
        <f t="shared" ca="1" si="2"/>
        <v>0</v>
      </c>
      <c r="V17" s="3">
        <f t="shared" ca="1" si="2"/>
        <v>0</v>
      </c>
      <c r="W17" s="3">
        <f t="shared" ca="1" si="2"/>
        <v>371575.67997461819</v>
      </c>
      <c r="X17" s="3">
        <f t="shared" ca="1" si="2"/>
        <v>48424.320025381836</v>
      </c>
      <c r="Y17" s="3">
        <f t="shared" ca="1" si="2"/>
        <v>0</v>
      </c>
      <c r="Z17" s="3">
        <f t="shared" ca="1" si="2"/>
        <v>0</v>
      </c>
      <c r="AA17" s="3">
        <f t="shared" ca="1" si="2"/>
        <v>0</v>
      </c>
      <c r="AB17" s="3">
        <f t="shared" ca="1" si="2"/>
        <v>0</v>
      </c>
      <c r="AC17" s="3">
        <f t="shared" ca="1" si="2"/>
        <v>772501.18715009897</v>
      </c>
      <c r="AD17" s="3">
        <f t="shared" ca="1" si="2"/>
        <v>63058.493240002754</v>
      </c>
      <c r="AE17" s="3">
        <f t="shared" ca="1" si="2"/>
        <v>4440.3196098982262</v>
      </c>
      <c r="AF17" s="3">
        <f t="shared" ca="1" si="2"/>
        <v>0</v>
      </c>
      <c r="AG17" s="3">
        <f t="shared" ca="1" si="2"/>
        <v>420000</v>
      </c>
      <c r="AH17" s="3">
        <f t="shared" ca="1" si="2"/>
        <v>0</v>
      </c>
      <c r="AI17" s="3">
        <f t="shared" ca="1" si="2"/>
        <v>455575.67997461819</v>
      </c>
      <c r="AJ17" s="3">
        <f t="shared" ca="1" si="2"/>
        <v>137517.86040974493</v>
      </c>
      <c r="AK17" s="3">
        <f t="shared" ca="1" si="2"/>
        <v>514316.65908154281</v>
      </c>
      <c r="AL17" s="3">
        <f t="shared" ca="1" si="2"/>
        <v>100035.77469999567</v>
      </c>
      <c r="AM17" s="3">
        <f t="shared" ca="1" si="2"/>
        <v>106101.68253708463</v>
      </c>
      <c r="AN17" s="3">
        <f t="shared" ca="1" si="2"/>
        <v>532321.90545639896</v>
      </c>
      <c r="AO17" s="3">
        <f t="shared" ca="1" si="2"/>
        <v>539132.81214081298</v>
      </c>
      <c r="AP17" s="3">
        <f t="shared" ref="AP17:BU17" ca="1" si="3">AP16*$F15</f>
        <v>546116.98648000555</v>
      </c>
      <c r="AQ17" s="3">
        <f t="shared" ca="1" si="3"/>
        <v>133764.3908108398</v>
      </c>
      <c r="AR17" s="3">
        <f t="shared" ca="1" si="3"/>
        <v>141875.51374637239</v>
      </c>
      <c r="AS17" s="3">
        <f t="shared" ca="1" si="3"/>
        <v>989670.98464757693</v>
      </c>
      <c r="AT17" s="3">
        <f t="shared" ca="1" si="3"/>
        <v>158721.1099642436</v>
      </c>
      <c r="AU17" s="3">
        <f t="shared" ca="1" si="3"/>
        <v>252000</v>
      </c>
      <c r="AV17" s="3">
        <f t="shared" ca="1" si="3"/>
        <v>687435.29836248455</v>
      </c>
      <c r="AW17" s="3">
        <f t="shared" ca="1" si="3"/>
        <v>703099.0089635211</v>
      </c>
      <c r="AX17" s="3">
        <f t="shared" ca="1" si="3"/>
        <v>720249.26815742103</v>
      </c>
      <c r="AY17" s="3">
        <f t="shared" ca="1" si="3"/>
        <v>318438.49785634968</v>
      </c>
      <c r="AZ17" s="3">
        <f t="shared" ca="1" si="3"/>
        <v>1177089.4720480889</v>
      </c>
      <c r="BA17" s="3">
        <f t="shared" ca="1" si="3"/>
        <v>777510.49814472452</v>
      </c>
      <c r="BB17" s="3">
        <f t="shared" ca="1" si="3"/>
        <v>798449.92428118759</v>
      </c>
      <c r="BC17" s="3">
        <f t="shared" ca="1" si="3"/>
        <v>821518.08658649831</v>
      </c>
      <c r="BD17" s="3">
        <f t="shared" ca="1" si="3"/>
        <v>845849.83992475271</v>
      </c>
      <c r="BE17" s="3">
        <f t="shared" ca="1" si="3"/>
        <v>869139.18982411106</v>
      </c>
      <c r="BF17" s="3">
        <f t="shared" ca="1" si="3"/>
        <v>896331.22373129427</v>
      </c>
      <c r="BG17" s="3">
        <f t="shared" ca="1" si="3"/>
        <v>999812.56488529081</v>
      </c>
      <c r="BH17" s="3">
        <f t="shared" ca="1" si="3"/>
        <v>1455106.4064141074</v>
      </c>
      <c r="BI17" s="3">
        <f t="shared" ca="1" si="3"/>
        <v>1071132.7528477362</v>
      </c>
      <c r="BJ17" s="3">
        <f t="shared" ca="1" si="3"/>
        <v>1530578.1122097955</v>
      </c>
      <c r="BK17" s="3">
        <f t="shared" ca="1" si="3"/>
        <v>1152413.0559491545</v>
      </c>
      <c r="BL17" s="3">
        <f t="shared" ca="1" si="3"/>
        <v>1615309.9710373299</v>
      </c>
      <c r="BM17" s="3">
        <f t="shared" ca="1" si="3"/>
        <v>1662277.9375832083</v>
      </c>
      <c r="BN17" s="3">
        <f t="shared" ca="1" si="3"/>
        <v>1290438.1762490978</v>
      </c>
      <c r="BO17" s="3">
        <f t="shared" ca="1" si="3"/>
        <v>1763536.6235270791</v>
      </c>
      <c r="BP17" s="3">
        <f t="shared" ca="1" si="3"/>
        <v>1819499.335061162</v>
      </c>
      <c r="BQ17" s="3">
        <f t="shared" ca="1" si="3"/>
        <v>1452998.0646202976</v>
      </c>
    </row>
    <row r="20" spans="1:69">
      <c r="B20" s="22" t="s">
        <v>62</v>
      </c>
    </row>
    <row r="21" spans="1:69">
      <c r="E21" s="2" t="str">
        <f t="shared" ref="E21:AJ21" si="4">E$17</f>
        <v>Output VAT</v>
      </c>
      <c r="F21" s="2">
        <f t="shared" si="4"/>
        <v>0</v>
      </c>
      <c r="G21" s="2" t="str">
        <f t="shared" si="4"/>
        <v>GBP</v>
      </c>
      <c r="H21" s="2">
        <f t="shared" ca="1" si="4"/>
        <v>31135364.66821393</v>
      </c>
      <c r="I21" s="2">
        <f t="shared" si="4"/>
        <v>0</v>
      </c>
      <c r="J21" s="2">
        <f t="shared" ca="1" si="4"/>
        <v>0</v>
      </c>
      <c r="K21" s="2">
        <f t="shared" ca="1" si="4"/>
        <v>0</v>
      </c>
      <c r="L21" s="2">
        <f t="shared" ca="1" si="4"/>
        <v>0</v>
      </c>
      <c r="M21" s="2">
        <f t="shared" ca="1" si="4"/>
        <v>0</v>
      </c>
      <c r="N21" s="2">
        <f t="shared" ca="1" si="4"/>
        <v>0</v>
      </c>
      <c r="O21" s="2">
        <f t="shared" ca="1" si="4"/>
        <v>0</v>
      </c>
      <c r="P21" s="2">
        <f t="shared" ca="1" si="4"/>
        <v>0</v>
      </c>
      <c r="Q21" s="2">
        <f t="shared" ca="1" si="4"/>
        <v>352501.18715009902</v>
      </c>
      <c r="R21" s="2">
        <f t="shared" ca="1" si="4"/>
        <v>63058.493240002754</v>
      </c>
      <c r="S21" s="2">
        <f t="shared" ca="1" si="4"/>
        <v>4440.3196098982262</v>
      </c>
      <c r="T21" s="2">
        <f t="shared" ca="1" si="4"/>
        <v>0</v>
      </c>
      <c r="U21" s="2">
        <f t="shared" ca="1" si="4"/>
        <v>0</v>
      </c>
      <c r="V21" s="2">
        <f t="shared" ca="1" si="4"/>
        <v>0</v>
      </c>
      <c r="W21" s="2">
        <f t="shared" ca="1" si="4"/>
        <v>371575.67997461819</v>
      </c>
      <c r="X21" s="2">
        <f t="shared" ca="1" si="4"/>
        <v>48424.320025381836</v>
      </c>
      <c r="Y21" s="2">
        <f t="shared" ca="1" si="4"/>
        <v>0</v>
      </c>
      <c r="Z21" s="2">
        <f t="shared" ca="1" si="4"/>
        <v>0</v>
      </c>
      <c r="AA21" s="2">
        <f t="shared" ca="1" si="4"/>
        <v>0</v>
      </c>
      <c r="AB21" s="2">
        <f t="shared" ca="1" si="4"/>
        <v>0</v>
      </c>
      <c r="AC21" s="2">
        <f t="shared" ca="1" si="4"/>
        <v>772501.18715009897</v>
      </c>
      <c r="AD21" s="2">
        <f t="shared" ca="1" si="4"/>
        <v>63058.493240002754</v>
      </c>
      <c r="AE21" s="2">
        <f t="shared" ca="1" si="4"/>
        <v>4440.3196098982262</v>
      </c>
      <c r="AF21" s="2">
        <f t="shared" ca="1" si="4"/>
        <v>0</v>
      </c>
      <c r="AG21" s="2">
        <f t="shared" ca="1" si="4"/>
        <v>420000</v>
      </c>
      <c r="AH21" s="2">
        <f t="shared" ca="1" si="4"/>
        <v>0</v>
      </c>
      <c r="AI21" s="2">
        <f t="shared" ca="1" si="4"/>
        <v>455575.67997461819</v>
      </c>
      <c r="AJ21" s="2">
        <f t="shared" ca="1" si="4"/>
        <v>137517.86040974493</v>
      </c>
      <c r="AK21" s="2">
        <f t="shared" ref="AK21:BQ21" ca="1" si="5">AK$17</f>
        <v>514316.65908154281</v>
      </c>
      <c r="AL21" s="2">
        <f t="shared" ca="1" si="5"/>
        <v>100035.77469999567</v>
      </c>
      <c r="AM21" s="2">
        <f t="shared" ca="1" si="5"/>
        <v>106101.68253708463</v>
      </c>
      <c r="AN21" s="2">
        <f t="shared" ca="1" si="5"/>
        <v>532321.90545639896</v>
      </c>
      <c r="AO21" s="2">
        <f t="shared" ca="1" si="5"/>
        <v>539132.81214081298</v>
      </c>
      <c r="AP21" s="2">
        <f t="shared" ca="1" si="5"/>
        <v>546116.98648000555</v>
      </c>
      <c r="AQ21" s="2">
        <f t="shared" ca="1" si="5"/>
        <v>133764.3908108398</v>
      </c>
      <c r="AR21" s="2">
        <f t="shared" ca="1" si="5"/>
        <v>141875.51374637239</v>
      </c>
      <c r="AS21" s="2">
        <f t="shared" ca="1" si="5"/>
        <v>989670.98464757693</v>
      </c>
      <c r="AT21" s="2">
        <f t="shared" ca="1" si="5"/>
        <v>158721.1099642436</v>
      </c>
      <c r="AU21" s="2">
        <f t="shared" ca="1" si="5"/>
        <v>252000</v>
      </c>
      <c r="AV21" s="2">
        <f t="shared" ca="1" si="5"/>
        <v>687435.29836248455</v>
      </c>
      <c r="AW21" s="2">
        <f t="shared" ca="1" si="5"/>
        <v>703099.0089635211</v>
      </c>
      <c r="AX21" s="2">
        <f t="shared" ca="1" si="5"/>
        <v>720249.26815742103</v>
      </c>
      <c r="AY21" s="2">
        <f t="shared" ca="1" si="5"/>
        <v>318438.49785634968</v>
      </c>
      <c r="AZ21" s="2">
        <f t="shared" ca="1" si="5"/>
        <v>1177089.4720480889</v>
      </c>
      <c r="BA21" s="2">
        <f t="shared" ca="1" si="5"/>
        <v>777510.49814472452</v>
      </c>
      <c r="BB21" s="2">
        <f t="shared" ca="1" si="5"/>
        <v>798449.92428118759</v>
      </c>
      <c r="BC21" s="2">
        <f t="shared" ca="1" si="5"/>
        <v>821518.08658649831</v>
      </c>
      <c r="BD21" s="2">
        <f t="shared" ca="1" si="5"/>
        <v>845849.83992475271</v>
      </c>
      <c r="BE21" s="2">
        <f t="shared" ca="1" si="5"/>
        <v>869139.18982411106</v>
      </c>
      <c r="BF21" s="2">
        <f t="shared" ca="1" si="5"/>
        <v>896331.22373129427</v>
      </c>
      <c r="BG21" s="2">
        <f t="shared" ca="1" si="5"/>
        <v>999812.56488529081</v>
      </c>
      <c r="BH21" s="2">
        <f t="shared" ca="1" si="5"/>
        <v>1455106.4064141074</v>
      </c>
      <c r="BI21" s="2">
        <f t="shared" ca="1" si="5"/>
        <v>1071132.7528477362</v>
      </c>
      <c r="BJ21" s="2">
        <f t="shared" ca="1" si="5"/>
        <v>1530578.1122097955</v>
      </c>
      <c r="BK21" s="2">
        <f t="shared" ca="1" si="5"/>
        <v>1152413.0559491545</v>
      </c>
      <c r="BL21" s="2">
        <f t="shared" ca="1" si="5"/>
        <v>1615309.9710373299</v>
      </c>
      <c r="BM21" s="2">
        <f t="shared" ca="1" si="5"/>
        <v>1662277.9375832083</v>
      </c>
      <c r="BN21" s="2">
        <f t="shared" ca="1" si="5"/>
        <v>1290438.1762490978</v>
      </c>
      <c r="BO21" s="2">
        <f t="shared" ca="1" si="5"/>
        <v>1763536.6235270791</v>
      </c>
      <c r="BP21" s="2">
        <f t="shared" ca="1" si="5"/>
        <v>1819499.335061162</v>
      </c>
      <c r="BQ21" s="2">
        <f t="shared" ca="1" si="5"/>
        <v>1452998.0646202976</v>
      </c>
    </row>
    <row r="22" spans="1:69">
      <c r="E22" s="2" t="str">
        <f t="shared" ref="E22:AJ22" si="6">E$11</f>
        <v>Input VAT</v>
      </c>
      <c r="F22" s="2">
        <f t="shared" si="6"/>
        <v>0</v>
      </c>
      <c r="G22" s="2" t="str">
        <f t="shared" si="6"/>
        <v>GBP</v>
      </c>
      <c r="H22" s="2">
        <f t="shared" ca="1" si="6"/>
        <v>2664890.9023222984</v>
      </c>
      <c r="I22" s="2">
        <f t="shared" si="6"/>
        <v>0</v>
      </c>
      <c r="J22" s="2">
        <f t="shared" ca="1" si="6"/>
        <v>39600</v>
      </c>
      <c r="K22" s="2">
        <f t="shared" ca="1" si="6"/>
        <v>4727.3385096090778</v>
      </c>
      <c r="L22" s="2">
        <f t="shared" ca="1" si="6"/>
        <v>4857.9164770385696</v>
      </c>
      <c r="M22" s="2">
        <f t="shared" ca="1" si="6"/>
        <v>5061.6800526344441</v>
      </c>
      <c r="N22" s="2">
        <f t="shared" ca="1" si="6"/>
        <v>5213.3277485616682</v>
      </c>
      <c r="O22" s="2">
        <f t="shared" ca="1" si="6"/>
        <v>5368.8333215445264</v>
      </c>
      <c r="P22" s="2">
        <f t="shared" ca="1" si="6"/>
        <v>40601.36963359634</v>
      </c>
      <c r="Q22" s="2">
        <f t="shared" ca="1" si="6"/>
        <v>5775.9739920761522</v>
      </c>
      <c r="R22" s="2">
        <f t="shared" ca="1" si="6"/>
        <v>5967.1591003470094</v>
      </c>
      <c r="S22" s="2">
        <f t="shared" ca="1" si="6"/>
        <v>6233.7147140034831</v>
      </c>
      <c r="T22" s="2">
        <f t="shared" ca="1" si="6"/>
        <v>6428.6014865335992</v>
      </c>
      <c r="U22" s="2">
        <f t="shared" ca="1" si="6"/>
        <v>6654.8546194502633</v>
      </c>
      <c r="V22" s="2">
        <f t="shared" ca="1" si="6"/>
        <v>41950</v>
      </c>
      <c r="W22" s="2">
        <f t="shared" ca="1" si="6"/>
        <v>7208.5439494530356</v>
      </c>
      <c r="X22" s="2">
        <f t="shared" ca="1" si="6"/>
        <v>7469.5587470494575</v>
      </c>
      <c r="Y22" s="2">
        <f t="shared" ca="1" si="6"/>
        <v>7822.4763028165098</v>
      </c>
      <c r="Z22" s="2">
        <f t="shared" ca="1" si="6"/>
        <v>43125.559349362506</v>
      </c>
      <c r="AA22" s="2">
        <f t="shared" ca="1" si="6"/>
        <v>8436.3281311731298</v>
      </c>
      <c r="AB22" s="2">
        <f t="shared" ca="1" si="6"/>
        <v>8844.9829741575886</v>
      </c>
      <c r="AC22" s="2">
        <f t="shared" ca="1" si="6"/>
        <v>9193.8642690893521</v>
      </c>
      <c r="AD22" s="2">
        <f t="shared" ca="1" si="6"/>
        <v>44579.383218451265</v>
      </c>
      <c r="AE22" s="2">
        <f t="shared" ca="1" si="6"/>
        <v>10055.187415476941</v>
      </c>
      <c r="AF22" s="2">
        <f t="shared" ca="1" si="6"/>
        <v>10442.534390430781</v>
      </c>
      <c r="AG22" s="2">
        <f t="shared" ca="1" si="6"/>
        <v>45896.082105193702</v>
      </c>
      <c r="AH22" s="2">
        <f t="shared" ca="1" si="6"/>
        <v>13320.577193145402</v>
      </c>
      <c r="AI22" s="2">
        <f t="shared" ca="1" si="6"/>
        <v>48944.379281912792</v>
      </c>
      <c r="AJ22" s="2">
        <f t="shared" ca="1" si="6"/>
        <v>14584.023145157085</v>
      </c>
      <c r="AK22" s="2">
        <f t="shared" ref="AK22:BQ22" ca="1" si="7">AK$11</f>
        <v>15357.867692458432</v>
      </c>
      <c r="AL22" s="2">
        <f t="shared" ca="1" si="7"/>
        <v>51100.65823939642</v>
      </c>
      <c r="AM22" s="2">
        <f t="shared" ca="1" si="7"/>
        <v>16862.312334790175</v>
      </c>
      <c r="AN22" s="2">
        <f t="shared" ca="1" si="7"/>
        <v>17771.53285119728</v>
      </c>
      <c r="AO22" s="2">
        <f t="shared" ca="1" si="7"/>
        <v>53626.657522912748</v>
      </c>
      <c r="AP22" s="2">
        <f t="shared" ca="1" si="7"/>
        <v>19568.599755500381</v>
      </c>
      <c r="AQ22" s="2">
        <f t="shared" ca="1" si="7"/>
        <v>55639.449547300377</v>
      </c>
      <c r="AR22" s="2">
        <f t="shared" ca="1" si="7"/>
        <v>21589.570811324942</v>
      </c>
      <c r="AS22" s="2">
        <f t="shared" ca="1" si="7"/>
        <v>57700.339868049341</v>
      </c>
      <c r="AT22" s="2">
        <f t="shared" ca="1" si="7"/>
        <v>58915.689452701365</v>
      </c>
      <c r="AU22" s="2">
        <f t="shared" ca="1" si="7"/>
        <v>25166.852188497451</v>
      </c>
      <c r="AV22" s="2">
        <f t="shared" ca="1" si="7"/>
        <v>61446.106984456026</v>
      </c>
      <c r="AW22" s="2">
        <f t="shared" ca="1" si="7"/>
        <v>62927.631402897503</v>
      </c>
      <c r="AX22" s="2">
        <f t="shared" ca="1" si="7"/>
        <v>29413.162940544353</v>
      </c>
      <c r="AY22" s="2">
        <f t="shared" ca="1" si="7"/>
        <v>65936.414564695311</v>
      </c>
      <c r="AZ22" s="2">
        <f t="shared" ca="1" si="7"/>
        <v>67687.058228961119</v>
      </c>
      <c r="BA22" s="2">
        <f t="shared" ca="1" si="7"/>
        <v>69397.23114335617</v>
      </c>
      <c r="BB22" s="2">
        <f t="shared" ca="1" si="7"/>
        <v>71282.225428689737</v>
      </c>
      <c r="BC22" s="2">
        <f t="shared" ca="1" si="7"/>
        <v>73354.324542406626</v>
      </c>
      <c r="BD22" s="2">
        <f t="shared" ca="1" si="7"/>
        <v>75252.418195116945</v>
      </c>
      <c r="BE22" s="2">
        <f t="shared" ca="1" si="7"/>
        <v>77474.948558656557</v>
      </c>
      <c r="BF22" s="2">
        <f t="shared" ca="1" si="7"/>
        <v>79837.980702468194</v>
      </c>
      <c r="BG22" s="2">
        <f t="shared" ca="1" si="7"/>
        <v>82333.298726622728</v>
      </c>
      <c r="BH22" s="2">
        <f t="shared" ca="1" si="7"/>
        <v>84892.005914960377</v>
      </c>
      <c r="BI22" s="2">
        <f t="shared" ca="1" si="7"/>
        <v>87782.544494917063</v>
      </c>
      <c r="BJ22" s="2">
        <f t="shared" ca="1" si="7"/>
        <v>90753.904827720369</v>
      </c>
      <c r="BK22" s="2">
        <f t="shared" ca="1" si="7"/>
        <v>93800.747342632094</v>
      </c>
      <c r="BL22" s="2">
        <f t="shared" ca="1" si="7"/>
        <v>97227.918037138123</v>
      </c>
      <c r="BM22" s="2">
        <f t="shared" ca="1" si="7"/>
        <v>100648.72216880041</v>
      </c>
      <c r="BN22" s="2">
        <f t="shared" ca="1" si="7"/>
        <v>104336.12651457961</v>
      </c>
      <c r="BO22" s="2">
        <f t="shared" ca="1" si="7"/>
        <v>108396.72650712151</v>
      </c>
      <c r="BP22" s="2">
        <f t="shared" ca="1" si="7"/>
        <v>112300.40793583554</v>
      </c>
      <c r="BQ22" s="2">
        <f t="shared" ca="1" si="7"/>
        <v>116745.21676732838</v>
      </c>
    </row>
    <row r="23" spans="1:69" ht="14.5">
      <c r="E23" s="2" t="s">
        <v>62</v>
      </c>
      <c r="F23"/>
      <c r="G23" s="2" t="s">
        <v>252</v>
      </c>
      <c r="H23" s="2">
        <f ca="1">SUM(J23:BQ23)</f>
        <v>28470473.765891634</v>
      </c>
      <c r="I23"/>
      <c r="J23" s="2">
        <f t="shared" ref="J23:AO23" ca="1" si="8">J21-J22</f>
        <v>-39600</v>
      </c>
      <c r="K23" s="2">
        <f t="shared" ca="1" si="8"/>
        <v>-4727.3385096090778</v>
      </c>
      <c r="L23" s="2">
        <f t="shared" ca="1" si="8"/>
        <v>-4857.9164770385696</v>
      </c>
      <c r="M23" s="2">
        <f t="shared" ca="1" si="8"/>
        <v>-5061.6800526344441</v>
      </c>
      <c r="N23" s="2">
        <f t="shared" ca="1" si="8"/>
        <v>-5213.3277485616682</v>
      </c>
      <c r="O23" s="2">
        <f t="shared" ca="1" si="8"/>
        <v>-5368.8333215445264</v>
      </c>
      <c r="P23" s="2">
        <f t="shared" ca="1" si="8"/>
        <v>-40601.36963359634</v>
      </c>
      <c r="Q23" s="2">
        <f t="shared" ca="1" si="8"/>
        <v>346725.21315802285</v>
      </c>
      <c r="R23" s="2">
        <f t="shared" ca="1" si="8"/>
        <v>57091.334139655744</v>
      </c>
      <c r="S23" s="2">
        <f t="shared" ca="1" si="8"/>
        <v>-1793.3951041052569</v>
      </c>
      <c r="T23" s="2">
        <f t="shared" ca="1" si="8"/>
        <v>-6428.6014865335992</v>
      </c>
      <c r="U23" s="2">
        <f t="shared" ca="1" si="8"/>
        <v>-6654.8546194502633</v>
      </c>
      <c r="V23" s="2">
        <f t="shared" ca="1" si="8"/>
        <v>-41950</v>
      </c>
      <c r="W23" s="2">
        <f t="shared" ca="1" si="8"/>
        <v>364367.13602516515</v>
      </c>
      <c r="X23" s="2">
        <f t="shared" ca="1" si="8"/>
        <v>40954.761278332378</v>
      </c>
      <c r="Y23" s="2">
        <f t="shared" ca="1" si="8"/>
        <v>-7822.4763028165098</v>
      </c>
      <c r="Z23" s="2">
        <f t="shared" ca="1" si="8"/>
        <v>-43125.559349362506</v>
      </c>
      <c r="AA23" s="2">
        <f t="shared" ca="1" si="8"/>
        <v>-8436.3281311731298</v>
      </c>
      <c r="AB23" s="2">
        <f t="shared" ca="1" si="8"/>
        <v>-8844.9829741575886</v>
      </c>
      <c r="AC23" s="2">
        <f t="shared" ca="1" si="8"/>
        <v>763307.32288100966</v>
      </c>
      <c r="AD23" s="2">
        <f t="shared" ca="1" si="8"/>
        <v>18479.110021551489</v>
      </c>
      <c r="AE23" s="2">
        <f t="shared" ca="1" si="8"/>
        <v>-5614.867805578715</v>
      </c>
      <c r="AF23" s="2">
        <f t="shared" ca="1" si="8"/>
        <v>-10442.534390430781</v>
      </c>
      <c r="AG23" s="2">
        <f t="shared" ca="1" si="8"/>
        <v>374103.91789480631</v>
      </c>
      <c r="AH23" s="2">
        <f t="shared" ca="1" si="8"/>
        <v>-13320.577193145402</v>
      </c>
      <c r="AI23" s="2">
        <f t="shared" ca="1" si="8"/>
        <v>406631.30069270538</v>
      </c>
      <c r="AJ23" s="2">
        <f t="shared" ca="1" si="8"/>
        <v>122933.83726458784</v>
      </c>
      <c r="AK23" s="2">
        <f t="shared" ca="1" si="8"/>
        <v>498958.79138908436</v>
      </c>
      <c r="AL23" s="2">
        <f t="shared" ca="1" si="8"/>
        <v>48935.116460599253</v>
      </c>
      <c r="AM23" s="2">
        <f t="shared" ca="1" si="8"/>
        <v>89239.370202294464</v>
      </c>
      <c r="AN23" s="2">
        <f t="shared" ca="1" si="8"/>
        <v>514550.37260520167</v>
      </c>
      <c r="AO23" s="2">
        <f t="shared" ca="1" si="8"/>
        <v>485506.15461790026</v>
      </c>
      <c r="AP23" s="2">
        <f t="shared" ref="AP23:BU23" ca="1" si="9">AP21-AP22</f>
        <v>526548.38672450522</v>
      </c>
      <c r="AQ23" s="2">
        <f t="shared" ca="1" si="9"/>
        <v>78124.941263539426</v>
      </c>
      <c r="AR23" s="2">
        <f t="shared" ca="1" si="9"/>
        <v>120285.94293504745</v>
      </c>
      <c r="AS23" s="2">
        <f t="shared" ca="1" si="9"/>
        <v>931970.64477952756</v>
      </c>
      <c r="AT23" s="2">
        <f t="shared" ca="1" si="9"/>
        <v>99805.420511542237</v>
      </c>
      <c r="AU23" s="2">
        <f t="shared" ca="1" si="9"/>
        <v>226833.14781150254</v>
      </c>
      <c r="AV23" s="2">
        <f t="shared" ca="1" si="9"/>
        <v>625989.19137802848</v>
      </c>
      <c r="AW23" s="2">
        <f t="shared" ca="1" si="9"/>
        <v>640171.37756062357</v>
      </c>
      <c r="AX23" s="2">
        <f t="shared" ca="1" si="9"/>
        <v>690836.10521687672</v>
      </c>
      <c r="AY23" s="2">
        <f t="shared" ca="1" si="9"/>
        <v>252502.08329165436</v>
      </c>
      <c r="AZ23" s="2">
        <f t="shared" ca="1" si="9"/>
        <v>1109402.4138191277</v>
      </c>
      <c r="BA23" s="2">
        <f t="shared" ca="1" si="9"/>
        <v>708113.26700136834</v>
      </c>
      <c r="BB23" s="2">
        <f t="shared" ca="1" si="9"/>
        <v>727167.69885249785</v>
      </c>
      <c r="BC23" s="2">
        <f t="shared" ca="1" si="9"/>
        <v>748163.76204409171</v>
      </c>
      <c r="BD23" s="2">
        <f t="shared" ca="1" si="9"/>
        <v>770597.4217296358</v>
      </c>
      <c r="BE23" s="2">
        <f t="shared" ca="1" si="9"/>
        <v>791664.24126545456</v>
      </c>
      <c r="BF23" s="2">
        <f t="shared" ca="1" si="9"/>
        <v>816493.24302882608</v>
      </c>
      <c r="BG23" s="2">
        <f t="shared" ca="1" si="9"/>
        <v>917479.26615866809</v>
      </c>
      <c r="BH23" s="2">
        <f t="shared" ca="1" si="9"/>
        <v>1370214.4004991471</v>
      </c>
      <c r="BI23" s="2">
        <f t="shared" ca="1" si="9"/>
        <v>983350.2083528192</v>
      </c>
      <c r="BJ23" s="2">
        <f t="shared" ca="1" si="9"/>
        <v>1439824.207382075</v>
      </c>
      <c r="BK23" s="2">
        <f t="shared" ca="1" si="9"/>
        <v>1058612.3086065224</v>
      </c>
      <c r="BL23" s="2">
        <f t="shared" ca="1" si="9"/>
        <v>1518082.0530001917</v>
      </c>
      <c r="BM23" s="2">
        <f t="shared" ca="1" si="9"/>
        <v>1561629.2154144079</v>
      </c>
      <c r="BN23" s="2">
        <f t="shared" ca="1" si="9"/>
        <v>1186102.0497345182</v>
      </c>
      <c r="BO23" s="2">
        <f t="shared" ca="1" si="9"/>
        <v>1655139.8970199577</v>
      </c>
      <c r="BP23" s="2">
        <f t="shared" ca="1" si="9"/>
        <v>1707198.9271253264</v>
      </c>
      <c r="BQ23" s="2">
        <f t="shared" ca="1" si="9"/>
        <v>1336252.8478529693</v>
      </c>
    </row>
    <row r="26" spans="1:69">
      <c r="B26" s="22" t="s">
        <v>173</v>
      </c>
    </row>
    <row r="27" spans="1:69" s="64" customFormat="1">
      <c r="A27" s="46"/>
      <c r="B27" s="46"/>
      <c r="C27" s="65"/>
      <c r="D27" s="63"/>
      <c r="E27" s="34" t="str">
        <f>InpC!E$44</f>
        <v>Opening VAT balance</v>
      </c>
      <c r="F27" s="34">
        <f>InpC!F$44</f>
        <v>0</v>
      </c>
      <c r="G27" s="34" t="str">
        <f>InpC!G$44</f>
        <v>GBP</v>
      </c>
    </row>
    <row r="28" spans="1:69">
      <c r="A28" s="17"/>
      <c r="B28" s="17"/>
      <c r="C28" s="26"/>
      <c r="D28" s="27"/>
      <c r="E28" s="10" t="str">
        <f>Time!E$28</f>
        <v>Period number</v>
      </c>
      <c r="F28" s="10">
        <f>Time!F$28</f>
        <v>0</v>
      </c>
      <c r="G28" s="10" t="str">
        <f>Time!G$28</f>
        <v>Counter</v>
      </c>
      <c r="H28" s="10">
        <f>Time!H$28</f>
        <v>0</v>
      </c>
      <c r="I28" s="10">
        <f>Time!I$28</f>
        <v>0</v>
      </c>
      <c r="J28" s="10">
        <f>Time!J$28</f>
        <v>1</v>
      </c>
      <c r="K28" s="10">
        <f>Time!K$28</f>
        <v>2</v>
      </c>
      <c r="L28" s="10">
        <f>Time!L$28</f>
        <v>3</v>
      </c>
      <c r="M28" s="10">
        <f>Time!M$28</f>
        <v>4</v>
      </c>
      <c r="N28" s="10">
        <f>Time!N$28</f>
        <v>5</v>
      </c>
      <c r="O28" s="10">
        <f>Time!O$28</f>
        <v>6</v>
      </c>
      <c r="P28" s="10">
        <f>Time!P$28</f>
        <v>7</v>
      </c>
      <c r="Q28" s="10">
        <f>Time!Q$28</f>
        <v>8</v>
      </c>
      <c r="R28" s="10">
        <f>Time!R$28</f>
        <v>9</v>
      </c>
      <c r="S28" s="10">
        <f>Time!S$28</f>
        <v>10</v>
      </c>
      <c r="T28" s="10">
        <f>Time!T$28</f>
        <v>11</v>
      </c>
      <c r="U28" s="10">
        <f>Time!U$28</f>
        <v>12</v>
      </c>
      <c r="V28" s="10">
        <f>Time!V$28</f>
        <v>13</v>
      </c>
      <c r="W28" s="10">
        <f>Time!W$28</f>
        <v>14</v>
      </c>
      <c r="X28" s="10">
        <f>Time!X$28</f>
        <v>15</v>
      </c>
      <c r="Y28" s="10">
        <f>Time!Y$28</f>
        <v>16</v>
      </c>
      <c r="Z28" s="10">
        <f>Time!Z$28</f>
        <v>17</v>
      </c>
      <c r="AA28" s="10">
        <f>Time!AA$28</f>
        <v>18</v>
      </c>
      <c r="AB28" s="10">
        <f>Time!AB$28</f>
        <v>19</v>
      </c>
      <c r="AC28" s="10">
        <f>Time!AC$28</f>
        <v>20</v>
      </c>
      <c r="AD28" s="10">
        <f>Time!AD$28</f>
        <v>21</v>
      </c>
      <c r="AE28" s="10">
        <f>Time!AE$28</f>
        <v>22</v>
      </c>
      <c r="AF28" s="10">
        <f>Time!AF$28</f>
        <v>23</v>
      </c>
      <c r="AG28" s="10">
        <f>Time!AG$28</f>
        <v>24</v>
      </c>
      <c r="AH28" s="10">
        <f>Time!AH$28</f>
        <v>25</v>
      </c>
      <c r="AI28" s="10">
        <f>Time!AI$28</f>
        <v>26</v>
      </c>
      <c r="AJ28" s="10">
        <f>Time!AJ$28</f>
        <v>27</v>
      </c>
      <c r="AK28" s="10">
        <f>Time!AK$28</f>
        <v>28</v>
      </c>
      <c r="AL28" s="10">
        <f>Time!AL$28</f>
        <v>29</v>
      </c>
      <c r="AM28" s="10">
        <f>Time!AM$28</f>
        <v>30</v>
      </c>
      <c r="AN28" s="10">
        <f>Time!AN$28</f>
        <v>31</v>
      </c>
      <c r="AO28" s="10">
        <f>Time!AO$28</f>
        <v>32</v>
      </c>
      <c r="AP28" s="10">
        <f>Time!AP$28</f>
        <v>33</v>
      </c>
      <c r="AQ28" s="10">
        <f>Time!AQ$28</f>
        <v>34</v>
      </c>
      <c r="AR28" s="10">
        <f>Time!AR$28</f>
        <v>35</v>
      </c>
      <c r="AS28" s="10">
        <f>Time!AS$28</f>
        <v>36</v>
      </c>
      <c r="AT28" s="10">
        <f>Time!AT$28</f>
        <v>37</v>
      </c>
      <c r="AU28" s="10">
        <f>Time!AU$28</f>
        <v>38</v>
      </c>
      <c r="AV28" s="10">
        <f>Time!AV$28</f>
        <v>39</v>
      </c>
      <c r="AW28" s="10">
        <f>Time!AW$28</f>
        <v>40</v>
      </c>
      <c r="AX28" s="10">
        <f>Time!AX$28</f>
        <v>41</v>
      </c>
      <c r="AY28" s="10">
        <f>Time!AY$28</f>
        <v>42</v>
      </c>
      <c r="AZ28" s="10">
        <f>Time!AZ$28</f>
        <v>43</v>
      </c>
      <c r="BA28" s="10">
        <f>Time!BA$28</f>
        <v>44</v>
      </c>
      <c r="BB28" s="10">
        <f>Time!BB$28</f>
        <v>45</v>
      </c>
      <c r="BC28" s="10">
        <f>Time!BC$28</f>
        <v>46</v>
      </c>
      <c r="BD28" s="10">
        <f>Time!BD$28</f>
        <v>47</v>
      </c>
      <c r="BE28" s="10">
        <f>Time!BE$28</f>
        <v>48</v>
      </c>
      <c r="BF28" s="10">
        <f>Time!BF$28</f>
        <v>49</v>
      </c>
      <c r="BG28" s="10">
        <f>Time!BG$28</f>
        <v>50</v>
      </c>
      <c r="BH28" s="10">
        <f>Time!BH$28</f>
        <v>51</v>
      </c>
      <c r="BI28" s="10">
        <f>Time!BI$28</f>
        <v>52</v>
      </c>
      <c r="BJ28" s="10">
        <f>Time!BJ$28</f>
        <v>53</v>
      </c>
      <c r="BK28" s="10">
        <f>Time!BK$28</f>
        <v>54</v>
      </c>
      <c r="BL28" s="10">
        <f>Time!BL$28</f>
        <v>55</v>
      </c>
      <c r="BM28" s="10">
        <f>Time!BM$28</f>
        <v>56</v>
      </c>
      <c r="BN28" s="10">
        <f>Time!BN$28</f>
        <v>57</v>
      </c>
      <c r="BO28" s="10">
        <f>Time!BO$28</f>
        <v>58</v>
      </c>
      <c r="BP28" s="10">
        <f>Time!BP$28</f>
        <v>59</v>
      </c>
      <c r="BQ28" s="10">
        <f>Time!BQ$28</f>
        <v>60</v>
      </c>
    </row>
    <row r="29" spans="1:69" ht="14.5">
      <c r="E29" s="2" t="s">
        <v>282</v>
      </c>
      <c r="F29"/>
      <c r="G29" s="2" t="s">
        <v>252</v>
      </c>
      <c r="H29"/>
      <c r="I29"/>
      <c r="J29" s="2">
        <f t="shared" ref="J29:AO29" si="10">I32</f>
        <v>0</v>
      </c>
      <c r="K29" s="2">
        <f t="shared" ca="1" si="10"/>
        <v>-39600</v>
      </c>
      <c r="L29" s="2">
        <f t="shared" ca="1" si="10"/>
        <v>-44327.338509609079</v>
      </c>
      <c r="M29" s="2">
        <f t="shared" ca="1" si="10"/>
        <v>-4857.9164770385687</v>
      </c>
      <c r="N29" s="2">
        <f t="shared" ca="1" si="10"/>
        <v>-9919.5965296730137</v>
      </c>
      <c r="O29" s="2">
        <f t="shared" ca="1" si="10"/>
        <v>-15132.924278234681</v>
      </c>
      <c r="P29" s="2">
        <f t="shared" ca="1" si="10"/>
        <v>-5368.8333215445273</v>
      </c>
      <c r="Q29" s="2">
        <f t="shared" ca="1" si="10"/>
        <v>-45970.202955140863</v>
      </c>
      <c r="R29" s="2">
        <f t="shared" ca="1" si="10"/>
        <v>300755.010202882</v>
      </c>
      <c r="S29" s="2">
        <f t="shared" ca="1" si="10"/>
        <v>57091.334139655752</v>
      </c>
      <c r="T29" s="2">
        <f t="shared" ca="1" si="10"/>
        <v>55297.939035550495</v>
      </c>
      <c r="U29" s="2">
        <f t="shared" ca="1" si="10"/>
        <v>48869.337549016898</v>
      </c>
      <c r="V29" s="2">
        <f t="shared" ca="1" si="10"/>
        <v>-6654.8546194502633</v>
      </c>
      <c r="W29" s="2">
        <f t="shared" ca="1" si="10"/>
        <v>-48604.854619450263</v>
      </c>
      <c r="X29" s="2">
        <f t="shared" ca="1" si="10"/>
        <v>315762.28140571486</v>
      </c>
      <c r="Y29" s="2">
        <f t="shared" ca="1" si="10"/>
        <v>40954.761278332386</v>
      </c>
      <c r="Z29" s="2">
        <f t="shared" ca="1" si="10"/>
        <v>33132.284975515875</v>
      </c>
      <c r="AA29" s="2">
        <f t="shared" ca="1" si="10"/>
        <v>-9993.2743738466306</v>
      </c>
      <c r="AB29" s="2">
        <f t="shared" ca="1" si="10"/>
        <v>-8436.3281311731298</v>
      </c>
      <c r="AC29" s="2">
        <f t="shared" ca="1" si="10"/>
        <v>-17281.311105330718</v>
      </c>
      <c r="AD29" s="2">
        <f t="shared" ca="1" si="10"/>
        <v>746026.01177567896</v>
      </c>
      <c r="AE29" s="2">
        <f t="shared" ca="1" si="10"/>
        <v>18479.110021551489</v>
      </c>
      <c r="AF29" s="2">
        <f t="shared" ca="1" si="10"/>
        <v>12864.242215972774</v>
      </c>
      <c r="AG29" s="2">
        <f t="shared" ca="1" si="10"/>
        <v>2421.7078255419929</v>
      </c>
      <c r="AH29" s="2">
        <f t="shared" ca="1" si="10"/>
        <v>374103.91789480631</v>
      </c>
      <c r="AI29" s="2">
        <f t="shared" ca="1" si="10"/>
        <v>360783.3407016609</v>
      </c>
      <c r="AJ29" s="2">
        <f t="shared" ca="1" si="10"/>
        <v>767414.64139436628</v>
      </c>
      <c r="AK29" s="2">
        <f t="shared" ca="1" si="10"/>
        <v>122933.83726458787</v>
      </c>
      <c r="AL29" s="2">
        <f t="shared" ca="1" si="10"/>
        <v>621892.62865367229</v>
      </c>
      <c r="AM29" s="2">
        <f t="shared" ca="1" si="10"/>
        <v>670827.74511427153</v>
      </c>
      <c r="AN29" s="2">
        <f t="shared" ca="1" si="10"/>
        <v>89239.370202294434</v>
      </c>
      <c r="AO29" s="2">
        <f t="shared" ca="1" si="10"/>
        <v>603789.74280749611</v>
      </c>
      <c r="AP29" s="2">
        <f t="shared" ref="AP29:BQ29" ca="1" si="11">AO32</f>
        <v>1089295.8974253964</v>
      </c>
      <c r="AQ29" s="2">
        <f t="shared" ca="1" si="11"/>
        <v>526548.38672450511</v>
      </c>
      <c r="AR29" s="2">
        <f t="shared" ca="1" si="11"/>
        <v>604673.32798804459</v>
      </c>
      <c r="AS29" s="2">
        <f t="shared" ca="1" si="11"/>
        <v>724959.27092309203</v>
      </c>
      <c r="AT29" s="2">
        <f t="shared" ca="1" si="11"/>
        <v>931970.64477952756</v>
      </c>
      <c r="AU29" s="2">
        <f t="shared" ca="1" si="11"/>
        <v>1031776.0652910698</v>
      </c>
      <c r="AV29" s="2">
        <f t="shared" ca="1" si="11"/>
        <v>1258609.2131025724</v>
      </c>
      <c r="AW29" s="2">
        <f t="shared" ca="1" si="11"/>
        <v>625989.19137802836</v>
      </c>
      <c r="AX29" s="2">
        <f t="shared" ca="1" si="11"/>
        <v>1266160.5689386521</v>
      </c>
      <c r="AY29" s="2">
        <f t="shared" ca="1" si="11"/>
        <v>1956996.6741555287</v>
      </c>
      <c r="AZ29" s="2">
        <f t="shared" ca="1" si="11"/>
        <v>252502.08329165448</v>
      </c>
      <c r="BA29" s="2">
        <f t="shared" ca="1" si="11"/>
        <v>1361904.4971107822</v>
      </c>
      <c r="BB29" s="2">
        <f t="shared" ca="1" si="11"/>
        <v>2070017.7641121505</v>
      </c>
      <c r="BC29" s="2">
        <f t="shared" ca="1" si="11"/>
        <v>727167.69885249785</v>
      </c>
      <c r="BD29" s="2">
        <f t="shared" ca="1" si="11"/>
        <v>1475331.4608965896</v>
      </c>
      <c r="BE29" s="2">
        <f t="shared" ca="1" si="11"/>
        <v>2245928.8826262252</v>
      </c>
      <c r="BF29" s="2">
        <f t="shared" ca="1" si="11"/>
        <v>791664.24126545433</v>
      </c>
      <c r="BG29" s="2">
        <f t="shared" ca="1" si="11"/>
        <v>1608157.4842942804</v>
      </c>
      <c r="BH29" s="2">
        <f t="shared" ca="1" si="11"/>
        <v>2525636.7504529487</v>
      </c>
      <c r="BI29" s="2">
        <f t="shared" ca="1" si="11"/>
        <v>1370214.4004991474</v>
      </c>
      <c r="BJ29" s="2">
        <f t="shared" ca="1" si="11"/>
        <v>2353564.6088519664</v>
      </c>
      <c r="BK29" s="2">
        <f t="shared" ca="1" si="11"/>
        <v>3793388.8162340415</v>
      </c>
      <c r="BL29" s="2">
        <f t="shared" ca="1" si="11"/>
        <v>1058612.3086065226</v>
      </c>
      <c r="BM29" s="2">
        <f t="shared" ca="1" si="11"/>
        <v>2576694.3616067143</v>
      </c>
      <c r="BN29" s="2">
        <f t="shared" ca="1" si="11"/>
        <v>4138323.577021122</v>
      </c>
      <c r="BO29" s="2">
        <f t="shared" ca="1" si="11"/>
        <v>1186102.0497345179</v>
      </c>
      <c r="BP29" s="2">
        <f t="shared" ca="1" si="11"/>
        <v>2841241.9467544756</v>
      </c>
      <c r="BQ29" s="2">
        <f t="shared" ca="1" si="11"/>
        <v>4548440.8738798015</v>
      </c>
    </row>
    <row r="30" spans="1:69">
      <c r="D30" s="66" t="s">
        <v>216</v>
      </c>
      <c r="E30" s="2" t="str">
        <f t="shared" ref="E30:AJ30" si="12">E$23</f>
        <v>VAT due</v>
      </c>
      <c r="F30" s="2">
        <f t="shared" si="12"/>
        <v>0</v>
      </c>
      <c r="G30" s="2" t="str">
        <f t="shared" si="12"/>
        <v>GBP</v>
      </c>
      <c r="H30" s="2">
        <f t="shared" ca="1" si="12"/>
        <v>28470473.765891634</v>
      </c>
      <c r="I30" s="2">
        <f t="shared" si="12"/>
        <v>0</v>
      </c>
      <c r="J30" s="2">
        <f t="shared" ca="1" si="12"/>
        <v>-39600</v>
      </c>
      <c r="K30" s="2">
        <f t="shared" ca="1" si="12"/>
        <v>-4727.3385096090778</v>
      </c>
      <c r="L30" s="2">
        <f t="shared" ca="1" si="12"/>
        <v>-4857.9164770385696</v>
      </c>
      <c r="M30" s="2">
        <f t="shared" ca="1" si="12"/>
        <v>-5061.6800526344441</v>
      </c>
      <c r="N30" s="2">
        <f t="shared" ca="1" si="12"/>
        <v>-5213.3277485616682</v>
      </c>
      <c r="O30" s="2">
        <f t="shared" ca="1" si="12"/>
        <v>-5368.8333215445264</v>
      </c>
      <c r="P30" s="2">
        <f t="shared" ca="1" si="12"/>
        <v>-40601.36963359634</v>
      </c>
      <c r="Q30" s="2">
        <f t="shared" ca="1" si="12"/>
        <v>346725.21315802285</v>
      </c>
      <c r="R30" s="2">
        <f t="shared" ca="1" si="12"/>
        <v>57091.334139655744</v>
      </c>
      <c r="S30" s="2">
        <f t="shared" ca="1" si="12"/>
        <v>-1793.3951041052569</v>
      </c>
      <c r="T30" s="2">
        <f t="shared" ca="1" si="12"/>
        <v>-6428.6014865335992</v>
      </c>
      <c r="U30" s="2">
        <f t="shared" ca="1" si="12"/>
        <v>-6654.8546194502633</v>
      </c>
      <c r="V30" s="2">
        <f t="shared" ca="1" si="12"/>
        <v>-41950</v>
      </c>
      <c r="W30" s="2">
        <f t="shared" ca="1" si="12"/>
        <v>364367.13602516515</v>
      </c>
      <c r="X30" s="2">
        <f t="shared" ca="1" si="12"/>
        <v>40954.761278332378</v>
      </c>
      <c r="Y30" s="2">
        <f t="shared" ca="1" si="12"/>
        <v>-7822.4763028165098</v>
      </c>
      <c r="Z30" s="2">
        <f t="shared" ca="1" si="12"/>
        <v>-43125.559349362506</v>
      </c>
      <c r="AA30" s="2">
        <f t="shared" ca="1" si="12"/>
        <v>-8436.3281311731298</v>
      </c>
      <c r="AB30" s="2">
        <f t="shared" ca="1" si="12"/>
        <v>-8844.9829741575886</v>
      </c>
      <c r="AC30" s="2">
        <f t="shared" ca="1" si="12"/>
        <v>763307.32288100966</v>
      </c>
      <c r="AD30" s="2">
        <f t="shared" ca="1" si="12"/>
        <v>18479.110021551489</v>
      </c>
      <c r="AE30" s="2">
        <f t="shared" ca="1" si="12"/>
        <v>-5614.867805578715</v>
      </c>
      <c r="AF30" s="2">
        <f t="shared" ca="1" si="12"/>
        <v>-10442.534390430781</v>
      </c>
      <c r="AG30" s="2">
        <f t="shared" ca="1" si="12"/>
        <v>374103.91789480631</v>
      </c>
      <c r="AH30" s="2">
        <f t="shared" ca="1" si="12"/>
        <v>-13320.577193145402</v>
      </c>
      <c r="AI30" s="2">
        <f t="shared" ca="1" si="12"/>
        <v>406631.30069270538</v>
      </c>
      <c r="AJ30" s="2">
        <f t="shared" ca="1" si="12"/>
        <v>122933.83726458784</v>
      </c>
      <c r="AK30" s="2">
        <f t="shared" ref="AK30:BQ30" ca="1" si="13">AK$23</f>
        <v>498958.79138908436</v>
      </c>
      <c r="AL30" s="2">
        <f t="shared" ca="1" si="13"/>
        <v>48935.116460599253</v>
      </c>
      <c r="AM30" s="2">
        <f t="shared" ca="1" si="13"/>
        <v>89239.370202294464</v>
      </c>
      <c r="AN30" s="2">
        <f t="shared" ca="1" si="13"/>
        <v>514550.37260520167</v>
      </c>
      <c r="AO30" s="2">
        <f t="shared" ca="1" si="13"/>
        <v>485506.15461790026</v>
      </c>
      <c r="AP30" s="2">
        <f t="shared" ca="1" si="13"/>
        <v>526548.38672450522</v>
      </c>
      <c r="AQ30" s="2">
        <f t="shared" ca="1" si="13"/>
        <v>78124.941263539426</v>
      </c>
      <c r="AR30" s="2">
        <f t="shared" ca="1" si="13"/>
        <v>120285.94293504745</v>
      </c>
      <c r="AS30" s="2">
        <f t="shared" ca="1" si="13"/>
        <v>931970.64477952756</v>
      </c>
      <c r="AT30" s="2">
        <f t="shared" ca="1" si="13"/>
        <v>99805.420511542237</v>
      </c>
      <c r="AU30" s="2">
        <f t="shared" ca="1" si="13"/>
        <v>226833.14781150254</v>
      </c>
      <c r="AV30" s="2">
        <f t="shared" ca="1" si="13"/>
        <v>625989.19137802848</v>
      </c>
      <c r="AW30" s="2">
        <f t="shared" ca="1" si="13"/>
        <v>640171.37756062357</v>
      </c>
      <c r="AX30" s="2">
        <f t="shared" ca="1" si="13"/>
        <v>690836.10521687672</v>
      </c>
      <c r="AY30" s="2">
        <f t="shared" ca="1" si="13"/>
        <v>252502.08329165436</v>
      </c>
      <c r="AZ30" s="2">
        <f t="shared" ca="1" si="13"/>
        <v>1109402.4138191277</v>
      </c>
      <c r="BA30" s="2">
        <f t="shared" ca="1" si="13"/>
        <v>708113.26700136834</v>
      </c>
      <c r="BB30" s="2">
        <f t="shared" ca="1" si="13"/>
        <v>727167.69885249785</v>
      </c>
      <c r="BC30" s="2">
        <f t="shared" ca="1" si="13"/>
        <v>748163.76204409171</v>
      </c>
      <c r="BD30" s="2">
        <f t="shared" ca="1" si="13"/>
        <v>770597.4217296358</v>
      </c>
      <c r="BE30" s="2">
        <f t="shared" ca="1" si="13"/>
        <v>791664.24126545456</v>
      </c>
      <c r="BF30" s="2">
        <f t="shared" ca="1" si="13"/>
        <v>816493.24302882608</v>
      </c>
      <c r="BG30" s="2">
        <f t="shared" ca="1" si="13"/>
        <v>917479.26615866809</v>
      </c>
      <c r="BH30" s="2">
        <f t="shared" ca="1" si="13"/>
        <v>1370214.4004991471</v>
      </c>
      <c r="BI30" s="2">
        <f t="shared" ca="1" si="13"/>
        <v>983350.2083528192</v>
      </c>
      <c r="BJ30" s="2">
        <f t="shared" ca="1" si="13"/>
        <v>1439824.207382075</v>
      </c>
      <c r="BK30" s="2">
        <f t="shared" ca="1" si="13"/>
        <v>1058612.3086065224</v>
      </c>
      <c r="BL30" s="2">
        <f t="shared" ca="1" si="13"/>
        <v>1518082.0530001917</v>
      </c>
      <c r="BM30" s="2">
        <f t="shared" ca="1" si="13"/>
        <v>1561629.2154144079</v>
      </c>
      <c r="BN30" s="2">
        <f t="shared" ca="1" si="13"/>
        <v>1186102.0497345182</v>
      </c>
      <c r="BO30" s="2">
        <f t="shared" ca="1" si="13"/>
        <v>1655139.8970199577</v>
      </c>
      <c r="BP30" s="2">
        <f t="shared" ca="1" si="13"/>
        <v>1707198.9271253264</v>
      </c>
      <c r="BQ30" s="2">
        <f t="shared" ca="1" si="13"/>
        <v>1336252.8478529693</v>
      </c>
    </row>
    <row r="31" spans="1:69">
      <c r="D31" s="66" t="s">
        <v>293</v>
      </c>
      <c r="E31" s="2" t="str">
        <f t="shared" ref="E31:AJ31" si="14">E$37</f>
        <v>VAT paid POS</v>
      </c>
      <c r="F31" s="2">
        <f t="shared" si="14"/>
        <v>0</v>
      </c>
      <c r="G31" s="2" t="str">
        <f t="shared" si="14"/>
        <v>GBP</v>
      </c>
      <c r="H31" s="2">
        <f t="shared" ca="1" si="14"/>
        <v>27134220.918038663</v>
      </c>
      <c r="I31" s="2">
        <f t="shared" si="14"/>
        <v>0</v>
      </c>
      <c r="J31" s="2">
        <f t="shared" ca="1" si="14"/>
        <v>0</v>
      </c>
      <c r="K31" s="2">
        <f t="shared" ca="1" si="14"/>
        <v>0</v>
      </c>
      <c r="L31" s="2">
        <f t="shared" ca="1" si="14"/>
        <v>-44327.338509609079</v>
      </c>
      <c r="M31" s="2">
        <f t="shared" ca="1" si="14"/>
        <v>0</v>
      </c>
      <c r="N31" s="2">
        <f t="shared" ca="1" si="14"/>
        <v>0</v>
      </c>
      <c r="O31" s="2">
        <f t="shared" ca="1" si="14"/>
        <v>-15132.924278234681</v>
      </c>
      <c r="P31" s="2">
        <f t="shared" ca="1" si="14"/>
        <v>0</v>
      </c>
      <c r="Q31" s="2">
        <f t="shared" ca="1" si="14"/>
        <v>0</v>
      </c>
      <c r="R31" s="2">
        <f t="shared" ca="1" si="14"/>
        <v>300755.010202882</v>
      </c>
      <c r="S31" s="2">
        <f t="shared" ca="1" si="14"/>
        <v>0</v>
      </c>
      <c r="T31" s="2">
        <f t="shared" ca="1" si="14"/>
        <v>0</v>
      </c>
      <c r="U31" s="2">
        <f t="shared" ca="1" si="14"/>
        <v>48869.337549016898</v>
      </c>
      <c r="V31" s="2">
        <f t="shared" ca="1" si="14"/>
        <v>0</v>
      </c>
      <c r="W31" s="2">
        <f t="shared" ca="1" si="14"/>
        <v>0</v>
      </c>
      <c r="X31" s="2">
        <f t="shared" ca="1" si="14"/>
        <v>315762.28140571486</v>
      </c>
      <c r="Y31" s="2">
        <f t="shared" ca="1" si="14"/>
        <v>0</v>
      </c>
      <c r="Z31" s="2">
        <f t="shared" ca="1" si="14"/>
        <v>0</v>
      </c>
      <c r="AA31" s="2">
        <f t="shared" ca="1" si="14"/>
        <v>-9993.2743738466306</v>
      </c>
      <c r="AB31" s="2">
        <f t="shared" ca="1" si="14"/>
        <v>0</v>
      </c>
      <c r="AC31" s="2">
        <f t="shared" ca="1" si="14"/>
        <v>0</v>
      </c>
      <c r="AD31" s="2">
        <f t="shared" ca="1" si="14"/>
        <v>746026.01177567896</v>
      </c>
      <c r="AE31" s="2">
        <f t="shared" ca="1" si="14"/>
        <v>0</v>
      </c>
      <c r="AF31" s="2">
        <f t="shared" ca="1" si="14"/>
        <v>0</v>
      </c>
      <c r="AG31" s="2">
        <f t="shared" ca="1" si="14"/>
        <v>2421.7078255419929</v>
      </c>
      <c r="AH31" s="2">
        <f t="shared" ca="1" si="14"/>
        <v>0</v>
      </c>
      <c r="AI31" s="2">
        <f t="shared" ca="1" si="14"/>
        <v>0</v>
      </c>
      <c r="AJ31" s="2">
        <f t="shared" ca="1" si="14"/>
        <v>767414.64139436628</v>
      </c>
      <c r="AK31" s="2">
        <f t="shared" ref="AK31:BQ31" ca="1" si="15">AK$37</f>
        <v>0</v>
      </c>
      <c r="AL31" s="2">
        <f t="shared" ca="1" si="15"/>
        <v>0</v>
      </c>
      <c r="AM31" s="2">
        <f t="shared" ca="1" si="15"/>
        <v>670827.74511427153</v>
      </c>
      <c r="AN31" s="2">
        <f t="shared" ca="1" si="15"/>
        <v>0</v>
      </c>
      <c r="AO31" s="2">
        <f t="shared" ca="1" si="15"/>
        <v>0</v>
      </c>
      <c r="AP31" s="2">
        <f t="shared" ca="1" si="15"/>
        <v>1089295.8974253964</v>
      </c>
      <c r="AQ31" s="2">
        <f t="shared" ca="1" si="15"/>
        <v>0</v>
      </c>
      <c r="AR31" s="2">
        <f t="shared" ca="1" si="15"/>
        <v>0</v>
      </c>
      <c r="AS31" s="2">
        <f t="shared" ca="1" si="15"/>
        <v>724959.27092309203</v>
      </c>
      <c r="AT31" s="2">
        <f t="shared" ca="1" si="15"/>
        <v>0</v>
      </c>
      <c r="AU31" s="2">
        <f t="shared" ca="1" si="15"/>
        <v>0</v>
      </c>
      <c r="AV31" s="2">
        <f t="shared" ca="1" si="15"/>
        <v>1258609.2131025724</v>
      </c>
      <c r="AW31" s="2">
        <f t="shared" ca="1" si="15"/>
        <v>0</v>
      </c>
      <c r="AX31" s="2">
        <f t="shared" ca="1" si="15"/>
        <v>0</v>
      </c>
      <c r="AY31" s="2">
        <f t="shared" ca="1" si="15"/>
        <v>1956996.6741555287</v>
      </c>
      <c r="AZ31" s="2">
        <f t="shared" ca="1" si="15"/>
        <v>0</v>
      </c>
      <c r="BA31" s="2">
        <f t="shared" ca="1" si="15"/>
        <v>0</v>
      </c>
      <c r="BB31" s="2">
        <f t="shared" ca="1" si="15"/>
        <v>2070017.7641121505</v>
      </c>
      <c r="BC31" s="2">
        <f t="shared" ca="1" si="15"/>
        <v>0</v>
      </c>
      <c r="BD31" s="2">
        <f t="shared" ca="1" si="15"/>
        <v>0</v>
      </c>
      <c r="BE31" s="2">
        <f t="shared" ca="1" si="15"/>
        <v>2245928.8826262252</v>
      </c>
      <c r="BF31" s="2">
        <f t="shared" ca="1" si="15"/>
        <v>0</v>
      </c>
      <c r="BG31" s="2">
        <f t="shared" ca="1" si="15"/>
        <v>0</v>
      </c>
      <c r="BH31" s="2">
        <f t="shared" ca="1" si="15"/>
        <v>2525636.7504529487</v>
      </c>
      <c r="BI31" s="2">
        <f t="shared" ca="1" si="15"/>
        <v>0</v>
      </c>
      <c r="BJ31" s="2">
        <f t="shared" ca="1" si="15"/>
        <v>0</v>
      </c>
      <c r="BK31" s="2">
        <f t="shared" ca="1" si="15"/>
        <v>3793388.8162340415</v>
      </c>
      <c r="BL31" s="2">
        <f t="shared" ca="1" si="15"/>
        <v>0</v>
      </c>
      <c r="BM31" s="2">
        <f t="shared" ca="1" si="15"/>
        <v>0</v>
      </c>
      <c r="BN31" s="2">
        <f t="shared" ca="1" si="15"/>
        <v>4138323.577021122</v>
      </c>
      <c r="BO31" s="2">
        <f t="shared" ca="1" si="15"/>
        <v>0</v>
      </c>
      <c r="BP31" s="2">
        <f t="shared" ca="1" si="15"/>
        <v>0</v>
      </c>
      <c r="BQ31" s="2">
        <f t="shared" ca="1" si="15"/>
        <v>4548440.8738798015</v>
      </c>
    </row>
    <row r="32" spans="1:69" s="32" customFormat="1">
      <c r="A32" s="48"/>
      <c r="B32" s="48"/>
      <c r="C32" s="68"/>
      <c r="D32" s="69"/>
      <c r="E32" s="11" t="s">
        <v>173</v>
      </c>
      <c r="F32" s="11"/>
      <c r="G32" s="11" t="s">
        <v>252</v>
      </c>
      <c r="H32" s="11"/>
      <c r="I32" s="11">
        <f t="shared" ref="I32:AN32" si="16">IF(I28=0,$F27,I29+I30-I31)</f>
        <v>0</v>
      </c>
      <c r="J32" s="11">
        <f t="shared" ca="1" si="16"/>
        <v>-39600</v>
      </c>
      <c r="K32" s="11">
        <f t="shared" ca="1" si="16"/>
        <v>-44327.338509609079</v>
      </c>
      <c r="L32" s="11">
        <f t="shared" ca="1" si="16"/>
        <v>-4857.9164770385687</v>
      </c>
      <c r="M32" s="11">
        <f t="shared" ca="1" si="16"/>
        <v>-9919.5965296730137</v>
      </c>
      <c r="N32" s="11">
        <f t="shared" ca="1" si="16"/>
        <v>-15132.924278234681</v>
      </c>
      <c r="O32" s="11">
        <f t="shared" ca="1" si="16"/>
        <v>-5368.8333215445273</v>
      </c>
      <c r="P32" s="11">
        <f t="shared" ca="1" si="16"/>
        <v>-45970.202955140863</v>
      </c>
      <c r="Q32" s="11">
        <f t="shared" ca="1" si="16"/>
        <v>300755.010202882</v>
      </c>
      <c r="R32" s="11">
        <f t="shared" ca="1" si="16"/>
        <v>57091.334139655752</v>
      </c>
      <c r="S32" s="11">
        <f t="shared" ca="1" si="16"/>
        <v>55297.939035550495</v>
      </c>
      <c r="T32" s="11">
        <f t="shared" ca="1" si="16"/>
        <v>48869.337549016898</v>
      </c>
      <c r="U32" s="11">
        <f t="shared" ca="1" si="16"/>
        <v>-6654.8546194502633</v>
      </c>
      <c r="V32" s="11">
        <f t="shared" ca="1" si="16"/>
        <v>-48604.854619450263</v>
      </c>
      <c r="W32" s="11">
        <f t="shared" ca="1" si="16"/>
        <v>315762.28140571486</v>
      </c>
      <c r="X32" s="11">
        <f t="shared" ca="1" si="16"/>
        <v>40954.761278332386</v>
      </c>
      <c r="Y32" s="11">
        <f t="shared" ca="1" si="16"/>
        <v>33132.284975515875</v>
      </c>
      <c r="Z32" s="11">
        <f t="shared" ca="1" si="16"/>
        <v>-9993.2743738466306</v>
      </c>
      <c r="AA32" s="11">
        <f t="shared" ca="1" si="16"/>
        <v>-8436.3281311731298</v>
      </c>
      <c r="AB32" s="11">
        <f t="shared" ca="1" si="16"/>
        <v>-17281.311105330718</v>
      </c>
      <c r="AC32" s="11">
        <f t="shared" ca="1" si="16"/>
        <v>746026.01177567896</v>
      </c>
      <c r="AD32" s="11">
        <f t="shared" ca="1" si="16"/>
        <v>18479.110021551489</v>
      </c>
      <c r="AE32" s="11">
        <f t="shared" ca="1" si="16"/>
        <v>12864.242215972774</v>
      </c>
      <c r="AF32" s="11">
        <f t="shared" ca="1" si="16"/>
        <v>2421.7078255419929</v>
      </c>
      <c r="AG32" s="11">
        <f t="shared" ca="1" si="16"/>
        <v>374103.91789480631</v>
      </c>
      <c r="AH32" s="11">
        <f t="shared" ca="1" si="16"/>
        <v>360783.3407016609</v>
      </c>
      <c r="AI32" s="11">
        <f t="shared" ca="1" si="16"/>
        <v>767414.64139436628</v>
      </c>
      <c r="AJ32" s="11">
        <f t="shared" ca="1" si="16"/>
        <v>122933.83726458787</v>
      </c>
      <c r="AK32" s="11">
        <f t="shared" ca="1" si="16"/>
        <v>621892.62865367229</v>
      </c>
      <c r="AL32" s="11">
        <f t="shared" ca="1" si="16"/>
        <v>670827.74511427153</v>
      </c>
      <c r="AM32" s="11">
        <f t="shared" ca="1" si="16"/>
        <v>89239.370202294434</v>
      </c>
      <c r="AN32" s="11">
        <f t="shared" ca="1" si="16"/>
        <v>603789.74280749611</v>
      </c>
      <c r="AO32" s="11">
        <f t="shared" ref="AO32:BT32" ca="1" si="17">IF(AO28=0,$F27,AO29+AO30-AO31)</f>
        <v>1089295.8974253964</v>
      </c>
      <c r="AP32" s="11">
        <f t="shared" ca="1" si="17"/>
        <v>526548.38672450511</v>
      </c>
      <c r="AQ32" s="11">
        <f t="shared" ca="1" si="17"/>
        <v>604673.32798804459</v>
      </c>
      <c r="AR32" s="11">
        <f t="shared" ca="1" si="17"/>
        <v>724959.27092309203</v>
      </c>
      <c r="AS32" s="11">
        <f t="shared" ca="1" si="17"/>
        <v>931970.64477952756</v>
      </c>
      <c r="AT32" s="11">
        <f t="shared" ca="1" si="17"/>
        <v>1031776.0652910698</v>
      </c>
      <c r="AU32" s="11">
        <f t="shared" ca="1" si="17"/>
        <v>1258609.2131025724</v>
      </c>
      <c r="AV32" s="11">
        <f t="shared" ca="1" si="17"/>
        <v>625989.19137802836</v>
      </c>
      <c r="AW32" s="11">
        <f t="shared" ca="1" si="17"/>
        <v>1266160.5689386521</v>
      </c>
      <c r="AX32" s="11">
        <f t="shared" ca="1" si="17"/>
        <v>1956996.6741555287</v>
      </c>
      <c r="AY32" s="11">
        <f t="shared" ca="1" si="17"/>
        <v>252502.08329165448</v>
      </c>
      <c r="AZ32" s="11">
        <f t="shared" ca="1" si="17"/>
        <v>1361904.4971107822</v>
      </c>
      <c r="BA32" s="11">
        <f t="shared" ca="1" si="17"/>
        <v>2070017.7641121505</v>
      </c>
      <c r="BB32" s="11">
        <f t="shared" ca="1" si="17"/>
        <v>727167.69885249785</v>
      </c>
      <c r="BC32" s="11">
        <f t="shared" ca="1" si="17"/>
        <v>1475331.4608965896</v>
      </c>
      <c r="BD32" s="11">
        <f t="shared" ca="1" si="17"/>
        <v>2245928.8826262252</v>
      </c>
      <c r="BE32" s="11">
        <f t="shared" ca="1" si="17"/>
        <v>791664.24126545433</v>
      </c>
      <c r="BF32" s="11">
        <f t="shared" ca="1" si="17"/>
        <v>1608157.4842942804</v>
      </c>
      <c r="BG32" s="11">
        <f t="shared" ca="1" si="17"/>
        <v>2525636.7504529487</v>
      </c>
      <c r="BH32" s="11">
        <f t="shared" ca="1" si="17"/>
        <v>1370214.4004991474</v>
      </c>
      <c r="BI32" s="11">
        <f t="shared" ca="1" si="17"/>
        <v>2353564.6088519664</v>
      </c>
      <c r="BJ32" s="11">
        <f t="shared" ca="1" si="17"/>
        <v>3793388.8162340415</v>
      </c>
      <c r="BK32" s="11">
        <f t="shared" ca="1" si="17"/>
        <v>1058612.3086065226</v>
      </c>
      <c r="BL32" s="11">
        <f t="shared" ca="1" si="17"/>
        <v>2576694.3616067143</v>
      </c>
      <c r="BM32" s="11">
        <f t="shared" ca="1" si="17"/>
        <v>4138323.577021122</v>
      </c>
      <c r="BN32" s="11">
        <f t="shared" ca="1" si="17"/>
        <v>1186102.0497345179</v>
      </c>
      <c r="BO32" s="11">
        <f t="shared" ca="1" si="17"/>
        <v>2841241.9467544756</v>
      </c>
      <c r="BP32" s="11">
        <f t="shared" ca="1" si="17"/>
        <v>4548440.8738798015</v>
      </c>
      <c r="BQ32" s="11">
        <f t="shared" ca="1" si="17"/>
        <v>1336252.8478529695</v>
      </c>
    </row>
    <row r="34" spans="1:69">
      <c r="B34" s="22" t="s">
        <v>261</v>
      </c>
    </row>
    <row r="35" spans="1:69">
      <c r="E35" s="2" t="str">
        <f>E$44</f>
        <v>VAT payment delay</v>
      </c>
      <c r="F35" s="2">
        <f>F$44</f>
        <v>1</v>
      </c>
      <c r="G35" s="2" t="str">
        <f>G$44</f>
        <v>period</v>
      </c>
    </row>
    <row r="36" spans="1:69">
      <c r="E36" s="2" t="str">
        <f t="shared" ref="E36:AJ36" si="18">E$51</f>
        <v>VAT quarterly return</v>
      </c>
      <c r="F36" s="2">
        <f t="shared" si="18"/>
        <v>0</v>
      </c>
      <c r="G36" s="2" t="str">
        <f t="shared" si="18"/>
        <v>GBP</v>
      </c>
      <c r="H36" s="2">
        <f t="shared" ca="1" si="18"/>
        <v>27134220.918038663</v>
      </c>
      <c r="I36" s="2">
        <f t="shared" si="18"/>
        <v>0</v>
      </c>
      <c r="J36" s="2">
        <f t="shared" ca="1" si="18"/>
        <v>0</v>
      </c>
      <c r="K36" s="2">
        <f t="shared" ca="1" si="18"/>
        <v>-44327.338509609079</v>
      </c>
      <c r="L36" s="2">
        <f t="shared" ca="1" si="18"/>
        <v>0</v>
      </c>
      <c r="M36" s="2">
        <f t="shared" ca="1" si="18"/>
        <v>0</v>
      </c>
      <c r="N36" s="2">
        <f t="shared" ca="1" si="18"/>
        <v>-15132.924278234681</v>
      </c>
      <c r="O36" s="2">
        <f t="shared" ca="1" si="18"/>
        <v>0</v>
      </c>
      <c r="P36" s="2">
        <f t="shared" ca="1" si="18"/>
        <v>0</v>
      </c>
      <c r="Q36" s="2">
        <f t="shared" ca="1" si="18"/>
        <v>300755.010202882</v>
      </c>
      <c r="R36" s="2">
        <f t="shared" ca="1" si="18"/>
        <v>0</v>
      </c>
      <c r="S36" s="2">
        <f t="shared" ca="1" si="18"/>
        <v>0</v>
      </c>
      <c r="T36" s="2">
        <f t="shared" ca="1" si="18"/>
        <v>48869.337549016898</v>
      </c>
      <c r="U36" s="2">
        <f t="shared" ca="1" si="18"/>
        <v>0</v>
      </c>
      <c r="V36" s="2">
        <f t="shared" ca="1" si="18"/>
        <v>0</v>
      </c>
      <c r="W36" s="2">
        <f t="shared" ca="1" si="18"/>
        <v>315762.28140571486</v>
      </c>
      <c r="X36" s="2">
        <f t="shared" ca="1" si="18"/>
        <v>0</v>
      </c>
      <c r="Y36" s="2">
        <f t="shared" ca="1" si="18"/>
        <v>0</v>
      </c>
      <c r="Z36" s="2">
        <f t="shared" ca="1" si="18"/>
        <v>-9993.2743738466306</v>
      </c>
      <c r="AA36" s="2">
        <f t="shared" ca="1" si="18"/>
        <v>0</v>
      </c>
      <c r="AB36" s="2">
        <f t="shared" ca="1" si="18"/>
        <v>0</v>
      </c>
      <c r="AC36" s="2">
        <f t="shared" ca="1" si="18"/>
        <v>746026.01177567896</v>
      </c>
      <c r="AD36" s="2">
        <f t="shared" ca="1" si="18"/>
        <v>0</v>
      </c>
      <c r="AE36" s="2">
        <f t="shared" ca="1" si="18"/>
        <v>0</v>
      </c>
      <c r="AF36" s="2">
        <f t="shared" ca="1" si="18"/>
        <v>2421.7078255419929</v>
      </c>
      <c r="AG36" s="2">
        <f t="shared" ca="1" si="18"/>
        <v>0</v>
      </c>
      <c r="AH36" s="2">
        <f t="shared" ca="1" si="18"/>
        <v>0</v>
      </c>
      <c r="AI36" s="2">
        <f t="shared" ca="1" si="18"/>
        <v>767414.64139436628</v>
      </c>
      <c r="AJ36" s="2">
        <f t="shared" ca="1" si="18"/>
        <v>0</v>
      </c>
      <c r="AK36" s="2">
        <f t="shared" ref="AK36:BQ36" ca="1" si="19">AK$51</f>
        <v>0</v>
      </c>
      <c r="AL36" s="2">
        <f t="shared" ca="1" si="19"/>
        <v>670827.74511427153</v>
      </c>
      <c r="AM36" s="2">
        <f t="shared" ca="1" si="19"/>
        <v>0</v>
      </c>
      <c r="AN36" s="2">
        <f t="shared" ca="1" si="19"/>
        <v>0</v>
      </c>
      <c r="AO36" s="2">
        <f t="shared" ca="1" si="19"/>
        <v>1089295.8974253964</v>
      </c>
      <c r="AP36" s="2">
        <f t="shared" ca="1" si="19"/>
        <v>0</v>
      </c>
      <c r="AQ36" s="2">
        <f t="shared" ca="1" si="19"/>
        <v>0</v>
      </c>
      <c r="AR36" s="2">
        <f t="shared" ca="1" si="19"/>
        <v>724959.27092309203</v>
      </c>
      <c r="AS36" s="2">
        <f t="shared" ca="1" si="19"/>
        <v>0</v>
      </c>
      <c r="AT36" s="2">
        <f t="shared" ca="1" si="19"/>
        <v>0</v>
      </c>
      <c r="AU36" s="2">
        <f t="shared" ca="1" si="19"/>
        <v>1258609.2131025724</v>
      </c>
      <c r="AV36" s="2">
        <f t="shared" ca="1" si="19"/>
        <v>0</v>
      </c>
      <c r="AW36" s="2">
        <f t="shared" ca="1" si="19"/>
        <v>0</v>
      </c>
      <c r="AX36" s="2">
        <f t="shared" ca="1" si="19"/>
        <v>1956996.6741555287</v>
      </c>
      <c r="AY36" s="2">
        <f t="shared" ca="1" si="19"/>
        <v>0</v>
      </c>
      <c r="AZ36" s="2">
        <f t="shared" ca="1" si="19"/>
        <v>0</v>
      </c>
      <c r="BA36" s="2">
        <f t="shared" ca="1" si="19"/>
        <v>2070017.7641121505</v>
      </c>
      <c r="BB36" s="2">
        <f t="shared" ca="1" si="19"/>
        <v>0</v>
      </c>
      <c r="BC36" s="2">
        <f t="shared" ca="1" si="19"/>
        <v>0</v>
      </c>
      <c r="BD36" s="2">
        <f t="shared" ca="1" si="19"/>
        <v>2245928.8826262252</v>
      </c>
      <c r="BE36" s="2">
        <f t="shared" ca="1" si="19"/>
        <v>0</v>
      </c>
      <c r="BF36" s="2">
        <f t="shared" ca="1" si="19"/>
        <v>0</v>
      </c>
      <c r="BG36" s="2">
        <f t="shared" ca="1" si="19"/>
        <v>2525636.7504529487</v>
      </c>
      <c r="BH36" s="2">
        <f t="shared" ca="1" si="19"/>
        <v>0</v>
      </c>
      <c r="BI36" s="2">
        <f t="shared" ca="1" si="19"/>
        <v>0</v>
      </c>
      <c r="BJ36" s="2">
        <f t="shared" ca="1" si="19"/>
        <v>3793388.8162340415</v>
      </c>
      <c r="BK36" s="2">
        <f t="shared" ca="1" si="19"/>
        <v>0</v>
      </c>
      <c r="BL36" s="2">
        <f t="shared" ca="1" si="19"/>
        <v>0</v>
      </c>
      <c r="BM36" s="2">
        <f t="shared" ca="1" si="19"/>
        <v>4138323.577021122</v>
      </c>
      <c r="BN36" s="2">
        <f t="shared" ca="1" si="19"/>
        <v>0</v>
      </c>
      <c r="BO36" s="2">
        <f t="shared" ca="1" si="19"/>
        <v>0</v>
      </c>
      <c r="BP36" s="2">
        <f t="shared" ca="1" si="19"/>
        <v>4548440.8738798015</v>
      </c>
      <c r="BQ36" s="2">
        <f t="shared" ca="1" si="19"/>
        <v>0</v>
      </c>
    </row>
    <row r="37" spans="1:69" ht="14.5">
      <c r="E37" s="2" t="s">
        <v>264</v>
      </c>
      <c r="F37"/>
      <c r="G37" s="2" t="s">
        <v>252</v>
      </c>
      <c r="H37" s="2">
        <f ca="1">SUM(J37:BQ37)</f>
        <v>27134220.918038663</v>
      </c>
      <c r="I37"/>
      <c r="J37" s="2">
        <f ca="1">IF(Time!J28&lt;1+$F35,0,OFFSET(J36,0,-1*($F35)))</f>
        <v>0</v>
      </c>
      <c r="K37" s="2">
        <f ca="1">IF(Time!K28&lt;1+$F35,0,OFFSET(K36,0,-1*($F35)))</f>
        <v>0</v>
      </c>
      <c r="L37" s="2">
        <f ca="1">IF(Time!L28&lt;1+$F35,0,OFFSET(L36,0,-1*($F35)))</f>
        <v>-44327.338509609079</v>
      </c>
      <c r="M37" s="2">
        <f ca="1">IF(Time!M28&lt;1+$F35,0,OFFSET(M36,0,-1*($F35)))</f>
        <v>0</v>
      </c>
      <c r="N37" s="2">
        <f ca="1">IF(Time!N28&lt;1+$F35,0,OFFSET(N36,0,-1*($F35)))</f>
        <v>0</v>
      </c>
      <c r="O37" s="2">
        <f ca="1">IF(Time!O28&lt;1+$F35,0,OFFSET(O36,0,-1*($F35)))</f>
        <v>-15132.924278234681</v>
      </c>
      <c r="P37" s="2">
        <f ca="1">IF(Time!P28&lt;1+$F35,0,OFFSET(P36,0,-1*($F35)))</f>
        <v>0</v>
      </c>
      <c r="Q37" s="2">
        <f ca="1">IF(Time!Q28&lt;1+$F35,0,OFFSET(Q36,0,-1*($F35)))</f>
        <v>0</v>
      </c>
      <c r="R37" s="2">
        <f ca="1">IF(Time!R28&lt;1+$F35,0,OFFSET(R36,0,-1*($F35)))</f>
        <v>300755.010202882</v>
      </c>
      <c r="S37" s="2">
        <f ca="1">IF(Time!S28&lt;1+$F35,0,OFFSET(S36,0,-1*($F35)))</f>
        <v>0</v>
      </c>
      <c r="T37" s="2">
        <f ca="1">IF(Time!T28&lt;1+$F35,0,OFFSET(T36,0,-1*($F35)))</f>
        <v>0</v>
      </c>
      <c r="U37" s="2">
        <f ca="1">IF(Time!U28&lt;1+$F35,0,OFFSET(U36,0,-1*($F35)))</f>
        <v>48869.337549016898</v>
      </c>
      <c r="V37" s="2">
        <f ca="1">IF(Time!V28&lt;1+$F35,0,OFFSET(V36,0,-1*($F35)))</f>
        <v>0</v>
      </c>
      <c r="W37" s="2">
        <f ca="1">IF(Time!W28&lt;1+$F35,0,OFFSET(W36,0,-1*($F35)))</f>
        <v>0</v>
      </c>
      <c r="X37" s="2">
        <f ca="1">IF(Time!X28&lt;1+$F35,0,OFFSET(X36,0,-1*($F35)))</f>
        <v>315762.28140571486</v>
      </c>
      <c r="Y37" s="2">
        <f ca="1">IF(Time!Y28&lt;1+$F35,0,OFFSET(Y36,0,-1*($F35)))</f>
        <v>0</v>
      </c>
      <c r="Z37" s="2">
        <f ca="1">IF(Time!Z28&lt;1+$F35,0,OFFSET(Z36,0,-1*($F35)))</f>
        <v>0</v>
      </c>
      <c r="AA37" s="2">
        <f ca="1">IF(Time!AA28&lt;1+$F35,0,OFFSET(AA36,0,-1*($F35)))</f>
        <v>-9993.2743738466306</v>
      </c>
      <c r="AB37" s="2">
        <f ca="1">IF(Time!AB28&lt;1+$F35,0,OFFSET(AB36,0,-1*($F35)))</f>
        <v>0</v>
      </c>
      <c r="AC37" s="2">
        <f ca="1">IF(Time!AC28&lt;1+$F35,0,OFFSET(AC36,0,-1*($F35)))</f>
        <v>0</v>
      </c>
      <c r="AD37" s="2">
        <f ca="1">IF(Time!AD28&lt;1+$F35,0,OFFSET(AD36,0,-1*($F35)))</f>
        <v>746026.01177567896</v>
      </c>
      <c r="AE37" s="2">
        <f ca="1">IF(Time!AE28&lt;1+$F35,0,OFFSET(AE36,0,-1*($F35)))</f>
        <v>0</v>
      </c>
      <c r="AF37" s="2">
        <f ca="1">IF(Time!AF28&lt;1+$F35,0,OFFSET(AF36,0,-1*($F35)))</f>
        <v>0</v>
      </c>
      <c r="AG37" s="2">
        <f ca="1">IF(Time!AG28&lt;1+$F35,0,OFFSET(AG36,0,-1*($F35)))</f>
        <v>2421.7078255419929</v>
      </c>
      <c r="AH37" s="2">
        <f ca="1">IF(Time!AH28&lt;1+$F35,0,OFFSET(AH36,0,-1*($F35)))</f>
        <v>0</v>
      </c>
      <c r="AI37" s="2">
        <f ca="1">IF(Time!AI28&lt;1+$F35,0,OFFSET(AI36,0,-1*($F35)))</f>
        <v>0</v>
      </c>
      <c r="AJ37" s="2">
        <f ca="1">IF(Time!AJ28&lt;1+$F35,0,OFFSET(AJ36,0,-1*($F35)))</f>
        <v>767414.64139436628</v>
      </c>
      <c r="AK37" s="2">
        <f ca="1">IF(Time!AK28&lt;1+$F35,0,OFFSET(AK36,0,-1*($F35)))</f>
        <v>0</v>
      </c>
      <c r="AL37" s="2">
        <f ca="1">IF(Time!AL28&lt;1+$F35,0,OFFSET(AL36,0,-1*($F35)))</f>
        <v>0</v>
      </c>
      <c r="AM37" s="2">
        <f ca="1">IF(Time!AM28&lt;1+$F35,0,OFFSET(AM36,0,-1*($F35)))</f>
        <v>670827.74511427153</v>
      </c>
      <c r="AN37" s="2">
        <f ca="1">IF(Time!AN28&lt;1+$F35,0,OFFSET(AN36,0,-1*($F35)))</f>
        <v>0</v>
      </c>
      <c r="AO37" s="2">
        <f ca="1">IF(Time!AO28&lt;1+$F35,0,OFFSET(AO36,0,-1*($F35)))</f>
        <v>0</v>
      </c>
      <c r="AP37" s="2">
        <f ca="1">IF(Time!AP28&lt;1+$F35,0,OFFSET(AP36,0,-1*($F35)))</f>
        <v>1089295.8974253964</v>
      </c>
      <c r="AQ37" s="2">
        <f ca="1">IF(Time!AQ28&lt;1+$F35,0,OFFSET(AQ36,0,-1*($F35)))</f>
        <v>0</v>
      </c>
      <c r="AR37" s="2">
        <f ca="1">IF(Time!AR28&lt;1+$F35,0,OFFSET(AR36,0,-1*($F35)))</f>
        <v>0</v>
      </c>
      <c r="AS37" s="2">
        <f ca="1">IF(Time!AS28&lt;1+$F35,0,OFFSET(AS36,0,-1*($F35)))</f>
        <v>724959.27092309203</v>
      </c>
      <c r="AT37" s="2">
        <f ca="1">IF(Time!AT28&lt;1+$F35,0,OFFSET(AT36,0,-1*($F35)))</f>
        <v>0</v>
      </c>
      <c r="AU37" s="2">
        <f ca="1">IF(Time!AU28&lt;1+$F35,0,OFFSET(AU36,0,-1*($F35)))</f>
        <v>0</v>
      </c>
      <c r="AV37" s="2">
        <f ca="1">IF(Time!AV28&lt;1+$F35,0,OFFSET(AV36,0,-1*($F35)))</f>
        <v>1258609.2131025724</v>
      </c>
      <c r="AW37" s="2">
        <f ca="1">IF(Time!AW28&lt;1+$F35,0,OFFSET(AW36,0,-1*($F35)))</f>
        <v>0</v>
      </c>
      <c r="AX37" s="2">
        <f ca="1">IF(Time!AX28&lt;1+$F35,0,OFFSET(AX36,0,-1*($F35)))</f>
        <v>0</v>
      </c>
      <c r="AY37" s="2">
        <f ca="1">IF(Time!AY28&lt;1+$F35,0,OFFSET(AY36,0,-1*($F35)))</f>
        <v>1956996.6741555287</v>
      </c>
      <c r="AZ37" s="2">
        <f ca="1">IF(Time!AZ28&lt;1+$F35,0,OFFSET(AZ36,0,-1*($F35)))</f>
        <v>0</v>
      </c>
      <c r="BA37" s="2">
        <f ca="1">IF(Time!BA28&lt;1+$F35,0,OFFSET(BA36,0,-1*($F35)))</f>
        <v>0</v>
      </c>
      <c r="BB37" s="2">
        <f ca="1">IF(Time!BB28&lt;1+$F35,0,OFFSET(BB36,0,-1*($F35)))</f>
        <v>2070017.7641121505</v>
      </c>
      <c r="BC37" s="2">
        <f ca="1">IF(Time!BC28&lt;1+$F35,0,OFFSET(BC36,0,-1*($F35)))</f>
        <v>0</v>
      </c>
      <c r="BD37" s="2">
        <f ca="1">IF(Time!BD28&lt;1+$F35,0,OFFSET(BD36,0,-1*($F35)))</f>
        <v>0</v>
      </c>
      <c r="BE37" s="2">
        <f ca="1">IF(Time!BE28&lt;1+$F35,0,OFFSET(BE36,0,-1*($F35)))</f>
        <v>2245928.8826262252</v>
      </c>
      <c r="BF37" s="2">
        <f ca="1">IF(Time!BF28&lt;1+$F35,0,OFFSET(BF36,0,-1*($F35)))</f>
        <v>0</v>
      </c>
      <c r="BG37" s="2">
        <f ca="1">IF(Time!BG28&lt;1+$F35,0,OFFSET(BG36,0,-1*($F35)))</f>
        <v>0</v>
      </c>
      <c r="BH37" s="2">
        <f ca="1">IF(Time!BH28&lt;1+$F35,0,OFFSET(BH36,0,-1*($F35)))</f>
        <v>2525636.7504529487</v>
      </c>
      <c r="BI37" s="2">
        <f ca="1">IF(Time!BI28&lt;1+$F35,0,OFFSET(BI36,0,-1*($F35)))</f>
        <v>0</v>
      </c>
      <c r="BJ37" s="2">
        <f ca="1">IF(Time!BJ28&lt;1+$F35,0,OFFSET(BJ36,0,-1*($F35)))</f>
        <v>0</v>
      </c>
      <c r="BK37" s="2">
        <f ca="1">IF(Time!BK28&lt;1+$F35,0,OFFSET(BK36,0,-1*($F35)))</f>
        <v>3793388.8162340415</v>
      </c>
      <c r="BL37" s="2">
        <f ca="1">IF(Time!BL28&lt;1+$F35,0,OFFSET(BL36,0,-1*($F35)))</f>
        <v>0</v>
      </c>
      <c r="BM37" s="2">
        <f ca="1">IF(Time!BM28&lt;1+$F35,0,OFFSET(BM36,0,-1*($F35)))</f>
        <v>0</v>
      </c>
      <c r="BN37" s="2">
        <f ca="1">IF(Time!BN28&lt;1+$F35,0,OFFSET(BN36,0,-1*($F35)))</f>
        <v>4138323.577021122</v>
      </c>
      <c r="BO37" s="2">
        <f ca="1">IF(Time!BO28&lt;1+$F35,0,OFFSET(BO36,0,-1*($F35)))</f>
        <v>0</v>
      </c>
      <c r="BP37" s="2">
        <f ca="1">IF(Time!BP28&lt;1+$F35,0,OFFSET(BP36,0,-1*($F35)))</f>
        <v>0</v>
      </c>
      <c r="BQ37" s="2">
        <f ca="1">IF(Time!BQ28&lt;1+$F35,0,OFFSET(BQ36,0,-1*($F35)))</f>
        <v>4548440.8738798015</v>
      </c>
    </row>
    <row r="38" spans="1:69">
      <c r="A38" s="31"/>
      <c r="B38" s="31"/>
      <c r="C38" s="51"/>
      <c r="D38" s="50"/>
      <c r="E38" s="3" t="str">
        <f>LEFT($E$37,LEN($E$37)-3)</f>
        <v xml:space="preserve">VAT paid </v>
      </c>
      <c r="F38" s="3"/>
      <c r="G38" s="3" t="str">
        <f>G$37</f>
        <v>GBP</v>
      </c>
      <c r="H38" s="3">
        <f ca="1">SUM(J38:BQ38)</f>
        <v>-27134220.918038663</v>
      </c>
      <c r="I38" s="3"/>
      <c r="J38" s="3">
        <f t="shared" ref="J38:AO38" ca="1" si="20">-1*J37</f>
        <v>0</v>
      </c>
      <c r="K38" s="3">
        <f t="shared" ca="1" si="20"/>
        <v>0</v>
      </c>
      <c r="L38" s="3">
        <f t="shared" ca="1" si="20"/>
        <v>44327.338509609079</v>
      </c>
      <c r="M38" s="3">
        <f t="shared" ca="1" si="20"/>
        <v>0</v>
      </c>
      <c r="N38" s="3">
        <f t="shared" ca="1" si="20"/>
        <v>0</v>
      </c>
      <c r="O38" s="3">
        <f t="shared" ca="1" si="20"/>
        <v>15132.924278234681</v>
      </c>
      <c r="P38" s="3">
        <f t="shared" ca="1" si="20"/>
        <v>0</v>
      </c>
      <c r="Q38" s="3">
        <f t="shared" ca="1" si="20"/>
        <v>0</v>
      </c>
      <c r="R38" s="3">
        <f t="shared" ca="1" si="20"/>
        <v>-300755.010202882</v>
      </c>
      <c r="S38" s="3">
        <f t="shared" ca="1" si="20"/>
        <v>0</v>
      </c>
      <c r="T38" s="3">
        <f t="shared" ca="1" si="20"/>
        <v>0</v>
      </c>
      <c r="U38" s="3">
        <f t="shared" ca="1" si="20"/>
        <v>-48869.337549016898</v>
      </c>
      <c r="V38" s="3">
        <f t="shared" ca="1" si="20"/>
        <v>0</v>
      </c>
      <c r="W38" s="3">
        <f t="shared" ca="1" si="20"/>
        <v>0</v>
      </c>
      <c r="X38" s="3">
        <f t="shared" ca="1" si="20"/>
        <v>-315762.28140571486</v>
      </c>
      <c r="Y38" s="3">
        <f t="shared" ca="1" si="20"/>
        <v>0</v>
      </c>
      <c r="Z38" s="3">
        <f t="shared" ca="1" si="20"/>
        <v>0</v>
      </c>
      <c r="AA38" s="3">
        <f t="shared" ca="1" si="20"/>
        <v>9993.2743738466306</v>
      </c>
      <c r="AB38" s="3">
        <f t="shared" ca="1" si="20"/>
        <v>0</v>
      </c>
      <c r="AC38" s="3">
        <f t="shared" ca="1" si="20"/>
        <v>0</v>
      </c>
      <c r="AD38" s="3">
        <f t="shared" ca="1" si="20"/>
        <v>-746026.01177567896</v>
      </c>
      <c r="AE38" s="3">
        <f t="shared" ca="1" si="20"/>
        <v>0</v>
      </c>
      <c r="AF38" s="3">
        <f t="shared" ca="1" si="20"/>
        <v>0</v>
      </c>
      <c r="AG38" s="3">
        <f t="shared" ca="1" si="20"/>
        <v>-2421.7078255419929</v>
      </c>
      <c r="AH38" s="3">
        <f t="shared" ca="1" si="20"/>
        <v>0</v>
      </c>
      <c r="AI38" s="3">
        <f t="shared" ca="1" si="20"/>
        <v>0</v>
      </c>
      <c r="AJ38" s="3">
        <f t="shared" ca="1" si="20"/>
        <v>-767414.64139436628</v>
      </c>
      <c r="AK38" s="3">
        <f t="shared" ca="1" si="20"/>
        <v>0</v>
      </c>
      <c r="AL38" s="3">
        <f t="shared" ca="1" si="20"/>
        <v>0</v>
      </c>
      <c r="AM38" s="3">
        <f t="shared" ca="1" si="20"/>
        <v>-670827.74511427153</v>
      </c>
      <c r="AN38" s="3">
        <f t="shared" ca="1" si="20"/>
        <v>0</v>
      </c>
      <c r="AO38" s="3">
        <f t="shared" ca="1" si="20"/>
        <v>0</v>
      </c>
      <c r="AP38" s="3">
        <f t="shared" ref="AP38:BU38" ca="1" si="21">-1*AP37</f>
        <v>-1089295.8974253964</v>
      </c>
      <c r="AQ38" s="3">
        <f t="shared" ca="1" si="21"/>
        <v>0</v>
      </c>
      <c r="AR38" s="3">
        <f t="shared" ca="1" si="21"/>
        <v>0</v>
      </c>
      <c r="AS38" s="3">
        <f t="shared" ca="1" si="21"/>
        <v>-724959.27092309203</v>
      </c>
      <c r="AT38" s="3">
        <f t="shared" ca="1" si="21"/>
        <v>0</v>
      </c>
      <c r="AU38" s="3">
        <f t="shared" ca="1" si="21"/>
        <v>0</v>
      </c>
      <c r="AV38" s="3">
        <f t="shared" ca="1" si="21"/>
        <v>-1258609.2131025724</v>
      </c>
      <c r="AW38" s="3">
        <f t="shared" ca="1" si="21"/>
        <v>0</v>
      </c>
      <c r="AX38" s="3">
        <f t="shared" ca="1" si="21"/>
        <v>0</v>
      </c>
      <c r="AY38" s="3">
        <f t="shared" ca="1" si="21"/>
        <v>-1956996.6741555287</v>
      </c>
      <c r="AZ38" s="3">
        <f t="shared" ca="1" si="21"/>
        <v>0</v>
      </c>
      <c r="BA38" s="3">
        <f t="shared" ca="1" si="21"/>
        <v>0</v>
      </c>
      <c r="BB38" s="3">
        <f t="shared" ca="1" si="21"/>
        <v>-2070017.7641121505</v>
      </c>
      <c r="BC38" s="3">
        <f t="shared" ca="1" si="21"/>
        <v>0</v>
      </c>
      <c r="BD38" s="3">
        <f t="shared" ca="1" si="21"/>
        <v>0</v>
      </c>
      <c r="BE38" s="3">
        <f t="shared" ca="1" si="21"/>
        <v>-2245928.8826262252</v>
      </c>
      <c r="BF38" s="3">
        <f t="shared" ca="1" si="21"/>
        <v>0</v>
      </c>
      <c r="BG38" s="3">
        <f t="shared" ca="1" si="21"/>
        <v>0</v>
      </c>
      <c r="BH38" s="3">
        <f t="shared" ca="1" si="21"/>
        <v>-2525636.7504529487</v>
      </c>
      <c r="BI38" s="3">
        <f t="shared" ca="1" si="21"/>
        <v>0</v>
      </c>
      <c r="BJ38" s="3">
        <f t="shared" ca="1" si="21"/>
        <v>0</v>
      </c>
      <c r="BK38" s="3">
        <f t="shared" ca="1" si="21"/>
        <v>-3793388.8162340415</v>
      </c>
      <c r="BL38" s="3">
        <f t="shared" ca="1" si="21"/>
        <v>0</v>
      </c>
      <c r="BM38" s="3">
        <f t="shared" ca="1" si="21"/>
        <v>0</v>
      </c>
      <c r="BN38" s="3">
        <f t="shared" ca="1" si="21"/>
        <v>-4138323.577021122</v>
      </c>
      <c r="BO38" s="3">
        <f t="shared" ca="1" si="21"/>
        <v>0</v>
      </c>
      <c r="BP38" s="3">
        <f t="shared" ca="1" si="21"/>
        <v>0</v>
      </c>
      <c r="BQ38" s="3">
        <f t="shared" ca="1" si="21"/>
        <v>-4548440.8738798015</v>
      </c>
    </row>
    <row r="41" spans="1:69">
      <c r="B41" s="22" t="s">
        <v>174</v>
      </c>
    </row>
    <row r="42" spans="1:69">
      <c r="A42" s="17"/>
      <c r="B42" s="17"/>
      <c r="C42" s="26"/>
      <c r="D42" s="27"/>
      <c r="E42" s="4" t="str">
        <f>InpC!E$85</f>
        <v>VAT payment delay in months</v>
      </c>
      <c r="F42" s="4">
        <f>InpC!F$85</f>
        <v>1</v>
      </c>
      <c r="G42" s="4" t="str">
        <f>InpC!G$85</f>
        <v>Months</v>
      </c>
    </row>
    <row r="43" spans="1:69">
      <c r="A43" s="17"/>
      <c r="B43" s="17"/>
      <c r="C43" s="26"/>
      <c r="D43" s="27"/>
      <c r="E43" s="4" t="str">
        <f>InpC!E$98</f>
        <v>Months per period (Primary)</v>
      </c>
      <c r="F43" s="4">
        <f>InpC!F$98</f>
        <v>1</v>
      </c>
      <c r="G43" s="4" t="str">
        <f>InpC!G$98</f>
        <v>Months</v>
      </c>
    </row>
    <row r="44" spans="1:69">
      <c r="E44" s="2" t="s">
        <v>174</v>
      </c>
      <c r="F44" s="2">
        <f>INT($F42/$F43)</f>
        <v>1</v>
      </c>
      <c r="G44" s="2" t="s">
        <v>247</v>
      </c>
    </row>
    <row r="47" spans="1:69">
      <c r="B47" s="22" t="s">
        <v>198</v>
      </c>
    </row>
    <row r="48" spans="1:69">
      <c r="E48" s="2" t="str">
        <f t="shared" ref="E48:AJ48" si="22">E$29</f>
        <v>VAT balance BEG</v>
      </c>
      <c r="F48" s="2">
        <f t="shared" si="22"/>
        <v>0</v>
      </c>
      <c r="G48" s="2" t="str">
        <f t="shared" si="22"/>
        <v>GBP</v>
      </c>
      <c r="H48" s="2">
        <f t="shared" si="22"/>
        <v>0</v>
      </c>
      <c r="I48" s="2">
        <f t="shared" si="22"/>
        <v>0</v>
      </c>
      <c r="J48" s="2">
        <f t="shared" si="22"/>
        <v>0</v>
      </c>
      <c r="K48" s="2">
        <f t="shared" ca="1" si="22"/>
        <v>-39600</v>
      </c>
      <c r="L48" s="2">
        <f t="shared" ca="1" si="22"/>
        <v>-44327.338509609079</v>
      </c>
      <c r="M48" s="2">
        <f t="shared" ca="1" si="22"/>
        <v>-4857.9164770385687</v>
      </c>
      <c r="N48" s="2">
        <f t="shared" ca="1" si="22"/>
        <v>-9919.5965296730137</v>
      </c>
      <c r="O48" s="2">
        <f t="shared" ca="1" si="22"/>
        <v>-15132.924278234681</v>
      </c>
      <c r="P48" s="2">
        <f t="shared" ca="1" si="22"/>
        <v>-5368.8333215445273</v>
      </c>
      <c r="Q48" s="2">
        <f t="shared" ca="1" si="22"/>
        <v>-45970.202955140863</v>
      </c>
      <c r="R48" s="2">
        <f t="shared" ca="1" si="22"/>
        <v>300755.010202882</v>
      </c>
      <c r="S48" s="2">
        <f t="shared" ca="1" si="22"/>
        <v>57091.334139655752</v>
      </c>
      <c r="T48" s="2">
        <f t="shared" ca="1" si="22"/>
        <v>55297.939035550495</v>
      </c>
      <c r="U48" s="2">
        <f t="shared" ca="1" si="22"/>
        <v>48869.337549016898</v>
      </c>
      <c r="V48" s="2">
        <f t="shared" ca="1" si="22"/>
        <v>-6654.8546194502633</v>
      </c>
      <c r="W48" s="2">
        <f t="shared" ca="1" si="22"/>
        <v>-48604.854619450263</v>
      </c>
      <c r="X48" s="2">
        <f t="shared" ca="1" si="22"/>
        <v>315762.28140571486</v>
      </c>
      <c r="Y48" s="2">
        <f t="shared" ca="1" si="22"/>
        <v>40954.761278332386</v>
      </c>
      <c r="Z48" s="2">
        <f t="shared" ca="1" si="22"/>
        <v>33132.284975515875</v>
      </c>
      <c r="AA48" s="2">
        <f t="shared" ca="1" si="22"/>
        <v>-9993.2743738466306</v>
      </c>
      <c r="AB48" s="2">
        <f t="shared" ca="1" si="22"/>
        <v>-8436.3281311731298</v>
      </c>
      <c r="AC48" s="2">
        <f t="shared" ca="1" si="22"/>
        <v>-17281.311105330718</v>
      </c>
      <c r="AD48" s="2">
        <f t="shared" ca="1" si="22"/>
        <v>746026.01177567896</v>
      </c>
      <c r="AE48" s="2">
        <f t="shared" ca="1" si="22"/>
        <v>18479.110021551489</v>
      </c>
      <c r="AF48" s="2">
        <f t="shared" ca="1" si="22"/>
        <v>12864.242215972774</v>
      </c>
      <c r="AG48" s="2">
        <f t="shared" ca="1" si="22"/>
        <v>2421.7078255419929</v>
      </c>
      <c r="AH48" s="2">
        <f t="shared" ca="1" si="22"/>
        <v>374103.91789480631</v>
      </c>
      <c r="AI48" s="2">
        <f t="shared" ca="1" si="22"/>
        <v>360783.3407016609</v>
      </c>
      <c r="AJ48" s="2">
        <f t="shared" ca="1" si="22"/>
        <v>767414.64139436628</v>
      </c>
      <c r="AK48" s="2">
        <f t="shared" ref="AK48:BQ48" ca="1" si="23">AK$29</f>
        <v>122933.83726458787</v>
      </c>
      <c r="AL48" s="2">
        <f t="shared" ca="1" si="23"/>
        <v>621892.62865367229</v>
      </c>
      <c r="AM48" s="2">
        <f t="shared" ca="1" si="23"/>
        <v>670827.74511427153</v>
      </c>
      <c r="AN48" s="2">
        <f t="shared" ca="1" si="23"/>
        <v>89239.370202294434</v>
      </c>
      <c r="AO48" s="2">
        <f t="shared" ca="1" si="23"/>
        <v>603789.74280749611</v>
      </c>
      <c r="AP48" s="2">
        <f t="shared" ca="1" si="23"/>
        <v>1089295.8974253964</v>
      </c>
      <c r="AQ48" s="2">
        <f t="shared" ca="1" si="23"/>
        <v>526548.38672450511</v>
      </c>
      <c r="AR48" s="2">
        <f t="shared" ca="1" si="23"/>
        <v>604673.32798804459</v>
      </c>
      <c r="AS48" s="2">
        <f t="shared" ca="1" si="23"/>
        <v>724959.27092309203</v>
      </c>
      <c r="AT48" s="2">
        <f t="shared" ca="1" si="23"/>
        <v>931970.64477952756</v>
      </c>
      <c r="AU48" s="2">
        <f t="shared" ca="1" si="23"/>
        <v>1031776.0652910698</v>
      </c>
      <c r="AV48" s="2">
        <f t="shared" ca="1" si="23"/>
        <v>1258609.2131025724</v>
      </c>
      <c r="AW48" s="2">
        <f t="shared" ca="1" si="23"/>
        <v>625989.19137802836</v>
      </c>
      <c r="AX48" s="2">
        <f t="shared" ca="1" si="23"/>
        <v>1266160.5689386521</v>
      </c>
      <c r="AY48" s="2">
        <f t="shared" ca="1" si="23"/>
        <v>1956996.6741555287</v>
      </c>
      <c r="AZ48" s="2">
        <f t="shared" ca="1" si="23"/>
        <v>252502.08329165448</v>
      </c>
      <c r="BA48" s="2">
        <f t="shared" ca="1" si="23"/>
        <v>1361904.4971107822</v>
      </c>
      <c r="BB48" s="2">
        <f t="shared" ca="1" si="23"/>
        <v>2070017.7641121505</v>
      </c>
      <c r="BC48" s="2">
        <f t="shared" ca="1" si="23"/>
        <v>727167.69885249785</v>
      </c>
      <c r="BD48" s="2">
        <f t="shared" ca="1" si="23"/>
        <v>1475331.4608965896</v>
      </c>
      <c r="BE48" s="2">
        <f t="shared" ca="1" si="23"/>
        <v>2245928.8826262252</v>
      </c>
      <c r="BF48" s="2">
        <f t="shared" ca="1" si="23"/>
        <v>791664.24126545433</v>
      </c>
      <c r="BG48" s="2">
        <f t="shared" ca="1" si="23"/>
        <v>1608157.4842942804</v>
      </c>
      <c r="BH48" s="2">
        <f t="shared" ca="1" si="23"/>
        <v>2525636.7504529487</v>
      </c>
      <c r="BI48" s="2">
        <f t="shared" ca="1" si="23"/>
        <v>1370214.4004991474</v>
      </c>
      <c r="BJ48" s="2">
        <f t="shared" ca="1" si="23"/>
        <v>2353564.6088519664</v>
      </c>
      <c r="BK48" s="2">
        <f t="shared" ca="1" si="23"/>
        <v>3793388.8162340415</v>
      </c>
      <c r="BL48" s="2">
        <f t="shared" ca="1" si="23"/>
        <v>1058612.3086065226</v>
      </c>
      <c r="BM48" s="2">
        <f t="shared" ca="1" si="23"/>
        <v>2576694.3616067143</v>
      </c>
      <c r="BN48" s="2">
        <f t="shared" ca="1" si="23"/>
        <v>4138323.577021122</v>
      </c>
      <c r="BO48" s="2">
        <f t="shared" ca="1" si="23"/>
        <v>1186102.0497345179</v>
      </c>
      <c r="BP48" s="2">
        <f t="shared" ca="1" si="23"/>
        <v>2841241.9467544756</v>
      </c>
      <c r="BQ48" s="2">
        <f t="shared" ca="1" si="23"/>
        <v>4548440.8738798015</v>
      </c>
    </row>
    <row r="49" spans="1:69">
      <c r="E49" s="2" t="str">
        <f t="shared" ref="E49:AJ49" si="24">E$23</f>
        <v>VAT due</v>
      </c>
      <c r="F49" s="2">
        <f t="shared" si="24"/>
        <v>0</v>
      </c>
      <c r="G49" s="2" t="str">
        <f t="shared" si="24"/>
        <v>GBP</v>
      </c>
      <c r="H49" s="2">
        <f t="shared" ca="1" si="24"/>
        <v>28470473.765891634</v>
      </c>
      <c r="I49" s="2">
        <f t="shared" si="24"/>
        <v>0</v>
      </c>
      <c r="J49" s="2">
        <f t="shared" ca="1" si="24"/>
        <v>-39600</v>
      </c>
      <c r="K49" s="2">
        <f t="shared" ca="1" si="24"/>
        <v>-4727.3385096090778</v>
      </c>
      <c r="L49" s="2">
        <f t="shared" ca="1" si="24"/>
        <v>-4857.9164770385696</v>
      </c>
      <c r="M49" s="2">
        <f t="shared" ca="1" si="24"/>
        <v>-5061.6800526344441</v>
      </c>
      <c r="N49" s="2">
        <f t="shared" ca="1" si="24"/>
        <v>-5213.3277485616682</v>
      </c>
      <c r="O49" s="2">
        <f t="shared" ca="1" si="24"/>
        <v>-5368.8333215445264</v>
      </c>
      <c r="P49" s="2">
        <f t="shared" ca="1" si="24"/>
        <v>-40601.36963359634</v>
      </c>
      <c r="Q49" s="2">
        <f t="shared" ca="1" si="24"/>
        <v>346725.21315802285</v>
      </c>
      <c r="R49" s="2">
        <f t="shared" ca="1" si="24"/>
        <v>57091.334139655744</v>
      </c>
      <c r="S49" s="2">
        <f t="shared" ca="1" si="24"/>
        <v>-1793.3951041052569</v>
      </c>
      <c r="T49" s="2">
        <f t="shared" ca="1" si="24"/>
        <v>-6428.6014865335992</v>
      </c>
      <c r="U49" s="2">
        <f t="shared" ca="1" si="24"/>
        <v>-6654.8546194502633</v>
      </c>
      <c r="V49" s="2">
        <f t="shared" ca="1" si="24"/>
        <v>-41950</v>
      </c>
      <c r="W49" s="2">
        <f t="shared" ca="1" si="24"/>
        <v>364367.13602516515</v>
      </c>
      <c r="X49" s="2">
        <f t="shared" ca="1" si="24"/>
        <v>40954.761278332378</v>
      </c>
      <c r="Y49" s="2">
        <f t="shared" ca="1" si="24"/>
        <v>-7822.4763028165098</v>
      </c>
      <c r="Z49" s="2">
        <f t="shared" ca="1" si="24"/>
        <v>-43125.559349362506</v>
      </c>
      <c r="AA49" s="2">
        <f t="shared" ca="1" si="24"/>
        <v>-8436.3281311731298</v>
      </c>
      <c r="AB49" s="2">
        <f t="shared" ca="1" si="24"/>
        <v>-8844.9829741575886</v>
      </c>
      <c r="AC49" s="2">
        <f t="shared" ca="1" si="24"/>
        <v>763307.32288100966</v>
      </c>
      <c r="AD49" s="2">
        <f t="shared" ca="1" si="24"/>
        <v>18479.110021551489</v>
      </c>
      <c r="AE49" s="2">
        <f t="shared" ca="1" si="24"/>
        <v>-5614.867805578715</v>
      </c>
      <c r="AF49" s="2">
        <f t="shared" ca="1" si="24"/>
        <v>-10442.534390430781</v>
      </c>
      <c r="AG49" s="2">
        <f t="shared" ca="1" si="24"/>
        <v>374103.91789480631</v>
      </c>
      <c r="AH49" s="2">
        <f t="shared" ca="1" si="24"/>
        <v>-13320.577193145402</v>
      </c>
      <c r="AI49" s="2">
        <f t="shared" ca="1" si="24"/>
        <v>406631.30069270538</v>
      </c>
      <c r="AJ49" s="2">
        <f t="shared" ca="1" si="24"/>
        <v>122933.83726458784</v>
      </c>
      <c r="AK49" s="2">
        <f t="shared" ref="AK49:BQ49" ca="1" si="25">AK$23</f>
        <v>498958.79138908436</v>
      </c>
      <c r="AL49" s="2">
        <f t="shared" ca="1" si="25"/>
        <v>48935.116460599253</v>
      </c>
      <c r="AM49" s="2">
        <f t="shared" ca="1" si="25"/>
        <v>89239.370202294464</v>
      </c>
      <c r="AN49" s="2">
        <f t="shared" ca="1" si="25"/>
        <v>514550.37260520167</v>
      </c>
      <c r="AO49" s="2">
        <f t="shared" ca="1" si="25"/>
        <v>485506.15461790026</v>
      </c>
      <c r="AP49" s="2">
        <f t="shared" ca="1" si="25"/>
        <v>526548.38672450522</v>
      </c>
      <c r="AQ49" s="2">
        <f t="shared" ca="1" si="25"/>
        <v>78124.941263539426</v>
      </c>
      <c r="AR49" s="2">
        <f t="shared" ca="1" si="25"/>
        <v>120285.94293504745</v>
      </c>
      <c r="AS49" s="2">
        <f t="shared" ca="1" si="25"/>
        <v>931970.64477952756</v>
      </c>
      <c r="AT49" s="2">
        <f t="shared" ca="1" si="25"/>
        <v>99805.420511542237</v>
      </c>
      <c r="AU49" s="2">
        <f t="shared" ca="1" si="25"/>
        <v>226833.14781150254</v>
      </c>
      <c r="AV49" s="2">
        <f t="shared" ca="1" si="25"/>
        <v>625989.19137802848</v>
      </c>
      <c r="AW49" s="2">
        <f t="shared" ca="1" si="25"/>
        <v>640171.37756062357</v>
      </c>
      <c r="AX49" s="2">
        <f t="shared" ca="1" si="25"/>
        <v>690836.10521687672</v>
      </c>
      <c r="AY49" s="2">
        <f t="shared" ca="1" si="25"/>
        <v>252502.08329165436</v>
      </c>
      <c r="AZ49" s="2">
        <f t="shared" ca="1" si="25"/>
        <v>1109402.4138191277</v>
      </c>
      <c r="BA49" s="2">
        <f t="shared" ca="1" si="25"/>
        <v>708113.26700136834</v>
      </c>
      <c r="BB49" s="2">
        <f t="shared" ca="1" si="25"/>
        <v>727167.69885249785</v>
      </c>
      <c r="BC49" s="2">
        <f t="shared" ca="1" si="25"/>
        <v>748163.76204409171</v>
      </c>
      <c r="BD49" s="2">
        <f t="shared" ca="1" si="25"/>
        <v>770597.4217296358</v>
      </c>
      <c r="BE49" s="2">
        <f t="shared" ca="1" si="25"/>
        <v>791664.24126545456</v>
      </c>
      <c r="BF49" s="2">
        <f t="shared" ca="1" si="25"/>
        <v>816493.24302882608</v>
      </c>
      <c r="BG49" s="2">
        <f t="shared" ca="1" si="25"/>
        <v>917479.26615866809</v>
      </c>
      <c r="BH49" s="2">
        <f t="shared" ca="1" si="25"/>
        <v>1370214.4004991471</v>
      </c>
      <c r="BI49" s="2">
        <f t="shared" ca="1" si="25"/>
        <v>983350.2083528192</v>
      </c>
      <c r="BJ49" s="2">
        <f t="shared" ca="1" si="25"/>
        <v>1439824.207382075</v>
      </c>
      <c r="BK49" s="2">
        <f t="shared" ca="1" si="25"/>
        <v>1058612.3086065224</v>
      </c>
      <c r="BL49" s="2">
        <f t="shared" ca="1" si="25"/>
        <v>1518082.0530001917</v>
      </c>
      <c r="BM49" s="2">
        <f t="shared" ca="1" si="25"/>
        <v>1561629.2154144079</v>
      </c>
      <c r="BN49" s="2">
        <f t="shared" ca="1" si="25"/>
        <v>1186102.0497345182</v>
      </c>
      <c r="BO49" s="2">
        <f t="shared" ca="1" si="25"/>
        <v>1655139.8970199577</v>
      </c>
      <c r="BP49" s="2">
        <f t="shared" ca="1" si="25"/>
        <v>1707198.9271253264</v>
      </c>
      <c r="BQ49" s="2">
        <f t="shared" ca="1" si="25"/>
        <v>1336252.8478529693</v>
      </c>
    </row>
    <row r="50" spans="1:69">
      <c r="A50" s="17"/>
      <c r="B50" s="17"/>
      <c r="C50" s="26"/>
      <c r="D50" s="27"/>
      <c r="E50" s="4" t="str">
        <f>Time!E$254</f>
        <v>VAT return this period flag</v>
      </c>
      <c r="F50" s="4">
        <f>Time!F$254</f>
        <v>0</v>
      </c>
      <c r="G50" s="4" t="str">
        <f>Time!G$254</f>
        <v>flag</v>
      </c>
      <c r="H50" s="4">
        <f>Time!H$254</f>
        <v>20</v>
      </c>
      <c r="I50" s="4">
        <f>Time!I$254</f>
        <v>0</v>
      </c>
      <c r="J50" s="4">
        <f>Time!J$254</f>
        <v>0</v>
      </c>
      <c r="K50" s="4">
        <f>Time!K$254</f>
        <v>1</v>
      </c>
      <c r="L50" s="4">
        <f>Time!L$254</f>
        <v>0</v>
      </c>
      <c r="M50" s="4">
        <f>Time!M$254</f>
        <v>0</v>
      </c>
      <c r="N50" s="4">
        <f>Time!N$254</f>
        <v>1</v>
      </c>
      <c r="O50" s="4">
        <f>Time!O$254</f>
        <v>0</v>
      </c>
      <c r="P50" s="4">
        <f>Time!P$254</f>
        <v>0</v>
      </c>
      <c r="Q50" s="4">
        <f>Time!Q$254</f>
        <v>1</v>
      </c>
      <c r="R50" s="4">
        <f>Time!R$254</f>
        <v>0</v>
      </c>
      <c r="S50" s="4">
        <f>Time!S$254</f>
        <v>0</v>
      </c>
      <c r="T50" s="4">
        <f>Time!T$254</f>
        <v>1</v>
      </c>
      <c r="U50" s="4">
        <f>Time!U$254</f>
        <v>0</v>
      </c>
      <c r="V50" s="4">
        <f>Time!V$254</f>
        <v>0</v>
      </c>
      <c r="W50" s="4">
        <f>Time!W$254</f>
        <v>1</v>
      </c>
      <c r="X50" s="4">
        <f>Time!X$254</f>
        <v>0</v>
      </c>
      <c r="Y50" s="4">
        <f>Time!Y$254</f>
        <v>0</v>
      </c>
      <c r="Z50" s="4">
        <f>Time!Z$254</f>
        <v>1</v>
      </c>
      <c r="AA50" s="4">
        <f>Time!AA$254</f>
        <v>0</v>
      </c>
      <c r="AB50" s="4">
        <f>Time!AB$254</f>
        <v>0</v>
      </c>
      <c r="AC50" s="4">
        <f>Time!AC$254</f>
        <v>1</v>
      </c>
      <c r="AD50" s="4">
        <f>Time!AD$254</f>
        <v>0</v>
      </c>
      <c r="AE50" s="4">
        <f>Time!AE$254</f>
        <v>0</v>
      </c>
      <c r="AF50" s="4">
        <f>Time!AF$254</f>
        <v>1</v>
      </c>
      <c r="AG50" s="4">
        <f>Time!AG$254</f>
        <v>0</v>
      </c>
      <c r="AH50" s="4">
        <f>Time!AH$254</f>
        <v>0</v>
      </c>
      <c r="AI50" s="4">
        <f>Time!AI$254</f>
        <v>1</v>
      </c>
      <c r="AJ50" s="4">
        <f>Time!AJ$254</f>
        <v>0</v>
      </c>
      <c r="AK50" s="4">
        <f>Time!AK$254</f>
        <v>0</v>
      </c>
      <c r="AL50" s="4">
        <f>Time!AL$254</f>
        <v>1</v>
      </c>
      <c r="AM50" s="4">
        <f>Time!AM$254</f>
        <v>0</v>
      </c>
      <c r="AN50" s="4">
        <f>Time!AN$254</f>
        <v>0</v>
      </c>
      <c r="AO50" s="4">
        <f>Time!AO$254</f>
        <v>1</v>
      </c>
      <c r="AP50" s="4">
        <f>Time!AP$254</f>
        <v>0</v>
      </c>
      <c r="AQ50" s="4">
        <f>Time!AQ$254</f>
        <v>0</v>
      </c>
      <c r="AR50" s="4">
        <f>Time!AR$254</f>
        <v>1</v>
      </c>
      <c r="AS50" s="4">
        <f>Time!AS$254</f>
        <v>0</v>
      </c>
      <c r="AT50" s="4">
        <f>Time!AT$254</f>
        <v>0</v>
      </c>
      <c r="AU50" s="4">
        <f>Time!AU$254</f>
        <v>1</v>
      </c>
      <c r="AV50" s="4">
        <f>Time!AV$254</f>
        <v>0</v>
      </c>
      <c r="AW50" s="4">
        <f>Time!AW$254</f>
        <v>0</v>
      </c>
      <c r="AX50" s="4">
        <f>Time!AX$254</f>
        <v>1</v>
      </c>
      <c r="AY50" s="4">
        <f>Time!AY$254</f>
        <v>0</v>
      </c>
      <c r="AZ50" s="4">
        <f>Time!AZ$254</f>
        <v>0</v>
      </c>
      <c r="BA50" s="4">
        <f>Time!BA$254</f>
        <v>1</v>
      </c>
      <c r="BB50" s="4">
        <f>Time!BB$254</f>
        <v>0</v>
      </c>
      <c r="BC50" s="4">
        <f>Time!BC$254</f>
        <v>0</v>
      </c>
      <c r="BD50" s="4">
        <f>Time!BD$254</f>
        <v>1</v>
      </c>
      <c r="BE50" s="4">
        <f>Time!BE$254</f>
        <v>0</v>
      </c>
      <c r="BF50" s="4">
        <f>Time!BF$254</f>
        <v>0</v>
      </c>
      <c r="BG50" s="4">
        <f>Time!BG$254</f>
        <v>1</v>
      </c>
      <c r="BH50" s="4">
        <f>Time!BH$254</f>
        <v>0</v>
      </c>
      <c r="BI50" s="4">
        <f>Time!BI$254</f>
        <v>0</v>
      </c>
      <c r="BJ50" s="4">
        <f>Time!BJ$254</f>
        <v>1</v>
      </c>
      <c r="BK50" s="4">
        <f>Time!BK$254</f>
        <v>0</v>
      </c>
      <c r="BL50" s="4">
        <f>Time!BL$254</f>
        <v>0</v>
      </c>
      <c r="BM50" s="4">
        <f>Time!BM$254</f>
        <v>1</v>
      </c>
      <c r="BN50" s="4">
        <f>Time!BN$254</f>
        <v>0</v>
      </c>
      <c r="BO50" s="4">
        <f>Time!BO$254</f>
        <v>0</v>
      </c>
      <c r="BP50" s="4">
        <f>Time!BP$254</f>
        <v>1</v>
      </c>
      <c r="BQ50" s="4">
        <f>Time!BQ$254</f>
        <v>0</v>
      </c>
    </row>
    <row r="51" spans="1:69" ht="14.5">
      <c r="E51" s="2" t="s">
        <v>198</v>
      </c>
      <c r="F51"/>
      <c r="G51" s="2" t="s">
        <v>252</v>
      </c>
      <c r="H51" s="2">
        <f ca="1">SUM(J51:BQ51)</f>
        <v>27134220.918038663</v>
      </c>
      <c r="I51"/>
      <c r="J51" s="2">
        <f t="shared" ref="J51:AO51" ca="1" si="26">J50*(J48+J49)</f>
        <v>0</v>
      </c>
      <c r="K51" s="2">
        <f t="shared" ca="1" si="26"/>
        <v>-44327.338509609079</v>
      </c>
      <c r="L51" s="2">
        <f t="shared" ca="1" si="26"/>
        <v>0</v>
      </c>
      <c r="M51" s="2">
        <f t="shared" ca="1" si="26"/>
        <v>0</v>
      </c>
      <c r="N51" s="2">
        <f t="shared" ca="1" si="26"/>
        <v>-15132.924278234681</v>
      </c>
      <c r="O51" s="2">
        <f t="shared" ca="1" si="26"/>
        <v>0</v>
      </c>
      <c r="P51" s="2">
        <f t="shared" ca="1" si="26"/>
        <v>0</v>
      </c>
      <c r="Q51" s="2">
        <f t="shared" ca="1" si="26"/>
        <v>300755.010202882</v>
      </c>
      <c r="R51" s="2">
        <f t="shared" ca="1" si="26"/>
        <v>0</v>
      </c>
      <c r="S51" s="2">
        <f t="shared" ca="1" si="26"/>
        <v>0</v>
      </c>
      <c r="T51" s="2">
        <f t="shared" ca="1" si="26"/>
        <v>48869.337549016898</v>
      </c>
      <c r="U51" s="2">
        <f t="shared" ca="1" si="26"/>
        <v>0</v>
      </c>
      <c r="V51" s="2">
        <f t="shared" ca="1" si="26"/>
        <v>0</v>
      </c>
      <c r="W51" s="2">
        <f t="shared" ca="1" si="26"/>
        <v>315762.28140571486</v>
      </c>
      <c r="X51" s="2">
        <f t="shared" ca="1" si="26"/>
        <v>0</v>
      </c>
      <c r="Y51" s="2">
        <f t="shared" ca="1" si="26"/>
        <v>0</v>
      </c>
      <c r="Z51" s="2">
        <f t="shared" ca="1" si="26"/>
        <v>-9993.2743738466306</v>
      </c>
      <c r="AA51" s="2">
        <f t="shared" ca="1" si="26"/>
        <v>0</v>
      </c>
      <c r="AB51" s="2">
        <f t="shared" ca="1" si="26"/>
        <v>0</v>
      </c>
      <c r="AC51" s="2">
        <f t="shared" ca="1" si="26"/>
        <v>746026.01177567896</v>
      </c>
      <c r="AD51" s="2">
        <f t="shared" ca="1" si="26"/>
        <v>0</v>
      </c>
      <c r="AE51" s="2">
        <f t="shared" ca="1" si="26"/>
        <v>0</v>
      </c>
      <c r="AF51" s="2">
        <f t="shared" ca="1" si="26"/>
        <v>2421.7078255419929</v>
      </c>
      <c r="AG51" s="2">
        <f t="shared" ca="1" si="26"/>
        <v>0</v>
      </c>
      <c r="AH51" s="2">
        <f t="shared" ca="1" si="26"/>
        <v>0</v>
      </c>
      <c r="AI51" s="2">
        <f t="shared" ca="1" si="26"/>
        <v>767414.64139436628</v>
      </c>
      <c r="AJ51" s="2">
        <f t="shared" ca="1" si="26"/>
        <v>0</v>
      </c>
      <c r="AK51" s="2">
        <f t="shared" ca="1" si="26"/>
        <v>0</v>
      </c>
      <c r="AL51" s="2">
        <f t="shared" ca="1" si="26"/>
        <v>670827.74511427153</v>
      </c>
      <c r="AM51" s="2">
        <f t="shared" ca="1" si="26"/>
        <v>0</v>
      </c>
      <c r="AN51" s="2">
        <f t="shared" ca="1" si="26"/>
        <v>0</v>
      </c>
      <c r="AO51" s="2">
        <f t="shared" ca="1" si="26"/>
        <v>1089295.8974253964</v>
      </c>
      <c r="AP51" s="2">
        <f t="shared" ref="AP51:BU51" ca="1" si="27">AP50*(AP48+AP49)</f>
        <v>0</v>
      </c>
      <c r="AQ51" s="2">
        <f t="shared" ca="1" si="27"/>
        <v>0</v>
      </c>
      <c r="AR51" s="2">
        <f t="shared" ca="1" si="27"/>
        <v>724959.27092309203</v>
      </c>
      <c r="AS51" s="2">
        <f t="shared" ca="1" si="27"/>
        <v>0</v>
      </c>
      <c r="AT51" s="2">
        <f t="shared" ca="1" si="27"/>
        <v>0</v>
      </c>
      <c r="AU51" s="2">
        <f t="shared" ca="1" si="27"/>
        <v>1258609.2131025724</v>
      </c>
      <c r="AV51" s="2">
        <f t="shared" ca="1" si="27"/>
        <v>0</v>
      </c>
      <c r="AW51" s="2">
        <f t="shared" ca="1" si="27"/>
        <v>0</v>
      </c>
      <c r="AX51" s="2">
        <f t="shared" ca="1" si="27"/>
        <v>1956996.6741555287</v>
      </c>
      <c r="AY51" s="2">
        <f t="shared" ca="1" si="27"/>
        <v>0</v>
      </c>
      <c r="AZ51" s="2">
        <f t="shared" ca="1" si="27"/>
        <v>0</v>
      </c>
      <c r="BA51" s="2">
        <f t="shared" ca="1" si="27"/>
        <v>2070017.7641121505</v>
      </c>
      <c r="BB51" s="2">
        <f t="shared" ca="1" si="27"/>
        <v>0</v>
      </c>
      <c r="BC51" s="2">
        <f t="shared" ca="1" si="27"/>
        <v>0</v>
      </c>
      <c r="BD51" s="2">
        <f t="shared" ca="1" si="27"/>
        <v>2245928.8826262252</v>
      </c>
      <c r="BE51" s="2">
        <f t="shared" ca="1" si="27"/>
        <v>0</v>
      </c>
      <c r="BF51" s="2">
        <f t="shared" ca="1" si="27"/>
        <v>0</v>
      </c>
      <c r="BG51" s="2">
        <f t="shared" ca="1" si="27"/>
        <v>2525636.7504529487</v>
      </c>
      <c r="BH51" s="2">
        <f t="shared" ca="1" si="27"/>
        <v>0</v>
      </c>
      <c r="BI51" s="2">
        <f t="shared" ca="1" si="27"/>
        <v>0</v>
      </c>
      <c r="BJ51" s="2">
        <f t="shared" ca="1" si="27"/>
        <v>3793388.8162340415</v>
      </c>
      <c r="BK51" s="2">
        <f t="shared" ca="1" si="27"/>
        <v>0</v>
      </c>
      <c r="BL51" s="2">
        <f t="shared" ca="1" si="27"/>
        <v>0</v>
      </c>
      <c r="BM51" s="2">
        <f t="shared" ca="1" si="27"/>
        <v>4138323.577021122</v>
      </c>
      <c r="BN51" s="2">
        <f t="shared" ca="1" si="27"/>
        <v>0</v>
      </c>
      <c r="BO51" s="2">
        <f t="shared" ca="1" si="27"/>
        <v>0</v>
      </c>
      <c r="BP51" s="2">
        <f t="shared" ca="1" si="27"/>
        <v>4548440.8738798015</v>
      </c>
      <c r="BQ51" s="2">
        <f t="shared" ca="1" si="27"/>
        <v>0</v>
      </c>
    </row>
    <row r="54" spans="1:69">
      <c r="B54" s="22" t="s">
        <v>265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BQ86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44.7265625" style="2" customWidth="1"/>
    <col min="6" max="6" width="20.7265625" style="2" customWidth="1"/>
    <col min="7" max="8" width="13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48" width="11.7265625" style="2" customWidth="1"/>
    <col min="49" max="50" width="12.7265625" style="2" customWidth="1"/>
    <col min="51" max="51" width="11.7265625" style="2" customWidth="1"/>
    <col min="52" max="53" width="12.7265625" style="2" customWidth="1"/>
    <col min="54" max="54" width="11.7265625" style="2" customWidth="1"/>
    <col min="55" max="55" width="12.7265625" style="2" customWidth="1"/>
    <col min="56" max="57" width="11.7265625" style="2" customWidth="1"/>
    <col min="58" max="59" width="12.7265625" style="2" customWidth="1"/>
    <col min="60" max="60" width="11.7265625" style="2" customWidth="1"/>
    <col min="61" max="62" width="12.7265625" style="2" customWidth="1"/>
    <col min="63" max="63" width="11.7265625" style="2" customWidth="1"/>
    <col min="64" max="65" width="12.7265625" style="2" customWidth="1"/>
    <col min="66" max="66" width="11.7265625" style="2" customWidth="1"/>
    <col min="67" max="67" width="12.7265625" style="2" customWidth="1"/>
    <col min="68" max="69" width="11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Corporation tax</v>
      </c>
      <c r="B1" s="37"/>
      <c r="C1" s="58"/>
      <c r="D1" s="67"/>
      <c r="F1" s="42" t="str">
        <f>HYPERLINK("#Contents!A1","Go to contents")</f>
        <v>Go to contents</v>
      </c>
      <c r="H1" s="38"/>
      <c r="J1" s="38"/>
    </row>
    <row r="2" spans="1:69" s="43" customFormat="1">
      <c r="A2" s="39"/>
      <c r="B2" s="39"/>
      <c r="C2" s="56"/>
      <c r="D2" s="62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>
      <c r="A3" s="39"/>
      <c r="B3" s="39"/>
      <c r="C3" s="56"/>
      <c r="D3" s="62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62"/>
      <c r="E4" s="20" t="s">
        <v>325</v>
      </c>
      <c r="F4" s="22"/>
      <c r="G4" s="20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>
      <c r="A5" s="39"/>
      <c r="B5" s="39"/>
      <c r="C5" s="56"/>
      <c r="D5" s="62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6" spans="1:69">
      <c r="F6" s="22"/>
      <c r="G6" s="22"/>
      <c r="H6" s="22"/>
    </row>
    <row r="8" spans="1:69">
      <c r="B8" s="22" t="s">
        <v>262</v>
      </c>
    </row>
    <row r="9" spans="1:69">
      <c r="A9" s="17"/>
      <c r="B9" s="17"/>
      <c r="C9" s="26"/>
      <c r="D9" s="27"/>
      <c r="E9" s="4" t="str">
        <f>'Income Statement'!E$11</f>
        <v>EBITDA</v>
      </c>
      <c r="F9" s="4">
        <f>'Income Statement'!F$11</f>
        <v>0</v>
      </c>
      <c r="G9" s="4" t="str">
        <f>'Income Statement'!G$11</f>
        <v>GBP</v>
      </c>
      <c r="H9" s="4">
        <f ca="1">'Income Statement'!H$11</f>
        <v>91548272.667472109</v>
      </c>
      <c r="I9" s="4">
        <f>'Income Statement'!I$11</f>
        <v>0</v>
      </c>
      <c r="J9" s="4">
        <f ca="1">'Income Statement'!J$11</f>
        <v>-46000</v>
      </c>
      <c r="K9" s="4">
        <f ca="1">'Income Statement'!K$11</f>
        <v>-47273.385096090773</v>
      </c>
      <c r="L9" s="4">
        <f ca="1">'Income Statement'!L$11</f>
        <v>-48579.164770385694</v>
      </c>
      <c r="M9" s="4">
        <f ca="1">'Income Statement'!M$11</f>
        <v>-50616.800526344436</v>
      </c>
      <c r="N9" s="4">
        <f ca="1">'Income Statement'!N$11</f>
        <v>-52133.27748561668</v>
      </c>
      <c r="O9" s="4">
        <f ca="1">'Income Statement'!O$11</f>
        <v>-53688.333215445258</v>
      </c>
      <c r="P9" s="4">
        <f ca="1">'Income Statement'!P$11</f>
        <v>-56013.696335963396</v>
      </c>
      <c r="Q9" s="4">
        <f ca="1">'Income Statement'!Q$11</f>
        <v>89115.754725113075</v>
      </c>
      <c r="R9" s="4">
        <f ca="1">'Income Statement'!R$11</f>
        <v>113478.27582573897</v>
      </c>
      <c r="S9" s="4">
        <f ca="1">'Income Statement'!S$11</f>
        <v>112662.85285996516</v>
      </c>
      <c r="T9" s="4">
        <f ca="1">'Income Statement'!T$11</f>
        <v>110713.98513466401</v>
      </c>
      <c r="U9" s="4">
        <f ca="1">'Income Statement'!U$11</f>
        <v>108451.45380549737</v>
      </c>
      <c r="V9" s="4">
        <f ca="1">'Income Statement'!V$11</f>
        <v>105500</v>
      </c>
      <c r="W9" s="4">
        <f ca="1">'Income Statement'!W$11</f>
        <v>257737.76049489388</v>
      </c>
      <c r="X9" s="4">
        <f ca="1">'Income Statement'!X$11</f>
        <v>275304.41252950544</v>
      </c>
      <c r="Y9" s="4">
        <f ca="1">'Income Statement'!Y$11</f>
        <v>271775.23697183491</v>
      </c>
      <c r="Z9" s="4">
        <f ca="1">'Income Statement'!Z$11</f>
        <v>268744.40650637494</v>
      </c>
      <c r="AA9" s="4">
        <f ca="1">'Income Statement'!AA$11</f>
        <v>265636.71868826868</v>
      </c>
      <c r="AB9" s="4">
        <f ca="1">'Income Statement'!AB$11</f>
        <v>261550.17025842413</v>
      </c>
      <c r="AC9" s="4">
        <f ca="1">'Income Statement'!AC$11</f>
        <v>433061.35730910645</v>
      </c>
      <c r="AD9" s="4">
        <f ca="1">'Income Statement'!AD$11</f>
        <v>429206.16781548737</v>
      </c>
      <c r="AE9" s="4">
        <f ca="1">'Income Statement'!AE$11</f>
        <v>424448.12584523065</v>
      </c>
      <c r="AF9" s="4">
        <f ca="1">'Income Statement'!AF$11</f>
        <v>420574.65609569219</v>
      </c>
      <c r="AG9" s="4">
        <f ca="1">'Income Statement'!AG$11</f>
        <v>591039.17894806305</v>
      </c>
      <c r="AH9" s="4">
        <f ca="1">'Income Statement'!AH$11</f>
        <v>549294.22806854604</v>
      </c>
      <c r="AI9" s="4">
        <f ca="1">'Income Statement'!AI$11</f>
        <v>559495.05293412972</v>
      </c>
      <c r="AJ9" s="4">
        <f ca="1">'Income Statement'!AJ$11</f>
        <v>570571.61881984991</v>
      </c>
      <c r="AK9" s="4">
        <f ca="1">'Income Statement'!AK$11</f>
        <v>756290.99490164698</v>
      </c>
      <c r="AL9" s="4">
        <f ca="1">'Income Statement'!AL$11</f>
        <v>768440.14502870594</v>
      </c>
      <c r="AM9" s="4">
        <f ca="1">'Income Statement'!AM$11</f>
        <v>781632.24149513722</v>
      </c>
      <c r="AN9" s="4">
        <f ca="1">'Income Statement'!AN$11</f>
        <v>969521.4944085629</v>
      </c>
      <c r="AO9" s="4">
        <f ca="1">'Income Statement'!AO$11</f>
        <v>984334.54723341262</v>
      </c>
      <c r="AP9" s="4">
        <f ca="1">'Income Statement'!AP$11</f>
        <v>1174596.2878552801</v>
      </c>
      <c r="AQ9" s="4">
        <f ca="1">'Income Statement'!AQ$11</f>
        <v>1190065.5540779692</v>
      </c>
      <c r="AR9" s="4">
        <f ca="1">'Income Statement'!AR$11</f>
        <v>1208497.6836971336</v>
      </c>
      <c r="AS9" s="4">
        <f ca="1">'Income Statement'!AS$11</f>
        <v>1401686.0054904961</v>
      </c>
      <c r="AT9" s="4">
        <f ca="1">'Income Statement'!AT$11</f>
        <v>1420666.3054624104</v>
      </c>
      <c r="AU9" s="4">
        <f ca="1">'Income Statement'!AU$11</f>
        <v>1441000.1451923409</v>
      </c>
      <c r="AV9" s="4">
        <f ca="1">'Income Statement'!AV$11</f>
        <v>1638187.0068315603</v>
      </c>
      <c r="AW9" s="4">
        <f ca="1">'Income Statement'!AW$11</f>
        <v>1660319.9306276729</v>
      </c>
      <c r="AX9" s="4">
        <f ca="1">'Income Statement'!AX$11</f>
        <v>1859650.0676669511</v>
      </c>
      <c r="AY9" s="4">
        <f ca="1">'Income Statement'!AY$11</f>
        <v>1886064.6481018665</v>
      </c>
      <c r="AZ9" s="4">
        <f ca="1">'Income Statement'!AZ$11</f>
        <v>2087549.3462882645</v>
      </c>
      <c r="BA9" s="4">
        <f ca="1">'Income Statement'!BA$11</f>
        <v>2292202.2909373641</v>
      </c>
      <c r="BB9" s="4">
        <f ca="1">'Income Statement'!BB$11</f>
        <v>2322709.0522145927</v>
      </c>
      <c r="BC9" s="4">
        <f ca="1">'Income Statement'!BC$11</f>
        <v>2529390.7830301183</v>
      </c>
      <c r="BD9" s="4">
        <f ca="1">'Income Statement'!BD$11</f>
        <v>2741343.2729988955</v>
      </c>
      <c r="BE9" s="4">
        <f ca="1">'Income Statement'!BE$11</f>
        <v>2777727.6144855861</v>
      </c>
      <c r="BF9" s="4">
        <f ca="1">'Income Statement'!BF$11</f>
        <v>2975640.5560993059</v>
      </c>
      <c r="BG9" s="4">
        <f ca="1">'Income Statement'!BG$11</f>
        <v>3206283.3094691341</v>
      </c>
      <c r="BH9" s="4">
        <f ca="1">'Income Statement'!BH$11</f>
        <v>3441358.5071495525</v>
      </c>
      <c r="BI9" s="4">
        <f ca="1">'Income Statement'!BI$11</f>
        <v>3677939.827012307</v>
      </c>
      <c r="BJ9" s="4">
        <f ca="1">'Income Statement'!BJ$11</f>
        <v>3919195.5980332019</v>
      </c>
      <c r="BK9" s="4">
        <f ca="1">'Income Statement'!BK$11</f>
        <v>4165729.2722203638</v>
      </c>
      <c r="BL9" s="4">
        <f ca="1">'Income Statement'!BL$11</f>
        <v>4414204.3480486348</v>
      </c>
      <c r="BM9" s="4">
        <f ca="1">'Income Statement'!BM$11</f>
        <v>4669516.1535467366</v>
      </c>
      <c r="BN9" s="4">
        <f ca="1">'Income Statement'!BN$11</f>
        <v>4928564.5161606967</v>
      </c>
      <c r="BO9" s="4">
        <f ca="1">'Income Statement'!BO$11</f>
        <v>5191300.3592811236</v>
      </c>
      <c r="BP9" s="4">
        <f ca="1">'Income Statement'!BP$11</f>
        <v>5464246.9113110239</v>
      </c>
      <c r="BQ9" s="4">
        <f ca="1">'Income Statement'!BQ$11</f>
        <v>5738361.1349075092</v>
      </c>
    </row>
    <row r="10" spans="1:69" ht="14.5">
      <c r="E10" s="2" t="s">
        <v>262</v>
      </c>
      <c r="F10"/>
      <c r="G10" s="2" t="s">
        <v>252</v>
      </c>
      <c r="H10" s="2">
        <f ca="1">SUM(J10:BQ10)</f>
        <v>91548272.667472109</v>
      </c>
      <c r="I10"/>
      <c r="J10" s="2">
        <f t="shared" ref="J10:AO10" ca="1" si="0">J9</f>
        <v>-46000</v>
      </c>
      <c r="K10" s="2">
        <f t="shared" ca="1" si="0"/>
        <v>-47273.385096090773</v>
      </c>
      <c r="L10" s="2">
        <f t="shared" ca="1" si="0"/>
        <v>-48579.164770385694</v>
      </c>
      <c r="M10" s="2">
        <f t="shared" ca="1" si="0"/>
        <v>-50616.800526344436</v>
      </c>
      <c r="N10" s="2">
        <f t="shared" ca="1" si="0"/>
        <v>-52133.27748561668</v>
      </c>
      <c r="O10" s="2">
        <f t="shared" ca="1" si="0"/>
        <v>-53688.333215445258</v>
      </c>
      <c r="P10" s="2">
        <f t="shared" ca="1" si="0"/>
        <v>-56013.696335963396</v>
      </c>
      <c r="Q10" s="2">
        <f t="shared" ca="1" si="0"/>
        <v>89115.754725113075</v>
      </c>
      <c r="R10" s="2">
        <f t="shared" ca="1" si="0"/>
        <v>113478.27582573897</v>
      </c>
      <c r="S10" s="2">
        <f t="shared" ca="1" si="0"/>
        <v>112662.85285996516</v>
      </c>
      <c r="T10" s="2">
        <f t="shared" ca="1" si="0"/>
        <v>110713.98513466401</v>
      </c>
      <c r="U10" s="2">
        <f t="shared" ca="1" si="0"/>
        <v>108451.45380549737</v>
      </c>
      <c r="V10" s="2">
        <f t="shared" ca="1" si="0"/>
        <v>105500</v>
      </c>
      <c r="W10" s="2">
        <f t="shared" ca="1" si="0"/>
        <v>257737.76049489388</v>
      </c>
      <c r="X10" s="2">
        <f t="shared" ca="1" si="0"/>
        <v>275304.41252950544</v>
      </c>
      <c r="Y10" s="2">
        <f t="shared" ca="1" si="0"/>
        <v>271775.23697183491</v>
      </c>
      <c r="Z10" s="2">
        <f t="shared" ca="1" si="0"/>
        <v>268744.40650637494</v>
      </c>
      <c r="AA10" s="2">
        <f t="shared" ca="1" si="0"/>
        <v>265636.71868826868</v>
      </c>
      <c r="AB10" s="2">
        <f t="shared" ca="1" si="0"/>
        <v>261550.17025842413</v>
      </c>
      <c r="AC10" s="2">
        <f t="shared" ca="1" si="0"/>
        <v>433061.35730910645</v>
      </c>
      <c r="AD10" s="2">
        <f t="shared" ca="1" si="0"/>
        <v>429206.16781548737</v>
      </c>
      <c r="AE10" s="2">
        <f t="shared" ca="1" si="0"/>
        <v>424448.12584523065</v>
      </c>
      <c r="AF10" s="2">
        <f t="shared" ca="1" si="0"/>
        <v>420574.65609569219</v>
      </c>
      <c r="AG10" s="2">
        <f t="shared" ca="1" si="0"/>
        <v>591039.17894806305</v>
      </c>
      <c r="AH10" s="2">
        <f t="shared" ca="1" si="0"/>
        <v>549294.22806854604</v>
      </c>
      <c r="AI10" s="2">
        <f t="shared" ca="1" si="0"/>
        <v>559495.05293412972</v>
      </c>
      <c r="AJ10" s="2">
        <f t="shared" ca="1" si="0"/>
        <v>570571.61881984991</v>
      </c>
      <c r="AK10" s="2">
        <f t="shared" ca="1" si="0"/>
        <v>756290.99490164698</v>
      </c>
      <c r="AL10" s="2">
        <f t="shared" ca="1" si="0"/>
        <v>768440.14502870594</v>
      </c>
      <c r="AM10" s="2">
        <f t="shared" ca="1" si="0"/>
        <v>781632.24149513722</v>
      </c>
      <c r="AN10" s="2">
        <f t="shared" ca="1" si="0"/>
        <v>969521.4944085629</v>
      </c>
      <c r="AO10" s="2">
        <f t="shared" ca="1" si="0"/>
        <v>984334.54723341262</v>
      </c>
      <c r="AP10" s="2">
        <f t="shared" ref="AP10:BU10" ca="1" si="1">AP9</f>
        <v>1174596.2878552801</v>
      </c>
      <c r="AQ10" s="2">
        <f t="shared" ca="1" si="1"/>
        <v>1190065.5540779692</v>
      </c>
      <c r="AR10" s="2">
        <f t="shared" ca="1" si="1"/>
        <v>1208497.6836971336</v>
      </c>
      <c r="AS10" s="2">
        <f t="shared" ca="1" si="1"/>
        <v>1401686.0054904961</v>
      </c>
      <c r="AT10" s="2">
        <f t="shared" ca="1" si="1"/>
        <v>1420666.3054624104</v>
      </c>
      <c r="AU10" s="2">
        <f t="shared" ca="1" si="1"/>
        <v>1441000.1451923409</v>
      </c>
      <c r="AV10" s="2">
        <f t="shared" ca="1" si="1"/>
        <v>1638187.0068315603</v>
      </c>
      <c r="AW10" s="2">
        <f t="shared" ca="1" si="1"/>
        <v>1660319.9306276729</v>
      </c>
      <c r="AX10" s="2">
        <f t="shared" ca="1" si="1"/>
        <v>1859650.0676669511</v>
      </c>
      <c r="AY10" s="2">
        <f t="shared" ca="1" si="1"/>
        <v>1886064.6481018665</v>
      </c>
      <c r="AZ10" s="2">
        <f t="shared" ca="1" si="1"/>
        <v>2087549.3462882645</v>
      </c>
      <c r="BA10" s="2">
        <f t="shared" ca="1" si="1"/>
        <v>2292202.2909373641</v>
      </c>
      <c r="BB10" s="2">
        <f t="shared" ca="1" si="1"/>
        <v>2322709.0522145927</v>
      </c>
      <c r="BC10" s="2">
        <f t="shared" ca="1" si="1"/>
        <v>2529390.7830301183</v>
      </c>
      <c r="BD10" s="2">
        <f t="shared" ca="1" si="1"/>
        <v>2741343.2729988955</v>
      </c>
      <c r="BE10" s="2">
        <f t="shared" ca="1" si="1"/>
        <v>2777727.6144855861</v>
      </c>
      <c r="BF10" s="2">
        <f t="shared" ca="1" si="1"/>
        <v>2975640.5560993059</v>
      </c>
      <c r="BG10" s="2">
        <f t="shared" ca="1" si="1"/>
        <v>3206283.3094691341</v>
      </c>
      <c r="BH10" s="2">
        <f t="shared" ca="1" si="1"/>
        <v>3441358.5071495525</v>
      </c>
      <c r="BI10" s="2">
        <f t="shared" ca="1" si="1"/>
        <v>3677939.827012307</v>
      </c>
      <c r="BJ10" s="2">
        <f t="shared" ca="1" si="1"/>
        <v>3919195.5980332019</v>
      </c>
      <c r="BK10" s="2">
        <f t="shared" ca="1" si="1"/>
        <v>4165729.2722203638</v>
      </c>
      <c r="BL10" s="2">
        <f t="shared" ca="1" si="1"/>
        <v>4414204.3480486348</v>
      </c>
      <c r="BM10" s="2">
        <f t="shared" ca="1" si="1"/>
        <v>4669516.1535467366</v>
      </c>
      <c r="BN10" s="2">
        <f t="shared" ca="1" si="1"/>
        <v>4928564.5161606967</v>
      </c>
      <c r="BO10" s="2">
        <f t="shared" ca="1" si="1"/>
        <v>5191300.3592811236</v>
      </c>
      <c r="BP10" s="2">
        <f t="shared" ca="1" si="1"/>
        <v>5464246.9113110239</v>
      </c>
      <c r="BQ10" s="2">
        <f t="shared" ca="1" si="1"/>
        <v>5738361.1349075092</v>
      </c>
    </row>
    <row r="13" spans="1:69">
      <c r="B13" s="22" t="s">
        <v>17</v>
      </c>
    </row>
    <row r="14" spans="1:69">
      <c r="E14" s="2" t="str">
        <f t="shared" ref="E14:AJ14" si="2">E$10</f>
        <v>Taxable income / (Tax losses arising)</v>
      </c>
      <c r="F14" s="2">
        <f t="shared" si="2"/>
        <v>0</v>
      </c>
      <c r="G14" s="2" t="str">
        <f t="shared" si="2"/>
        <v>GBP</v>
      </c>
      <c r="H14" s="2">
        <f t="shared" ca="1" si="2"/>
        <v>91548272.667472109</v>
      </c>
      <c r="I14" s="2">
        <f t="shared" si="2"/>
        <v>0</v>
      </c>
      <c r="J14" s="2">
        <f t="shared" ca="1" si="2"/>
        <v>-46000</v>
      </c>
      <c r="K14" s="2">
        <f t="shared" ca="1" si="2"/>
        <v>-47273.385096090773</v>
      </c>
      <c r="L14" s="2">
        <f t="shared" ca="1" si="2"/>
        <v>-48579.164770385694</v>
      </c>
      <c r="M14" s="2">
        <f t="shared" ca="1" si="2"/>
        <v>-50616.800526344436</v>
      </c>
      <c r="N14" s="2">
        <f t="shared" ca="1" si="2"/>
        <v>-52133.27748561668</v>
      </c>
      <c r="O14" s="2">
        <f t="shared" ca="1" si="2"/>
        <v>-53688.333215445258</v>
      </c>
      <c r="P14" s="2">
        <f t="shared" ca="1" si="2"/>
        <v>-56013.696335963396</v>
      </c>
      <c r="Q14" s="2">
        <f t="shared" ca="1" si="2"/>
        <v>89115.754725113075</v>
      </c>
      <c r="R14" s="2">
        <f t="shared" ca="1" si="2"/>
        <v>113478.27582573897</v>
      </c>
      <c r="S14" s="2">
        <f t="shared" ca="1" si="2"/>
        <v>112662.85285996516</v>
      </c>
      <c r="T14" s="2">
        <f t="shared" ca="1" si="2"/>
        <v>110713.98513466401</v>
      </c>
      <c r="U14" s="2">
        <f t="shared" ca="1" si="2"/>
        <v>108451.45380549737</v>
      </c>
      <c r="V14" s="2">
        <f t="shared" ca="1" si="2"/>
        <v>105500</v>
      </c>
      <c r="W14" s="2">
        <f t="shared" ca="1" si="2"/>
        <v>257737.76049489388</v>
      </c>
      <c r="X14" s="2">
        <f t="shared" ca="1" si="2"/>
        <v>275304.41252950544</v>
      </c>
      <c r="Y14" s="2">
        <f t="shared" ca="1" si="2"/>
        <v>271775.23697183491</v>
      </c>
      <c r="Z14" s="2">
        <f t="shared" ca="1" si="2"/>
        <v>268744.40650637494</v>
      </c>
      <c r="AA14" s="2">
        <f t="shared" ca="1" si="2"/>
        <v>265636.71868826868</v>
      </c>
      <c r="AB14" s="2">
        <f t="shared" ca="1" si="2"/>
        <v>261550.17025842413</v>
      </c>
      <c r="AC14" s="2">
        <f t="shared" ca="1" si="2"/>
        <v>433061.35730910645</v>
      </c>
      <c r="AD14" s="2">
        <f t="shared" ca="1" si="2"/>
        <v>429206.16781548737</v>
      </c>
      <c r="AE14" s="2">
        <f t="shared" ca="1" si="2"/>
        <v>424448.12584523065</v>
      </c>
      <c r="AF14" s="2">
        <f t="shared" ca="1" si="2"/>
        <v>420574.65609569219</v>
      </c>
      <c r="AG14" s="2">
        <f t="shared" ca="1" si="2"/>
        <v>591039.17894806305</v>
      </c>
      <c r="AH14" s="2">
        <f t="shared" ca="1" si="2"/>
        <v>549294.22806854604</v>
      </c>
      <c r="AI14" s="2">
        <f t="shared" ca="1" si="2"/>
        <v>559495.05293412972</v>
      </c>
      <c r="AJ14" s="2">
        <f t="shared" ca="1" si="2"/>
        <v>570571.61881984991</v>
      </c>
      <c r="AK14" s="2">
        <f t="shared" ref="AK14:BQ14" ca="1" si="3">AK$10</f>
        <v>756290.99490164698</v>
      </c>
      <c r="AL14" s="2">
        <f t="shared" ca="1" si="3"/>
        <v>768440.14502870594</v>
      </c>
      <c r="AM14" s="2">
        <f t="shared" ca="1" si="3"/>
        <v>781632.24149513722</v>
      </c>
      <c r="AN14" s="2">
        <f t="shared" ca="1" si="3"/>
        <v>969521.4944085629</v>
      </c>
      <c r="AO14" s="2">
        <f t="shared" ca="1" si="3"/>
        <v>984334.54723341262</v>
      </c>
      <c r="AP14" s="2">
        <f t="shared" ca="1" si="3"/>
        <v>1174596.2878552801</v>
      </c>
      <c r="AQ14" s="2">
        <f t="shared" ca="1" si="3"/>
        <v>1190065.5540779692</v>
      </c>
      <c r="AR14" s="2">
        <f t="shared" ca="1" si="3"/>
        <v>1208497.6836971336</v>
      </c>
      <c r="AS14" s="2">
        <f t="shared" ca="1" si="3"/>
        <v>1401686.0054904961</v>
      </c>
      <c r="AT14" s="2">
        <f t="shared" ca="1" si="3"/>
        <v>1420666.3054624104</v>
      </c>
      <c r="AU14" s="2">
        <f t="shared" ca="1" si="3"/>
        <v>1441000.1451923409</v>
      </c>
      <c r="AV14" s="2">
        <f t="shared" ca="1" si="3"/>
        <v>1638187.0068315603</v>
      </c>
      <c r="AW14" s="2">
        <f t="shared" ca="1" si="3"/>
        <v>1660319.9306276729</v>
      </c>
      <c r="AX14" s="2">
        <f t="shared" ca="1" si="3"/>
        <v>1859650.0676669511</v>
      </c>
      <c r="AY14" s="2">
        <f t="shared" ca="1" si="3"/>
        <v>1886064.6481018665</v>
      </c>
      <c r="AZ14" s="2">
        <f t="shared" ca="1" si="3"/>
        <v>2087549.3462882645</v>
      </c>
      <c r="BA14" s="2">
        <f t="shared" ca="1" si="3"/>
        <v>2292202.2909373641</v>
      </c>
      <c r="BB14" s="2">
        <f t="shared" ca="1" si="3"/>
        <v>2322709.0522145927</v>
      </c>
      <c r="BC14" s="2">
        <f t="shared" ca="1" si="3"/>
        <v>2529390.7830301183</v>
      </c>
      <c r="BD14" s="2">
        <f t="shared" ca="1" si="3"/>
        <v>2741343.2729988955</v>
      </c>
      <c r="BE14" s="2">
        <f t="shared" ca="1" si="3"/>
        <v>2777727.6144855861</v>
      </c>
      <c r="BF14" s="2">
        <f t="shared" ca="1" si="3"/>
        <v>2975640.5560993059</v>
      </c>
      <c r="BG14" s="2">
        <f t="shared" ca="1" si="3"/>
        <v>3206283.3094691341</v>
      </c>
      <c r="BH14" s="2">
        <f t="shared" ca="1" si="3"/>
        <v>3441358.5071495525</v>
      </c>
      <c r="BI14" s="2">
        <f t="shared" ca="1" si="3"/>
        <v>3677939.827012307</v>
      </c>
      <c r="BJ14" s="2">
        <f t="shared" ca="1" si="3"/>
        <v>3919195.5980332019</v>
      </c>
      <c r="BK14" s="2">
        <f t="shared" ca="1" si="3"/>
        <v>4165729.2722203638</v>
      </c>
      <c r="BL14" s="2">
        <f t="shared" ca="1" si="3"/>
        <v>4414204.3480486348</v>
      </c>
      <c r="BM14" s="2">
        <f t="shared" ca="1" si="3"/>
        <v>4669516.1535467366</v>
      </c>
      <c r="BN14" s="2">
        <f t="shared" ca="1" si="3"/>
        <v>4928564.5161606967</v>
      </c>
      <c r="BO14" s="2">
        <f t="shared" ca="1" si="3"/>
        <v>5191300.3592811236</v>
      </c>
      <c r="BP14" s="2">
        <f t="shared" ca="1" si="3"/>
        <v>5464246.9113110239</v>
      </c>
      <c r="BQ14" s="2">
        <f t="shared" ca="1" si="3"/>
        <v>5738361.1349075092</v>
      </c>
    </row>
    <row r="15" spans="1:69" ht="14.5">
      <c r="E15" s="2" t="s">
        <v>17</v>
      </c>
      <c r="F15"/>
      <c r="G15" s="2" t="s">
        <v>252</v>
      </c>
      <c r="H15" s="2">
        <f ca="1">SUM(J15:BQ15)</f>
        <v>91902577.324901953</v>
      </c>
      <c r="I15"/>
      <c r="J15" s="2">
        <f t="shared" ref="J15:AO15" ca="1" si="4">MAX(J14,0)</f>
        <v>0</v>
      </c>
      <c r="K15" s="2">
        <f t="shared" ca="1" si="4"/>
        <v>0</v>
      </c>
      <c r="L15" s="2">
        <f t="shared" ca="1" si="4"/>
        <v>0</v>
      </c>
      <c r="M15" s="2">
        <f t="shared" ca="1" si="4"/>
        <v>0</v>
      </c>
      <c r="N15" s="2">
        <f t="shared" ca="1" si="4"/>
        <v>0</v>
      </c>
      <c r="O15" s="2">
        <f t="shared" ca="1" si="4"/>
        <v>0</v>
      </c>
      <c r="P15" s="2">
        <f t="shared" ca="1" si="4"/>
        <v>0</v>
      </c>
      <c r="Q15" s="2">
        <f t="shared" ca="1" si="4"/>
        <v>89115.754725113075</v>
      </c>
      <c r="R15" s="2">
        <f t="shared" ca="1" si="4"/>
        <v>113478.27582573897</v>
      </c>
      <c r="S15" s="2">
        <f t="shared" ca="1" si="4"/>
        <v>112662.85285996516</v>
      </c>
      <c r="T15" s="2">
        <f t="shared" ca="1" si="4"/>
        <v>110713.98513466401</v>
      </c>
      <c r="U15" s="2">
        <f t="shared" ca="1" si="4"/>
        <v>108451.45380549737</v>
      </c>
      <c r="V15" s="2">
        <f t="shared" ca="1" si="4"/>
        <v>105500</v>
      </c>
      <c r="W15" s="2">
        <f t="shared" ca="1" si="4"/>
        <v>257737.76049489388</v>
      </c>
      <c r="X15" s="2">
        <f t="shared" ca="1" si="4"/>
        <v>275304.41252950544</v>
      </c>
      <c r="Y15" s="2">
        <f t="shared" ca="1" si="4"/>
        <v>271775.23697183491</v>
      </c>
      <c r="Z15" s="2">
        <f t="shared" ca="1" si="4"/>
        <v>268744.40650637494</v>
      </c>
      <c r="AA15" s="2">
        <f t="shared" ca="1" si="4"/>
        <v>265636.71868826868</v>
      </c>
      <c r="AB15" s="2">
        <f t="shared" ca="1" si="4"/>
        <v>261550.17025842413</v>
      </c>
      <c r="AC15" s="2">
        <f t="shared" ca="1" si="4"/>
        <v>433061.35730910645</v>
      </c>
      <c r="AD15" s="2">
        <f t="shared" ca="1" si="4"/>
        <v>429206.16781548737</v>
      </c>
      <c r="AE15" s="2">
        <f t="shared" ca="1" si="4"/>
        <v>424448.12584523065</v>
      </c>
      <c r="AF15" s="2">
        <f t="shared" ca="1" si="4"/>
        <v>420574.65609569219</v>
      </c>
      <c r="AG15" s="2">
        <f t="shared" ca="1" si="4"/>
        <v>591039.17894806305</v>
      </c>
      <c r="AH15" s="2">
        <f t="shared" ca="1" si="4"/>
        <v>549294.22806854604</v>
      </c>
      <c r="AI15" s="2">
        <f t="shared" ca="1" si="4"/>
        <v>559495.05293412972</v>
      </c>
      <c r="AJ15" s="2">
        <f t="shared" ca="1" si="4"/>
        <v>570571.61881984991</v>
      </c>
      <c r="AK15" s="2">
        <f t="shared" ca="1" si="4"/>
        <v>756290.99490164698</v>
      </c>
      <c r="AL15" s="2">
        <f t="shared" ca="1" si="4"/>
        <v>768440.14502870594</v>
      </c>
      <c r="AM15" s="2">
        <f t="shared" ca="1" si="4"/>
        <v>781632.24149513722</v>
      </c>
      <c r="AN15" s="2">
        <f t="shared" ca="1" si="4"/>
        <v>969521.4944085629</v>
      </c>
      <c r="AO15" s="2">
        <f t="shared" ca="1" si="4"/>
        <v>984334.54723341262</v>
      </c>
      <c r="AP15" s="2">
        <f t="shared" ref="AP15:BU15" ca="1" si="5">MAX(AP14,0)</f>
        <v>1174596.2878552801</v>
      </c>
      <c r="AQ15" s="2">
        <f t="shared" ca="1" si="5"/>
        <v>1190065.5540779692</v>
      </c>
      <c r="AR15" s="2">
        <f t="shared" ca="1" si="5"/>
        <v>1208497.6836971336</v>
      </c>
      <c r="AS15" s="2">
        <f t="shared" ca="1" si="5"/>
        <v>1401686.0054904961</v>
      </c>
      <c r="AT15" s="2">
        <f t="shared" ca="1" si="5"/>
        <v>1420666.3054624104</v>
      </c>
      <c r="AU15" s="2">
        <f t="shared" ca="1" si="5"/>
        <v>1441000.1451923409</v>
      </c>
      <c r="AV15" s="2">
        <f t="shared" ca="1" si="5"/>
        <v>1638187.0068315603</v>
      </c>
      <c r="AW15" s="2">
        <f t="shared" ca="1" si="5"/>
        <v>1660319.9306276729</v>
      </c>
      <c r="AX15" s="2">
        <f t="shared" ca="1" si="5"/>
        <v>1859650.0676669511</v>
      </c>
      <c r="AY15" s="2">
        <f t="shared" ca="1" si="5"/>
        <v>1886064.6481018665</v>
      </c>
      <c r="AZ15" s="2">
        <f t="shared" ca="1" si="5"/>
        <v>2087549.3462882645</v>
      </c>
      <c r="BA15" s="2">
        <f t="shared" ca="1" si="5"/>
        <v>2292202.2909373641</v>
      </c>
      <c r="BB15" s="2">
        <f t="shared" ca="1" si="5"/>
        <v>2322709.0522145927</v>
      </c>
      <c r="BC15" s="2">
        <f t="shared" ca="1" si="5"/>
        <v>2529390.7830301183</v>
      </c>
      <c r="BD15" s="2">
        <f t="shared" ca="1" si="5"/>
        <v>2741343.2729988955</v>
      </c>
      <c r="BE15" s="2">
        <f t="shared" ca="1" si="5"/>
        <v>2777727.6144855861</v>
      </c>
      <c r="BF15" s="2">
        <f t="shared" ca="1" si="5"/>
        <v>2975640.5560993059</v>
      </c>
      <c r="BG15" s="2">
        <f t="shared" ca="1" si="5"/>
        <v>3206283.3094691341</v>
      </c>
      <c r="BH15" s="2">
        <f t="shared" ca="1" si="5"/>
        <v>3441358.5071495525</v>
      </c>
      <c r="BI15" s="2">
        <f t="shared" ca="1" si="5"/>
        <v>3677939.827012307</v>
      </c>
      <c r="BJ15" s="2">
        <f t="shared" ca="1" si="5"/>
        <v>3919195.5980332019</v>
      </c>
      <c r="BK15" s="2">
        <f t="shared" ca="1" si="5"/>
        <v>4165729.2722203638</v>
      </c>
      <c r="BL15" s="2">
        <f t="shared" ca="1" si="5"/>
        <v>4414204.3480486348</v>
      </c>
      <c r="BM15" s="2">
        <f t="shared" ca="1" si="5"/>
        <v>4669516.1535467366</v>
      </c>
      <c r="BN15" s="2">
        <f t="shared" ca="1" si="5"/>
        <v>4928564.5161606967</v>
      </c>
      <c r="BO15" s="2">
        <f t="shared" ca="1" si="5"/>
        <v>5191300.3592811236</v>
      </c>
      <c r="BP15" s="2">
        <f t="shared" ca="1" si="5"/>
        <v>5464246.9113110239</v>
      </c>
      <c r="BQ15" s="2">
        <f t="shared" ca="1" si="5"/>
        <v>5738361.1349075092</v>
      </c>
    </row>
    <row r="18" spans="1:69">
      <c r="A18" s="22" t="s">
        <v>318</v>
      </c>
    </row>
    <row r="19" spans="1:69" ht="14.5">
      <c r="A19"/>
      <c r="B19" s="22" t="s">
        <v>242</v>
      </c>
    </row>
    <row r="20" spans="1:69">
      <c r="E20" s="2" t="str">
        <f t="shared" ref="E20:AJ20" si="6">E$10</f>
        <v>Taxable income / (Tax losses arising)</v>
      </c>
      <c r="F20" s="2">
        <f t="shared" si="6"/>
        <v>0</v>
      </c>
      <c r="G20" s="2" t="str">
        <f t="shared" si="6"/>
        <v>GBP</v>
      </c>
      <c r="H20" s="2">
        <f t="shared" ca="1" si="6"/>
        <v>91548272.667472109</v>
      </c>
      <c r="I20" s="2">
        <f t="shared" si="6"/>
        <v>0</v>
      </c>
      <c r="J20" s="2">
        <f t="shared" ca="1" si="6"/>
        <v>-46000</v>
      </c>
      <c r="K20" s="2">
        <f t="shared" ca="1" si="6"/>
        <v>-47273.385096090773</v>
      </c>
      <c r="L20" s="2">
        <f t="shared" ca="1" si="6"/>
        <v>-48579.164770385694</v>
      </c>
      <c r="M20" s="2">
        <f t="shared" ca="1" si="6"/>
        <v>-50616.800526344436</v>
      </c>
      <c r="N20" s="2">
        <f t="shared" ca="1" si="6"/>
        <v>-52133.27748561668</v>
      </c>
      <c r="O20" s="2">
        <f t="shared" ca="1" si="6"/>
        <v>-53688.333215445258</v>
      </c>
      <c r="P20" s="2">
        <f t="shared" ca="1" si="6"/>
        <v>-56013.696335963396</v>
      </c>
      <c r="Q20" s="2">
        <f t="shared" ca="1" si="6"/>
        <v>89115.754725113075</v>
      </c>
      <c r="R20" s="2">
        <f t="shared" ca="1" si="6"/>
        <v>113478.27582573897</v>
      </c>
      <c r="S20" s="2">
        <f t="shared" ca="1" si="6"/>
        <v>112662.85285996516</v>
      </c>
      <c r="T20" s="2">
        <f t="shared" ca="1" si="6"/>
        <v>110713.98513466401</v>
      </c>
      <c r="U20" s="2">
        <f t="shared" ca="1" si="6"/>
        <v>108451.45380549737</v>
      </c>
      <c r="V20" s="2">
        <f t="shared" ca="1" si="6"/>
        <v>105500</v>
      </c>
      <c r="W20" s="2">
        <f t="shared" ca="1" si="6"/>
        <v>257737.76049489388</v>
      </c>
      <c r="X20" s="2">
        <f t="shared" ca="1" si="6"/>
        <v>275304.41252950544</v>
      </c>
      <c r="Y20" s="2">
        <f t="shared" ca="1" si="6"/>
        <v>271775.23697183491</v>
      </c>
      <c r="Z20" s="2">
        <f t="shared" ca="1" si="6"/>
        <v>268744.40650637494</v>
      </c>
      <c r="AA20" s="2">
        <f t="shared" ca="1" si="6"/>
        <v>265636.71868826868</v>
      </c>
      <c r="AB20" s="2">
        <f t="shared" ca="1" si="6"/>
        <v>261550.17025842413</v>
      </c>
      <c r="AC20" s="2">
        <f t="shared" ca="1" si="6"/>
        <v>433061.35730910645</v>
      </c>
      <c r="AD20" s="2">
        <f t="shared" ca="1" si="6"/>
        <v>429206.16781548737</v>
      </c>
      <c r="AE20" s="2">
        <f t="shared" ca="1" si="6"/>
        <v>424448.12584523065</v>
      </c>
      <c r="AF20" s="2">
        <f t="shared" ca="1" si="6"/>
        <v>420574.65609569219</v>
      </c>
      <c r="AG20" s="2">
        <f t="shared" ca="1" si="6"/>
        <v>591039.17894806305</v>
      </c>
      <c r="AH20" s="2">
        <f t="shared" ca="1" si="6"/>
        <v>549294.22806854604</v>
      </c>
      <c r="AI20" s="2">
        <f t="shared" ca="1" si="6"/>
        <v>559495.05293412972</v>
      </c>
      <c r="AJ20" s="2">
        <f t="shared" ca="1" si="6"/>
        <v>570571.61881984991</v>
      </c>
      <c r="AK20" s="2">
        <f t="shared" ref="AK20:BQ20" ca="1" si="7">AK$10</f>
        <v>756290.99490164698</v>
      </c>
      <c r="AL20" s="2">
        <f t="shared" ca="1" si="7"/>
        <v>768440.14502870594</v>
      </c>
      <c r="AM20" s="2">
        <f t="shared" ca="1" si="7"/>
        <v>781632.24149513722</v>
      </c>
      <c r="AN20" s="2">
        <f t="shared" ca="1" si="7"/>
        <v>969521.4944085629</v>
      </c>
      <c r="AO20" s="2">
        <f t="shared" ca="1" si="7"/>
        <v>984334.54723341262</v>
      </c>
      <c r="AP20" s="2">
        <f t="shared" ca="1" si="7"/>
        <v>1174596.2878552801</v>
      </c>
      <c r="AQ20" s="2">
        <f t="shared" ca="1" si="7"/>
        <v>1190065.5540779692</v>
      </c>
      <c r="AR20" s="2">
        <f t="shared" ca="1" si="7"/>
        <v>1208497.6836971336</v>
      </c>
      <c r="AS20" s="2">
        <f t="shared" ca="1" si="7"/>
        <v>1401686.0054904961</v>
      </c>
      <c r="AT20" s="2">
        <f t="shared" ca="1" si="7"/>
        <v>1420666.3054624104</v>
      </c>
      <c r="AU20" s="2">
        <f t="shared" ca="1" si="7"/>
        <v>1441000.1451923409</v>
      </c>
      <c r="AV20" s="2">
        <f t="shared" ca="1" si="7"/>
        <v>1638187.0068315603</v>
      </c>
      <c r="AW20" s="2">
        <f t="shared" ca="1" si="7"/>
        <v>1660319.9306276729</v>
      </c>
      <c r="AX20" s="2">
        <f t="shared" ca="1" si="7"/>
        <v>1859650.0676669511</v>
      </c>
      <c r="AY20" s="2">
        <f t="shared" ca="1" si="7"/>
        <v>1886064.6481018665</v>
      </c>
      <c r="AZ20" s="2">
        <f t="shared" ca="1" si="7"/>
        <v>2087549.3462882645</v>
      </c>
      <c r="BA20" s="2">
        <f t="shared" ca="1" si="7"/>
        <v>2292202.2909373641</v>
      </c>
      <c r="BB20" s="2">
        <f t="shared" ca="1" si="7"/>
        <v>2322709.0522145927</v>
      </c>
      <c r="BC20" s="2">
        <f t="shared" ca="1" si="7"/>
        <v>2529390.7830301183</v>
      </c>
      <c r="BD20" s="2">
        <f t="shared" ca="1" si="7"/>
        <v>2741343.2729988955</v>
      </c>
      <c r="BE20" s="2">
        <f t="shared" ca="1" si="7"/>
        <v>2777727.6144855861</v>
      </c>
      <c r="BF20" s="2">
        <f t="shared" ca="1" si="7"/>
        <v>2975640.5560993059</v>
      </c>
      <c r="BG20" s="2">
        <f t="shared" ca="1" si="7"/>
        <v>3206283.3094691341</v>
      </c>
      <c r="BH20" s="2">
        <f t="shared" ca="1" si="7"/>
        <v>3441358.5071495525</v>
      </c>
      <c r="BI20" s="2">
        <f t="shared" ca="1" si="7"/>
        <v>3677939.827012307</v>
      </c>
      <c r="BJ20" s="2">
        <f t="shared" ca="1" si="7"/>
        <v>3919195.5980332019</v>
      </c>
      <c r="BK20" s="2">
        <f t="shared" ca="1" si="7"/>
        <v>4165729.2722203638</v>
      </c>
      <c r="BL20" s="2">
        <f t="shared" ca="1" si="7"/>
        <v>4414204.3480486348</v>
      </c>
      <c r="BM20" s="2">
        <f t="shared" ca="1" si="7"/>
        <v>4669516.1535467366</v>
      </c>
      <c r="BN20" s="2">
        <f t="shared" ca="1" si="7"/>
        <v>4928564.5161606967</v>
      </c>
      <c r="BO20" s="2">
        <f t="shared" ca="1" si="7"/>
        <v>5191300.3592811236</v>
      </c>
      <c r="BP20" s="2">
        <f t="shared" ca="1" si="7"/>
        <v>5464246.9113110239</v>
      </c>
      <c r="BQ20" s="2">
        <f t="shared" ca="1" si="7"/>
        <v>5738361.1349075092</v>
      </c>
    </row>
    <row r="21" spans="1:69" ht="14.5">
      <c r="E21" s="2" t="s">
        <v>242</v>
      </c>
      <c r="F21"/>
      <c r="G21" s="2" t="s">
        <v>252</v>
      </c>
      <c r="H21" s="2">
        <f ca="1">SUM(J21:BQ21)</f>
        <v>354304.65742984624</v>
      </c>
      <c r="I21"/>
      <c r="J21" s="2">
        <f t="shared" ref="J21:AO21" ca="1" si="8">0-1*MIN(J20,0)</f>
        <v>46000</v>
      </c>
      <c r="K21" s="2">
        <f t="shared" ca="1" si="8"/>
        <v>47273.385096090773</v>
      </c>
      <c r="L21" s="2">
        <f t="shared" ca="1" si="8"/>
        <v>48579.164770385694</v>
      </c>
      <c r="M21" s="2">
        <f t="shared" ca="1" si="8"/>
        <v>50616.800526344436</v>
      </c>
      <c r="N21" s="2">
        <f t="shared" ca="1" si="8"/>
        <v>52133.27748561668</v>
      </c>
      <c r="O21" s="2">
        <f t="shared" ca="1" si="8"/>
        <v>53688.333215445258</v>
      </c>
      <c r="P21" s="2">
        <f t="shared" ca="1" si="8"/>
        <v>56013.696335963396</v>
      </c>
      <c r="Q21" s="2">
        <f t="shared" ca="1" si="8"/>
        <v>0</v>
      </c>
      <c r="R21" s="2">
        <f t="shared" ca="1" si="8"/>
        <v>0</v>
      </c>
      <c r="S21" s="2">
        <f t="shared" ca="1" si="8"/>
        <v>0</v>
      </c>
      <c r="T21" s="2">
        <f t="shared" ca="1" si="8"/>
        <v>0</v>
      </c>
      <c r="U21" s="2">
        <f t="shared" ca="1" si="8"/>
        <v>0</v>
      </c>
      <c r="V21" s="2">
        <f t="shared" ca="1" si="8"/>
        <v>0</v>
      </c>
      <c r="W21" s="2">
        <f t="shared" ca="1" si="8"/>
        <v>0</v>
      </c>
      <c r="X21" s="2">
        <f t="shared" ca="1" si="8"/>
        <v>0</v>
      </c>
      <c r="Y21" s="2">
        <f t="shared" ca="1" si="8"/>
        <v>0</v>
      </c>
      <c r="Z21" s="2">
        <f t="shared" ca="1" si="8"/>
        <v>0</v>
      </c>
      <c r="AA21" s="2">
        <f t="shared" ca="1" si="8"/>
        <v>0</v>
      </c>
      <c r="AB21" s="2">
        <f t="shared" ca="1" si="8"/>
        <v>0</v>
      </c>
      <c r="AC21" s="2">
        <f t="shared" ca="1" si="8"/>
        <v>0</v>
      </c>
      <c r="AD21" s="2">
        <f t="shared" ca="1" si="8"/>
        <v>0</v>
      </c>
      <c r="AE21" s="2">
        <f t="shared" ca="1" si="8"/>
        <v>0</v>
      </c>
      <c r="AF21" s="2">
        <f t="shared" ca="1" si="8"/>
        <v>0</v>
      </c>
      <c r="AG21" s="2">
        <f t="shared" ca="1" si="8"/>
        <v>0</v>
      </c>
      <c r="AH21" s="2">
        <f t="shared" ca="1" si="8"/>
        <v>0</v>
      </c>
      <c r="AI21" s="2">
        <f t="shared" ca="1" si="8"/>
        <v>0</v>
      </c>
      <c r="AJ21" s="2">
        <f t="shared" ca="1" si="8"/>
        <v>0</v>
      </c>
      <c r="AK21" s="2">
        <f t="shared" ca="1" si="8"/>
        <v>0</v>
      </c>
      <c r="AL21" s="2">
        <f t="shared" ca="1" si="8"/>
        <v>0</v>
      </c>
      <c r="AM21" s="2">
        <f t="shared" ca="1" si="8"/>
        <v>0</v>
      </c>
      <c r="AN21" s="2">
        <f t="shared" ca="1" si="8"/>
        <v>0</v>
      </c>
      <c r="AO21" s="2">
        <f t="shared" ca="1" si="8"/>
        <v>0</v>
      </c>
      <c r="AP21" s="2">
        <f t="shared" ref="AP21:BU21" ca="1" si="9">0-1*MIN(AP20,0)</f>
        <v>0</v>
      </c>
      <c r="AQ21" s="2">
        <f t="shared" ca="1" si="9"/>
        <v>0</v>
      </c>
      <c r="AR21" s="2">
        <f t="shared" ca="1" si="9"/>
        <v>0</v>
      </c>
      <c r="AS21" s="2">
        <f t="shared" ca="1" si="9"/>
        <v>0</v>
      </c>
      <c r="AT21" s="2">
        <f t="shared" ca="1" si="9"/>
        <v>0</v>
      </c>
      <c r="AU21" s="2">
        <f t="shared" ca="1" si="9"/>
        <v>0</v>
      </c>
      <c r="AV21" s="2">
        <f t="shared" ca="1" si="9"/>
        <v>0</v>
      </c>
      <c r="AW21" s="2">
        <f t="shared" ca="1" si="9"/>
        <v>0</v>
      </c>
      <c r="AX21" s="2">
        <f t="shared" ca="1" si="9"/>
        <v>0</v>
      </c>
      <c r="AY21" s="2">
        <f t="shared" ca="1" si="9"/>
        <v>0</v>
      </c>
      <c r="AZ21" s="2">
        <f t="shared" ca="1" si="9"/>
        <v>0</v>
      </c>
      <c r="BA21" s="2">
        <f t="shared" ca="1" si="9"/>
        <v>0</v>
      </c>
      <c r="BB21" s="2">
        <f t="shared" ca="1" si="9"/>
        <v>0</v>
      </c>
      <c r="BC21" s="2">
        <f t="shared" ca="1" si="9"/>
        <v>0</v>
      </c>
      <c r="BD21" s="2">
        <f t="shared" ca="1" si="9"/>
        <v>0</v>
      </c>
      <c r="BE21" s="2">
        <f t="shared" ca="1" si="9"/>
        <v>0</v>
      </c>
      <c r="BF21" s="2">
        <f t="shared" ca="1" si="9"/>
        <v>0</v>
      </c>
      <c r="BG21" s="2">
        <f t="shared" ca="1" si="9"/>
        <v>0</v>
      </c>
      <c r="BH21" s="2">
        <f t="shared" ca="1" si="9"/>
        <v>0</v>
      </c>
      <c r="BI21" s="2">
        <f t="shared" ca="1" si="9"/>
        <v>0</v>
      </c>
      <c r="BJ21" s="2">
        <f t="shared" ca="1" si="9"/>
        <v>0</v>
      </c>
      <c r="BK21" s="2">
        <f t="shared" ca="1" si="9"/>
        <v>0</v>
      </c>
      <c r="BL21" s="2">
        <f t="shared" ca="1" si="9"/>
        <v>0</v>
      </c>
      <c r="BM21" s="2">
        <f t="shared" ca="1" si="9"/>
        <v>0</v>
      </c>
      <c r="BN21" s="2">
        <f t="shared" ca="1" si="9"/>
        <v>0</v>
      </c>
      <c r="BO21" s="2">
        <f t="shared" ca="1" si="9"/>
        <v>0</v>
      </c>
      <c r="BP21" s="2">
        <f t="shared" ca="1" si="9"/>
        <v>0</v>
      </c>
      <c r="BQ21" s="2">
        <f t="shared" ca="1" si="9"/>
        <v>0</v>
      </c>
    </row>
    <row r="24" spans="1:69">
      <c r="B24" s="22" t="s">
        <v>319</v>
      </c>
    </row>
    <row r="25" spans="1:69">
      <c r="E25" s="2" t="str">
        <f t="shared" ref="E25:AJ25" si="10">E$15</f>
        <v>Taxable income</v>
      </c>
      <c r="F25" s="2">
        <f t="shared" si="10"/>
        <v>0</v>
      </c>
      <c r="G25" s="2" t="str">
        <f t="shared" si="10"/>
        <v>GBP</v>
      </c>
      <c r="H25" s="2">
        <f t="shared" ca="1" si="10"/>
        <v>91902577.324901953</v>
      </c>
      <c r="I25" s="2">
        <f t="shared" si="10"/>
        <v>0</v>
      </c>
      <c r="J25" s="2">
        <f t="shared" ca="1" si="10"/>
        <v>0</v>
      </c>
      <c r="K25" s="2">
        <f t="shared" ca="1" si="10"/>
        <v>0</v>
      </c>
      <c r="L25" s="2">
        <f t="shared" ca="1" si="10"/>
        <v>0</v>
      </c>
      <c r="M25" s="2">
        <f t="shared" ca="1" si="10"/>
        <v>0</v>
      </c>
      <c r="N25" s="2">
        <f t="shared" ca="1" si="10"/>
        <v>0</v>
      </c>
      <c r="O25" s="2">
        <f t="shared" ca="1" si="10"/>
        <v>0</v>
      </c>
      <c r="P25" s="2">
        <f t="shared" ca="1" si="10"/>
        <v>0</v>
      </c>
      <c r="Q25" s="2">
        <f t="shared" ca="1" si="10"/>
        <v>89115.754725113075</v>
      </c>
      <c r="R25" s="2">
        <f t="shared" ca="1" si="10"/>
        <v>113478.27582573897</v>
      </c>
      <c r="S25" s="2">
        <f t="shared" ca="1" si="10"/>
        <v>112662.85285996516</v>
      </c>
      <c r="T25" s="2">
        <f t="shared" ca="1" si="10"/>
        <v>110713.98513466401</v>
      </c>
      <c r="U25" s="2">
        <f t="shared" ca="1" si="10"/>
        <v>108451.45380549737</v>
      </c>
      <c r="V25" s="2">
        <f t="shared" ca="1" si="10"/>
        <v>105500</v>
      </c>
      <c r="W25" s="2">
        <f t="shared" ca="1" si="10"/>
        <v>257737.76049489388</v>
      </c>
      <c r="X25" s="2">
        <f t="shared" ca="1" si="10"/>
        <v>275304.41252950544</v>
      </c>
      <c r="Y25" s="2">
        <f t="shared" ca="1" si="10"/>
        <v>271775.23697183491</v>
      </c>
      <c r="Z25" s="2">
        <f t="shared" ca="1" si="10"/>
        <v>268744.40650637494</v>
      </c>
      <c r="AA25" s="2">
        <f t="shared" ca="1" si="10"/>
        <v>265636.71868826868</v>
      </c>
      <c r="AB25" s="2">
        <f t="shared" ca="1" si="10"/>
        <v>261550.17025842413</v>
      </c>
      <c r="AC25" s="2">
        <f t="shared" ca="1" si="10"/>
        <v>433061.35730910645</v>
      </c>
      <c r="AD25" s="2">
        <f t="shared" ca="1" si="10"/>
        <v>429206.16781548737</v>
      </c>
      <c r="AE25" s="2">
        <f t="shared" ca="1" si="10"/>
        <v>424448.12584523065</v>
      </c>
      <c r="AF25" s="2">
        <f t="shared" ca="1" si="10"/>
        <v>420574.65609569219</v>
      </c>
      <c r="AG25" s="2">
        <f t="shared" ca="1" si="10"/>
        <v>591039.17894806305</v>
      </c>
      <c r="AH25" s="2">
        <f t="shared" ca="1" si="10"/>
        <v>549294.22806854604</v>
      </c>
      <c r="AI25" s="2">
        <f t="shared" ca="1" si="10"/>
        <v>559495.05293412972</v>
      </c>
      <c r="AJ25" s="2">
        <f t="shared" ca="1" si="10"/>
        <v>570571.61881984991</v>
      </c>
      <c r="AK25" s="2">
        <f t="shared" ref="AK25:BQ25" ca="1" si="11">AK$15</f>
        <v>756290.99490164698</v>
      </c>
      <c r="AL25" s="2">
        <f t="shared" ca="1" si="11"/>
        <v>768440.14502870594</v>
      </c>
      <c r="AM25" s="2">
        <f t="shared" ca="1" si="11"/>
        <v>781632.24149513722</v>
      </c>
      <c r="AN25" s="2">
        <f t="shared" ca="1" si="11"/>
        <v>969521.4944085629</v>
      </c>
      <c r="AO25" s="2">
        <f t="shared" ca="1" si="11"/>
        <v>984334.54723341262</v>
      </c>
      <c r="AP25" s="2">
        <f t="shared" ca="1" si="11"/>
        <v>1174596.2878552801</v>
      </c>
      <c r="AQ25" s="2">
        <f t="shared" ca="1" si="11"/>
        <v>1190065.5540779692</v>
      </c>
      <c r="AR25" s="2">
        <f t="shared" ca="1" si="11"/>
        <v>1208497.6836971336</v>
      </c>
      <c r="AS25" s="2">
        <f t="shared" ca="1" si="11"/>
        <v>1401686.0054904961</v>
      </c>
      <c r="AT25" s="2">
        <f t="shared" ca="1" si="11"/>
        <v>1420666.3054624104</v>
      </c>
      <c r="AU25" s="2">
        <f t="shared" ca="1" si="11"/>
        <v>1441000.1451923409</v>
      </c>
      <c r="AV25" s="2">
        <f t="shared" ca="1" si="11"/>
        <v>1638187.0068315603</v>
      </c>
      <c r="AW25" s="2">
        <f t="shared" ca="1" si="11"/>
        <v>1660319.9306276729</v>
      </c>
      <c r="AX25" s="2">
        <f t="shared" ca="1" si="11"/>
        <v>1859650.0676669511</v>
      </c>
      <c r="AY25" s="2">
        <f t="shared" ca="1" si="11"/>
        <v>1886064.6481018665</v>
      </c>
      <c r="AZ25" s="2">
        <f t="shared" ca="1" si="11"/>
        <v>2087549.3462882645</v>
      </c>
      <c r="BA25" s="2">
        <f t="shared" ca="1" si="11"/>
        <v>2292202.2909373641</v>
      </c>
      <c r="BB25" s="2">
        <f t="shared" ca="1" si="11"/>
        <v>2322709.0522145927</v>
      </c>
      <c r="BC25" s="2">
        <f t="shared" ca="1" si="11"/>
        <v>2529390.7830301183</v>
      </c>
      <c r="BD25" s="2">
        <f t="shared" ca="1" si="11"/>
        <v>2741343.2729988955</v>
      </c>
      <c r="BE25" s="2">
        <f t="shared" ca="1" si="11"/>
        <v>2777727.6144855861</v>
      </c>
      <c r="BF25" s="2">
        <f t="shared" ca="1" si="11"/>
        <v>2975640.5560993059</v>
      </c>
      <c r="BG25" s="2">
        <f t="shared" ca="1" si="11"/>
        <v>3206283.3094691341</v>
      </c>
      <c r="BH25" s="2">
        <f t="shared" ca="1" si="11"/>
        <v>3441358.5071495525</v>
      </c>
      <c r="BI25" s="2">
        <f t="shared" ca="1" si="11"/>
        <v>3677939.827012307</v>
      </c>
      <c r="BJ25" s="2">
        <f t="shared" ca="1" si="11"/>
        <v>3919195.5980332019</v>
      </c>
      <c r="BK25" s="2">
        <f t="shared" ca="1" si="11"/>
        <v>4165729.2722203638</v>
      </c>
      <c r="BL25" s="2">
        <f t="shared" ca="1" si="11"/>
        <v>4414204.3480486348</v>
      </c>
      <c r="BM25" s="2">
        <f t="shared" ca="1" si="11"/>
        <v>4669516.1535467366</v>
      </c>
      <c r="BN25" s="2">
        <f t="shared" ca="1" si="11"/>
        <v>4928564.5161606967</v>
      </c>
      <c r="BO25" s="2">
        <f t="shared" ca="1" si="11"/>
        <v>5191300.3592811236</v>
      </c>
      <c r="BP25" s="2">
        <f t="shared" ca="1" si="11"/>
        <v>5464246.9113110239</v>
      </c>
      <c r="BQ25" s="2">
        <f t="shared" ca="1" si="11"/>
        <v>5738361.1349075092</v>
      </c>
    </row>
    <row r="26" spans="1:69">
      <c r="E26" s="2" t="str">
        <f t="shared" ref="E26:AJ26" si="12">E$33</f>
        <v>Tax losses carried forward balance BEG</v>
      </c>
      <c r="F26" s="2">
        <f t="shared" si="12"/>
        <v>0</v>
      </c>
      <c r="G26" s="2" t="str">
        <f t="shared" si="12"/>
        <v>GBP</v>
      </c>
      <c r="H26" s="2">
        <f t="shared" si="12"/>
        <v>0</v>
      </c>
      <c r="I26" s="2">
        <f t="shared" si="12"/>
        <v>0</v>
      </c>
      <c r="J26" s="2">
        <f t="shared" si="12"/>
        <v>0</v>
      </c>
      <c r="K26" s="2">
        <f t="shared" si="12"/>
        <v>0</v>
      </c>
      <c r="L26" s="2">
        <f t="shared" ca="1" si="12"/>
        <v>47273.385096090773</v>
      </c>
      <c r="M26" s="2">
        <f t="shared" ca="1" si="12"/>
        <v>95852.549866476475</v>
      </c>
      <c r="N26" s="2">
        <f t="shared" ca="1" si="12"/>
        <v>146469.3503928209</v>
      </c>
      <c r="O26" s="2">
        <f t="shared" ca="1" si="12"/>
        <v>198602.62787843758</v>
      </c>
      <c r="P26" s="2">
        <f t="shared" ca="1" si="12"/>
        <v>252290.96109388283</v>
      </c>
      <c r="Q26" s="2">
        <f t="shared" ca="1" si="12"/>
        <v>308304.65742984624</v>
      </c>
      <c r="R26" s="2">
        <f t="shared" ca="1" si="12"/>
        <v>219188.90270473316</v>
      </c>
      <c r="S26" s="2">
        <f t="shared" ca="1" si="12"/>
        <v>105710.6268789942</v>
      </c>
      <c r="T26" s="2">
        <f t="shared" ca="1" si="12"/>
        <v>0</v>
      </c>
      <c r="U26" s="2">
        <f t="shared" ca="1" si="12"/>
        <v>0</v>
      </c>
      <c r="V26" s="2">
        <f t="shared" ca="1" si="12"/>
        <v>0</v>
      </c>
      <c r="W26" s="2">
        <f t="shared" ca="1" si="12"/>
        <v>0</v>
      </c>
      <c r="X26" s="2">
        <f t="shared" ca="1" si="12"/>
        <v>0</v>
      </c>
      <c r="Y26" s="2">
        <f t="shared" ca="1" si="12"/>
        <v>0</v>
      </c>
      <c r="Z26" s="2">
        <f t="shared" ca="1" si="12"/>
        <v>0</v>
      </c>
      <c r="AA26" s="2">
        <f t="shared" ca="1" si="12"/>
        <v>0</v>
      </c>
      <c r="AB26" s="2">
        <f t="shared" ca="1" si="12"/>
        <v>0</v>
      </c>
      <c r="AC26" s="2">
        <f t="shared" ca="1" si="12"/>
        <v>0</v>
      </c>
      <c r="AD26" s="2">
        <f t="shared" ca="1" si="12"/>
        <v>0</v>
      </c>
      <c r="AE26" s="2">
        <f t="shared" ca="1" si="12"/>
        <v>0</v>
      </c>
      <c r="AF26" s="2">
        <f t="shared" ca="1" si="12"/>
        <v>0</v>
      </c>
      <c r="AG26" s="2">
        <f t="shared" ca="1" si="12"/>
        <v>0</v>
      </c>
      <c r="AH26" s="2">
        <f t="shared" ca="1" si="12"/>
        <v>0</v>
      </c>
      <c r="AI26" s="2">
        <f t="shared" ca="1" si="12"/>
        <v>0</v>
      </c>
      <c r="AJ26" s="2">
        <f t="shared" ca="1" si="12"/>
        <v>0</v>
      </c>
      <c r="AK26" s="2">
        <f t="shared" ref="AK26:BQ26" ca="1" si="13">AK$33</f>
        <v>0</v>
      </c>
      <c r="AL26" s="2">
        <f t="shared" ca="1" si="13"/>
        <v>0</v>
      </c>
      <c r="AM26" s="2">
        <f t="shared" ca="1" si="13"/>
        <v>0</v>
      </c>
      <c r="AN26" s="2">
        <f t="shared" ca="1" si="13"/>
        <v>0</v>
      </c>
      <c r="AO26" s="2">
        <f t="shared" ca="1" si="13"/>
        <v>0</v>
      </c>
      <c r="AP26" s="2">
        <f t="shared" ca="1" si="13"/>
        <v>0</v>
      </c>
      <c r="AQ26" s="2">
        <f t="shared" ca="1" si="13"/>
        <v>0</v>
      </c>
      <c r="AR26" s="2">
        <f t="shared" ca="1" si="13"/>
        <v>0</v>
      </c>
      <c r="AS26" s="2">
        <f t="shared" ca="1" si="13"/>
        <v>0</v>
      </c>
      <c r="AT26" s="2">
        <f t="shared" ca="1" si="13"/>
        <v>0</v>
      </c>
      <c r="AU26" s="2">
        <f t="shared" ca="1" si="13"/>
        <v>0</v>
      </c>
      <c r="AV26" s="2">
        <f t="shared" ca="1" si="13"/>
        <v>0</v>
      </c>
      <c r="AW26" s="2">
        <f t="shared" ca="1" si="13"/>
        <v>0</v>
      </c>
      <c r="AX26" s="2">
        <f t="shared" ca="1" si="13"/>
        <v>0</v>
      </c>
      <c r="AY26" s="2">
        <f t="shared" ca="1" si="13"/>
        <v>0</v>
      </c>
      <c r="AZ26" s="2">
        <f t="shared" ca="1" si="13"/>
        <v>0</v>
      </c>
      <c r="BA26" s="2">
        <f t="shared" ca="1" si="13"/>
        <v>0</v>
      </c>
      <c r="BB26" s="2">
        <f t="shared" ca="1" si="13"/>
        <v>0</v>
      </c>
      <c r="BC26" s="2">
        <f t="shared" ca="1" si="13"/>
        <v>0</v>
      </c>
      <c r="BD26" s="2">
        <f t="shared" ca="1" si="13"/>
        <v>0</v>
      </c>
      <c r="BE26" s="2">
        <f t="shared" ca="1" si="13"/>
        <v>0</v>
      </c>
      <c r="BF26" s="2">
        <f t="shared" ca="1" si="13"/>
        <v>0</v>
      </c>
      <c r="BG26" s="2">
        <f t="shared" ca="1" si="13"/>
        <v>0</v>
      </c>
      <c r="BH26" s="2">
        <f t="shared" ca="1" si="13"/>
        <v>0</v>
      </c>
      <c r="BI26" s="2">
        <f t="shared" ca="1" si="13"/>
        <v>0</v>
      </c>
      <c r="BJ26" s="2">
        <f t="shared" ca="1" si="13"/>
        <v>0</v>
      </c>
      <c r="BK26" s="2">
        <f t="shared" ca="1" si="13"/>
        <v>0</v>
      </c>
      <c r="BL26" s="2">
        <f t="shared" ca="1" si="13"/>
        <v>0</v>
      </c>
      <c r="BM26" s="2">
        <f t="shared" ca="1" si="13"/>
        <v>0</v>
      </c>
      <c r="BN26" s="2">
        <f t="shared" ca="1" si="13"/>
        <v>0</v>
      </c>
      <c r="BO26" s="2">
        <f t="shared" ca="1" si="13"/>
        <v>0</v>
      </c>
      <c r="BP26" s="2">
        <f t="shared" ca="1" si="13"/>
        <v>0</v>
      </c>
      <c r="BQ26" s="2">
        <f t="shared" ca="1" si="13"/>
        <v>0</v>
      </c>
    </row>
    <row r="27" spans="1:69" ht="14.5">
      <c r="E27" s="2" t="s">
        <v>319</v>
      </c>
      <c r="F27"/>
      <c r="G27" s="2" t="s">
        <v>252</v>
      </c>
      <c r="H27" s="2">
        <f ca="1">SUM(J27:BQ27)</f>
        <v>308304.65742984624</v>
      </c>
      <c r="I27"/>
      <c r="J27" s="2">
        <f t="shared" ref="J27:AO27" ca="1" si="14">MIN(J25,J26)</f>
        <v>0</v>
      </c>
      <c r="K27" s="2">
        <f t="shared" ca="1" si="14"/>
        <v>0</v>
      </c>
      <c r="L27" s="2">
        <f t="shared" ca="1" si="14"/>
        <v>0</v>
      </c>
      <c r="M27" s="2">
        <f t="shared" ca="1" si="14"/>
        <v>0</v>
      </c>
      <c r="N27" s="2">
        <f t="shared" ca="1" si="14"/>
        <v>0</v>
      </c>
      <c r="O27" s="2">
        <f t="shared" ca="1" si="14"/>
        <v>0</v>
      </c>
      <c r="P27" s="2">
        <f t="shared" ca="1" si="14"/>
        <v>0</v>
      </c>
      <c r="Q27" s="2">
        <f t="shared" ca="1" si="14"/>
        <v>89115.754725113075</v>
      </c>
      <c r="R27" s="2">
        <f t="shared" ca="1" si="14"/>
        <v>113478.27582573897</v>
      </c>
      <c r="S27" s="2">
        <f t="shared" ca="1" si="14"/>
        <v>105710.6268789942</v>
      </c>
      <c r="T27" s="2">
        <f t="shared" ca="1" si="14"/>
        <v>0</v>
      </c>
      <c r="U27" s="2">
        <f t="shared" ca="1" si="14"/>
        <v>0</v>
      </c>
      <c r="V27" s="2">
        <f t="shared" ca="1" si="14"/>
        <v>0</v>
      </c>
      <c r="W27" s="2">
        <f t="shared" ca="1" si="14"/>
        <v>0</v>
      </c>
      <c r="X27" s="2">
        <f t="shared" ca="1" si="14"/>
        <v>0</v>
      </c>
      <c r="Y27" s="2">
        <f t="shared" ca="1" si="14"/>
        <v>0</v>
      </c>
      <c r="Z27" s="2">
        <f t="shared" ca="1" si="14"/>
        <v>0</v>
      </c>
      <c r="AA27" s="2">
        <f t="shared" ca="1" si="14"/>
        <v>0</v>
      </c>
      <c r="AB27" s="2">
        <f t="shared" ca="1" si="14"/>
        <v>0</v>
      </c>
      <c r="AC27" s="2">
        <f t="shared" ca="1" si="14"/>
        <v>0</v>
      </c>
      <c r="AD27" s="2">
        <f t="shared" ca="1" si="14"/>
        <v>0</v>
      </c>
      <c r="AE27" s="2">
        <f t="shared" ca="1" si="14"/>
        <v>0</v>
      </c>
      <c r="AF27" s="2">
        <f t="shared" ca="1" si="14"/>
        <v>0</v>
      </c>
      <c r="AG27" s="2">
        <f t="shared" ca="1" si="14"/>
        <v>0</v>
      </c>
      <c r="AH27" s="2">
        <f t="shared" ca="1" si="14"/>
        <v>0</v>
      </c>
      <c r="AI27" s="2">
        <f t="shared" ca="1" si="14"/>
        <v>0</v>
      </c>
      <c r="AJ27" s="2">
        <f t="shared" ca="1" si="14"/>
        <v>0</v>
      </c>
      <c r="AK27" s="2">
        <f t="shared" ca="1" si="14"/>
        <v>0</v>
      </c>
      <c r="AL27" s="2">
        <f t="shared" ca="1" si="14"/>
        <v>0</v>
      </c>
      <c r="AM27" s="2">
        <f t="shared" ca="1" si="14"/>
        <v>0</v>
      </c>
      <c r="AN27" s="2">
        <f t="shared" ca="1" si="14"/>
        <v>0</v>
      </c>
      <c r="AO27" s="2">
        <f t="shared" ca="1" si="14"/>
        <v>0</v>
      </c>
      <c r="AP27" s="2">
        <f t="shared" ref="AP27:BU27" ca="1" si="15">MIN(AP25,AP26)</f>
        <v>0</v>
      </c>
      <c r="AQ27" s="2">
        <f t="shared" ca="1" si="15"/>
        <v>0</v>
      </c>
      <c r="AR27" s="2">
        <f t="shared" ca="1" si="15"/>
        <v>0</v>
      </c>
      <c r="AS27" s="2">
        <f t="shared" ca="1" si="15"/>
        <v>0</v>
      </c>
      <c r="AT27" s="2">
        <f t="shared" ca="1" si="15"/>
        <v>0</v>
      </c>
      <c r="AU27" s="2">
        <f t="shared" ca="1" si="15"/>
        <v>0</v>
      </c>
      <c r="AV27" s="2">
        <f t="shared" ca="1" si="15"/>
        <v>0</v>
      </c>
      <c r="AW27" s="2">
        <f t="shared" ca="1" si="15"/>
        <v>0</v>
      </c>
      <c r="AX27" s="2">
        <f t="shared" ca="1" si="15"/>
        <v>0</v>
      </c>
      <c r="AY27" s="2">
        <f t="shared" ca="1" si="15"/>
        <v>0</v>
      </c>
      <c r="AZ27" s="2">
        <f t="shared" ca="1" si="15"/>
        <v>0</v>
      </c>
      <c r="BA27" s="2">
        <f t="shared" ca="1" si="15"/>
        <v>0</v>
      </c>
      <c r="BB27" s="2">
        <f t="shared" ca="1" si="15"/>
        <v>0</v>
      </c>
      <c r="BC27" s="2">
        <f t="shared" ca="1" si="15"/>
        <v>0</v>
      </c>
      <c r="BD27" s="2">
        <f t="shared" ca="1" si="15"/>
        <v>0</v>
      </c>
      <c r="BE27" s="2">
        <f t="shared" ca="1" si="15"/>
        <v>0</v>
      </c>
      <c r="BF27" s="2">
        <f t="shared" ca="1" si="15"/>
        <v>0</v>
      </c>
      <c r="BG27" s="2">
        <f t="shared" ca="1" si="15"/>
        <v>0</v>
      </c>
      <c r="BH27" s="2">
        <f t="shared" ca="1" si="15"/>
        <v>0</v>
      </c>
      <c r="BI27" s="2">
        <f t="shared" ca="1" si="15"/>
        <v>0</v>
      </c>
      <c r="BJ27" s="2">
        <f t="shared" ca="1" si="15"/>
        <v>0</v>
      </c>
      <c r="BK27" s="2">
        <f t="shared" ca="1" si="15"/>
        <v>0</v>
      </c>
      <c r="BL27" s="2">
        <f t="shared" ca="1" si="15"/>
        <v>0</v>
      </c>
      <c r="BM27" s="2">
        <f t="shared" ca="1" si="15"/>
        <v>0</v>
      </c>
      <c r="BN27" s="2">
        <f t="shared" ca="1" si="15"/>
        <v>0</v>
      </c>
      <c r="BO27" s="2">
        <f t="shared" ca="1" si="15"/>
        <v>0</v>
      </c>
      <c r="BP27" s="2">
        <f t="shared" ca="1" si="15"/>
        <v>0</v>
      </c>
      <c r="BQ27" s="2">
        <f t="shared" ca="1" si="15"/>
        <v>0</v>
      </c>
    </row>
    <row r="30" spans="1:69">
      <c r="B30" s="22" t="s">
        <v>83</v>
      </c>
    </row>
    <row r="31" spans="1:69" s="64" customFormat="1">
      <c r="A31" s="46"/>
      <c r="B31" s="46"/>
      <c r="C31" s="65"/>
      <c r="D31" s="63"/>
      <c r="E31" s="34" t="str">
        <f>InpC!E$89</f>
        <v>Tax losses carried forward - initial balance</v>
      </c>
      <c r="F31" s="34">
        <f>InpC!F$89</f>
        <v>0</v>
      </c>
      <c r="G31" s="34" t="str">
        <f>InpC!G$89</f>
        <v>GBP</v>
      </c>
    </row>
    <row r="32" spans="1:69">
      <c r="A32" s="17"/>
      <c r="B32" s="17"/>
      <c r="C32" s="26"/>
      <c r="D32" s="27"/>
      <c r="E32" s="10" t="str">
        <f>Time!E$28</f>
        <v>Period number</v>
      </c>
      <c r="F32" s="10">
        <f>Time!F$28</f>
        <v>0</v>
      </c>
      <c r="G32" s="10" t="str">
        <f>Time!G$28</f>
        <v>Counter</v>
      </c>
      <c r="H32" s="10">
        <f>Time!H$28</f>
        <v>0</v>
      </c>
      <c r="I32" s="10">
        <f>Time!I$28</f>
        <v>0</v>
      </c>
      <c r="J32" s="10">
        <f>Time!J$28</f>
        <v>1</v>
      </c>
      <c r="K32" s="10">
        <f>Time!K$28</f>
        <v>2</v>
      </c>
      <c r="L32" s="10">
        <f>Time!L$28</f>
        <v>3</v>
      </c>
      <c r="M32" s="10">
        <f>Time!M$28</f>
        <v>4</v>
      </c>
      <c r="N32" s="10">
        <f>Time!N$28</f>
        <v>5</v>
      </c>
      <c r="O32" s="10">
        <f>Time!O$28</f>
        <v>6</v>
      </c>
      <c r="P32" s="10">
        <f>Time!P$28</f>
        <v>7</v>
      </c>
      <c r="Q32" s="10">
        <f>Time!Q$28</f>
        <v>8</v>
      </c>
      <c r="R32" s="10">
        <f>Time!R$28</f>
        <v>9</v>
      </c>
      <c r="S32" s="10">
        <f>Time!S$28</f>
        <v>10</v>
      </c>
      <c r="T32" s="10">
        <f>Time!T$28</f>
        <v>11</v>
      </c>
      <c r="U32" s="10">
        <f>Time!U$28</f>
        <v>12</v>
      </c>
      <c r="V32" s="10">
        <f>Time!V$28</f>
        <v>13</v>
      </c>
      <c r="W32" s="10">
        <f>Time!W$28</f>
        <v>14</v>
      </c>
      <c r="X32" s="10">
        <f>Time!X$28</f>
        <v>15</v>
      </c>
      <c r="Y32" s="10">
        <f>Time!Y$28</f>
        <v>16</v>
      </c>
      <c r="Z32" s="10">
        <f>Time!Z$28</f>
        <v>17</v>
      </c>
      <c r="AA32" s="10">
        <f>Time!AA$28</f>
        <v>18</v>
      </c>
      <c r="AB32" s="10">
        <f>Time!AB$28</f>
        <v>19</v>
      </c>
      <c r="AC32" s="10">
        <f>Time!AC$28</f>
        <v>20</v>
      </c>
      <c r="AD32" s="10">
        <f>Time!AD$28</f>
        <v>21</v>
      </c>
      <c r="AE32" s="10">
        <f>Time!AE$28</f>
        <v>22</v>
      </c>
      <c r="AF32" s="10">
        <f>Time!AF$28</f>
        <v>23</v>
      </c>
      <c r="AG32" s="10">
        <f>Time!AG$28</f>
        <v>24</v>
      </c>
      <c r="AH32" s="10">
        <f>Time!AH$28</f>
        <v>25</v>
      </c>
      <c r="AI32" s="10">
        <f>Time!AI$28</f>
        <v>26</v>
      </c>
      <c r="AJ32" s="10">
        <f>Time!AJ$28</f>
        <v>27</v>
      </c>
      <c r="AK32" s="10">
        <f>Time!AK$28</f>
        <v>28</v>
      </c>
      <c r="AL32" s="10">
        <f>Time!AL$28</f>
        <v>29</v>
      </c>
      <c r="AM32" s="10">
        <f>Time!AM$28</f>
        <v>30</v>
      </c>
      <c r="AN32" s="10">
        <f>Time!AN$28</f>
        <v>31</v>
      </c>
      <c r="AO32" s="10">
        <f>Time!AO$28</f>
        <v>32</v>
      </c>
      <c r="AP32" s="10">
        <f>Time!AP$28</f>
        <v>33</v>
      </c>
      <c r="AQ32" s="10">
        <f>Time!AQ$28</f>
        <v>34</v>
      </c>
      <c r="AR32" s="10">
        <f>Time!AR$28</f>
        <v>35</v>
      </c>
      <c r="AS32" s="10">
        <f>Time!AS$28</f>
        <v>36</v>
      </c>
      <c r="AT32" s="10">
        <f>Time!AT$28</f>
        <v>37</v>
      </c>
      <c r="AU32" s="10">
        <f>Time!AU$28</f>
        <v>38</v>
      </c>
      <c r="AV32" s="10">
        <f>Time!AV$28</f>
        <v>39</v>
      </c>
      <c r="AW32" s="10">
        <f>Time!AW$28</f>
        <v>40</v>
      </c>
      <c r="AX32" s="10">
        <f>Time!AX$28</f>
        <v>41</v>
      </c>
      <c r="AY32" s="10">
        <f>Time!AY$28</f>
        <v>42</v>
      </c>
      <c r="AZ32" s="10">
        <f>Time!AZ$28</f>
        <v>43</v>
      </c>
      <c r="BA32" s="10">
        <f>Time!BA$28</f>
        <v>44</v>
      </c>
      <c r="BB32" s="10">
        <f>Time!BB$28</f>
        <v>45</v>
      </c>
      <c r="BC32" s="10">
        <f>Time!BC$28</f>
        <v>46</v>
      </c>
      <c r="BD32" s="10">
        <f>Time!BD$28</f>
        <v>47</v>
      </c>
      <c r="BE32" s="10">
        <f>Time!BE$28</f>
        <v>48</v>
      </c>
      <c r="BF32" s="10">
        <f>Time!BF$28</f>
        <v>49</v>
      </c>
      <c r="BG32" s="10">
        <f>Time!BG$28</f>
        <v>50</v>
      </c>
      <c r="BH32" s="10">
        <f>Time!BH$28</f>
        <v>51</v>
      </c>
      <c r="BI32" s="10">
        <f>Time!BI$28</f>
        <v>52</v>
      </c>
      <c r="BJ32" s="10">
        <f>Time!BJ$28</f>
        <v>53</v>
      </c>
      <c r="BK32" s="10">
        <f>Time!BK$28</f>
        <v>54</v>
      </c>
      <c r="BL32" s="10">
        <f>Time!BL$28</f>
        <v>55</v>
      </c>
      <c r="BM32" s="10">
        <f>Time!BM$28</f>
        <v>56</v>
      </c>
      <c r="BN32" s="10">
        <f>Time!BN$28</f>
        <v>57</v>
      </c>
      <c r="BO32" s="10">
        <f>Time!BO$28</f>
        <v>58</v>
      </c>
      <c r="BP32" s="10">
        <f>Time!BP$28</f>
        <v>59</v>
      </c>
      <c r="BQ32" s="10">
        <f>Time!BQ$28</f>
        <v>60</v>
      </c>
    </row>
    <row r="33" spans="1:69" ht="14.5">
      <c r="E33" s="2" t="s">
        <v>343</v>
      </c>
      <c r="F33"/>
      <c r="G33" s="2" t="s">
        <v>252</v>
      </c>
      <c r="H33"/>
      <c r="I33"/>
      <c r="J33" s="2">
        <f t="shared" ref="J33:AO33" si="16">I36</f>
        <v>0</v>
      </c>
      <c r="K33" s="2">
        <f t="shared" si="16"/>
        <v>0</v>
      </c>
      <c r="L33" s="2">
        <f t="shared" ca="1" si="16"/>
        <v>47273.385096090773</v>
      </c>
      <c r="M33" s="2">
        <f t="shared" ca="1" si="16"/>
        <v>95852.549866476475</v>
      </c>
      <c r="N33" s="2">
        <f t="shared" ca="1" si="16"/>
        <v>146469.3503928209</v>
      </c>
      <c r="O33" s="2">
        <f t="shared" ca="1" si="16"/>
        <v>198602.62787843758</v>
      </c>
      <c r="P33" s="2">
        <f t="shared" ca="1" si="16"/>
        <v>252290.96109388283</v>
      </c>
      <c r="Q33" s="2">
        <f t="shared" ca="1" si="16"/>
        <v>308304.65742984624</v>
      </c>
      <c r="R33" s="2">
        <f t="shared" ca="1" si="16"/>
        <v>219188.90270473316</v>
      </c>
      <c r="S33" s="2">
        <f t="shared" ca="1" si="16"/>
        <v>105710.6268789942</v>
      </c>
      <c r="T33" s="2">
        <f t="shared" ca="1" si="16"/>
        <v>0</v>
      </c>
      <c r="U33" s="2">
        <f t="shared" ca="1" si="16"/>
        <v>0</v>
      </c>
      <c r="V33" s="2">
        <f t="shared" ca="1" si="16"/>
        <v>0</v>
      </c>
      <c r="W33" s="2">
        <f t="shared" ca="1" si="16"/>
        <v>0</v>
      </c>
      <c r="X33" s="2">
        <f t="shared" ca="1" si="16"/>
        <v>0</v>
      </c>
      <c r="Y33" s="2">
        <f t="shared" ca="1" si="16"/>
        <v>0</v>
      </c>
      <c r="Z33" s="2">
        <f t="shared" ca="1" si="16"/>
        <v>0</v>
      </c>
      <c r="AA33" s="2">
        <f t="shared" ca="1" si="16"/>
        <v>0</v>
      </c>
      <c r="AB33" s="2">
        <f t="shared" ca="1" si="16"/>
        <v>0</v>
      </c>
      <c r="AC33" s="2">
        <f t="shared" ca="1" si="16"/>
        <v>0</v>
      </c>
      <c r="AD33" s="2">
        <f t="shared" ca="1" si="16"/>
        <v>0</v>
      </c>
      <c r="AE33" s="2">
        <f t="shared" ca="1" si="16"/>
        <v>0</v>
      </c>
      <c r="AF33" s="2">
        <f t="shared" ca="1" si="16"/>
        <v>0</v>
      </c>
      <c r="AG33" s="2">
        <f t="shared" ca="1" si="16"/>
        <v>0</v>
      </c>
      <c r="AH33" s="2">
        <f t="shared" ca="1" si="16"/>
        <v>0</v>
      </c>
      <c r="AI33" s="2">
        <f t="shared" ca="1" si="16"/>
        <v>0</v>
      </c>
      <c r="AJ33" s="2">
        <f t="shared" ca="1" si="16"/>
        <v>0</v>
      </c>
      <c r="AK33" s="2">
        <f t="shared" ca="1" si="16"/>
        <v>0</v>
      </c>
      <c r="AL33" s="2">
        <f t="shared" ca="1" si="16"/>
        <v>0</v>
      </c>
      <c r="AM33" s="2">
        <f t="shared" ca="1" si="16"/>
        <v>0</v>
      </c>
      <c r="AN33" s="2">
        <f t="shared" ca="1" si="16"/>
        <v>0</v>
      </c>
      <c r="AO33" s="2">
        <f t="shared" ca="1" si="16"/>
        <v>0</v>
      </c>
      <c r="AP33" s="2">
        <f t="shared" ref="AP33:BQ33" ca="1" si="17">AO36</f>
        <v>0</v>
      </c>
      <c r="AQ33" s="2">
        <f t="shared" ca="1" si="17"/>
        <v>0</v>
      </c>
      <c r="AR33" s="2">
        <f t="shared" ca="1" si="17"/>
        <v>0</v>
      </c>
      <c r="AS33" s="2">
        <f t="shared" ca="1" si="17"/>
        <v>0</v>
      </c>
      <c r="AT33" s="2">
        <f t="shared" ca="1" si="17"/>
        <v>0</v>
      </c>
      <c r="AU33" s="2">
        <f t="shared" ca="1" si="17"/>
        <v>0</v>
      </c>
      <c r="AV33" s="2">
        <f t="shared" ca="1" si="17"/>
        <v>0</v>
      </c>
      <c r="AW33" s="2">
        <f t="shared" ca="1" si="17"/>
        <v>0</v>
      </c>
      <c r="AX33" s="2">
        <f t="shared" ca="1" si="17"/>
        <v>0</v>
      </c>
      <c r="AY33" s="2">
        <f t="shared" ca="1" si="17"/>
        <v>0</v>
      </c>
      <c r="AZ33" s="2">
        <f t="shared" ca="1" si="17"/>
        <v>0</v>
      </c>
      <c r="BA33" s="2">
        <f t="shared" ca="1" si="17"/>
        <v>0</v>
      </c>
      <c r="BB33" s="2">
        <f t="shared" ca="1" si="17"/>
        <v>0</v>
      </c>
      <c r="BC33" s="2">
        <f t="shared" ca="1" si="17"/>
        <v>0</v>
      </c>
      <c r="BD33" s="2">
        <f t="shared" ca="1" si="17"/>
        <v>0</v>
      </c>
      <c r="BE33" s="2">
        <f t="shared" ca="1" si="17"/>
        <v>0</v>
      </c>
      <c r="BF33" s="2">
        <f t="shared" ca="1" si="17"/>
        <v>0</v>
      </c>
      <c r="BG33" s="2">
        <f t="shared" ca="1" si="17"/>
        <v>0</v>
      </c>
      <c r="BH33" s="2">
        <f t="shared" ca="1" si="17"/>
        <v>0</v>
      </c>
      <c r="BI33" s="2">
        <f t="shared" ca="1" si="17"/>
        <v>0</v>
      </c>
      <c r="BJ33" s="2">
        <f t="shared" ca="1" si="17"/>
        <v>0</v>
      </c>
      <c r="BK33" s="2">
        <f t="shared" ca="1" si="17"/>
        <v>0</v>
      </c>
      <c r="BL33" s="2">
        <f t="shared" ca="1" si="17"/>
        <v>0</v>
      </c>
      <c r="BM33" s="2">
        <f t="shared" ca="1" si="17"/>
        <v>0</v>
      </c>
      <c r="BN33" s="2">
        <f t="shared" ca="1" si="17"/>
        <v>0</v>
      </c>
      <c r="BO33" s="2">
        <f t="shared" ca="1" si="17"/>
        <v>0</v>
      </c>
      <c r="BP33" s="2">
        <f t="shared" ca="1" si="17"/>
        <v>0</v>
      </c>
      <c r="BQ33" s="2">
        <f t="shared" ca="1" si="17"/>
        <v>0</v>
      </c>
    </row>
    <row r="34" spans="1:69">
      <c r="D34" s="66" t="s">
        <v>216</v>
      </c>
      <c r="E34" s="2" t="str">
        <f t="shared" ref="E34:AJ34" si="18">E$21</f>
        <v>Tax losses arising</v>
      </c>
      <c r="F34" s="2">
        <f t="shared" si="18"/>
        <v>0</v>
      </c>
      <c r="G34" s="2" t="str">
        <f t="shared" si="18"/>
        <v>GBP</v>
      </c>
      <c r="H34" s="2">
        <f t="shared" ca="1" si="18"/>
        <v>354304.65742984624</v>
      </c>
      <c r="I34" s="2">
        <f t="shared" si="18"/>
        <v>0</v>
      </c>
      <c r="J34" s="2">
        <f t="shared" ca="1" si="18"/>
        <v>46000</v>
      </c>
      <c r="K34" s="2">
        <f t="shared" ca="1" si="18"/>
        <v>47273.385096090773</v>
      </c>
      <c r="L34" s="2">
        <f t="shared" ca="1" si="18"/>
        <v>48579.164770385694</v>
      </c>
      <c r="M34" s="2">
        <f t="shared" ca="1" si="18"/>
        <v>50616.800526344436</v>
      </c>
      <c r="N34" s="2">
        <f t="shared" ca="1" si="18"/>
        <v>52133.27748561668</v>
      </c>
      <c r="O34" s="2">
        <f t="shared" ca="1" si="18"/>
        <v>53688.333215445258</v>
      </c>
      <c r="P34" s="2">
        <f t="shared" ca="1" si="18"/>
        <v>56013.696335963396</v>
      </c>
      <c r="Q34" s="2">
        <f t="shared" ca="1" si="18"/>
        <v>0</v>
      </c>
      <c r="R34" s="2">
        <f t="shared" ca="1" si="18"/>
        <v>0</v>
      </c>
      <c r="S34" s="2">
        <f t="shared" ca="1" si="18"/>
        <v>0</v>
      </c>
      <c r="T34" s="2">
        <f t="shared" ca="1" si="18"/>
        <v>0</v>
      </c>
      <c r="U34" s="2">
        <f t="shared" ca="1" si="18"/>
        <v>0</v>
      </c>
      <c r="V34" s="2">
        <f t="shared" ca="1" si="18"/>
        <v>0</v>
      </c>
      <c r="W34" s="2">
        <f t="shared" ca="1" si="18"/>
        <v>0</v>
      </c>
      <c r="X34" s="2">
        <f t="shared" ca="1" si="18"/>
        <v>0</v>
      </c>
      <c r="Y34" s="2">
        <f t="shared" ca="1" si="18"/>
        <v>0</v>
      </c>
      <c r="Z34" s="2">
        <f t="shared" ca="1" si="18"/>
        <v>0</v>
      </c>
      <c r="AA34" s="2">
        <f t="shared" ca="1" si="18"/>
        <v>0</v>
      </c>
      <c r="AB34" s="2">
        <f t="shared" ca="1" si="18"/>
        <v>0</v>
      </c>
      <c r="AC34" s="2">
        <f t="shared" ca="1" si="18"/>
        <v>0</v>
      </c>
      <c r="AD34" s="2">
        <f t="shared" ca="1" si="18"/>
        <v>0</v>
      </c>
      <c r="AE34" s="2">
        <f t="shared" ca="1" si="18"/>
        <v>0</v>
      </c>
      <c r="AF34" s="2">
        <f t="shared" ca="1" si="18"/>
        <v>0</v>
      </c>
      <c r="AG34" s="2">
        <f t="shared" ca="1" si="18"/>
        <v>0</v>
      </c>
      <c r="AH34" s="2">
        <f t="shared" ca="1" si="18"/>
        <v>0</v>
      </c>
      <c r="AI34" s="2">
        <f t="shared" ca="1" si="18"/>
        <v>0</v>
      </c>
      <c r="AJ34" s="2">
        <f t="shared" ca="1" si="18"/>
        <v>0</v>
      </c>
      <c r="AK34" s="2">
        <f t="shared" ref="AK34:BQ34" ca="1" si="19">AK$21</f>
        <v>0</v>
      </c>
      <c r="AL34" s="2">
        <f t="shared" ca="1" si="19"/>
        <v>0</v>
      </c>
      <c r="AM34" s="2">
        <f t="shared" ca="1" si="19"/>
        <v>0</v>
      </c>
      <c r="AN34" s="2">
        <f t="shared" ca="1" si="19"/>
        <v>0</v>
      </c>
      <c r="AO34" s="2">
        <f t="shared" ca="1" si="19"/>
        <v>0</v>
      </c>
      <c r="AP34" s="2">
        <f t="shared" ca="1" si="19"/>
        <v>0</v>
      </c>
      <c r="AQ34" s="2">
        <f t="shared" ca="1" si="19"/>
        <v>0</v>
      </c>
      <c r="AR34" s="2">
        <f t="shared" ca="1" si="19"/>
        <v>0</v>
      </c>
      <c r="AS34" s="2">
        <f t="shared" ca="1" si="19"/>
        <v>0</v>
      </c>
      <c r="AT34" s="2">
        <f t="shared" ca="1" si="19"/>
        <v>0</v>
      </c>
      <c r="AU34" s="2">
        <f t="shared" ca="1" si="19"/>
        <v>0</v>
      </c>
      <c r="AV34" s="2">
        <f t="shared" ca="1" si="19"/>
        <v>0</v>
      </c>
      <c r="AW34" s="2">
        <f t="shared" ca="1" si="19"/>
        <v>0</v>
      </c>
      <c r="AX34" s="2">
        <f t="shared" ca="1" si="19"/>
        <v>0</v>
      </c>
      <c r="AY34" s="2">
        <f t="shared" ca="1" si="19"/>
        <v>0</v>
      </c>
      <c r="AZ34" s="2">
        <f t="shared" ca="1" si="19"/>
        <v>0</v>
      </c>
      <c r="BA34" s="2">
        <f t="shared" ca="1" si="19"/>
        <v>0</v>
      </c>
      <c r="BB34" s="2">
        <f t="shared" ca="1" si="19"/>
        <v>0</v>
      </c>
      <c r="BC34" s="2">
        <f t="shared" ca="1" si="19"/>
        <v>0</v>
      </c>
      <c r="BD34" s="2">
        <f t="shared" ca="1" si="19"/>
        <v>0</v>
      </c>
      <c r="BE34" s="2">
        <f t="shared" ca="1" si="19"/>
        <v>0</v>
      </c>
      <c r="BF34" s="2">
        <f t="shared" ca="1" si="19"/>
        <v>0</v>
      </c>
      <c r="BG34" s="2">
        <f t="shared" ca="1" si="19"/>
        <v>0</v>
      </c>
      <c r="BH34" s="2">
        <f t="shared" ca="1" si="19"/>
        <v>0</v>
      </c>
      <c r="BI34" s="2">
        <f t="shared" ca="1" si="19"/>
        <v>0</v>
      </c>
      <c r="BJ34" s="2">
        <f t="shared" ca="1" si="19"/>
        <v>0</v>
      </c>
      <c r="BK34" s="2">
        <f t="shared" ca="1" si="19"/>
        <v>0</v>
      </c>
      <c r="BL34" s="2">
        <f t="shared" ca="1" si="19"/>
        <v>0</v>
      </c>
      <c r="BM34" s="2">
        <f t="shared" ca="1" si="19"/>
        <v>0</v>
      </c>
      <c r="BN34" s="2">
        <f t="shared" ca="1" si="19"/>
        <v>0</v>
      </c>
      <c r="BO34" s="2">
        <f t="shared" ca="1" si="19"/>
        <v>0</v>
      </c>
      <c r="BP34" s="2">
        <f t="shared" ca="1" si="19"/>
        <v>0</v>
      </c>
      <c r="BQ34" s="2">
        <f t="shared" ca="1" si="19"/>
        <v>0</v>
      </c>
    </row>
    <row r="35" spans="1:69">
      <c r="D35" s="66" t="s">
        <v>293</v>
      </c>
      <c r="E35" s="2" t="str">
        <f t="shared" ref="E35:AJ35" si="20">E$27</f>
        <v>Tax losses utilised</v>
      </c>
      <c r="F35" s="2">
        <f t="shared" si="20"/>
        <v>0</v>
      </c>
      <c r="G35" s="2" t="str">
        <f t="shared" si="20"/>
        <v>GBP</v>
      </c>
      <c r="H35" s="2">
        <f t="shared" ca="1" si="20"/>
        <v>308304.65742984624</v>
      </c>
      <c r="I35" s="2">
        <f t="shared" si="20"/>
        <v>0</v>
      </c>
      <c r="J35" s="2">
        <f t="shared" ca="1" si="20"/>
        <v>0</v>
      </c>
      <c r="K35" s="2">
        <f t="shared" ca="1" si="20"/>
        <v>0</v>
      </c>
      <c r="L35" s="2">
        <f t="shared" ca="1" si="20"/>
        <v>0</v>
      </c>
      <c r="M35" s="2">
        <f t="shared" ca="1" si="20"/>
        <v>0</v>
      </c>
      <c r="N35" s="2">
        <f t="shared" ca="1" si="20"/>
        <v>0</v>
      </c>
      <c r="O35" s="2">
        <f t="shared" ca="1" si="20"/>
        <v>0</v>
      </c>
      <c r="P35" s="2">
        <f t="shared" ca="1" si="20"/>
        <v>0</v>
      </c>
      <c r="Q35" s="2">
        <f t="shared" ca="1" si="20"/>
        <v>89115.754725113075</v>
      </c>
      <c r="R35" s="2">
        <f t="shared" ca="1" si="20"/>
        <v>113478.27582573897</v>
      </c>
      <c r="S35" s="2">
        <f t="shared" ca="1" si="20"/>
        <v>105710.6268789942</v>
      </c>
      <c r="T35" s="2">
        <f t="shared" ca="1" si="20"/>
        <v>0</v>
      </c>
      <c r="U35" s="2">
        <f t="shared" ca="1" si="20"/>
        <v>0</v>
      </c>
      <c r="V35" s="2">
        <f t="shared" ca="1" si="20"/>
        <v>0</v>
      </c>
      <c r="W35" s="2">
        <f t="shared" ca="1" si="20"/>
        <v>0</v>
      </c>
      <c r="X35" s="2">
        <f t="shared" ca="1" si="20"/>
        <v>0</v>
      </c>
      <c r="Y35" s="2">
        <f t="shared" ca="1" si="20"/>
        <v>0</v>
      </c>
      <c r="Z35" s="2">
        <f t="shared" ca="1" si="20"/>
        <v>0</v>
      </c>
      <c r="AA35" s="2">
        <f t="shared" ca="1" si="20"/>
        <v>0</v>
      </c>
      <c r="AB35" s="2">
        <f t="shared" ca="1" si="20"/>
        <v>0</v>
      </c>
      <c r="AC35" s="2">
        <f t="shared" ca="1" si="20"/>
        <v>0</v>
      </c>
      <c r="AD35" s="2">
        <f t="shared" ca="1" si="20"/>
        <v>0</v>
      </c>
      <c r="AE35" s="2">
        <f t="shared" ca="1" si="20"/>
        <v>0</v>
      </c>
      <c r="AF35" s="2">
        <f t="shared" ca="1" si="20"/>
        <v>0</v>
      </c>
      <c r="AG35" s="2">
        <f t="shared" ca="1" si="20"/>
        <v>0</v>
      </c>
      <c r="AH35" s="2">
        <f t="shared" ca="1" si="20"/>
        <v>0</v>
      </c>
      <c r="AI35" s="2">
        <f t="shared" ca="1" si="20"/>
        <v>0</v>
      </c>
      <c r="AJ35" s="2">
        <f t="shared" ca="1" si="20"/>
        <v>0</v>
      </c>
      <c r="AK35" s="2">
        <f t="shared" ref="AK35:BQ35" ca="1" si="21">AK$27</f>
        <v>0</v>
      </c>
      <c r="AL35" s="2">
        <f t="shared" ca="1" si="21"/>
        <v>0</v>
      </c>
      <c r="AM35" s="2">
        <f t="shared" ca="1" si="21"/>
        <v>0</v>
      </c>
      <c r="AN35" s="2">
        <f t="shared" ca="1" si="21"/>
        <v>0</v>
      </c>
      <c r="AO35" s="2">
        <f t="shared" ca="1" si="21"/>
        <v>0</v>
      </c>
      <c r="AP35" s="2">
        <f t="shared" ca="1" si="21"/>
        <v>0</v>
      </c>
      <c r="AQ35" s="2">
        <f t="shared" ca="1" si="21"/>
        <v>0</v>
      </c>
      <c r="AR35" s="2">
        <f t="shared" ca="1" si="21"/>
        <v>0</v>
      </c>
      <c r="AS35" s="2">
        <f t="shared" ca="1" si="21"/>
        <v>0</v>
      </c>
      <c r="AT35" s="2">
        <f t="shared" ca="1" si="21"/>
        <v>0</v>
      </c>
      <c r="AU35" s="2">
        <f t="shared" ca="1" si="21"/>
        <v>0</v>
      </c>
      <c r="AV35" s="2">
        <f t="shared" ca="1" si="21"/>
        <v>0</v>
      </c>
      <c r="AW35" s="2">
        <f t="shared" ca="1" si="21"/>
        <v>0</v>
      </c>
      <c r="AX35" s="2">
        <f t="shared" ca="1" si="21"/>
        <v>0</v>
      </c>
      <c r="AY35" s="2">
        <f t="shared" ca="1" si="21"/>
        <v>0</v>
      </c>
      <c r="AZ35" s="2">
        <f t="shared" ca="1" si="21"/>
        <v>0</v>
      </c>
      <c r="BA35" s="2">
        <f t="shared" ca="1" si="21"/>
        <v>0</v>
      </c>
      <c r="BB35" s="2">
        <f t="shared" ca="1" si="21"/>
        <v>0</v>
      </c>
      <c r="BC35" s="2">
        <f t="shared" ca="1" si="21"/>
        <v>0</v>
      </c>
      <c r="BD35" s="2">
        <f t="shared" ca="1" si="21"/>
        <v>0</v>
      </c>
      <c r="BE35" s="2">
        <f t="shared" ca="1" si="21"/>
        <v>0</v>
      </c>
      <c r="BF35" s="2">
        <f t="shared" ca="1" si="21"/>
        <v>0</v>
      </c>
      <c r="BG35" s="2">
        <f t="shared" ca="1" si="21"/>
        <v>0</v>
      </c>
      <c r="BH35" s="2">
        <f t="shared" ca="1" si="21"/>
        <v>0</v>
      </c>
      <c r="BI35" s="2">
        <f t="shared" ca="1" si="21"/>
        <v>0</v>
      </c>
      <c r="BJ35" s="2">
        <f t="shared" ca="1" si="21"/>
        <v>0</v>
      </c>
      <c r="BK35" s="2">
        <f t="shared" ca="1" si="21"/>
        <v>0</v>
      </c>
      <c r="BL35" s="2">
        <f t="shared" ca="1" si="21"/>
        <v>0</v>
      </c>
      <c r="BM35" s="2">
        <f t="shared" ca="1" si="21"/>
        <v>0</v>
      </c>
      <c r="BN35" s="2">
        <f t="shared" ca="1" si="21"/>
        <v>0</v>
      </c>
      <c r="BO35" s="2">
        <f t="shared" ca="1" si="21"/>
        <v>0</v>
      </c>
      <c r="BP35" s="2">
        <f t="shared" ca="1" si="21"/>
        <v>0</v>
      </c>
      <c r="BQ35" s="2">
        <f t="shared" ca="1" si="21"/>
        <v>0</v>
      </c>
    </row>
    <row r="36" spans="1:69" s="32" customFormat="1">
      <c r="A36" s="115"/>
      <c r="B36" s="115"/>
      <c r="C36" s="142"/>
      <c r="D36" s="190"/>
      <c r="E36" s="32" t="s">
        <v>83</v>
      </c>
      <c r="G36" s="32" t="s">
        <v>252</v>
      </c>
      <c r="I36" s="32">
        <f t="shared" ref="I36:AN36" si="22">IF(I32=1,$F31,I33+I34-I35)</f>
        <v>0</v>
      </c>
      <c r="J36" s="32">
        <f t="shared" si="22"/>
        <v>0</v>
      </c>
      <c r="K36" s="32">
        <f t="shared" ca="1" si="22"/>
        <v>47273.385096090773</v>
      </c>
      <c r="L36" s="32">
        <f t="shared" ca="1" si="22"/>
        <v>95852.549866476475</v>
      </c>
      <c r="M36" s="32">
        <f t="shared" ca="1" si="22"/>
        <v>146469.3503928209</v>
      </c>
      <c r="N36" s="32">
        <f t="shared" ca="1" si="22"/>
        <v>198602.62787843758</v>
      </c>
      <c r="O36" s="32">
        <f t="shared" ca="1" si="22"/>
        <v>252290.96109388283</v>
      </c>
      <c r="P36" s="32">
        <f t="shared" ca="1" si="22"/>
        <v>308304.65742984624</v>
      </c>
      <c r="Q36" s="32">
        <f t="shared" ca="1" si="22"/>
        <v>219188.90270473316</v>
      </c>
      <c r="R36" s="32">
        <f t="shared" ca="1" si="22"/>
        <v>105710.6268789942</v>
      </c>
      <c r="S36" s="32">
        <f t="shared" ca="1" si="22"/>
        <v>0</v>
      </c>
      <c r="T36" s="32">
        <f t="shared" ca="1" si="22"/>
        <v>0</v>
      </c>
      <c r="U36" s="32">
        <f t="shared" ca="1" si="22"/>
        <v>0</v>
      </c>
      <c r="V36" s="32">
        <f t="shared" ca="1" si="22"/>
        <v>0</v>
      </c>
      <c r="W36" s="32">
        <f t="shared" ca="1" si="22"/>
        <v>0</v>
      </c>
      <c r="X36" s="32">
        <f t="shared" ca="1" si="22"/>
        <v>0</v>
      </c>
      <c r="Y36" s="32">
        <f t="shared" ca="1" si="22"/>
        <v>0</v>
      </c>
      <c r="Z36" s="32">
        <f t="shared" ca="1" si="22"/>
        <v>0</v>
      </c>
      <c r="AA36" s="32">
        <f t="shared" ca="1" si="22"/>
        <v>0</v>
      </c>
      <c r="AB36" s="32">
        <f t="shared" ca="1" si="22"/>
        <v>0</v>
      </c>
      <c r="AC36" s="32">
        <f t="shared" ca="1" si="22"/>
        <v>0</v>
      </c>
      <c r="AD36" s="32">
        <f t="shared" ca="1" si="22"/>
        <v>0</v>
      </c>
      <c r="AE36" s="32">
        <f t="shared" ca="1" si="22"/>
        <v>0</v>
      </c>
      <c r="AF36" s="32">
        <f t="shared" ca="1" si="22"/>
        <v>0</v>
      </c>
      <c r="AG36" s="32">
        <f t="shared" ca="1" si="22"/>
        <v>0</v>
      </c>
      <c r="AH36" s="32">
        <f t="shared" ca="1" si="22"/>
        <v>0</v>
      </c>
      <c r="AI36" s="32">
        <f t="shared" ca="1" si="22"/>
        <v>0</v>
      </c>
      <c r="AJ36" s="32">
        <f t="shared" ca="1" si="22"/>
        <v>0</v>
      </c>
      <c r="AK36" s="32">
        <f t="shared" ca="1" si="22"/>
        <v>0</v>
      </c>
      <c r="AL36" s="32">
        <f t="shared" ca="1" si="22"/>
        <v>0</v>
      </c>
      <c r="AM36" s="32">
        <f t="shared" ca="1" si="22"/>
        <v>0</v>
      </c>
      <c r="AN36" s="32">
        <f t="shared" ca="1" si="22"/>
        <v>0</v>
      </c>
      <c r="AO36" s="32">
        <f t="shared" ref="AO36:BT36" ca="1" si="23">IF(AO32=1,$F31,AO33+AO34-AO35)</f>
        <v>0</v>
      </c>
      <c r="AP36" s="32">
        <f t="shared" ca="1" si="23"/>
        <v>0</v>
      </c>
      <c r="AQ36" s="32">
        <f t="shared" ca="1" si="23"/>
        <v>0</v>
      </c>
      <c r="AR36" s="32">
        <f t="shared" ca="1" si="23"/>
        <v>0</v>
      </c>
      <c r="AS36" s="32">
        <f t="shared" ca="1" si="23"/>
        <v>0</v>
      </c>
      <c r="AT36" s="32">
        <f t="shared" ca="1" si="23"/>
        <v>0</v>
      </c>
      <c r="AU36" s="32">
        <f t="shared" ca="1" si="23"/>
        <v>0</v>
      </c>
      <c r="AV36" s="32">
        <f t="shared" ca="1" si="23"/>
        <v>0</v>
      </c>
      <c r="AW36" s="32">
        <f t="shared" ca="1" si="23"/>
        <v>0</v>
      </c>
      <c r="AX36" s="32">
        <f t="shared" ca="1" si="23"/>
        <v>0</v>
      </c>
      <c r="AY36" s="32">
        <f t="shared" ca="1" si="23"/>
        <v>0</v>
      </c>
      <c r="AZ36" s="32">
        <f t="shared" ca="1" si="23"/>
        <v>0</v>
      </c>
      <c r="BA36" s="32">
        <f t="shared" ca="1" si="23"/>
        <v>0</v>
      </c>
      <c r="BB36" s="32">
        <f t="shared" ca="1" si="23"/>
        <v>0</v>
      </c>
      <c r="BC36" s="32">
        <f t="shared" ca="1" si="23"/>
        <v>0</v>
      </c>
      <c r="BD36" s="32">
        <f t="shared" ca="1" si="23"/>
        <v>0</v>
      </c>
      <c r="BE36" s="32">
        <f t="shared" ca="1" si="23"/>
        <v>0</v>
      </c>
      <c r="BF36" s="32">
        <f t="shared" ca="1" si="23"/>
        <v>0</v>
      </c>
      <c r="BG36" s="32">
        <f t="shared" ca="1" si="23"/>
        <v>0</v>
      </c>
      <c r="BH36" s="32">
        <f t="shared" ca="1" si="23"/>
        <v>0</v>
      </c>
      <c r="BI36" s="32">
        <f t="shared" ca="1" si="23"/>
        <v>0</v>
      </c>
      <c r="BJ36" s="32">
        <f t="shared" ca="1" si="23"/>
        <v>0</v>
      </c>
      <c r="BK36" s="32">
        <f t="shared" ca="1" si="23"/>
        <v>0</v>
      </c>
      <c r="BL36" s="32">
        <f t="shared" ca="1" si="23"/>
        <v>0</v>
      </c>
      <c r="BM36" s="32">
        <f t="shared" ca="1" si="23"/>
        <v>0</v>
      </c>
      <c r="BN36" s="32">
        <f t="shared" ca="1" si="23"/>
        <v>0</v>
      </c>
      <c r="BO36" s="32">
        <f t="shared" ca="1" si="23"/>
        <v>0</v>
      </c>
      <c r="BP36" s="32">
        <f t="shared" ca="1" si="23"/>
        <v>0</v>
      </c>
      <c r="BQ36" s="32">
        <f t="shared" ca="1" si="23"/>
        <v>0</v>
      </c>
    </row>
    <row r="38" spans="1:69">
      <c r="B38" s="22" t="s">
        <v>136</v>
      </c>
    </row>
    <row r="39" spans="1:69">
      <c r="E39" s="2" t="str">
        <f t="shared" ref="E39:AJ39" si="24">E$15</f>
        <v>Taxable income</v>
      </c>
      <c r="F39" s="2">
        <f t="shared" si="24"/>
        <v>0</v>
      </c>
      <c r="G39" s="2" t="str">
        <f t="shared" si="24"/>
        <v>GBP</v>
      </c>
      <c r="H39" s="2">
        <f t="shared" ca="1" si="24"/>
        <v>91902577.324901953</v>
      </c>
      <c r="I39" s="2">
        <f t="shared" si="24"/>
        <v>0</v>
      </c>
      <c r="J39" s="2">
        <f t="shared" ca="1" si="24"/>
        <v>0</v>
      </c>
      <c r="K39" s="2">
        <f t="shared" ca="1" si="24"/>
        <v>0</v>
      </c>
      <c r="L39" s="2">
        <f t="shared" ca="1" si="24"/>
        <v>0</v>
      </c>
      <c r="M39" s="2">
        <f t="shared" ca="1" si="24"/>
        <v>0</v>
      </c>
      <c r="N39" s="2">
        <f t="shared" ca="1" si="24"/>
        <v>0</v>
      </c>
      <c r="O39" s="2">
        <f t="shared" ca="1" si="24"/>
        <v>0</v>
      </c>
      <c r="P39" s="2">
        <f t="shared" ca="1" si="24"/>
        <v>0</v>
      </c>
      <c r="Q39" s="2">
        <f t="shared" ca="1" si="24"/>
        <v>89115.754725113075</v>
      </c>
      <c r="R39" s="2">
        <f t="shared" ca="1" si="24"/>
        <v>113478.27582573897</v>
      </c>
      <c r="S39" s="2">
        <f t="shared" ca="1" si="24"/>
        <v>112662.85285996516</v>
      </c>
      <c r="T39" s="2">
        <f t="shared" ca="1" si="24"/>
        <v>110713.98513466401</v>
      </c>
      <c r="U39" s="2">
        <f t="shared" ca="1" si="24"/>
        <v>108451.45380549737</v>
      </c>
      <c r="V39" s="2">
        <f t="shared" ca="1" si="24"/>
        <v>105500</v>
      </c>
      <c r="W39" s="2">
        <f t="shared" ca="1" si="24"/>
        <v>257737.76049489388</v>
      </c>
      <c r="X39" s="2">
        <f t="shared" ca="1" si="24"/>
        <v>275304.41252950544</v>
      </c>
      <c r="Y39" s="2">
        <f t="shared" ca="1" si="24"/>
        <v>271775.23697183491</v>
      </c>
      <c r="Z39" s="2">
        <f t="shared" ca="1" si="24"/>
        <v>268744.40650637494</v>
      </c>
      <c r="AA39" s="2">
        <f t="shared" ca="1" si="24"/>
        <v>265636.71868826868</v>
      </c>
      <c r="AB39" s="2">
        <f t="shared" ca="1" si="24"/>
        <v>261550.17025842413</v>
      </c>
      <c r="AC39" s="2">
        <f t="shared" ca="1" si="24"/>
        <v>433061.35730910645</v>
      </c>
      <c r="AD39" s="2">
        <f t="shared" ca="1" si="24"/>
        <v>429206.16781548737</v>
      </c>
      <c r="AE39" s="2">
        <f t="shared" ca="1" si="24"/>
        <v>424448.12584523065</v>
      </c>
      <c r="AF39" s="2">
        <f t="shared" ca="1" si="24"/>
        <v>420574.65609569219</v>
      </c>
      <c r="AG39" s="2">
        <f t="shared" ca="1" si="24"/>
        <v>591039.17894806305</v>
      </c>
      <c r="AH39" s="2">
        <f t="shared" ca="1" si="24"/>
        <v>549294.22806854604</v>
      </c>
      <c r="AI39" s="2">
        <f t="shared" ca="1" si="24"/>
        <v>559495.05293412972</v>
      </c>
      <c r="AJ39" s="2">
        <f t="shared" ca="1" si="24"/>
        <v>570571.61881984991</v>
      </c>
      <c r="AK39" s="2">
        <f t="shared" ref="AK39:BQ39" ca="1" si="25">AK$15</f>
        <v>756290.99490164698</v>
      </c>
      <c r="AL39" s="2">
        <f t="shared" ca="1" si="25"/>
        <v>768440.14502870594</v>
      </c>
      <c r="AM39" s="2">
        <f t="shared" ca="1" si="25"/>
        <v>781632.24149513722</v>
      </c>
      <c r="AN39" s="2">
        <f t="shared" ca="1" si="25"/>
        <v>969521.4944085629</v>
      </c>
      <c r="AO39" s="2">
        <f t="shared" ca="1" si="25"/>
        <v>984334.54723341262</v>
      </c>
      <c r="AP39" s="2">
        <f t="shared" ca="1" si="25"/>
        <v>1174596.2878552801</v>
      </c>
      <c r="AQ39" s="2">
        <f t="shared" ca="1" si="25"/>
        <v>1190065.5540779692</v>
      </c>
      <c r="AR39" s="2">
        <f t="shared" ca="1" si="25"/>
        <v>1208497.6836971336</v>
      </c>
      <c r="AS39" s="2">
        <f t="shared" ca="1" si="25"/>
        <v>1401686.0054904961</v>
      </c>
      <c r="AT39" s="2">
        <f t="shared" ca="1" si="25"/>
        <v>1420666.3054624104</v>
      </c>
      <c r="AU39" s="2">
        <f t="shared" ca="1" si="25"/>
        <v>1441000.1451923409</v>
      </c>
      <c r="AV39" s="2">
        <f t="shared" ca="1" si="25"/>
        <v>1638187.0068315603</v>
      </c>
      <c r="AW39" s="2">
        <f t="shared" ca="1" si="25"/>
        <v>1660319.9306276729</v>
      </c>
      <c r="AX39" s="2">
        <f t="shared" ca="1" si="25"/>
        <v>1859650.0676669511</v>
      </c>
      <c r="AY39" s="2">
        <f t="shared" ca="1" si="25"/>
        <v>1886064.6481018665</v>
      </c>
      <c r="AZ39" s="2">
        <f t="shared" ca="1" si="25"/>
        <v>2087549.3462882645</v>
      </c>
      <c r="BA39" s="2">
        <f t="shared" ca="1" si="25"/>
        <v>2292202.2909373641</v>
      </c>
      <c r="BB39" s="2">
        <f t="shared" ca="1" si="25"/>
        <v>2322709.0522145927</v>
      </c>
      <c r="BC39" s="2">
        <f t="shared" ca="1" si="25"/>
        <v>2529390.7830301183</v>
      </c>
      <c r="BD39" s="2">
        <f t="shared" ca="1" si="25"/>
        <v>2741343.2729988955</v>
      </c>
      <c r="BE39" s="2">
        <f t="shared" ca="1" si="25"/>
        <v>2777727.6144855861</v>
      </c>
      <c r="BF39" s="2">
        <f t="shared" ca="1" si="25"/>
        <v>2975640.5560993059</v>
      </c>
      <c r="BG39" s="2">
        <f t="shared" ca="1" si="25"/>
        <v>3206283.3094691341</v>
      </c>
      <c r="BH39" s="2">
        <f t="shared" ca="1" si="25"/>
        <v>3441358.5071495525</v>
      </c>
      <c r="BI39" s="2">
        <f t="shared" ca="1" si="25"/>
        <v>3677939.827012307</v>
      </c>
      <c r="BJ39" s="2">
        <f t="shared" ca="1" si="25"/>
        <v>3919195.5980332019</v>
      </c>
      <c r="BK39" s="2">
        <f t="shared" ca="1" si="25"/>
        <v>4165729.2722203638</v>
      </c>
      <c r="BL39" s="2">
        <f t="shared" ca="1" si="25"/>
        <v>4414204.3480486348</v>
      </c>
      <c r="BM39" s="2">
        <f t="shared" ca="1" si="25"/>
        <v>4669516.1535467366</v>
      </c>
      <c r="BN39" s="2">
        <f t="shared" ca="1" si="25"/>
        <v>4928564.5161606967</v>
      </c>
      <c r="BO39" s="2">
        <f t="shared" ca="1" si="25"/>
        <v>5191300.3592811236</v>
      </c>
      <c r="BP39" s="2">
        <f t="shared" ca="1" si="25"/>
        <v>5464246.9113110239</v>
      </c>
      <c r="BQ39" s="2">
        <f t="shared" ca="1" si="25"/>
        <v>5738361.1349075092</v>
      </c>
    </row>
    <row r="40" spans="1:69">
      <c r="E40" s="2" t="str">
        <f t="shared" ref="E40:AJ40" si="26">E$27</f>
        <v>Tax losses utilised</v>
      </c>
      <c r="F40" s="2">
        <f t="shared" si="26"/>
        <v>0</v>
      </c>
      <c r="G40" s="2" t="str">
        <f t="shared" si="26"/>
        <v>GBP</v>
      </c>
      <c r="H40" s="2">
        <f t="shared" ca="1" si="26"/>
        <v>308304.65742984624</v>
      </c>
      <c r="I40" s="2">
        <f t="shared" si="26"/>
        <v>0</v>
      </c>
      <c r="J40" s="2">
        <f t="shared" ca="1" si="26"/>
        <v>0</v>
      </c>
      <c r="K40" s="2">
        <f t="shared" ca="1" si="26"/>
        <v>0</v>
      </c>
      <c r="L40" s="2">
        <f t="shared" ca="1" si="26"/>
        <v>0</v>
      </c>
      <c r="M40" s="2">
        <f t="shared" ca="1" si="26"/>
        <v>0</v>
      </c>
      <c r="N40" s="2">
        <f t="shared" ca="1" si="26"/>
        <v>0</v>
      </c>
      <c r="O40" s="2">
        <f t="shared" ca="1" si="26"/>
        <v>0</v>
      </c>
      <c r="P40" s="2">
        <f t="shared" ca="1" si="26"/>
        <v>0</v>
      </c>
      <c r="Q40" s="2">
        <f t="shared" ca="1" si="26"/>
        <v>89115.754725113075</v>
      </c>
      <c r="R40" s="2">
        <f t="shared" ca="1" si="26"/>
        <v>113478.27582573897</v>
      </c>
      <c r="S40" s="2">
        <f t="shared" ca="1" si="26"/>
        <v>105710.6268789942</v>
      </c>
      <c r="T40" s="2">
        <f t="shared" ca="1" si="26"/>
        <v>0</v>
      </c>
      <c r="U40" s="2">
        <f t="shared" ca="1" si="26"/>
        <v>0</v>
      </c>
      <c r="V40" s="2">
        <f t="shared" ca="1" si="26"/>
        <v>0</v>
      </c>
      <c r="W40" s="2">
        <f t="shared" ca="1" si="26"/>
        <v>0</v>
      </c>
      <c r="X40" s="2">
        <f t="shared" ca="1" si="26"/>
        <v>0</v>
      </c>
      <c r="Y40" s="2">
        <f t="shared" ca="1" si="26"/>
        <v>0</v>
      </c>
      <c r="Z40" s="2">
        <f t="shared" ca="1" si="26"/>
        <v>0</v>
      </c>
      <c r="AA40" s="2">
        <f t="shared" ca="1" si="26"/>
        <v>0</v>
      </c>
      <c r="AB40" s="2">
        <f t="shared" ca="1" si="26"/>
        <v>0</v>
      </c>
      <c r="AC40" s="2">
        <f t="shared" ca="1" si="26"/>
        <v>0</v>
      </c>
      <c r="AD40" s="2">
        <f t="shared" ca="1" si="26"/>
        <v>0</v>
      </c>
      <c r="AE40" s="2">
        <f t="shared" ca="1" si="26"/>
        <v>0</v>
      </c>
      <c r="AF40" s="2">
        <f t="shared" ca="1" si="26"/>
        <v>0</v>
      </c>
      <c r="AG40" s="2">
        <f t="shared" ca="1" si="26"/>
        <v>0</v>
      </c>
      <c r="AH40" s="2">
        <f t="shared" ca="1" si="26"/>
        <v>0</v>
      </c>
      <c r="AI40" s="2">
        <f t="shared" ca="1" si="26"/>
        <v>0</v>
      </c>
      <c r="AJ40" s="2">
        <f t="shared" ca="1" si="26"/>
        <v>0</v>
      </c>
      <c r="AK40" s="2">
        <f t="shared" ref="AK40:BQ40" ca="1" si="27">AK$27</f>
        <v>0</v>
      </c>
      <c r="AL40" s="2">
        <f t="shared" ca="1" si="27"/>
        <v>0</v>
      </c>
      <c r="AM40" s="2">
        <f t="shared" ca="1" si="27"/>
        <v>0</v>
      </c>
      <c r="AN40" s="2">
        <f t="shared" ca="1" si="27"/>
        <v>0</v>
      </c>
      <c r="AO40" s="2">
        <f t="shared" ca="1" si="27"/>
        <v>0</v>
      </c>
      <c r="AP40" s="2">
        <f t="shared" ca="1" si="27"/>
        <v>0</v>
      </c>
      <c r="AQ40" s="2">
        <f t="shared" ca="1" si="27"/>
        <v>0</v>
      </c>
      <c r="AR40" s="2">
        <f t="shared" ca="1" si="27"/>
        <v>0</v>
      </c>
      <c r="AS40" s="2">
        <f t="shared" ca="1" si="27"/>
        <v>0</v>
      </c>
      <c r="AT40" s="2">
        <f t="shared" ca="1" si="27"/>
        <v>0</v>
      </c>
      <c r="AU40" s="2">
        <f t="shared" ca="1" si="27"/>
        <v>0</v>
      </c>
      <c r="AV40" s="2">
        <f t="shared" ca="1" si="27"/>
        <v>0</v>
      </c>
      <c r="AW40" s="2">
        <f t="shared" ca="1" si="27"/>
        <v>0</v>
      </c>
      <c r="AX40" s="2">
        <f t="shared" ca="1" si="27"/>
        <v>0</v>
      </c>
      <c r="AY40" s="2">
        <f t="shared" ca="1" si="27"/>
        <v>0</v>
      </c>
      <c r="AZ40" s="2">
        <f t="shared" ca="1" si="27"/>
        <v>0</v>
      </c>
      <c r="BA40" s="2">
        <f t="shared" ca="1" si="27"/>
        <v>0</v>
      </c>
      <c r="BB40" s="2">
        <f t="shared" ca="1" si="27"/>
        <v>0</v>
      </c>
      <c r="BC40" s="2">
        <f t="shared" ca="1" si="27"/>
        <v>0</v>
      </c>
      <c r="BD40" s="2">
        <f t="shared" ca="1" si="27"/>
        <v>0</v>
      </c>
      <c r="BE40" s="2">
        <f t="shared" ca="1" si="27"/>
        <v>0</v>
      </c>
      <c r="BF40" s="2">
        <f t="shared" ca="1" si="27"/>
        <v>0</v>
      </c>
      <c r="BG40" s="2">
        <f t="shared" ca="1" si="27"/>
        <v>0</v>
      </c>
      <c r="BH40" s="2">
        <f t="shared" ca="1" si="27"/>
        <v>0</v>
      </c>
      <c r="BI40" s="2">
        <f t="shared" ca="1" si="27"/>
        <v>0</v>
      </c>
      <c r="BJ40" s="2">
        <f t="shared" ca="1" si="27"/>
        <v>0</v>
      </c>
      <c r="BK40" s="2">
        <f t="shared" ca="1" si="27"/>
        <v>0</v>
      </c>
      <c r="BL40" s="2">
        <f t="shared" ca="1" si="27"/>
        <v>0</v>
      </c>
      <c r="BM40" s="2">
        <f t="shared" ca="1" si="27"/>
        <v>0</v>
      </c>
      <c r="BN40" s="2">
        <f t="shared" ca="1" si="27"/>
        <v>0</v>
      </c>
      <c r="BO40" s="2">
        <f t="shared" ca="1" si="27"/>
        <v>0</v>
      </c>
      <c r="BP40" s="2">
        <f t="shared" ca="1" si="27"/>
        <v>0</v>
      </c>
      <c r="BQ40" s="2">
        <f t="shared" ca="1" si="27"/>
        <v>0</v>
      </c>
    </row>
    <row r="41" spans="1:69" ht="14.5">
      <c r="E41" s="2" t="s">
        <v>136</v>
      </c>
      <c r="F41"/>
      <c r="G41" s="2" t="s">
        <v>252</v>
      </c>
      <c r="H41" s="2">
        <f ca="1">SUM(J41:BQ41)</f>
        <v>91594272.667472109</v>
      </c>
      <c r="I41"/>
      <c r="J41" s="2">
        <f t="shared" ref="J41:AO41" ca="1" si="28">J39-J40</f>
        <v>0</v>
      </c>
      <c r="K41" s="2">
        <f t="shared" ca="1" si="28"/>
        <v>0</v>
      </c>
      <c r="L41" s="2">
        <f t="shared" ca="1" si="28"/>
        <v>0</v>
      </c>
      <c r="M41" s="2">
        <f t="shared" ca="1" si="28"/>
        <v>0</v>
      </c>
      <c r="N41" s="2">
        <f t="shared" ca="1" si="28"/>
        <v>0</v>
      </c>
      <c r="O41" s="2">
        <f t="shared" ca="1" si="28"/>
        <v>0</v>
      </c>
      <c r="P41" s="2">
        <f t="shared" ca="1" si="28"/>
        <v>0</v>
      </c>
      <c r="Q41" s="2">
        <f t="shared" ca="1" si="28"/>
        <v>0</v>
      </c>
      <c r="R41" s="2">
        <f t="shared" ca="1" si="28"/>
        <v>0</v>
      </c>
      <c r="S41" s="2">
        <f t="shared" ca="1" si="28"/>
        <v>6952.2259809709649</v>
      </c>
      <c r="T41" s="2">
        <f t="shared" ca="1" si="28"/>
        <v>110713.98513466401</v>
      </c>
      <c r="U41" s="2">
        <f t="shared" ca="1" si="28"/>
        <v>108451.45380549737</v>
      </c>
      <c r="V41" s="2">
        <f t="shared" ca="1" si="28"/>
        <v>105500</v>
      </c>
      <c r="W41" s="2">
        <f t="shared" ca="1" si="28"/>
        <v>257737.76049489388</v>
      </c>
      <c r="X41" s="2">
        <f t="shared" ca="1" si="28"/>
        <v>275304.41252950544</v>
      </c>
      <c r="Y41" s="2">
        <f t="shared" ca="1" si="28"/>
        <v>271775.23697183491</v>
      </c>
      <c r="Z41" s="2">
        <f t="shared" ca="1" si="28"/>
        <v>268744.40650637494</v>
      </c>
      <c r="AA41" s="2">
        <f t="shared" ca="1" si="28"/>
        <v>265636.71868826868</v>
      </c>
      <c r="AB41" s="2">
        <f t="shared" ca="1" si="28"/>
        <v>261550.17025842413</v>
      </c>
      <c r="AC41" s="2">
        <f t="shared" ca="1" si="28"/>
        <v>433061.35730910645</v>
      </c>
      <c r="AD41" s="2">
        <f t="shared" ca="1" si="28"/>
        <v>429206.16781548737</v>
      </c>
      <c r="AE41" s="2">
        <f t="shared" ca="1" si="28"/>
        <v>424448.12584523065</v>
      </c>
      <c r="AF41" s="2">
        <f t="shared" ca="1" si="28"/>
        <v>420574.65609569219</v>
      </c>
      <c r="AG41" s="2">
        <f t="shared" ca="1" si="28"/>
        <v>591039.17894806305</v>
      </c>
      <c r="AH41" s="2">
        <f t="shared" ca="1" si="28"/>
        <v>549294.22806854604</v>
      </c>
      <c r="AI41" s="2">
        <f t="shared" ca="1" si="28"/>
        <v>559495.05293412972</v>
      </c>
      <c r="AJ41" s="2">
        <f t="shared" ca="1" si="28"/>
        <v>570571.61881984991</v>
      </c>
      <c r="AK41" s="2">
        <f t="shared" ca="1" si="28"/>
        <v>756290.99490164698</v>
      </c>
      <c r="AL41" s="2">
        <f t="shared" ca="1" si="28"/>
        <v>768440.14502870594</v>
      </c>
      <c r="AM41" s="2">
        <f t="shared" ca="1" si="28"/>
        <v>781632.24149513722</v>
      </c>
      <c r="AN41" s="2">
        <f t="shared" ca="1" si="28"/>
        <v>969521.4944085629</v>
      </c>
      <c r="AO41" s="2">
        <f t="shared" ca="1" si="28"/>
        <v>984334.54723341262</v>
      </c>
      <c r="AP41" s="2">
        <f t="shared" ref="AP41:BU41" ca="1" si="29">AP39-AP40</f>
        <v>1174596.2878552801</v>
      </c>
      <c r="AQ41" s="2">
        <f t="shared" ca="1" si="29"/>
        <v>1190065.5540779692</v>
      </c>
      <c r="AR41" s="2">
        <f t="shared" ca="1" si="29"/>
        <v>1208497.6836971336</v>
      </c>
      <c r="AS41" s="2">
        <f t="shared" ca="1" si="29"/>
        <v>1401686.0054904961</v>
      </c>
      <c r="AT41" s="2">
        <f t="shared" ca="1" si="29"/>
        <v>1420666.3054624104</v>
      </c>
      <c r="AU41" s="2">
        <f t="shared" ca="1" si="29"/>
        <v>1441000.1451923409</v>
      </c>
      <c r="AV41" s="2">
        <f t="shared" ca="1" si="29"/>
        <v>1638187.0068315603</v>
      </c>
      <c r="AW41" s="2">
        <f t="shared" ca="1" si="29"/>
        <v>1660319.9306276729</v>
      </c>
      <c r="AX41" s="2">
        <f t="shared" ca="1" si="29"/>
        <v>1859650.0676669511</v>
      </c>
      <c r="AY41" s="2">
        <f t="shared" ca="1" si="29"/>
        <v>1886064.6481018665</v>
      </c>
      <c r="AZ41" s="2">
        <f t="shared" ca="1" si="29"/>
        <v>2087549.3462882645</v>
      </c>
      <c r="BA41" s="2">
        <f t="shared" ca="1" si="29"/>
        <v>2292202.2909373641</v>
      </c>
      <c r="BB41" s="2">
        <f t="shared" ca="1" si="29"/>
        <v>2322709.0522145927</v>
      </c>
      <c r="BC41" s="2">
        <f t="shared" ca="1" si="29"/>
        <v>2529390.7830301183</v>
      </c>
      <c r="BD41" s="2">
        <f t="shared" ca="1" si="29"/>
        <v>2741343.2729988955</v>
      </c>
      <c r="BE41" s="2">
        <f t="shared" ca="1" si="29"/>
        <v>2777727.6144855861</v>
      </c>
      <c r="BF41" s="2">
        <f t="shared" ca="1" si="29"/>
        <v>2975640.5560993059</v>
      </c>
      <c r="BG41" s="2">
        <f t="shared" ca="1" si="29"/>
        <v>3206283.3094691341</v>
      </c>
      <c r="BH41" s="2">
        <f t="shared" ca="1" si="29"/>
        <v>3441358.5071495525</v>
      </c>
      <c r="BI41" s="2">
        <f t="shared" ca="1" si="29"/>
        <v>3677939.827012307</v>
      </c>
      <c r="BJ41" s="2">
        <f t="shared" ca="1" si="29"/>
        <v>3919195.5980332019</v>
      </c>
      <c r="BK41" s="2">
        <f t="shared" ca="1" si="29"/>
        <v>4165729.2722203638</v>
      </c>
      <c r="BL41" s="2">
        <f t="shared" ca="1" si="29"/>
        <v>4414204.3480486348</v>
      </c>
      <c r="BM41" s="2">
        <f t="shared" ca="1" si="29"/>
        <v>4669516.1535467366</v>
      </c>
      <c r="BN41" s="2">
        <f t="shared" ca="1" si="29"/>
        <v>4928564.5161606967</v>
      </c>
      <c r="BO41" s="2">
        <f t="shared" ca="1" si="29"/>
        <v>5191300.3592811236</v>
      </c>
      <c r="BP41" s="2">
        <f t="shared" ca="1" si="29"/>
        <v>5464246.9113110239</v>
      </c>
      <c r="BQ41" s="2">
        <f t="shared" ca="1" si="29"/>
        <v>5738361.1349075092</v>
      </c>
    </row>
    <row r="44" spans="1:69">
      <c r="B44" s="22" t="s">
        <v>263</v>
      </c>
    </row>
    <row r="45" spans="1:69">
      <c r="A45" s="17"/>
      <c r="B45" s="17"/>
      <c r="C45" s="26"/>
      <c r="D45" s="27"/>
      <c r="E45" s="36" t="str">
        <f>InpC!E$88</f>
        <v>Corporation tax rate</v>
      </c>
      <c r="F45" s="36">
        <f>InpC!F$88</f>
        <v>0.2</v>
      </c>
      <c r="G45" s="36" t="str">
        <f>InpC!G$88</f>
        <v>%</v>
      </c>
      <c r="M45" s="45"/>
    </row>
    <row r="46" spans="1:69">
      <c r="E46" s="2" t="str">
        <f t="shared" ref="E46:AJ46" si="30">E$41</f>
        <v>Taxable income net of tax losses utilised</v>
      </c>
      <c r="F46" s="2">
        <f t="shared" si="30"/>
        <v>0</v>
      </c>
      <c r="G46" s="2" t="str">
        <f t="shared" si="30"/>
        <v>GBP</v>
      </c>
      <c r="H46" s="2">
        <f t="shared" ca="1" si="30"/>
        <v>91594272.667472109</v>
      </c>
      <c r="I46" s="2">
        <f t="shared" si="30"/>
        <v>0</v>
      </c>
      <c r="J46" s="2">
        <f t="shared" ca="1" si="30"/>
        <v>0</v>
      </c>
      <c r="K46" s="2">
        <f t="shared" ca="1" si="30"/>
        <v>0</v>
      </c>
      <c r="L46" s="2">
        <f t="shared" ca="1" si="30"/>
        <v>0</v>
      </c>
      <c r="M46" s="2">
        <f t="shared" ca="1" si="30"/>
        <v>0</v>
      </c>
      <c r="N46" s="2">
        <f t="shared" ca="1" si="30"/>
        <v>0</v>
      </c>
      <c r="O46" s="2">
        <f t="shared" ca="1" si="30"/>
        <v>0</v>
      </c>
      <c r="P46" s="2">
        <f t="shared" ca="1" si="30"/>
        <v>0</v>
      </c>
      <c r="Q46" s="2">
        <f t="shared" ca="1" si="30"/>
        <v>0</v>
      </c>
      <c r="R46" s="2">
        <f t="shared" ca="1" si="30"/>
        <v>0</v>
      </c>
      <c r="S46" s="2">
        <f t="shared" ca="1" si="30"/>
        <v>6952.2259809709649</v>
      </c>
      <c r="T46" s="2">
        <f t="shared" ca="1" si="30"/>
        <v>110713.98513466401</v>
      </c>
      <c r="U46" s="2">
        <f t="shared" ca="1" si="30"/>
        <v>108451.45380549737</v>
      </c>
      <c r="V46" s="2">
        <f t="shared" ca="1" si="30"/>
        <v>105500</v>
      </c>
      <c r="W46" s="2">
        <f t="shared" ca="1" si="30"/>
        <v>257737.76049489388</v>
      </c>
      <c r="X46" s="2">
        <f t="shared" ca="1" si="30"/>
        <v>275304.41252950544</v>
      </c>
      <c r="Y46" s="2">
        <f t="shared" ca="1" si="30"/>
        <v>271775.23697183491</v>
      </c>
      <c r="Z46" s="2">
        <f t="shared" ca="1" si="30"/>
        <v>268744.40650637494</v>
      </c>
      <c r="AA46" s="2">
        <f t="shared" ca="1" si="30"/>
        <v>265636.71868826868</v>
      </c>
      <c r="AB46" s="2">
        <f t="shared" ca="1" si="30"/>
        <v>261550.17025842413</v>
      </c>
      <c r="AC46" s="2">
        <f t="shared" ca="1" si="30"/>
        <v>433061.35730910645</v>
      </c>
      <c r="AD46" s="2">
        <f t="shared" ca="1" si="30"/>
        <v>429206.16781548737</v>
      </c>
      <c r="AE46" s="2">
        <f t="shared" ca="1" si="30"/>
        <v>424448.12584523065</v>
      </c>
      <c r="AF46" s="2">
        <f t="shared" ca="1" si="30"/>
        <v>420574.65609569219</v>
      </c>
      <c r="AG46" s="2">
        <f t="shared" ca="1" si="30"/>
        <v>591039.17894806305</v>
      </c>
      <c r="AH46" s="2">
        <f t="shared" ca="1" si="30"/>
        <v>549294.22806854604</v>
      </c>
      <c r="AI46" s="2">
        <f t="shared" ca="1" si="30"/>
        <v>559495.05293412972</v>
      </c>
      <c r="AJ46" s="2">
        <f t="shared" ca="1" si="30"/>
        <v>570571.61881984991</v>
      </c>
      <c r="AK46" s="2">
        <f t="shared" ref="AK46:BQ46" ca="1" si="31">AK$41</f>
        <v>756290.99490164698</v>
      </c>
      <c r="AL46" s="2">
        <f t="shared" ca="1" si="31"/>
        <v>768440.14502870594</v>
      </c>
      <c r="AM46" s="2">
        <f t="shared" ca="1" si="31"/>
        <v>781632.24149513722</v>
      </c>
      <c r="AN46" s="2">
        <f t="shared" ca="1" si="31"/>
        <v>969521.4944085629</v>
      </c>
      <c r="AO46" s="2">
        <f t="shared" ca="1" si="31"/>
        <v>984334.54723341262</v>
      </c>
      <c r="AP46" s="2">
        <f t="shared" ca="1" si="31"/>
        <v>1174596.2878552801</v>
      </c>
      <c r="AQ46" s="2">
        <f t="shared" ca="1" si="31"/>
        <v>1190065.5540779692</v>
      </c>
      <c r="AR46" s="2">
        <f t="shared" ca="1" si="31"/>
        <v>1208497.6836971336</v>
      </c>
      <c r="AS46" s="2">
        <f t="shared" ca="1" si="31"/>
        <v>1401686.0054904961</v>
      </c>
      <c r="AT46" s="2">
        <f t="shared" ca="1" si="31"/>
        <v>1420666.3054624104</v>
      </c>
      <c r="AU46" s="2">
        <f t="shared" ca="1" si="31"/>
        <v>1441000.1451923409</v>
      </c>
      <c r="AV46" s="2">
        <f t="shared" ca="1" si="31"/>
        <v>1638187.0068315603</v>
      </c>
      <c r="AW46" s="2">
        <f t="shared" ca="1" si="31"/>
        <v>1660319.9306276729</v>
      </c>
      <c r="AX46" s="2">
        <f t="shared" ca="1" si="31"/>
        <v>1859650.0676669511</v>
      </c>
      <c r="AY46" s="2">
        <f t="shared" ca="1" si="31"/>
        <v>1886064.6481018665</v>
      </c>
      <c r="AZ46" s="2">
        <f t="shared" ca="1" si="31"/>
        <v>2087549.3462882645</v>
      </c>
      <c r="BA46" s="2">
        <f t="shared" ca="1" si="31"/>
        <v>2292202.2909373641</v>
      </c>
      <c r="BB46" s="2">
        <f t="shared" ca="1" si="31"/>
        <v>2322709.0522145927</v>
      </c>
      <c r="BC46" s="2">
        <f t="shared" ca="1" si="31"/>
        <v>2529390.7830301183</v>
      </c>
      <c r="BD46" s="2">
        <f t="shared" ca="1" si="31"/>
        <v>2741343.2729988955</v>
      </c>
      <c r="BE46" s="2">
        <f t="shared" ca="1" si="31"/>
        <v>2777727.6144855861</v>
      </c>
      <c r="BF46" s="2">
        <f t="shared" ca="1" si="31"/>
        <v>2975640.5560993059</v>
      </c>
      <c r="BG46" s="2">
        <f t="shared" ca="1" si="31"/>
        <v>3206283.3094691341</v>
      </c>
      <c r="BH46" s="2">
        <f t="shared" ca="1" si="31"/>
        <v>3441358.5071495525</v>
      </c>
      <c r="BI46" s="2">
        <f t="shared" ca="1" si="31"/>
        <v>3677939.827012307</v>
      </c>
      <c r="BJ46" s="2">
        <f t="shared" ca="1" si="31"/>
        <v>3919195.5980332019</v>
      </c>
      <c r="BK46" s="2">
        <f t="shared" ca="1" si="31"/>
        <v>4165729.2722203638</v>
      </c>
      <c r="BL46" s="2">
        <f t="shared" ca="1" si="31"/>
        <v>4414204.3480486348</v>
      </c>
      <c r="BM46" s="2">
        <f t="shared" ca="1" si="31"/>
        <v>4669516.1535467366</v>
      </c>
      <c r="BN46" s="2">
        <f t="shared" ca="1" si="31"/>
        <v>4928564.5161606967</v>
      </c>
      <c r="BO46" s="2">
        <f t="shared" ca="1" si="31"/>
        <v>5191300.3592811236</v>
      </c>
      <c r="BP46" s="2">
        <f t="shared" ca="1" si="31"/>
        <v>5464246.9113110239</v>
      </c>
      <c r="BQ46" s="2">
        <f t="shared" ca="1" si="31"/>
        <v>5738361.1349075092</v>
      </c>
    </row>
    <row r="47" spans="1:69" ht="14.5">
      <c r="E47" s="2" t="s">
        <v>65</v>
      </c>
      <c r="F47"/>
      <c r="G47" s="2" t="s">
        <v>252</v>
      </c>
      <c r="H47" s="2">
        <f ca="1">SUM(J47:BQ47)</f>
        <v>18318854.533494424</v>
      </c>
      <c r="I47"/>
      <c r="J47" s="2">
        <f t="shared" ref="J47:AO47" ca="1" si="32">$F45*J46</f>
        <v>0</v>
      </c>
      <c r="K47" s="2">
        <f t="shared" ca="1" si="32"/>
        <v>0</v>
      </c>
      <c r="L47" s="2">
        <f t="shared" ca="1" si="32"/>
        <v>0</v>
      </c>
      <c r="M47" s="2">
        <f t="shared" ca="1" si="32"/>
        <v>0</v>
      </c>
      <c r="N47" s="2">
        <f t="shared" ca="1" si="32"/>
        <v>0</v>
      </c>
      <c r="O47" s="2">
        <f t="shared" ca="1" si="32"/>
        <v>0</v>
      </c>
      <c r="P47" s="2">
        <f t="shared" ca="1" si="32"/>
        <v>0</v>
      </c>
      <c r="Q47" s="2">
        <f t="shared" ca="1" si="32"/>
        <v>0</v>
      </c>
      <c r="R47" s="2">
        <f t="shared" ca="1" si="32"/>
        <v>0</v>
      </c>
      <c r="S47" s="2">
        <f t="shared" ca="1" si="32"/>
        <v>1390.4451961941932</v>
      </c>
      <c r="T47" s="2">
        <f t="shared" ca="1" si="32"/>
        <v>22142.797026932803</v>
      </c>
      <c r="U47" s="2">
        <f t="shared" ca="1" si="32"/>
        <v>21690.290761099473</v>
      </c>
      <c r="V47" s="2">
        <f t="shared" ca="1" si="32"/>
        <v>21100</v>
      </c>
      <c r="W47" s="2">
        <f t="shared" ca="1" si="32"/>
        <v>51547.552098978776</v>
      </c>
      <c r="X47" s="2">
        <f t="shared" ca="1" si="32"/>
        <v>55060.882505901092</v>
      </c>
      <c r="Y47" s="2">
        <f t="shared" ca="1" si="32"/>
        <v>54355.047394366986</v>
      </c>
      <c r="Z47" s="2">
        <f t="shared" ca="1" si="32"/>
        <v>53748.881301274989</v>
      </c>
      <c r="AA47" s="2">
        <f t="shared" ca="1" si="32"/>
        <v>53127.34373765374</v>
      </c>
      <c r="AB47" s="2">
        <f t="shared" ca="1" si="32"/>
        <v>52310.03405168483</v>
      </c>
      <c r="AC47" s="2">
        <f t="shared" ca="1" si="32"/>
        <v>86612.271461821292</v>
      </c>
      <c r="AD47" s="2">
        <f t="shared" ca="1" si="32"/>
        <v>85841.233563097485</v>
      </c>
      <c r="AE47" s="2">
        <f t="shared" ca="1" si="32"/>
        <v>84889.625169046136</v>
      </c>
      <c r="AF47" s="2">
        <f t="shared" ca="1" si="32"/>
        <v>84114.931219138438</v>
      </c>
      <c r="AG47" s="2">
        <f t="shared" ca="1" si="32"/>
        <v>118207.83578961261</v>
      </c>
      <c r="AH47" s="2">
        <f t="shared" ca="1" si="32"/>
        <v>109858.84561370921</v>
      </c>
      <c r="AI47" s="2">
        <f t="shared" ca="1" si="32"/>
        <v>111899.01058682596</v>
      </c>
      <c r="AJ47" s="2">
        <f t="shared" ca="1" si="32"/>
        <v>114114.32376396999</v>
      </c>
      <c r="AK47" s="2">
        <f t="shared" ca="1" si="32"/>
        <v>151258.19898032941</v>
      </c>
      <c r="AL47" s="2">
        <f t="shared" ca="1" si="32"/>
        <v>153688.02900574121</v>
      </c>
      <c r="AM47" s="2">
        <f t="shared" ca="1" si="32"/>
        <v>156326.44829902746</v>
      </c>
      <c r="AN47" s="2">
        <f t="shared" ca="1" si="32"/>
        <v>193904.2988817126</v>
      </c>
      <c r="AO47" s="2">
        <f t="shared" ca="1" si="32"/>
        <v>196866.90944668255</v>
      </c>
      <c r="AP47" s="2">
        <f t="shared" ref="AP47:BU47" ca="1" si="33">$F45*AP46</f>
        <v>234919.25757105602</v>
      </c>
      <c r="AQ47" s="2">
        <f t="shared" ca="1" si="33"/>
        <v>238013.11081559386</v>
      </c>
      <c r="AR47" s="2">
        <f t="shared" ca="1" si="33"/>
        <v>241699.53673942672</v>
      </c>
      <c r="AS47" s="2">
        <f t="shared" ca="1" si="33"/>
        <v>280337.20109809923</v>
      </c>
      <c r="AT47" s="2">
        <f t="shared" ca="1" si="33"/>
        <v>284133.26109248208</v>
      </c>
      <c r="AU47" s="2">
        <f t="shared" ca="1" si="33"/>
        <v>288200.0290384682</v>
      </c>
      <c r="AV47" s="2">
        <f t="shared" ca="1" si="33"/>
        <v>327637.40136631206</v>
      </c>
      <c r="AW47" s="2">
        <f t="shared" ca="1" si="33"/>
        <v>332063.98612553463</v>
      </c>
      <c r="AX47" s="2">
        <f t="shared" ca="1" si="33"/>
        <v>371930.01353339024</v>
      </c>
      <c r="AY47" s="2">
        <f t="shared" ca="1" si="33"/>
        <v>377212.9296203733</v>
      </c>
      <c r="AZ47" s="2">
        <f t="shared" ca="1" si="33"/>
        <v>417509.8692576529</v>
      </c>
      <c r="BA47" s="2">
        <f t="shared" ca="1" si="33"/>
        <v>458440.45818747283</v>
      </c>
      <c r="BB47" s="2">
        <f t="shared" ca="1" si="33"/>
        <v>464541.81044291856</v>
      </c>
      <c r="BC47" s="2">
        <f t="shared" ca="1" si="33"/>
        <v>505878.15660602367</v>
      </c>
      <c r="BD47" s="2">
        <f t="shared" ca="1" si="33"/>
        <v>548268.65459977917</v>
      </c>
      <c r="BE47" s="2">
        <f t="shared" ca="1" si="33"/>
        <v>555545.52289711719</v>
      </c>
      <c r="BF47" s="2">
        <f t="shared" ca="1" si="33"/>
        <v>595128.1112198612</v>
      </c>
      <c r="BG47" s="2">
        <f t="shared" ca="1" si="33"/>
        <v>641256.66189382691</v>
      </c>
      <c r="BH47" s="2">
        <f t="shared" ca="1" si="33"/>
        <v>688271.70142991049</v>
      </c>
      <c r="BI47" s="2">
        <f t="shared" ca="1" si="33"/>
        <v>735587.96540246147</v>
      </c>
      <c r="BJ47" s="2">
        <f t="shared" ca="1" si="33"/>
        <v>783839.11960664042</v>
      </c>
      <c r="BK47" s="2">
        <f t="shared" ca="1" si="33"/>
        <v>833145.85444407281</v>
      </c>
      <c r="BL47" s="2">
        <f t="shared" ca="1" si="33"/>
        <v>882840.86960972706</v>
      </c>
      <c r="BM47" s="2">
        <f t="shared" ca="1" si="33"/>
        <v>933903.23070934741</v>
      </c>
      <c r="BN47" s="2">
        <f t="shared" ca="1" si="33"/>
        <v>985712.90323213942</v>
      </c>
      <c r="BO47" s="2">
        <f t="shared" ca="1" si="33"/>
        <v>1038260.0718562248</v>
      </c>
      <c r="BP47" s="2">
        <f t="shared" ca="1" si="33"/>
        <v>1092849.3822622048</v>
      </c>
      <c r="BQ47" s="2">
        <f t="shared" ca="1" si="33"/>
        <v>1147672.2269815018</v>
      </c>
    </row>
    <row r="48" spans="1:69">
      <c r="A48" s="31"/>
      <c r="B48" s="31"/>
      <c r="C48" s="51"/>
      <c r="D48" s="50"/>
      <c r="E48" s="3" t="str">
        <f>LEFT($E$47,LEN($E$47)-3)</f>
        <v xml:space="preserve">Corporation tax </v>
      </c>
      <c r="F48" s="3"/>
      <c r="G48" s="3" t="str">
        <f>G$47</f>
        <v>GBP</v>
      </c>
      <c r="H48" s="3">
        <f ca="1">SUM(J48:BQ48)</f>
        <v>-18318854.533494424</v>
      </c>
      <c r="I48" s="3"/>
      <c r="J48" s="3">
        <f t="shared" ref="J48:AO48" ca="1" si="34">-1*J47</f>
        <v>0</v>
      </c>
      <c r="K48" s="3">
        <f t="shared" ca="1" si="34"/>
        <v>0</v>
      </c>
      <c r="L48" s="3">
        <f t="shared" ca="1" si="34"/>
        <v>0</v>
      </c>
      <c r="M48" s="3">
        <f t="shared" ca="1" si="34"/>
        <v>0</v>
      </c>
      <c r="N48" s="3">
        <f t="shared" ca="1" si="34"/>
        <v>0</v>
      </c>
      <c r="O48" s="3">
        <f t="shared" ca="1" si="34"/>
        <v>0</v>
      </c>
      <c r="P48" s="3">
        <f t="shared" ca="1" si="34"/>
        <v>0</v>
      </c>
      <c r="Q48" s="3">
        <f t="shared" ca="1" si="34"/>
        <v>0</v>
      </c>
      <c r="R48" s="3">
        <f t="shared" ca="1" si="34"/>
        <v>0</v>
      </c>
      <c r="S48" s="3">
        <f t="shared" ca="1" si="34"/>
        <v>-1390.4451961941932</v>
      </c>
      <c r="T48" s="3">
        <f t="shared" ca="1" si="34"/>
        <v>-22142.797026932803</v>
      </c>
      <c r="U48" s="3">
        <f t="shared" ca="1" si="34"/>
        <v>-21690.290761099473</v>
      </c>
      <c r="V48" s="3">
        <f t="shared" ca="1" si="34"/>
        <v>-21100</v>
      </c>
      <c r="W48" s="3">
        <f t="shared" ca="1" si="34"/>
        <v>-51547.552098978776</v>
      </c>
      <c r="X48" s="3">
        <f t="shared" ca="1" si="34"/>
        <v>-55060.882505901092</v>
      </c>
      <c r="Y48" s="3">
        <f t="shared" ca="1" si="34"/>
        <v>-54355.047394366986</v>
      </c>
      <c r="Z48" s="3">
        <f t="shared" ca="1" si="34"/>
        <v>-53748.881301274989</v>
      </c>
      <c r="AA48" s="3">
        <f t="shared" ca="1" si="34"/>
        <v>-53127.34373765374</v>
      </c>
      <c r="AB48" s="3">
        <f t="shared" ca="1" si="34"/>
        <v>-52310.03405168483</v>
      </c>
      <c r="AC48" s="3">
        <f t="shared" ca="1" si="34"/>
        <v>-86612.271461821292</v>
      </c>
      <c r="AD48" s="3">
        <f t="shared" ca="1" si="34"/>
        <v>-85841.233563097485</v>
      </c>
      <c r="AE48" s="3">
        <f t="shared" ca="1" si="34"/>
        <v>-84889.625169046136</v>
      </c>
      <c r="AF48" s="3">
        <f t="shared" ca="1" si="34"/>
        <v>-84114.931219138438</v>
      </c>
      <c r="AG48" s="3">
        <f t="shared" ca="1" si="34"/>
        <v>-118207.83578961261</v>
      </c>
      <c r="AH48" s="3">
        <f t="shared" ca="1" si="34"/>
        <v>-109858.84561370921</v>
      </c>
      <c r="AI48" s="3">
        <f t="shared" ca="1" si="34"/>
        <v>-111899.01058682596</v>
      </c>
      <c r="AJ48" s="3">
        <f t="shared" ca="1" si="34"/>
        <v>-114114.32376396999</v>
      </c>
      <c r="AK48" s="3">
        <f t="shared" ca="1" si="34"/>
        <v>-151258.19898032941</v>
      </c>
      <c r="AL48" s="3">
        <f t="shared" ca="1" si="34"/>
        <v>-153688.02900574121</v>
      </c>
      <c r="AM48" s="3">
        <f t="shared" ca="1" si="34"/>
        <v>-156326.44829902746</v>
      </c>
      <c r="AN48" s="3">
        <f t="shared" ca="1" si="34"/>
        <v>-193904.2988817126</v>
      </c>
      <c r="AO48" s="3">
        <f t="shared" ca="1" si="34"/>
        <v>-196866.90944668255</v>
      </c>
      <c r="AP48" s="3">
        <f t="shared" ref="AP48:BU48" ca="1" si="35">-1*AP47</f>
        <v>-234919.25757105602</v>
      </c>
      <c r="AQ48" s="3">
        <f t="shared" ca="1" si="35"/>
        <v>-238013.11081559386</v>
      </c>
      <c r="AR48" s="3">
        <f t="shared" ca="1" si="35"/>
        <v>-241699.53673942672</v>
      </c>
      <c r="AS48" s="3">
        <f t="shared" ca="1" si="35"/>
        <v>-280337.20109809923</v>
      </c>
      <c r="AT48" s="3">
        <f t="shared" ca="1" si="35"/>
        <v>-284133.26109248208</v>
      </c>
      <c r="AU48" s="3">
        <f t="shared" ca="1" si="35"/>
        <v>-288200.0290384682</v>
      </c>
      <c r="AV48" s="3">
        <f t="shared" ca="1" si="35"/>
        <v>-327637.40136631206</v>
      </c>
      <c r="AW48" s="3">
        <f t="shared" ca="1" si="35"/>
        <v>-332063.98612553463</v>
      </c>
      <c r="AX48" s="3">
        <f t="shared" ca="1" si="35"/>
        <v>-371930.01353339024</v>
      </c>
      <c r="AY48" s="3">
        <f t="shared" ca="1" si="35"/>
        <v>-377212.9296203733</v>
      </c>
      <c r="AZ48" s="3">
        <f t="shared" ca="1" si="35"/>
        <v>-417509.8692576529</v>
      </c>
      <c r="BA48" s="3">
        <f t="shared" ca="1" si="35"/>
        <v>-458440.45818747283</v>
      </c>
      <c r="BB48" s="3">
        <f t="shared" ca="1" si="35"/>
        <v>-464541.81044291856</v>
      </c>
      <c r="BC48" s="3">
        <f t="shared" ca="1" si="35"/>
        <v>-505878.15660602367</v>
      </c>
      <c r="BD48" s="3">
        <f t="shared" ca="1" si="35"/>
        <v>-548268.65459977917</v>
      </c>
      <c r="BE48" s="3">
        <f t="shared" ca="1" si="35"/>
        <v>-555545.52289711719</v>
      </c>
      <c r="BF48" s="3">
        <f t="shared" ca="1" si="35"/>
        <v>-595128.1112198612</v>
      </c>
      <c r="BG48" s="3">
        <f t="shared" ca="1" si="35"/>
        <v>-641256.66189382691</v>
      </c>
      <c r="BH48" s="3">
        <f t="shared" ca="1" si="35"/>
        <v>-688271.70142991049</v>
      </c>
      <c r="BI48" s="3">
        <f t="shared" ca="1" si="35"/>
        <v>-735587.96540246147</v>
      </c>
      <c r="BJ48" s="3">
        <f t="shared" ca="1" si="35"/>
        <v>-783839.11960664042</v>
      </c>
      <c r="BK48" s="3">
        <f t="shared" ca="1" si="35"/>
        <v>-833145.85444407281</v>
      </c>
      <c r="BL48" s="3">
        <f t="shared" ca="1" si="35"/>
        <v>-882840.86960972706</v>
      </c>
      <c r="BM48" s="3">
        <f t="shared" ca="1" si="35"/>
        <v>-933903.23070934741</v>
      </c>
      <c r="BN48" s="3">
        <f t="shared" ca="1" si="35"/>
        <v>-985712.90323213942</v>
      </c>
      <c r="BO48" s="3">
        <f t="shared" ca="1" si="35"/>
        <v>-1038260.0718562248</v>
      </c>
      <c r="BP48" s="3">
        <f t="shared" ca="1" si="35"/>
        <v>-1092849.3822622048</v>
      </c>
      <c r="BQ48" s="3">
        <f t="shared" ca="1" si="35"/>
        <v>-1147672.2269815018</v>
      </c>
    </row>
    <row r="51" spans="1:69">
      <c r="B51" s="22" t="s">
        <v>220</v>
      </c>
    </row>
    <row r="52" spans="1:69">
      <c r="A52" s="17"/>
      <c r="B52" s="17"/>
      <c r="C52" s="26"/>
      <c r="D52" s="27"/>
      <c r="E52" s="4" t="str">
        <f>InpC!E$90</f>
        <v>Month corporation tax paid</v>
      </c>
      <c r="F52" s="4">
        <f>InpC!F$90</f>
        <v>8</v>
      </c>
      <c r="G52" s="4">
        <f>InpC!G$90</f>
        <v>0</v>
      </c>
    </row>
    <row r="53" spans="1:69">
      <c r="A53" s="17"/>
      <c r="B53" s="17"/>
      <c r="C53" s="26"/>
      <c r="D53" s="27"/>
      <c r="E53" s="18" t="str">
        <f>Time!E$12</f>
        <v>Model period start</v>
      </c>
      <c r="F53" s="18">
        <f>Time!F$12</f>
        <v>0</v>
      </c>
      <c r="G53" s="18" t="str">
        <f>Time!G$12</f>
        <v>date</v>
      </c>
      <c r="H53" s="18">
        <f>Time!H$12</f>
        <v>0</v>
      </c>
      <c r="I53" s="18">
        <f>Time!I$12</f>
        <v>0</v>
      </c>
      <c r="J53" s="18">
        <f>Time!J$12</f>
        <v>45047</v>
      </c>
      <c r="K53" s="18">
        <f>Time!K$12</f>
        <v>45078</v>
      </c>
      <c r="L53" s="18">
        <f>Time!L$12</f>
        <v>45108</v>
      </c>
      <c r="M53" s="18">
        <f>Time!M$12</f>
        <v>45139</v>
      </c>
      <c r="N53" s="18">
        <f>Time!N$12</f>
        <v>45170</v>
      </c>
      <c r="O53" s="18">
        <f>Time!O$12</f>
        <v>45200</v>
      </c>
      <c r="P53" s="18">
        <f>Time!P$12</f>
        <v>45231</v>
      </c>
      <c r="Q53" s="18">
        <f>Time!Q$12</f>
        <v>45261</v>
      </c>
      <c r="R53" s="18">
        <f>Time!R$12</f>
        <v>45292</v>
      </c>
      <c r="S53" s="18">
        <f>Time!S$12</f>
        <v>45323</v>
      </c>
      <c r="T53" s="18">
        <f>Time!T$12</f>
        <v>45352</v>
      </c>
      <c r="U53" s="18">
        <f>Time!U$12</f>
        <v>45383</v>
      </c>
      <c r="V53" s="18">
        <f>Time!V$12</f>
        <v>45413</v>
      </c>
      <c r="W53" s="18">
        <f>Time!W$12</f>
        <v>45444</v>
      </c>
      <c r="X53" s="18">
        <f>Time!X$12</f>
        <v>45474</v>
      </c>
      <c r="Y53" s="18">
        <f>Time!Y$12</f>
        <v>45505</v>
      </c>
      <c r="Z53" s="18">
        <f>Time!Z$12</f>
        <v>45536</v>
      </c>
      <c r="AA53" s="18">
        <f>Time!AA$12</f>
        <v>45566</v>
      </c>
      <c r="AB53" s="18">
        <f>Time!AB$12</f>
        <v>45597</v>
      </c>
      <c r="AC53" s="18">
        <f>Time!AC$12</f>
        <v>45627</v>
      </c>
      <c r="AD53" s="18">
        <f>Time!AD$12</f>
        <v>45658</v>
      </c>
      <c r="AE53" s="18">
        <f>Time!AE$12</f>
        <v>45689</v>
      </c>
      <c r="AF53" s="18">
        <f>Time!AF$12</f>
        <v>45717</v>
      </c>
      <c r="AG53" s="18">
        <f>Time!AG$12</f>
        <v>45748</v>
      </c>
      <c r="AH53" s="18">
        <f>Time!AH$12</f>
        <v>45778</v>
      </c>
      <c r="AI53" s="18">
        <f>Time!AI$12</f>
        <v>45809</v>
      </c>
      <c r="AJ53" s="18">
        <f>Time!AJ$12</f>
        <v>45839</v>
      </c>
      <c r="AK53" s="18">
        <f>Time!AK$12</f>
        <v>45870</v>
      </c>
      <c r="AL53" s="18">
        <f>Time!AL$12</f>
        <v>45901</v>
      </c>
      <c r="AM53" s="18">
        <f>Time!AM$12</f>
        <v>45931</v>
      </c>
      <c r="AN53" s="18">
        <f>Time!AN$12</f>
        <v>45962</v>
      </c>
      <c r="AO53" s="18">
        <f>Time!AO$12</f>
        <v>45992</v>
      </c>
      <c r="AP53" s="18">
        <f>Time!AP$12</f>
        <v>46023</v>
      </c>
      <c r="AQ53" s="18">
        <f>Time!AQ$12</f>
        <v>46054</v>
      </c>
      <c r="AR53" s="18">
        <f>Time!AR$12</f>
        <v>46082</v>
      </c>
      <c r="AS53" s="18">
        <f>Time!AS$12</f>
        <v>46113</v>
      </c>
      <c r="AT53" s="18">
        <f>Time!AT$12</f>
        <v>46143</v>
      </c>
      <c r="AU53" s="18">
        <f>Time!AU$12</f>
        <v>46174</v>
      </c>
      <c r="AV53" s="18">
        <f>Time!AV$12</f>
        <v>46204</v>
      </c>
      <c r="AW53" s="18">
        <f>Time!AW$12</f>
        <v>46235</v>
      </c>
      <c r="AX53" s="18">
        <f>Time!AX$12</f>
        <v>46266</v>
      </c>
      <c r="AY53" s="18">
        <f>Time!AY$12</f>
        <v>46296</v>
      </c>
      <c r="AZ53" s="18">
        <f>Time!AZ$12</f>
        <v>46327</v>
      </c>
      <c r="BA53" s="18">
        <f>Time!BA$12</f>
        <v>46357</v>
      </c>
      <c r="BB53" s="18">
        <f>Time!BB$12</f>
        <v>46388</v>
      </c>
      <c r="BC53" s="18">
        <f>Time!BC$12</f>
        <v>46419</v>
      </c>
      <c r="BD53" s="18">
        <f>Time!BD$12</f>
        <v>46447</v>
      </c>
      <c r="BE53" s="18">
        <f>Time!BE$12</f>
        <v>46478</v>
      </c>
      <c r="BF53" s="18">
        <f>Time!BF$12</f>
        <v>46508</v>
      </c>
      <c r="BG53" s="18">
        <f>Time!BG$12</f>
        <v>46539</v>
      </c>
      <c r="BH53" s="18">
        <f>Time!BH$12</f>
        <v>46569</v>
      </c>
      <c r="BI53" s="18">
        <f>Time!BI$12</f>
        <v>46600</v>
      </c>
      <c r="BJ53" s="18">
        <f>Time!BJ$12</f>
        <v>46631</v>
      </c>
      <c r="BK53" s="18">
        <f>Time!BK$12</f>
        <v>46661</v>
      </c>
      <c r="BL53" s="18">
        <f>Time!BL$12</f>
        <v>46692</v>
      </c>
      <c r="BM53" s="18">
        <f>Time!BM$12</f>
        <v>46722</v>
      </c>
      <c r="BN53" s="18">
        <f>Time!BN$12</f>
        <v>46753</v>
      </c>
      <c r="BO53" s="18">
        <f>Time!BO$12</f>
        <v>46784</v>
      </c>
      <c r="BP53" s="18">
        <f>Time!BP$12</f>
        <v>46813</v>
      </c>
      <c r="BQ53" s="18">
        <f>Time!BQ$12</f>
        <v>46844</v>
      </c>
    </row>
    <row r="54" spans="1:69" ht="14.5">
      <c r="E54" s="2" t="s">
        <v>220</v>
      </c>
      <c r="F54"/>
      <c r="G54" s="2" t="s">
        <v>210</v>
      </c>
      <c r="H54"/>
      <c r="I54"/>
      <c r="J54" s="8">
        <f t="shared" ref="J54:AO54" si="36">IF(MONTH(J53)&gt;$F52,DATE(YEAR(J53)+1,$F52,1),DATE(YEAR(J53),$F52,1))</f>
        <v>45139</v>
      </c>
      <c r="K54" s="8">
        <f t="shared" si="36"/>
        <v>45139</v>
      </c>
      <c r="L54" s="8">
        <f t="shared" si="36"/>
        <v>45139</v>
      </c>
      <c r="M54" s="8">
        <f t="shared" si="36"/>
        <v>45139</v>
      </c>
      <c r="N54" s="8">
        <f t="shared" si="36"/>
        <v>45505</v>
      </c>
      <c r="O54" s="8">
        <f t="shared" si="36"/>
        <v>45505</v>
      </c>
      <c r="P54" s="8">
        <f t="shared" si="36"/>
        <v>45505</v>
      </c>
      <c r="Q54" s="8">
        <f t="shared" si="36"/>
        <v>45505</v>
      </c>
      <c r="R54" s="8">
        <f t="shared" si="36"/>
        <v>45505</v>
      </c>
      <c r="S54" s="8">
        <f t="shared" si="36"/>
        <v>45505</v>
      </c>
      <c r="T54" s="8">
        <f t="shared" si="36"/>
        <v>45505</v>
      </c>
      <c r="U54" s="8">
        <f t="shared" si="36"/>
        <v>45505</v>
      </c>
      <c r="V54" s="8">
        <f t="shared" si="36"/>
        <v>45505</v>
      </c>
      <c r="W54" s="8">
        <f t="shared" si="36"/>
        <v>45505</v>
      </c>
      <c r="X54" s="8">
        <f t="shared" si="36"/>
        <v>45505</v>
      </c>
      <c r="Y54" s="8">
        <f t="shared" si="36"/>
        <v>45505</v>
      </c>
      <c r="Z54" s="8">
        <f t="shared" si="36"/>
        <v>45870</v>
      </c>
      <c r="AA54" s="8">
        <f t="shared" si="36"/>
        <v>45870</v>
      </c>
      <c r="AB54" s="8">
        <f t="shared" si="36"/>
        <v>45870</v>
      </c>
      <c r="AC54" s="8">
        <f t="shared" si="36"/>
        <v>45870</v>
      </c>
      <c r="AD54" s="8">
        <f t="shared" si="36"/>
        <v>45870</v>
      </c>
      <c r="AE54" s="8">
        <f t="shared" si="36"/>
        <v>45870</v>
      </c>
      <c r="AF54" s="8">
        <f t="shared" si="36"/>
        <v>45870</v>
      </c>
      <c r="AG54" s="8">
        <f t="shared" si="36"/>
        <v>45870</v>
      </c>
      <c r="AH54" s="8">
        <f t="shared" si="36"/>
        <v>45870</v>
      </c>
      <c r="AI54" s="8">
        <f t="shared" si="36"/>
        <v>45870</v>
      </c>
      <c r="AJ54" s="8">
        <f t="shared" si="36"/>
        <v>45870</v>
      </c>
      <c r="AK54" s="8">
        <f t="shared" si="36"/>
        <v>45870</v>
      </c>
      <c r="AL54" s="8">
        <f t="shared" si="36"/>
        <v>46235</v>
      </c>
      <c r="AM54" s="8">
        <f t="shared" si="36"/>
        <v>46235</v>
      </c>
      <c r="AN54" s="8">
        <f t="shared" si="36"/>
        <v>46235</v>
      </c>
      <c r="AO54" s="8">
        <f t="shared" si="36"/>
        <v>46235</v>
      </c>
      <c r="AP54" s="8">
        <f t="shared" ref="AP54:BU54" si="37">IF(MONTH(AP53)&gt;$F52,DATE(YEAR(AP53)+1,$F52,1),DATE(YEAR(AP53),$F52,1))</f>
        <v>46235</v>
      </c>
      <c r="AQ54" s="8">
        <f t="shared" si="37"/>
        <v>46235</v>
      </c>
      <c r="AR54" s="8">
        <f t="shared" si="37"/>
        <v>46235</v>
      </c>
      <c r="AS54" s="8">
        <f t="shared" si="37"/>
        <v>46235</v>
      </c>
      <c r="AT54" s="8">
        <f t="shared" si="37"/>
        <v>46235</v>
      </c>
      <c r="AU54" s="8">
        <f t="shared" si="37"/>
        <v>46235</v>
      </c>
      <c r="AV54" s="8">
        <f t="shared" si="37"/>
        <v>46235</v>
      </c>
      <c r="AW54" s="8">
        <f t="shared" si="37"/>
        <v>46235</v>
      </c>
      <c r="AX54" s="8">
        <f t="shared" si="37"/>
        <v>46600</v>
      </c>
      <c r="AY54" s="8">
        <f t="shared" si="37"/>
        <v>46600</v>
      </c>
      <c r="AZ54" s="8">
        <f t="shared" si="37"/>
        <v>46600</v>
      </c>
      <c r="BA54" s="8">
        <f t="shared" si="37"/>
        <v>46600</v>
      </c>
      <c r="BB54" s="8">
        <f t="shared" si="37"/>
        <v>46600</v>
      </c>
      <c r="BC54" s="8">
        <f t="shared" si="37"/>
        <v>46600</v>
      </c>
      <c r="BD54" s="8">
        <f t="shared" si="37"/>
        <v>46600</v>
      </c>
      <c r="BE54" s="8">
        <f t="shared" si="37"/>
        <v>46600</v>
      </c>
      <c r="BF54" s="8">
        <f t="shared" si="37"/>
        <v>46600</v>
      </c>
      <c r="BG54" s="8">
        <f t="shared" si="37"/>
        <v>46600</v>
      </c>
      <c r="BH54" s="8">
        <f t="shared" si="37"/>
        <v>46600</v>
      </c>
      <c r="BI54" s="8">
        <f t="shared" si="37"/>
        <v>46600</v>
      </c>
      <c r="BJ54" s="8">
        <f t="shared" si="37"/>
        <v>46966</v>
      </c>
      <c r="BK54" s="8">
        <f t="shared" si="37"/>
        <v>46966</v>
      </c>
      <c r="BL54" s="8">
        <f t="shared" si="37"/>
        <v>46966</v>
      </c>
      <c r="BM54" s="8">
        <f t="shared" si="37"/>
        <v>46966</v>
      </c>
      <c r="BN54" s="8">
        <f t="shared" si="37"/>
        <v>46966</v>
      </c>
      <c r="BO54" s="8">
        <f t="shared" si="37"/>
        <v>46966</v>
      </c>
      <c r="BP54" s="8">
        <f t="shared" si="37"/>
        <v>46966</v>
      </c>
      <c r="BQ54" s="8">
        <f t="shared" si="37"/>
        <v>46966</v>
      </c>
    </row>
    <row r="57" spans="1:69">
      <c r="B57" s="22" t="s">
        <v>37</v>
      </c>
    </row>
    <row r="58" spans="1:69">
      <c r="E58" s="8" t="str">
        <f t="shared" ref="E58:AJ58" si="38">E$54</f>
        <v>Date corporation tax paid this year</v>
      </c>
      <c r="F58" s="8">
        <f t="shared" si="38"/>
        <v>0</v>
      </c>
      <c r="G58" s="8" t="str">
        <f t="shared" si="38"/>
        <v>date</v>
      </c>
      <c r="H58" s="8">
        <f t="shared" si="38"/>
        <v>0</v>
      </c>
      <c r="I58" s="8">
        <f t="shared" si="38"/>
        <v>0</v>
      </c>
      <c r="J58" s="8">
        <f t="shared" si="38"/>
        <v>45139</v>
      </c>
      <c r="K58" s="8">
        <f t="shared" si="38"/>
        <v>45139</v>
      </c>
      <c r="L58" s="8">
        <f t="shared" si="38"/>
        <v>45139</v>
      </c>
      <c r="M58" s="8">
        <f t="shared" si="38"/>
        <v>45139</v>
      </c>
      <c r="N58" s="8">
        <f t="shared" si="38"/>
        <v>45505</v>
      </c>
      <c r="O58" s="8">
        <f t="shared" si="38"/>
        <v>45505</v>
      </c>
      <c r="P58" s="8">
        <f t="shared" si="38"/>
        <v>45505</v>
      </c>
      <c r="Q58" s="8">
        <f t="shared" si="38"/>
        <v>45505</v>
      </c>
      <c r="R58" s="8">
        <f t="shared" si="38"/>
        <v>45505</v>
      </c>
      <c r="S58" s="8">
        <f t="shared" si="38"/>
        <v>45505</v>
      </c>
      <c r="T58" s="8">
        <f t="shared" si="38"/>
        <v>45505</v>
      </c>
      <c r="U58" s="8">
        <f t="shared" si="38"/>
        <v>45505</v>
      </c>
      <c r="V58" s="8">
        <f t="shared" si="38"/>
        <v>45505</v>
      </c>
      <c r="W58" s="8">
        <f t="shared" si="38"/>
        <v>45505</v>
      </c>
      <c r="X58" s="8">
        <f t="shared" si="38"/>
        <v>45505</v>
      </c>
      <c r="Y58" s="8">
        <f t="shared" si="38"/>
        <v>45505</v>
      </c>
      <c r="Z58" s="8">
        <f t="shared" si="38"/>
        <v>45870</v>
      </c>
      <c r="AA58" s="8">
        <f t="shared" si="38"/>
        <v>45870</v>
      </c>
      <c r="AB58" s="8">
        <f t="shared" si="38"/>
        <v>45870</v>
      </c>
      <c r="AC58" s="8">
        <f t="shared" si="38"/>
        <v>45870</v>
      </c>
      <c r="AD58" s="8">
        <f t="shared" si="38"/>
        <v>45870</v>
      </c>
      <c r="AE58" s="8">
        <f t="shared" si="38"/>
        <v>45870</v>
      </c>
      <c r="AF58" s="8">
        <f t="shared" si="38"/>
        <v>45870</v>
      </c>
      <c r="AG58" s="8">
        <f t="shared" si="38"/>
        <v>45870</v>
      </c>
      <c r="AH58" s="8">
        <f t="shared" si="38"/>
        <v>45870</v>
      </c>
      <c r="AI58" s="8">
        <f t="shared" si="38"/>
        <v>45870</v>
      </c>
      <c r="AJ58" s="8">
        <f t="shared" si="38"/>
        <v>45870</v>
      </c>
      <c r="AK58" s="8">
        <f t="shared" ref="AK58:BQ58" si="39">AK$54</f>
        <v>45870</v>
      </c>
      <c r="AL58" s="8">
        <f t="shared" si="39"/>
        <v>46235</v>
      </c>
      <c r="AM58" s="8">
        <f t="shared" si="39"/>
        <v>46235</v>
      </c>
      <c r="AN58" s="8">
        <f t="shared" si="39"/>
        <v>46235</v>
      </c>
      <c r="AO58" s="8">
        <f t="shared" si="39"/>
        <v>46235</v>
      </c>
      <c r="AP58" s="8">
        <f t="shared" si="39"/>
        <v>46235</v>
      </c>
      <c r="AQ58" s="8">
        <f t="shared" si="39"/>
        <v>46235</v>
      </c>
      <c r="AR58" s="8">
        <f t="shared" si="39"/>
        <v>46235</v>
      </c>
      <c r="AS58" s="8">
        <f t="shared" si="39"/>
        <v>46235</v>
      </c>
      <c r="AT58" s="8">
        <f t="shared" si="39"/>
        <v>46235</v>
      </c>
      <c r="AU58" s="8">
        <f t="shared" si="39"/>
        <v>46235</v>
      </c>
      <c r="AV58" s="8">
        <f t="shared" si="39"/>
        <v>46235</v>
      </c>
      <c r="AW58" s="8">
        <f t="shared" si="39"/>
        <v>46235</v>
      </c>
      <c r="AX58" s="8">
        <f t="shared" si="39"/>
        <v>46600</v>
      </c>
      <c r="AY58" s="8">
        <f t="shared" si="39"/>
        <v>46600</v>
      </c>
      <c r="AZ58" s="8">
        <f t="shared" si="39"/>
        <v>46600</v>
      </c>
      <c r="BA58" s="8">
        <f t="shared" si="39"/>
        <v>46600</v>
      </c>
      <c r="BB58" s="8">
        <f t="shared" si="39"/>
        <v>46600</v>
      </c>
      <c r="BC58" s="8">
        <f t="shared" si="39"/>
        <v>46600</v>
      </c>
      <c r="BD58" s="8">
        <f t="shared" si="39"/>
        <v>46600</v>
      </c>
      <c r="BE58" s="8">
        <f t="shared" si="39"/>
        <v>46600</v>
      </c>
      <c r="BF58" s="8">
        <f t="shared" si="39"/>
        <v>46600</v>
      </c>
      <c r="BG58" s="8">
        <f t="shared" si="39"/>
        <v>46600</v>
      </c>
      <c r="BH58" s="8">
        <f t="shared" si="39"/>
        <v>46600</v>
      </c>
      <c r="BI58" s="8">
        <f t="shared" si="39"/>
        <v>46600</v>
      </c>
      <c r="BJ58" s="8">
        <f t="shared" si="39"/>
        <v>46966</v>
      </c>
      <c r="BK58" s="8">
        <f t="shared" si="39"/>
        <v>46966</v>
      </c>
      <c r="BL58" s="8">
        <f t="shared" si="39"/>
        <v>46966</v>
      </c>
      <c r="BM58" s="8">
        <f t="shared" si="39"/>
        <v>46966</v>
      </c>
      <c r="BN58" s="8">
        <f t="shared" si="39"/>
        <v>46966</v>
      </c>
      <c r="BO58" s="8">
        <f t="shared" si="39"/>
        <v>46966</v>
      </c>
      <c r="BP58" s="8">
        <f t="shared" si="39"/>
        <v>46966</v>
      </c>
      <c r="BQ58" s="8">
        <f t="shared" si="39"/>
        <v>46966</v>
      </c>
    </row>
    <row r="59" spans="1:69">
      <c r="A59" s="17"/>
      <c r="B59" s="17"/>
      <c r="C59" s="26"/>
      <c r="D59" s="27"/>
      <c r="E59" s="18" t="str">
        <f>Time!E$12</f>
        <v>Model period start</v>
      </c>
      <c r="F59" s="18">
        <f>Time!F$12</f>
        <v>0</v>
      </c>
      <c r="G59" s="18" t="str">
        <f>Time!G$12</f>
        <v>date</v>
      </c>
      <c r="H59" s="18">
        <f>Time!H$12</f>
        <v>0</v>
      </c>
      <c r="I59" s="18">
        <f>Time!I$12</f>
        <v>0</v>
      </c>
      <c r="J59" s="18">
        <f>Time!J$12</f>
        <v>45047</v>
      </c>
      <c r="K59" s="18">
        <f>Time!K$12</f>
        <v>45078</v>
      </c>
      <c r="L59" s="18">
        <f>Time!L$12</f>
        <v>45108</v>
      </c>
      <c r="M59" s="18">
        <f>Time!M$12</f>
        <v>45139</v>
      </c>
      <c r="N59" s="18">
        <f>Time!N$12</f>
        <v>45170</v>
      </c>
      <c r="O59" s="18">
        <f>Time!O$12</f>
        <v>45200</v>
      </c>
      <c r="P59" s="18">
        <f>Time!P$12</f>
        <v>45231</v>
      </c>
      <c r="Q59" s="18">
        <f>Time!Q$12</f>
        <v>45261</v>
      </c>
      <c r="R59" s="18">
        <f>Time!R$12</f>
        <v>45292</v>
      </c>
      <c r="S59" s="18">
        <f>Time!S$12</f>
        <v>45323</v>
      </c>
      <c r="T59" s="18">
        <f>Time!T$12</f>
        <v>45352</v>
      </c>
      <c r="U59" s="18">
        <f>Time!U$12</f>
        <v>45383</v>
      </c>
      <c r="V59" s="18">
        <f>Time!V$12</f>
        <v>45413</v>
      </c>
      <c r="W59" s="18">
        <f>Time!W$12</f>
        <v>45444</v>
      </c>
      <c r="X59" s="18">
        <f>Time!X$12</f>
        <v>45474</v>
      </c>
      <c r="Y59" s="18">
        <f>Time!Y$12</f>
        <v>45505</v>
      </c>
      <c r="Z59" s="18">
        <f>Time!Z$12</f>
        <v>45536</v>
      </c>
      <c r="AA59" s="18">
        <f>Time!AA$12</f>
        <v>45566</v>
      </c>
      <c r="AB59" s="18">
        <f>Time!AB$12</f>
        <v>45597</v>
      </c>
      <c r="AC59" s="18">
        <f>Time!AC$12</f>
        <v>45627</v>
      </c>
      <c r="AD59" s="18">
        <f>Time!AD$12</f>
        <v>45658</v>
      </c>
      <c r="AE59" s="18">
        <f>Time!AE$12</f>
        <v>45689</v>
      </c>
      <c r="AF59" s="18">
        <f>Time!AF$12</f>
        <v>45717</v>
      </c>
      <c r="AG59" s="18">
        <f>Time!AG$12</f>
        <v>45748</v>
      </c>
      <c r="AH59" s="18">
        <f>Time!AH$12</f>
        <v>45778</v>
      </c>
      <c r="AI59" s="18">
        <f>Time!AI$12</f>
        <v>45809</v>
      </c>
      <c r="AJ59" s="18">
        <f>Time!AJ$12</f>
        <v>45839</v>
      </c>
      <c r="AK59" s="18">
        <f>Time!AK$12</f>
        <v>45870</v>
      </c>
      <c r="AL59" s="18">
        <f>Time!AL$12</f>
        <v>45901</v>
      </c>
      <c r="AM59" s="18">
        <f>Time!AM$12</f>
        <v>45931</v>
      </c>
      <c r="AN59" s="18">
        <f>Time!AN$12</f>
        <v>45962</v>
      </c>
      <c r="AO59" s="18">
        <f>Time!AO$12</f>
        <v>45992</v>
      </c>
      <c r="AP59" s="18">
        <f>Time!AP$12</f>
        <v>46023</v>
      </c>
      <c r="AQ59" s="18">
        <f>Time!AQ$12</f>
        <v>46054</v>
      </c>
      <c r="AR59" s="18">
        <f>Time!AR$12</f>
        <v>46082</v>
      </c>
      <c r="AS59" s="18">
        <f>Time!AS$12</f>
        <v>46113</v>
      </c>
      <c r="AT59" s="18">
        <f>Time!AT$12</f>
        <v>46143</v>
      </c>
      <c r="AU59" s="18">
        <f>Time!AU$12</f>
        <v>46174</v>
      </c>
      <c r="AV59" s="18">
        <f>Time!AV$12</f>
        <v>46204</v>
      </c>
      <c r="AW59" s="18">
        <f>Time!AW$12</f>
        <v>46235</v>
      </c>
      <c r="AX59" s="18">
        <f>Time!AX$12</f>
        <v>46266</v>
      </c>
      <c r="AY59" s="18">
        <f>Time!AY$12</f>
        <v>46296</v>
      </c>
      <c r="AZ59" s="18">
        <f>Time!AZ$12</f>
        <v>46327</v>
      </c>
      <c r="BA59" s="18">
        <f>Time!BA$12</f>
        <v>46357</v>
      </c>
      <c r="BB59" s="18">
        <f>Time!BB$12</f>
        <v>46388</v>
      </c>
      <c r="BC59" s="18">
        <f>Time!BC$12</f>
        <v>46419</v>
      </c>
      <c r="BD59" s="18">
        <f>Time!BD$12</f>
        <v>46447</v>
      </c>
      <c r="BE59" s="18">
        <f>Time!BE$12</f>
        <v>46478</v>
      </c>
      <c r="BF59" s="18">
        <f>Time!BF$12</f>
        <v>46508</v>
      </c>
      <c r="BG59" s="18">
        <f>Time!BG$12</f>
        <v>46539</v>
      </c>
      <c r="BH59" s="18">
        <f>Time!BH$12</f>
        <v>46569</v>
      </c>
      <c r="BI59" s="18">
        <f>Time!BI$12</f>
        <v>46600</v>
      </c>
      <c r="BJ59" s="18">
        <f>Time!BJ$12</f>
        <v>46631</v>
      </c>
      <c r="BK59" s="18">
        <f>Time!BK$12</f>
        <v>46661</v>
      </c>
      <c r="BL59" s="18">
        <f>Time!BL$12</f>
        <v>46692</v>
      </c>
      <c r="BM59" s="18">
        <f>Time!BM$12</f>
        <v>46722</v>
      </c>
      <c r="BN59" s="18">
        <f>Time!BN$12</f>
        <v>46753</v>
      </c>
      <c r="BO59" s="18">
        <f>Time!BO$12</f>
        <v>46784</v>
      </c>
      <c r="BP59" s="18">
        <f>Time!BP$12</f>
        <v>46813</v>
      </c>
      <c r="BQ59" s="18">
        <f>Time!BQ$12</f>
        <v>46844</v>
      </c>
    </row>
    <row r="60" spans="1:69">
      <c r="A60" s="17"/>
      <c r="B60" s="17"/>
      <c r="C60" s="26"/>
      <c r="D60" s="27"/>
      <c r="E60" s="18" t="str">
        <f>Time!E$19</f>
        <v>Model period end</v>
      </c>
      <c r="F60" s="18">
        <f>Time!F$19</f>
        <v>0</v>
      </c>
      <c r="G60" s="18" t="str">
        <f>Time!G$19</f>
        <v>date</v>
      </c>
      <c r="H60" s="18">
        <f>Time!H$19</f>
        <v>0</v>
      </c>
      <c r="I60" s="18">
        <f>Time!I$19</f>
        <v>0</v>
      </c>
      <c r="J60" s="18">
        <f>Time!J$19</f>
        <v>45077</v>
      </c>
      <c r="K60" s="18">
        <f>Time!K$19</f>
        <v>45107</v>
      </c>
      <c r="L60" s="18">
        <f>Time!L$19</f>
        <v>45138</v>
      </c>
      <c r="M60" s="18">
        <f>Time!M$19</f>
        <v>45169</v>
      </c>
      <c r="N60" s="18">
        <f>Time!N$19</f>
        <v>45199</v>
      </c>
      <c r="O60" s="18">
        <f>Time!O$19</f>
        <v>45230</v>
      </c>
      <c r="P60" s="18">
        <f>Time!P$19</f>
        <v>45260</v>
      </c>
      <c r="Q60" s="18">
        <f>Time!Q$19</f>
        <v>45291</v>
      </c>
      <c r="R60" s="18">
        <f>Time!R$19</f>
        <v>45322</v>
      </c>
      <c r="S60" s="18">
        <f>Time!S$19</f>
        <v>45351</v>
      </c>
      <c r="T60" s="18">
        <f>Time!T$19</f>
        <v>45382</v>
      </c>
      <c r="U60" s="18">
        <f>Time!U$19</f>
        <v>45412</v>
      </c>
      <c r="V60" s="18">
        <f>Time!V$19</f>
        <v>45443</v>
      </c>
      <c r="W60" s="18">
        <f>Time!W$19</f>
        <v>45473</v>
      </c>
      <c r="X60" s="18">
        <f>Time!X$19</f>
        <v>45504</v>
      </c>
      <c r="Y60" s="18">
        <f>Time!Y$19</f>
        <v>45535</v>
      </c>
      <c r="Z60" s="18">
        <f>Time!Z$19</f>
        <v>45565</v>
      </c>
      <c r="AA60" s="18">
        <f>Time!AA$19</f>
        <v>45596</v>
      </c>
      <c r="AB60" s="18">
        <f>Time!AB$19</f>
        <v>45626</v>
      </c>
      <c r="AC60" s="18">
        <f>Time!AC$19</f>
        <v>45657</v>
      </c>
      <c r="AD60" s="18">
        <f>Time!AD$19</f>
        <v>45688</v>
      </c>
      <c r="AE60" s="18">
        <f>Time!AE$19</f>
        <v>45716</v>
      </c>
      <c r="AF60" s="18">
        <f>Time!AF$19</f>
        <v>45747</v>
      </c>
      <c r="AG60" s="18">
        <f>Time!AG$19</f>
        <v>45777</v>
      </c>
      <c r="AH60" s="18">
        <f>Time!AH$19</f>
        <v>45808</v>
      </c>
      <c r="AI60" s="18">
        <f>Time!AI$19</f>
        <v>45838</v>
      </c>
      <c r="AJ60" s="18">
        <f>Time!AJ$19</f>
        <v>45869</v>
      </c>
      <c r="AK60" s="18">
        <f>Time!AK$19</f>
        <v>45900</v>
      </c>
      <c r="AL60" s="18">
        <f>Time!AL$19</f>
        <v>45930</v>
      </c>
      <c r="AM60" s="18">
        <f>Time!AM$19</f>
        <v>45961</v>
      </c>
      <c r="AN60" s="18">
        <f>Time!AN$19</f>
        <v>45991</v>
      </c>
      <c r="AO60" s="18">
        <f>Time!AO$19</f>
        <v>46022</v>
      </c>
      <c r="AP60" s="18">
        <f>Time!AP$19</f>
        <v>46053</v>
      </c>
      <c r="AQ60" s="18">
        <f>Time!AQ$19</f>
        <v>46081</v>
      </c>
      <c r="AR60" s="18">
        <f>Time!AR$19</f>
        <v>46112</v>
      </c>
      <c r="AS60" s="18">
        <f>Time!AS$19</f>
        <v>46142</v>
      </c>
      <c r="AT60" s="18">
        <f>Time!AT$19</f>
        <v>46173</v>
      </c>
      <c r="AU60" s="18">
        <f>Time!AU$19</f>
        <v>46203</v>
      </c>
      <c r="AV60" s="18">
        <f>Time!AV$19</f>
        <v>46234</v>
      </c>
      <c r="AW60" s="18">
        <f>Time!AW$19</f>
        <v>46265</v>
      </c>
      <c r="AX60" s="18">
        <f>Time!AX$19</f>
        <v>46295</v>
      </c>
      <c r="AY60" s="18">
        <f>Time!AY$19</f>
        <v>46326</v>
      </c>
      <c r="AZ60" s="18">
        <f>Time!AZ$19</f>
        <v>46356</v>
      </c>
      <c r="BA60" s="18">
        <f>Time!BA$19</f>
        <v>46387</v>
      </c>
      <c r="BB60" s="18">
        <f>Time!BB$19</f>
        <v>46418</v>
      </c>
      <c r="BC60" s="18">
        <f>Time!BC$19</f>
        <v>46446</v>
      </c>
      <c r="BD60" s="18">
        <f>Time!BD$19</f>
        <v>46477</v>
      </c>
      <c r="BE60" s="18">
        <f>Time!BE$19</f>
        <v>46507</v>
      </c>
      <c r="BF60" s="18">
        <f>Time!BF$19</f>
        <v>46538</v>
      </c>
      <c r="BG60" s="18">
        <f>Time!BG$19</f>
        <v>46568</v>
      </c>
      <c r="BH60" s="18">
        <f>Time!BH$19</f>
        <v>46599</v>
      </c>
      <c r="BI60" s="18">
        <f>Time!BI$19</f>
        <v>46630</v>
      </c>
      <c r="BJ60" s="18">
        <f>Time!BJ$19</f>
        <v>46660</v>
      </c>
      <c r="BK60" s="18">
        <f>Time!BK$19</f>
        <v>46691</v>
      </c>
      <c r="BL60" s="18">
        <f>Time!BL$19</f>
        <v>46721</v>
      </c>
      <c r="BM60" s="18">
        <f>Time!BM$19</f>
        <v>46752</v>
      </c>
      <c r="BN60" s="18">
        <f>Time!BN$19</f>
        <v>46783</v>
      </c>
      <c r="BO60" s="18">
        <f>Time!BO$19</f>
        <v>46812</v>
      </c>
      <c r="BP60" s="18">
        <f>Time!BP$19</f>
        <v>46843</v>
      </c>
      <c r="BQ60" s="18">
        <f>Time!BQ$19</f>
        <v>46873</v>
      </c>
    </row>
    <row r="61" spans="1:69" ht="14.5">
      <c r="E61" s="2" t="s">
        <v>37</v>
      </c>
      <c r="F61"/>
      <c r="G61" s="2" t="s">
        <v>21</v>
      </c>
      <c r="H61" s="2">
        <f>SUM(J61:BQ61)</f>
        <v>5</v>
      </c>
      <c r="I61"/>
      <c r="J61" s="2">
        <f t="shared" ref="J61:AO61" si="40">IF(AND(J58&gt;=J59,J58&lt;=J60),1,0)</f>
        <v>0</v>
      </c>
      <c r="K61" s="2">
        <f t="shared" si="40"/>
        <v>0</v>
      </c>
      <c r="L61" s="2">
        <f t="shared" si="40"/>
        <v>0</v>
      </c>
      <c r="M61" s="2">
        <f t="shared" si="40"/>
        <v>1</v>
      </c>
      <c r="N61" s="2">
        <f t="shared" si="40"/>
        <v>0</v>
      </c>
      <c r="O61" s="2">
        <f t="shared" si="40"/>
        <v>0</v>
      </c>
      <c r="P61" s="2">
        <f t="shared" si="40"/>
        <v>0</v>
      </c>
      <c r="Q61" s="2">
        <f t="shared" si="40"/>
        <v>0</v>
      </c>
      <c r="R61" s="2">
        <f t="shared" si="40"/>
        <v>0</v>
      </c>
      <c r="S61" s="2">
        <f t="shared" si="40"/>
        <v>0</v>
      </c>
      <c r="T61" s="2">
        <f t="shared" si="40"/>
        <v>0</v>
      </c>
      <c r="U61" s="2">
        <f t="shared" si="40"/>
        <v>0</v>
      </c>
      <c r="V61" s="2">
        <f t="shared" si="40"/>
        <v>0</v>
      </c>
      <c r="W61" s="2">
        <f t="shared" si="40"/>
        <v>0</v>
      </c>
      <c r="X61" s="2">
        <f t="shared" si="40"/>
        <v>0</v>
      </c>
      <c r="Y61" s="2">
        <f t="shared" si="40"/>
        <v>1</v>
      </c>
      <c r="Z61" s="2">
        <f t="shared" si="40"/>
        <v>0</v>
      </c>
      <c r="AA61" s="2">
        <f t="shared" si="40"/>
        <v>0</v>
      </c>
      <c r="AB61" s="2">
        <f t="shared" si="40"/>
        <v>0</v>
      </c>
      <c r="AC61" s="2">
        <f t="shared" si="40"/>
        <v>0</v>
      </c>
      <c r="AD61" s="2">
        <f t="shared" si="40"/>
        <v>0</v>
      </c>
      <c r="AE61" s="2">
        <f t="shared" si="40"/>
        <v>0</v>
      </c>
      <c r="AF61" s="2">
        <f t="shared" si="40"/>
        <v>0</v>
      </c>
      <c r="AG61" s="2">
        <f t="shared" si="40"/>
        <v>0</v>
      </c>
      <c r="AH61" s="2">
        <f t="shared" si="40"/>
        <v>0</v>
      </c>
      <c r="AI61" s="2">
        <f t="shared" si="40"/>
        <v>0</v>
      </c>
      <c r="AJ61" s="2">
        <f t="shared" si="40"/>
        <v>0</v>
      </c>
      <c r="AK61" s="2">
        <f t="shared" si="40"/>
        <v>1</v>
      </c>
      <c r="AL61" s="2">
        <f t="shared" si="40"/>
        <v>0</v>
      </c>
      <c r="AM61" s="2">
        <f t="shared" si="40"/>
        <v>0</v>
      </c>
      <c r="AN61" s="2">
        <f t="shared" si="40"/>
        <v>0</v>
      </c>
      <c r="AO61" s="2">
        <f t="shared" si="40"/>
        <v>0</v>
      </c>
      <c r="AP61" s="2">
        <f t="shared" ref="AP61:BU61" si="41">IF(AND(AP58&gt;=AP59,AP58&lt;=AP60),1,0)</f>
        <v>0</v>
      </c>
      <c r="AQ61" s="2">
        <f t="shared" si="41"/>
        <v>0</v>
      </c>
      <c r="AR61" s="2">
        <f t="shared" si="41"/>
        <v>0</v>
      </c>
      <c r="AS61" s="2">
        <f t="shared" si="41"/>
        <v>0</v>
      </c>
      <c r="AT61" s="2">
        <f t="shared" si="41"/>
        <v>0</v>
      </c>
      <c r="AU61" s="2">
        <f t="shared" si="41"/>
        <v>0</v>
      </c>
      <c r="AV61" s="2">
        <f t="shared" si="41"/>
        <v>0</v>
      </c>
      <c r="AW61" s="2">
        <f t="shared" si="41"/>
        <v>1</v>
      </c>
      <c r="AX61" s="2">
        <f t="shared" si="41"/>
        <v>0</v>
      </c>
      <c r="AY61" s="2">
        <f t="shared" si="41"/>
        <v>0</v>
      </c>
      <c r="AZ61" s="2">
        <f t="shared" si="41"/>
        <v>0</v>
      </c>
      <c r="BA61" s="2">
        <f t="shared" si="41"/>
        <v>0</v>
      </c>
      <c r="BB61" s="2">
        <f t="shared" si="41"/>
        <v>0</v>
      </c>
      <c r="BC61" s="2">
        <f t="shared" si="41"/>
        <v>0</v>
      </c>
      <c r="BD61" s="2">
        <f t="shared" si="41"/>
        <v>0</v>
      </c>
      <c r="BE61" s="2">
        <f t="shared" si="41"/>
        <v>0</v>
      </c>
      <c r="BF61" s="2">
        <f t="shared" si="41"/>
        <v>0</v>
      </c>
      <c r="BG61" s="2">
        <f t="shared" si="41"/>
        <v>0</v>
      </c>
      <c r="BH61" s="2">
        <f t="shared" si="41"/>
        <v>0</v>
      </c>
      <c r="BI61" s="2">
        <f t="shared" si="41"/>
        <v>1</v>
      </c>
      <c r="BJ61" s="2">
        <f t="shared" si="41"/>
        <v>0</v>
      </c>
      <c r="BK61" s="2">
        <f t="shared" si="41"/>
        <v>0</v>
      </c>
      <c r="BL61" s="2">
        <f t="shared" si="41"/>
        <v>0</v>
      </c>
      <c r="BM61" s="2">
        <f t="shared" si="41"/>
        <v>0</v>
      </c>
      <c r="BN61" s="2">
        <f t="shared" si="41"/>
        <v>0</v>
      </c>
      <c r="BO61" s="2">
        <f t="shared" si="41"/>
        <v>0</v>
      </c>
      <c r="BP61" s="2">
        <f t="shared" si="41"/>
        <v>0</v>
      </c>
      <c r="BQ61" s="2">
        <f t="shared" si="41"/>
        <v>0</v>
      </c>
    </row>
    <row r="64" spans="1:69">
      <c r="A64" s="22" t="s">
        <v>221</v>
      </c>
    </row>
    <row r="65" spans="1:69" ht="14.5">
      <c r="A65"/>
      <c r="B65" s="22" t="s">
        <v>175</v>
      </c>
    </row>
    <row r="66" spans="1:69">
      <c r="E66" s="2" t="str">
        <f t="shared" ref="E66:AJ66" si="42">E$75</f>
        <v>Corporation tax creditor BEG</v>
      </c>
      <c r="F66" s="2">
        <f t="shared" si="42"/>
        <v>0</v>
      </c>
      <c r="G66" s="2" t="str">
        <f t="shared" si="42"/>
        <v>GBP</v>
      </c>
      <c r="H66" s="2">
        <f t="shared" si="42"/>
        <v>0</v>
      </c>
      <c r="I66" s="2">
        <f t="shared" si="42"/>
        <v>0</v>
      </c>
      <c r="J66" s="2">
        <f t="shared" si="42"/>
        <v>0</v>
      </c>
      <c r="K66" s="2">
        <f t="shared" ca="1" si="42"/>
        <v>0</v>
      </c>
      <c r="L66" s="2">
        <f t="shared" ca="1" si="42"/>
        <v>0</v>
      </c>
      <c r="M66" s="2">
        <f t="shared" ca="1" si="42"/>
        <v>0</v>
      </c>
      <c r="N66" s="2">
        <f t="shared" ca="1" si="42"/>
        <v>0</v>
      </c>
      <c r="O66" s="2">
        <f t="shared" ca="1" si="42"/>
        <v>0</v>
      </c>
      <c r="P66" s="2">
        <f t="shared" ca="1" si="42"/>
        <v>0</v>
      </c>
      <c r="Q66" s="2">
        <f t="shared" ca="1" si="42"/>
        <v>0</v>
      </c>
      <c r="R66" s="2">
        <f t="shared" ca="1" si="42"/>
        <v>0</v>
      </c>
      <c r="S66" s="2">
        <f t="shared" ca="1" si="42"/>
        <v>0</v>
      </c>
      <c r="T66" s="2">
        <f t="shared" ca="1" si="42"/>
        <v>1390.4451961941932</v>
      </c>
      <c r="U66" s="2">
        <f t="shared" ca="1" si="42"/>
        <v>23533.242223126996</v>
      </c>
      <c r="V66" s="2">
        <f t="shared" ca="1" si="42"/>
        <v>45223.532984226469</v>
      </c>
      <c r="W66" s="2">
        <f t="shared" ca="1" si="42"/>
        <v>66323.532984226476</v>
      </c>
      <c r="X66" s="2">
        <f t="shared" ca="1" si="42"/>
        <v>117871.08508320525</v>
      </c>
      <c r="Y66" s="2">
        <f t="shared" ca="1" si="42"/>
        <v>172931.96758910635</v>
      </c>
      <c r="Z66" s="2">
        <f t="shared" ca="1" si="42"/>
        <v>54355.047394366993</v>
      </c>
      <c r="AA66" s="2">
        <f t="shared" ca="1" si="42"/>
        <v>108103.92869564198</v>
      </c>
      <c r="AB66" s="2">
        <f t="shared" ca="1" si="42"/>
        <v>161231.27243329573</v>
      </c>
      <c r="AC66" s="2">
        <f t="shared" ca="1" si="42"/>
        <v>213541.30648498057</v>
      </c>
      <c r="AD66" s="2">
        <f t="shared" ca="1" si="42"/>
        <v>300153.57794680184</v>
      </c>
      <c r="AE66" s="2">
        <f t="shared" ca="1" si="42"/>
        <v>385994.81150989933</v>
      </c>
      <c r="AF66" s="2">
        <f t="shared" ca="1" si="42"/>
        <v>470884.43667894544</v>
      </c>
      <c r="AG66" s="2">
        <f t="shared" ca="1" si="42"/>
        <v>554999.36789808387</v>
      </c>
      <c r="AH66" s="2">
        <f t="shared" ca="1" si="42"/>
        <v>673207.20368769648</v>
      </c>
      <c r="AI66" s="2">
        <f t="shared" ca="1" si="42"/>
        <v>783066.04930140567</v>
      </c>
      <c r="AJ66" s="2">
        <f t="shared" ca="1" si="42"/>
        <v>894965.05988823157</v>
      </c>
      <c r="AK66" s="2">
        <f t="shared" ref="AK66:BQ66" ca="1" si="43">AK$75</f>
        <v>1009079.3836522016</v>
      </c>
      <c r="AL66" s="2">
        <f t="shared" ca="1" si="43"/>
        <v>151258.19898032933</v>
      </c>
      <c r="AM66" s="2">
        <f t="shared" ca="1" si="43"/>
        <v>304946.22798607056</v>
      </c>
      <c r="AN66" s="2">
        <f t="shared" ca="1" si="43"/>
        <v>461272.67628509802</v>
      </c>
      <c r="AO66" s="2">
        <f t="shared" ca="1" si="43"/>
        <v>655176.97516681068</v>
      </c>
      <c r="AP66" s="2">
        <f t="shared" ca="1" si="43"/>
        <v>852043.88461349322</v>
      </c>
      <c r="AQ66" s="2">
        <f t="shared" ca="1" si="43"/>
        <v>1086963.1421845492</v>
      </c>
      <c r="AR66" s="2">
        <f t="shared" ca="1" si="43"/>
        <v>1324976.253000143</v>
      </c>
      <c r="AS66" s="2">
        <f t="shared" ca="1" si="43"/>
        <v>1566675.7897395696</v>
      </c>
      <c r="AT66" s="2">
        <f t="shared" ca="1" si="43"/>
        <v>1847012.990837669</v>
      </c>
      <c r="AU66" s="2">
        <f t="shared" ca="1" si="43"/>
        <v>2131146.2519301511</v>
      </c>
      <c r="AV66" s="2">
        <f t="shared" ca="1" si="43"/>
        <v>2419346.2809686195</v>
      </c>
      <c r="AW66" s="2">
        <f t="shared" ca="1" si="43"/>
        <v>2746983.6823349316</v>
      </c>
      <c r="AX66" s="2">
        <f t="shared" ca="1" si="43"/>
        <v>332063.9861255344</v>
      </c>
      <c r="AY66" s="2">
        <f t="shared" ca="1" si="43"/>
        <v>703993.99965892464</v>
      </c>
      <c r="AZ66" s="2">
        <f t="shared" ca="1" si="43"/>
        <v>1081206.9292792981</v>
      </c>
      <c r="BA66" s="2">
        <f t="shared" ca="1" si="43"/>
        <v>1498716.798536951</v>
      </c>
      <c r="BB66" s="2">
        <f t="shared" ca="1" si="43"/>
        <v>1957157.2567244237</v>
      </c>
      <c r="BC66" s="2">
        <f t="shared" ca="1" si="43"/>
        <v>2421699.0671673422</v>
      </c>
      <c r="BD66" s="2">
        <f t="shared" ca="1" si="43"/>
        <v>2927577.2237733658</v>
      </c>
      <c r="BE66" s="2">
        <f t="shared" ca="1" si="43"/>
        <v>3475845.8783731451</v>
      </c>
      <c r="BF66" s="2">
        <f t="shared" ca="1" si="43"/>
        <v>4031391.4012702624</v>
      </c>
      <c r="BG66" s="2">
        <f t="shared" ca="1" si="43"/>
        <v>4626519.5124901235</v>
      </c>
      <c r="BH66" s="2">
        <f t="shared" ca="1" si="43"/>
        <v>5267776.1743839504</v>
      </c>
      <c r="BI66" s="2">
        <f t="shared" ca="1" si="43"/>
        <v>5956047.8758138604</v>
      </c>
      <c r="BJ66" s="2">
        <f t="shared" ca="1" si="43"/>
        <v>735587.96540246159</v>
      </c>
      <c r="BK66" s="2">
        <f t="shared" ca="1" si="43"/>
        <v>1519427.085009102</v>
      </c>
      <c r="BL66" s="2">
        <f t="shared" ca="1" si="43"/>
        <v>2352572.9394531748</v>
      </c>
      <c r="BM66" s="2">
        <f t="shared" ca="1" si="43"/>
        <v>3235413.8090629019</v>
      </c>
      <c r="BN66" s="2">
        <f t="shared" ca="1" si="43"/>
        <v>4169317.0397722493</v>
      </c>
      <c r="BO66" s="2">
        <f t="shared" ca="1" si="43"/>
        <v>5155029.9430043884</v>
      </c>
      <c r="BP66" s="2">
        <f t="shared" ca="1" si="43"/>
        <v>6193290.0148606133</v>
      </c>
      <c r="BQ66" s="2">
        <f t="shared" ca="1" si="43"/>
        <v>7286139.397122818</v>
      </c>
    </row>
    <row r="67" spans="1:69">
      <c r="E67" s="2" t="str">
        <f t="shared" ref="E67:AJ67" si="44">E$61</f>
        <v>Corporation tax paid this period</v>
      </c>
      <c r="F67" s="2">
        <f t="shared" si="44"/>
        <v>0</v>
      </c>
      <c r="G67" s="2" t="str">
        <f t="shared" si="44"/>
        <v>flag</v>
      </c>
      <c r="H67" s="2">
        <f t="shared" si="44"/>
        <v>5</v>
      </c>
      <c r="I67" s="2">
        <f t="shared" si="44"/>
        <v>0</v>
      </c>
      <c r="J67" s="2">
        <f t="shared" si="44"/>
        <v>0</v>
      </c>
      <c r="K67" s="2">
        <f t="shared" si="44"/>
        <v>0</v>
      </c>
      <c r="L67" s="2">
        <f t="shared" si="44"/>
        <v>0</v>
      </c>
      <c r="M67" s="2">
        <f t="shared" si="44"/>
        <v>1</v>
      </c>
      <c r="N67" s="2">
        <f t="shared" si="44"/>
        <v>0</v>
      </c>
      <c r="O67" s="2">
        <f t="shared" si="44"/>
        <v>0</v>
      </c>
      <c r="P67" s="2">
        <f t="shared" si="44"/>
        <v>0</v>
      </c>
      <c r="Q67" s="2">
        <f t="shared" si="44"/>
        <v>0</v>
      </c>
      <c r="R67" s="2">
        <f t="shared" si="44"/>
        <v>0</v>
      </c>
      <c r="S67" s="2">
        <f t="shared" si="44"/>
        <v>0</v>
      </c>
      <c r="T67" s="2">
        <f t="shared" si="44"/>
        <v>0</v>
      </c>
      <c r="U67" s="2">
        <f t="shared" si="44"/>
        <v>0</v>
      </c>
      <c r="V67" s="2">
        <f t="shared" si="44"/>
        <v>0</v>
      </c>
      <c r="W67" s="2">
        <f t="shared" si="44"/>
        <v>0</v>
      </c>
      <c r="X67" s="2">
        <f t="shared" si="44"/>
        <v>0</v>
      </c>
      <c r="Y67" s="2">
        <f t="shared" si="44"/>
        <v>1</v>
      </c>
      <c r="Z67" s="2">
        <f t="shared" si="44"/>
        <v>0</v>
      </c>
      <c r="AA67" s="2">
        <f t="shared" si="44"/>
        <v>0</v>
      </c>
      <c r="AB67" s="2">
        <f t="shared" si="44"/>
        <v>0</v>
      </c>
      <c r="AC67" s="2">
        <f t="shared" si="44"/>
        <v>0</v>
      </c>
      <c r="AD67" s="2">
        <f t="shared" si="44"/>
        <v>0</v>
      </c>
      <c r="AE67" s="2">
        <f t="shared" si="44"/>
        <v>0</v>
      </c>
      <c r="AF67" s="2">
        <f t="shared" si="44"/>
        <v>0</v>
      </c>
      <c r="AG67" s="2">
        <f t="shared" si="44"/>
        <v>0</v>
      </c>
      <c r="AH67" s="2">
        <f t="shared" si="44"/>
        <v>0</v>
      </c>
      <c r="AI67" s="2">
        <f t="shared" si="44"/>
        <v>0</v>
      </c>
      <c r="AJ67" s="2">
        <f t="shared" si="44"/>
        <v>0</v>
      </c>
      <c r="AK67" s="2">
        <f t="shared" ref="AK67:BQ67" si="45">AK$61</f>
        <v>1</v>
      </c>
      <c r="AL67" s="2">
        <f t="shared" si="45"/>
        <v>0</v>
      </c>
      <c r="AM67" s="2">
        <f t="shared" si="45"/>
        <v>0</v>
      </c>
      <c r="AN67" s="2">
        <f t="shared" si="45"/>
        <v>0</v>
      </c>
      <c r="AO67" s="2">
        <f t="shared" si="45"/>
        <v>0</v>
      </c>
      <c r="AP67" s="2">
        <f t="shared" si="45"/>
        <v>0</v>
      </c>
      <c r="AQ67" s="2">
        <f t="shared" si="45"/>
        <v>0</v>
      </c>
      <c r="AR67" s="2">
        <f t="shared" si="45"/>
        <v>0</v>
      </c>
      <c r="AS67" s="2">
        <f t="shared" si="45"/>
        <v>0</v>
      </c>
      <c r="AT67" s="2">
        <f t="shared" si="45"/>
        <v>0</v>
      </c>
      <c r="AU67" s="2">
        <f t="shared" si="45"/>
        <v>0</v>
      </c>
      <c r="AV67" s="2">
        <f t="shared" si="45"/>
        <v>0</v>
      </c>
      <c r="AW67" s="2">
        <f t="shared" si="45"/>
        <v>1</v>
      </c>
      <c r="AX67" s="2">
        <f t="shared" si="45"/>
        <v>0</v>
      </c>
      <c r="AY67" s="2">
        <f t="shared" si="45"/>
        <v>0</v>
      </c>
      <c r="AZ67" s="2">
        <f t="shared" si="45"/>
        <v>0</v>
      </c>
      <c r="BA67" s="2">
        <f t="shared" si="45"/>
        <v>0</v>
      </c>
      <c r="BB67" s="2">
        <f t="shared" si="45"/>
        <v>0</v>
      </c>
      <c r="BC67" s="2">
        <f t="shared" si="45"/>
        <v>0</v>
      </c>
      <c r="BD67" s="2">
        <f t="shared" si="45"/>
        <v>0</v>
      </c>
      <c r="BE67" s="2">
        <f t="shared" si="45"/>
        <v>0</v>
      </c>
      <c r="BF67" s="2">
        <f t="shared" si="45"/>
        <v>0</v>
      </c>
      <c r="BG67" s="2">
        <f t="shared" si="45"/>
        <v>0</v>
      </c>
      <c r="BH67" s="2">
        <f t="shared" si="45"/>
        <v>0</v>
      </c>
      <c r="BI67" s="2">
        <f t="shared" si="45"/>
        <v>1</v>
      </c>
      <c r="BJ67" s="2">
        <f t="shared" si="45"/>
        <v>0</v>
      </c>
      <c r="BK67" s="2">
        <f t="shared" si="45"/>
        <v>0</v>
      </c>
      <c r="BL67" s="2">
        <f t="shared" si="45"/>
        <v>0</v>
      </c>
      <c r="BM67" s="2">
        <f t="shared" si="45"/>
        <v>0</v>
      </c>
      <c r="BN67" s="2">
        <f t="shared" si="45"/>
        <v>0</v>
      </c>
      <c r="BO67" s="2">
        <f t="shared" si="45"/>
        <v>0</v>
      </c>
      <c r="BP67" s="2">
        <f t="shared" si="45"/>
        <v>0</v>
      </c>
      <c r="BQ67" s="2">
        <f t="shared" si="45"/>
        <v>0</v>
      </c>
    </row>
    <row r="68" spans="1:69" ht="14.5">
      <c r="E68" s="2" t="s">
        <v>320</v>
      </c>
      <c r="F68"/>
      <c r="G68" s="2" t="s">
        <v>252</v>
      </c>
      <c r="H68" s="2">
        <f ca="1">SUM(J68:BQ68)</f>
        <v>9885042.9093900993</v>
      </c>
      <c r="I68"/>
      <c r="J68" s="2">
        <f t="shared" ref="J68:AO68" si="46">J66*J67</f>
        <v>0</v>
      </c>
      <c r="K68" s="2">
        <f t="shared" ca="1" si="46"/>
        <v>0</v>
      </c>
      <c r="L68" s="2">
        <f t="shared" ca="1" si="46"/>
        <v>0</v>
      </c>
      <c r="M68" s="2">
        <f t="shared" ca="1" si="46"/>
        <v>0</v>
      </c>
      <c r="N68" s="2">
        <f t="shared" ca="1" si="46"/>
        <v>0</v>
      </c>
      <c r="O68" s="2">
        <f t="shared" ca="1" si="46"/>
        <v>0</v>
      </c>
      <c r="P68" s="2">
        <f t="shared" ca="1" si="46"/>
        <v>0</v>
      </c>
      <c r="Q68" s="2">
        <f t="shared" ca="1" si="46"/>
        <v>0</v>
      </c>
      <c r="R68" s="2">
        <f t="shared" ca="1" si="46"/>
        <v>0</v>
      </c>
      <c r="S68" s="2">
        <f t="shared" ca="1" si="46"/>
        <v>0</v>
      </c>
      <c r="T68" s="2">
        <f t="shared" ca="1" si="46"/>
        <v>0</v>
      </c>
      <c r="U68" s="2">
        <f t="shared" ca="1" si="46"/>
        <v>0</v>
      </c>
      <c r="V68" s="2">
        <f t="shared" ca="1" si="46"/>
        <v>0</v>
      </c>
      <c r="W68" s="2">
        <f t="shared" ca="1" si="46"/>
        <v>0</v>
      </c>
      <c r="X68" s="2">
        <f t="shared" ca="1" si="46"/>
        <v>0</v>
      </c>
      <c r="Y68" s="2">
        <f t="shared" ca="1" si="46"/>
        <v>172931.96758910635</v>
      </c>
      <c r="Z68" s="2">
        <f t="shared" ca="1" si="46"/>
        <v>0</v>
      </c>
      <c r="AA68" s="2">
        <f t="shared" ca="1" si="46"/>
        <v>0</v>
      </c>
      <c r="AB68" s="2">
        <f t="shared" ca="1" si="46"/>
        <v>0</v>
      </c>
      <c r="AC68" s="2">
        <f t="shared" ca="1" si="46"/>
        <v>0</v>
      </c>
      <c r="AD68" s="2">
        <f t="shared" ca="1" si="46"/>
        <v>0</v>
      </c>
      <c r="AE68" s="2">
        <f t="shared" ca="1" si="46"/>
        <v>0</v>
      </c>
      <c r="AF68" s="2">
        <f t="shared" ca="1" si="46"/>
        <v>0</v>
      </c>
      <c r="AG68" s="2">
        <f t="shared" ca="1" si="46"/>
        <v>0</v>
      </c>
      <c r="AH68" s="2">
        <f t="shared" ca="1" si="46"/>
        <v>0</v>
      </c>
      <c r="AI68" s="2">
        <f t="shared" ca="1" si="46"/>
        <v>0</v>
      </c>
      <c r="AJ68" s="2">
        <f t="shared" ca="1" si="46"/>
        <v>0</v>
      </c>
      <c r="AK68" s="2">
        <f t="shared" ca="1" si="46"/>
        <v>1009079.3836522016</v>
      </c>
      <c r="AL68" s="2">
        <f t="shared" ca="1" si="46"/>
        <v>0</v>
      </c>
      <c r="AM68" s="2">
        <f t="shared" ca="1" si="46"/>
        <v>0</v>
      </c>
      <c r="AN68" s="2">
        <f t="shared" ca="1" si="46"/>
        <v>0</v>
      </c>
      <c r="AO68" s="2">
        <f t="shared" ca="1" si="46"/>
        <v>0</v>
      </c>
      <c r="AP68" s="2">
        <f t="shared" ref="AP68:BU68" ca="1" si="47">AP66*AP67</f>
        <v>0</v>
      </c>
      <c r="AQ68" s="2">
        <f t="shared" ca="1" si="47"/>
        <v>0</v>
      </c>
      <c r="AR68" s="2">
        <f t="shared" ca="1" si="47"/>
        <v>0</v>
      </c>
      <c r="AS68" s="2">
        <f t="shared" ca="1" si="47"/>
        <v>0</v>
      </c>
      <c r="AT68" s="2">
        <f t="shared" ca="1" si="47"/>
        <v>0</v>
      </c>
      <c r="AU68" s="2">
        <f t="shared" ca="1" si="47"/>
        <v>0</v>
      </c>
      <c r="AV68" s="2">
        <f t="shared" ca="1" si="47"/>
        <v>0</v>
      </c>
      <c r="AW68" s="2">
        <f t="shared" ca="1" si="47"/>
        <v>2746983.6823349316</v>
      </c>
      <c r="AX68" s="2">
        <f t="shared" ca="1" si="47"/>
        <v>0</v>
      </c>
      <c r="AY68" s="2">
        <f t="shared" ca="1" si="47"/>
        <v>0</v>
      </c>
      <c r="AZ68" s="2">
        <f t="shared" ca="1" si="47"/>
        <v>0</v>
      </c>
      <c r="BA68" s="2">
        <f t="shared" ca="1" si="47"/>
        <v>0</v>
      </c>
      <c r="BB68" s="2">
        <f t="shared" ca="1" si="47"/>
        <v>0</v>
      </c>
      <c r="BC68" s="2">
        <f t="shared" ca="1" si="47"/>
        <v>0</v>
      </c>
      <c r="BD68" s="2">
        <f t="shared" ca="1" si="47"/>
        <v>0</v>
      </c>
      <c r="BE68" s="2">
        <f t="shared" ca="1" si="47"/>
        <v>0</v>
      </c>
      <c r="BF68" s="2">
        <f t="shared" ca="1" si="47"/>
        <v>0</v>
      </c>
      <c r="BG68" s="2">
        <f t="shared" ca="1" si="47"/>
        <v>0</v>
      </c>
      <c r="BH68" s="2">
        <f t="shared" ca="1" si="47"/>
        <v>0</v>
      </c>
      <c r="BI68" s="2">
        <f t="shared" ca="1" si="47"/>
        <v>5956047.8758138604</v>
      </c>
      <c r="BJ68" s="2">
        <f t="shared" ca="1" si="47"/>
        <v>0</v>
      </c>
      <c r="BK68" s="2">
        <f t="shared" ca="1" si="47"/>
        <v>0</v>
      </c>
      <c r="BL68" s="2">
        <f t="shared" ca="1" si="47"/>
        <v>0</v>
      </c>
      <c r="BM68" s="2">
        <f t="shared" ca="1" si="47"/>
        <v>0</v>
      </c>
      <c r="BN68" s="2">
        <f t="shared" ca="1" si="47"/>
        <v>0</v>
      </c>
      <c r="BO68" s="2">
        <f t="shared" ca="1" si="47"/>
        <v>0</v>
      </c>
      <c r="BP68" s="2">
        <f t="shared" ca="1" si="47"/>
        <v>0</v>
      </c>
      <c r="BQ68" s="2">
        <f t="shared" ca="1" si="47"/>
        <v>0</v>
      </c>
    </row>
    <row r="69" spans="1:69">
      <c r="A69" s="31"/>
      <c r="B69" s="31"/>
      <c r="C69" s="51"/>
      <c r="D69" s="50"/>
      <c r="E69" s="3" t="str">
        <f>LEFT($E$68,LEN($E$68)-3)</f>
        <v xml:space="preserve">Corporation tax paid </v>
      </c>
      <c r="F69" s="3"/>
      <c r="G69" s="3" t="str">
        <f>G$68</f>
        <v>GBP</v>
      </c>
      <c r="H69" s="3">
        <f ca="1">SUM(J69:BQ69)</f>
        <v>-9885042.9093900993</v>
      </c>
      <c r="I69" s="3"/>
      <c r="J69" s="3">
        <f t="shared" ref="J69:AO69" si="48">-1*J68</f>
        <v>0</v>
      </c>
      <c r="K69" s="3">
        <f t="shared" ca="1" si="48"/>
        <v>0</v>
      </c>
      <c r="L69" s="3">
        <f t="shared" ca="1" si="48"/>
        <v>0</v>
      </c>
      <c r="M69" s="3">
        <f t="shared" ca="1" si="48"/>
        <v>0</v>
      </c>
      <c r="N69" s="3">
        <f t="shared" ca="1" si="48"/>
        <v>0</v>
      </c>
      <c r="O69" s="3">
        <f t="shared" ca="1" si="48"/>
        <v>0</v>
      </c>
      <c r="P69" s="3">
        <f t="shared" ca="1" si="48"/>
        <v>0</v>
      </c>
      <c r="Q69" s="3">
        <f t="shared" ca="1" si="48"/>
        <v>0</v>
      </c>
      <c r="R69" s="3">
        <f t="shared" ca="1" si="48"/>
        <v>0</v>
      </c>
      <c r="S69" s="3">
        <f t="shared" ca="1" si="48"/>
        <v>0</v>
      </c>
      <c r="T69" s="3">
        <f t="shared" ca="1" si="48"/>
        <v>0</v>
      </c>
      <c r="U69" s="3">
        <f t="shared" ca="1" si="48"/>
        <v>0</v>
      </c>
      <c r="V69" s="3">
        <f t="shared" ca="1" si="48"/>
        <v>0</v>
      </c>
      <c r="W69" s="3">
        <f t="shared" ca="1" si="48"/>
        <v>0</v>
      </c>
      <c r="X69" s="3">
        <f t="shared" ca="1" si="48"/>
        <v>0</v>
      </c>
      <c r="Y69" s="3">
        <f t="shared" ca="1" si="48"/>
        <v>-172931.96758910635</v>
      </c>
      <c r="Z69" s="3">
        <f t="shared" ca="1" si="48"/>
        <v>0</v>
      </c>
      <c r="AA69" s="3">
        <f t="shared" ca="1" si="48"/>
        <v>0</v>
      </c>
      <c r="AB69" s="3">
        <f t="shared" ca="1" si="48"/>
        <v>0</v>
      </c>
      <c r="AC69" s="3">
        <f t="shared" ca="1" si="48"/>
        <v>0</v>
      </c>
      <c r="AD69" s="3">
        <f t="shared" ca="1" si="48"/>
        <v>0</v>
      </c>
      <c r="AE69" s="3">
        <f t="shared" ca="1" si="48"/>
        <v>0</v>
      </c>
      <c r="AF69" s="3">
        <f t="shared" ca="1" si="48"/>
        <v>0</v>
      </c>
      <c r="AG69" s="3">
        <f t="shared" ca="1" si="48"/>
        <v>0</v>
      </c>
      <c r="AH69" s="3">
        <f t="shared" ca="1" si="48"/>
        <v>0</v>
      </c>
      <c r="AI69" s="3">
        <f t="shared" ca="1" si="48"/>
        <v>0</v>
      </c>
      <c r="AJ69" s="3">
        <f t="shared" ca="1" si="48"/>
        <v>0</v>
      </c>
      <c r="AK69" s="3">
        <f t="shared" ca="1" si="48"/>
        <v>-1009079.3836522016</v>
      </c>
      <c r="AL69" s="3">
        <f t="shared" ca="1" si="48"/>
        <v>0</v>
      </c>
      <c r="AM69" s="3">
        <f t="shared" ca="1" si="48"/>
        <v>0</v>
      </c>
      <c r="AN69" s="3">
        <f t="shared" ca="1" si="48"/>
        <v>0</v>
      </c>
      <c r="AO69" s="3">
        <f t="shared" ca="1" si="48"/>
        <v>0</v>
      </c>
      <c r="AP69" s="3">
        <f t="shared" ref="AP69:BU69" ca="1" si="49">-1*AP68</f>
        <v>0</v>
      </c>
      <c r="AQ69" s="3">
        <f t="shared" ca="1" si="49"/>
        <v>0</v>
      </c>
      <c r="AR69" s="3">
        <f t="shared" ca="1" si="49"/>
        <v>0</v>
      </c>
      <c r="AS69" s="3">
        <f t="shared" ca="1" si="49"/>
        <v>0</v>
      </c>
      <c r="AT69" s="3">
        <f t="shared" ca="1" si="49"/>
        <v>0</v>
      </c>
      <c r="AU69" s="3">
        <f t="shared" ca="1" si="49"/>
        <v>0</v>
      </c>
      <c r="AV69" s="3">
        <f t="shared" ca="1" si="49"/>
        <v>0</v>
      </c>
      <c r="AW69" s="3">
        <f t="shared" ca="1" si="49"/>
        <v>-2746983.6823349316</v>
      </c>
      <c r="AX69" s="3">
        <f t="shared" ca="1" si="49"/>
        <v>0</v>
      </c>
      <c r="AY69" s="3">
        <f t="shared" ca="1" si="49"/>
        <v>0</v>
      </c>
      <c r="AZ69" s="3">
        <f t="shared" ca="1" si="49"/>
        <v>0</v>
      </c>
      <c r="BA69" s="3">
        <f t="shared" ca="1" si="49"/>
        <v>0</v>
      </c>
      <c r="BB69" s="3">
        <f t="shared" ca="1" si="49"/>
        <v>0</v>
      </c>
      <c r="BC69" s="3">
        <f t="shared" ca="1" si="49"/>
        <v>0</v>
      </c>
      <c r="BD69" s="3">
        <f t="shared" ca="1" si="49"/>
        <v>0</v>
      </c>
      <c r="BE69" s="3">
        <f t="shared" ca="1" si="49"/>
        <v>0</v>
      </c>
      <c r="BF69" s="3">
        <f t="shared" ca="1" si="49"/>
        <v>0</v>
      </c>
      <c r="BG69" s="3">
        <f t="shared" ca="1" si="49"/>
        <v>0</v>
      </c>
      <c r="BH69" s="3">
        <f t="shared" ca="1" si="49"/>
        <v>0</v>
      </c>
      <c r="BI69" s="3">
        <f t="shared" ca="1" si="49"/>
        <v>-5956047.8758138604</v>
      </c>
      <c r="BJ69" s="3">
        <f t="shared" ca="1" si="49"/>
        <v>0</v>
      </c>
      <c r="BK69" s="3">
        <f t="shared" ca="1" si="49"/>
        <v>0</v>
      </c>
      <c r="BL69" s="3">
        <f t="shared" ca="1" si="49"/>
        <v>0</v>
      </c>
      <c r="BM69" s="3">
        <f t="shared" ca="1" si="49"/>
        <v>0</v>
      </c>
      <c r="BN69" s="3">
        <f t="shared" ca="1" si="49"/>
        <v>0</v>
      </c>
      <c r="BO69" s="3">
        <f t="shared" ca="1" si="49"/>
        <v>0</v>
      </c>
      <c r="BP69" s="3">
        <f t="shared" ca="1" si="49"/>
        <v>0</v>
      </c>
      <c r="BQ69" s="3">
        <f t="shared" ca="1" si="49"/>
        <v>0</v>
      </c>
    </row>
    <row r="72" spans="1:69">
      <c r="B72" s="22" t="s">
        <v>221</v>
      </c>
    </row>
    <row r="73" spans="1:69" s="64" customFormat="1">
      <c r="A73" s="46"/>
      <c r="B73" s="46"/>
      <c r="C73" s="65"/>
      <c r="D73" s="63"/>
      <c r="E73" s="34" t="str">
        <f>InpC!E$91</f>
        <v>Opening Corporation tax creditor</v>
      </c>
      <c r="F73" s="34">
        <f>InpC!F$91</f>
        <v>0</v>
      </c>
      <c r="G73" s="34" t="str">
        <f>InpC!G$91</f>
        <v>GBP</v>
      </c>
    </row>
    <row r="74" spans="1:69">
      <c r="A74" s="17"/>
      <c r="B74" s="17"/>
      <c r="C74" s="26"/>
      <c r="D74" s="27"/>
      <c r="E74" s="10" t="str">
        <f>Time!E$28</f>
        <v>Period number</v>
      </c>
      <c r="F74" s="10">
        <f>Time!F$28</f>
        <v>0</v>
      </c>
      <c r="G74" s="10" t="str">
        <f>Time!G$28</f>
        <v>Counter</v>
      </c>
      <c r="H74" s="10">
        <f>Time!H$28</f>
        <v>0</v>
      </c>
      <c r="I74" s="10">
        <f>Time!I$28</f>
        <v>0</v>
      </c>
      <c r="J74" s="10">
        <f>Time!J$28</f>
        <v>1</v>
      </c>
      <c r="K74" s="10">
        <f>Time!K$28</f>
        <v>2</v>
      </c>
      <c r="L74" s="10">
        <f>Time!L$28</f>
        <v>3</v>
      </c>
      <c r="M74" s="10">
        <f>Time!M$28</f>
        <v>4</v>
      </c>
      <c r="N74" s="10">
        <f>Time!N$28</f>
        <v>5</v>
      </c>
      <c r="O74" s="10">
        <f>Time!O$28</f>
        <v>6</v>
      </c>
      <c r="P74" s="10">
        <f>Time!P$28</f>
        <v>7</v>
      </c>
      <c r="Q74" s="10">
        <f>Time!Q$28</f>
        <v>8</v>
      </c>
      <c r="R74" s="10">
        <f>Time!R$28</f>
        <v>9</v>
      </c>
      <c r="S74" s="10">
        <f>Time!S$28</f>
        <v>10</v>
      </c>
      <c r="T74" s="10">
        <f>Time!T$28</f>
        <v>11</v>
      </c>
      <c r="U74" s="10">
        <f>Time!U$28</f>
        <v>12</v>
      </c>
      <c r="V74" s="10">
        <f>Time!V$28</f>
        <v>13</v>
      </c>
      <c r="W74" s="10">
        <f>Time!W$28</f>
        <v>14</v>
      </c>
      <c r="X74" s="10">
        <f>Time!X$28</f>
        <v>15</v>
      </c>
      <c r="Y74" s="10">
        <f>Time!Y$28</f>
        <v>16</v>
      </c>
      <c r="Z74" s="10">
        <f>Time!Z$28</f>
        <v>17</v>
      </c>
      <c r="AA74" s="10">
        <f>Time!AA$28</f>
        <v>18</v>
      </c>
      <c r="AB74" s="10">
        <f>Time!AB$28</f>
        <v>19</v>
      </c>
      <c r="AC74" s="10">
        <f>Time!AC$28</f>
        <v>20</v>
      </c>
      <c r="AD74" s="10">
        <f>Time!AD$28</f>
        <v>21</v>
      </c>
      <c r="AE74" s="10">
        <f>Time!AE$28</f>
        <v>22</v>
      </c>
      <c r="AF74" s="10">
        <f>Time!AF$28</f>
        <v>23</v>
      </c>
      <c r="AG74" s="10">
        <f>Time!AG$28</f>
        <v>24</v>
      </c>
      <c r="AH74" s="10">
        <f>Time!AH$28</f>
        <v>25</v>
      </c>
      <c r="AI74" s="10">
        <f>Time!AI$28</f>
        <v>26</v>
      </c>
      <c r="AJ74" s="10">
        <f>Time!AJ$28</f>
        <v>27</v>
      </c>
      <c r="AK74" s="10">
        <f>Time!AK$28</f>
        <v>28</v>
      </c>
      <c r="AL74" s="10">
        <f>Time!AL$28</f>
        <v>29</v>
      </c>
      <c r="AM74" s="10">
        <f>Time!AM$28</f>
        <v>30</v>
      </c>
      <c r="AN74" s="10">
        <f>Time!AN$28</f>
        <v>31</v>
      </c>
      <c r="AO74" s="10">
        <f>Time!AO$28</f>
        <v>32</v>
      </c>
      <c r="AP74" s="10">
        <f>Time!AP$28</f>
        <v>33</v>
      </c>
      <c r="AQ74" s="10">
        <f>Time!AQ$28</f>
        <v>34</v>
      </c>
      <c r="AR74" s="10">
        <f>Time!AR$28</f>
        <v>35</v>
      </c>
      <c r="AS74" s="10">
        <f>Time!AS$28</f>
        <v>36</v>
      </c>
      <c r="AT74" s="10">
        <f>Time!AT$28</f>
        <v>37</v>
      </c>
      <c r="AU74" s="10">
        <f>Time!AU$28</f>
        <v>38</v>
      </c>
      <c r="AV74" s="10">
        <f>Time!AV$28</f>
        <v>39</v>
      </c>
      <c r="AW74" s="10">
        <f>Time!AW$28</f>
        <v>40</v>
      </c>
      <c r="AX74" s="10">
        <f>Time!AX$28</f>
        <v>41</v>
      </c>
      <c r="AY74" s="10">
        <f>Time!AY$28</f>
        <v>42</v>
      </c>
      <c r="AZ74" s="10">
        <f>Time!AZ$28</f>
        <v>43</v>
      </c>
      <c r="BA74" s="10">
        <f>Time!BA$28</f>
        <v>44</v>
      </c>
      <c r="BB74" s="10">
        <f>Time!BB$28</f>
        <v>45</v>
      </c>
      <c r="BC74" s="10">
        <f>Time!BC$28</f>
        <v>46</v>
      </c>
      <c r="BD74" s="10">
        <f>Time!BD$28</f>
        <v>47</v>
      </c>
      <c r="BE74" s="10">
        <f>Time!BE$28</f>
        <v>48</v>
      </c>
      <c r="BF74" s="10">
        <f>Time!BF$28</f>
        <v>49</v>
      </c>
      <c r="BG74" s="10">
        <f>Time!BG$28</f>
        <v>50</v>
      </c>
      <c r="BH74" s="10">
        <f>Time!BH$28</f>
        <v>51</v>
      </c>
      <c r="BI74" s="10">
        <f>Time!BI$28</f>
        <v>52</v>
      </c>
      <c r="BJ74" s="10">
        <f>Time!BJ$28</f>
        <v>53</v>
      </c>
      <c r="BK74" s="10">
        <f>Time!BK$28</f>
        <v>54</v>
      </c>
      <c r="BL74" s="10">
        <f>Time!BL$28</f>
        <v>55</v>
      </c>
      <c r="BM74" s="10">
        <f>Time!BM$28</f>
        <v>56</v>
      </c>
      <c r="BN74" s="10">
        <f>Time!BN$28</f>
        <v>57</v>
      </c>
      <c r="BO74" s="10">
        <f>Time!BO$28</f>
        <v>58</v>
      </c>
      <c r="BP74" s="10">
        <f>Time!BP$28</f>
        <v>59</v>
      </c>
      <c r="BQ74" s="10">
        <f>Time!BQ$28</f>
        <v>60</v>
      </c>
    </row>
    <row r="75" spans="1:69" ht="14.5">
      <c r="E75" s="2" t="s">
        <v>153</v>
      </c>
      <c r="F75"/>
      <c r="G75" s="2" t="s">
        <v>252</v>
      </c>
      <c r="H75"/>
      <c r="I75"/>
      <c r="J75" s="2">
        <f t="shared" ref="J75:AO75" si="50">I78</f>
        <v>0</v>
      </c>
      <c r="K75" s="2">
        <f t="shared" ca="1" si="50"/>
        <v>0</v>
      </c>
      <c r="L75" s="2">
        <f t="shared" ca="1" si="50"/>
        <v>0</v>
      </c>
      <c r="M75" s="2">
        <f t="shared" ca="1" si="50"/>
        <v>0</v>
      </c>
      <c r="N75" s="2">
        <f t="shared" ca="1" si="50"/>
        <v>0</v>
      </c>
      <c r="O75" s="2">
        <f t="shared" ca="1" si="50"/>
        <v>0</v>
      </c>
      <c r="P75" s="2">
        <f t="shared" ca="1" si="50"/>
        <v>0</v>
      </c>
      <c r="Q75" s="2">
        <f t="shared" ca="1" si="50"/>
        <v>0</v>
      </c>
      <c r="R75" s="2">
        <f t="shared" ca="1" si="50"/>
        <v>0</v>
      </c>
      <c r="S75" s="2">
        <f t="shared" ca="1" si="50"/>
        <v>0</v>
      </c>
      <c r="T75" s="2">
        <f t="shared" ca="1" si="50"/>
        <v>1390.4451961941932</v>
      </c>
      <c r="U75" s="2">
        <f t="shared" ca="1" si="50"/>
        <v>23533.242223126996</v>
      </c>
      <c r="V75" s="2">
        <f t="shared" ca="1" si="50"/>
        <v>45223.532984226469</v>
      </c>
      <c r="W75" s="2">
        <f t="shared" ca="1" si="50"/>
        <v>66323.532984226476</v>
      </c>
      <c r="X75" s="2">
        <f t="shared" ca="1" si="50"/>
        <v>117871.08508320525</v>
      </c>
      <c r="Y75" s="2">
        <f t="shared" ca="1" si="50"/>
        <v>172931.96758910635</v>
      </c>
      <c r="Z75" s="2">
        <f t="shared" ca="1" si="50"/>
        <v>54355.047394366993</v>
      </c>
      <c r="AA75" s="2">
        <f t="shared" ca="1" si="50"/>
        <v>108103.92869564198</v>
      </c>
      <c r="AB75" s="2">
        <f t="shared" ca="1" si="50"/>
        <v>161231.27243329573</v>
      </c>
      <c r="AC75" s="2">
        <f t="shared" ca="1" si="50"/>
        <v>213541.30648498057</v>
      </c>
      <c r="AD75" s="2">
        <f t="shared" ca="1" si="50"/>
        <v>300153.57794680184</v>
      </c>
      <c r="AE75" s="2">
        <f t="shared" ca="1" si="50"/>
        <v>385994.81150989933</v>
      </c>
      <c r="AF75" s="2">
        <f t="shared" ca="1" si="50"/>
        <v>470884.43667894544</v>
      </c>
      <c r="AG75" s="2">
        <f t="shared" ca="1" si="50"/>
        <v>554999.36789808387</v>
      </c>
      <c r="AH75" s="2">
        <f t="shared" ca="1" si="50"/>
        <v>673207.20368769648</v>
      </c>
      <c r="AI75" s="2">
        <f t="shared" ca="1" si="50"/>
        <v>783066.04930140567</v>
      </c>
      <c r="AJ75" s="2">
        <f t="shared" ca="1" si="50"/>
        <v>894965.05988823157</v>
      </c>
      <c r="AK75" s="2">
        <f t="shared" ca="1" si="50"/>
        <v>1009079.3836522016</v>
      </c>
      <c r="AL75" s="2">
        <f t="shared" ca="1" si="50"/>
        <v>151258.19898032933</v>
      </c>
      <c r="AM75" s="2">
        <f t="shared" ca="1" si="50"/>
        <v>304946.22798607056</v>
      </c>
      <c r="AN75" s="2">
        <f t="shared" ca="1" si="50"/>
        <v>461272.67628509802</v>
      </c>
      <c r="AO75" s="2">
        <f t="shared" ca="1" si="50"/>
        <v>655176.97516681068</v>
      </c>
      <c r="AP75" s="2">
        <f t="shared" ref="AP75:BQ75" ca="1" si="51">AO78</f>
        <v>852043.88461349322</v>
      </c>
      <c r="AQ75" s="2">
        <f t="shared" ca="1" si="51"/>
        <v>1086963.1421845492</v>
      </c>
      <c r="AR75" s="2">
        <f t="shared" ca="1" si="51"/>
        <v>1324976.253000143</v>
      </c>
      <c r="AS75" s="2">
        <f t="shared" ca="1" si="51"/>
        <v>1566675.7897395696</v>
      </c>
      <c r="AT75" s="2">
        <f t="shared" ca="1" si="51"/>
        <v>1847012.990837669</v>
      </c>
      <c r="AU75" s="2">
        <f t="shared" ca="1" si="51"/>
        <v>2131146.2519301511</v>
      </c>
      <c r="AV75" s="2">
        <f t="shared" ca="1" si="51"/>
        <v>2419346.2809686195</v>
      </c>
      <c r="AW75" s="2">
        <f t="shared" ca="1" si="51"/>
        <v>2746983.6823349316</v>
      </c>
      <c r="AX75" s="2">
        <f t="shared" ca="1" si="51"/>
        <v>332063.9861255344</v>
      </c>
      <c r="AY75" s="2">
        <f t="shared" ca="1" si="51"/>
        <v>703993.99965892464</v>
      </c>
      <c r="AZ75" s="2">
        <f t="shared" ca="1" si="51"/>
        <v>1081206.9292792981</v>
      </c>
      <c r="BA75" s="2">
        <f t="shared" ca="1" si="51"/>
        <v>1498716.798536951</v>
      </c>
      <c r="BB75" s="2">
        <f t="shared" ca="1" si="51"/>
        <v>1957157.2567244237</v>
      </c>
      <c r="BC75" s="2">
        <f t="shared" ca="1" si="51"/>
        <v>2421699.0671673422</v>
      </c>
      <c r="BD75" s="2">
        <f t="shared" ca="1" si="51"/>
        <v>2927577.2237733658</v>
      </c>
      <c r="BE75" s="2">
        <f t="shared" ca="1" si="51"/>
        <v>3475845.8783731451</v>
      </c>
      <c r="BF75" s="2">
        <f t="shared" ca="1" si="51"/>
        <v>4031391.4012702624</v>
      </c>
      <c r="BG75" s="2">
        <f t="shared" ca="1" si="51"/>
        <v>4626519.5124901235</v>
      </c>
      <c r="BH75" s="2">
        <f t="shared" ca="1" si="51"/>
        <v>5267776.1743839504</v>
      </c>
      <c r="BI75" s="2">
        <f t="shared" ca="1" si="51"/>
        <v>5956047.8758138604</v>
      </c>
      <c r="BJ75" s="2">
        <f t="shared" ca="1" si="51"/>
        <v>735587.96540246159</v>
      </c>
      <c r="BK75" s="2">
        <f t="shared" ca="1" si="51"/>
        <v>1519427.085009102</v>
      </c>
      <c r="BL75" s="2">
        <f t="shared" ca="1" si="51"/>
        <v>2352572.9394531748</v>
      </c>
      <c r="BM75" s="2">
        <f t="shared" ca="1" si="51"/>
        <v>3235413.8090629019</v>
      </c>
      <c r="BN75" s="2">
        <f t="shared" ca="1" si="51"/>
        <v>4169317.0397722493</v>
      </c>
      <c r="BO75" s="2">
        <f t="shared" ca="1" si="51"/>
        <v>5155029.9430043884</v>
      </c>
      <c r="BP75" s="2">
        <f t="shared" ca="1" si="51"/>
        <v>6193290.0148606133</v>
      </c>
      <c r="BQ75" s="2">
        <f t="shared" ca="1" si="51"/>
        <v>7286139.397122818</v>
      </c>
    </row>
    <row r="76" spans="1:69">
      <c r="D76" s="66" t="s">
        <v>216</v>
      </c>
      <c r="E76" s="2" t="str">
        <f t="shared" ref="E76:AJ76" si="52">E$47</f>
        <v>Corporation tax POS</v>
      </c>
      <c r="F76" s="2">
        <f t="shared" si="52"/>
        <v>0</v>
      </c>
      <c r="G76" s="2" t="str">
        <f t="shared" si="52"/>
        <v>GBP</v>
      </c>
      <c r="H76" s="2">
        <f t="shared" ca="1" si="52"/>
        <v>18318854.533494424</v>
      </c>
      <c r="I76" s="2">
        <f t="shared" si="52"/>
        <v>0</v>
      </c>
      <c r="J76" s="2">
        <f t="shared" ca="1" si="52"/>
        <v>0</v>
      </c>
      <c r="K76" s="2">
        <f t="shared" ca="1" si="52"/>
        <v>0</v>
      </c>
      <c r="L76" s="2">
        <f t="shared" ca="1" si="52"/>
        <v>0</v>
      </c>
      <c r="M76" s="2">
        <f t="shared" ca="1" si="52"/>
        <v>0</v>
      </c>
      <c r="N76" s="2">
        <f t="shared" ca="1" si="52"/>
        <v>0</v>
      </c>
      <c r="O76" s="2">
        <f t="shared" ca="1" si="52"/>
        <v>0</v>
      </c>
      <c r="P76" s="2">
        <f t="shared" ca="1" si="52"/>
        <v>0</v>
      </c>
      <c r="Q76" s="2">
        <f t="shared" ca="1" si="52"/>
        <v>0</v>
      </c>
      <c r="R76" s="2">
        <f t="shared" ca="1" si="52"/>
        <v>0</v>
      </c>
      <c r="S76" s="2">
        <f t="shared" ca="1" si="52"/>
        <v>1390.4451961941932</v>
      </c>
      <c r="T76" s="2">
        <f t="shared" ca="1" si="52"/>
        <v>22142.797026932803</v>
      </c>
      <c r="U76" s="2">
        <f t="shared" ca="1" si="52"/>
        <v>21690.290761099473</v>
      </c>
      <c r="V76" s="2">
        <f t="shared" ca="1" si="52"/>
        <v>21100</v>
      </c>
      <c r="W76" s="2">
        <f t="shared" ca="1" si="52"/>
        <v>51547.552098978776</v>
      </c>
      <c r="X76" s="2">
        <f t="shared" ca="1" si="52"/>
        <v>55060.882505901092</v>
      </c>
      <c r="Y76" s="2">
        <f t="shared" ca="1" si="52"/>
        <v>54355.047394366986</v>
      </c>
      <c r="Z76" s="2">
        <f t="shared" ca="1" si="52"/>
        <v>53748.881301274989</v>
      </c>
      <c r="AA76" s="2">
        <f t="shared" ca="1" si="52"/>
        <v>53127.34373765374</v>
      </c>
      <c r="AB76" s="2">
        <f t="shared" ca="1" si="52"/>
        <v>52310.03405168483</v>
      </c>
      <c r="AC76" s="2">
        <f t="shared" ca="1" si="52"/>
        <v>86612.271461821292</v>
      </c>
      <c r="AD76" s="2">
        <f t="shared" ca="1" si="52"/>
        <v>85841.233563097485</v>
      </c>
      <c r="AE76" s="2">
        <f t="shared" ca="1" si="52"/>
        <v>84889.625169046136</v>
      </c>
      <c r="AF76" s="2">
        <f t="shared" ca="1" si="52"/>
        <v>84114.931219138438</v>
      </c>
      <c r="AG76" s="2">
        <f t="shared" ca="1" si="52"/>
        <v>118207.83578961261</v>
      </c>
      <c r="AH76" s="2">
        <f t="shared" ca="1" si="52"/>
        <v>109858.84561370921</v>
      </c>
      <c r="AI76" s="2">
        <f t="shared" ca="1" si="52"/>
        <v>111899.01058682596</v>
      </c>
      <c r="AJ76" s="2">
        <f t="shared" ca="1" si="52"/>
        <v>114114.32376396999</v>
      </c>
      <c r="AK76" s="2">
        <f t="shared" ref="AK76:BQ76" ca="1" si="53">AK$47</f>
        <v>151258.19898032941</v>
      </c>
      <c r="AL76" s="2">
        <f t="shared" ca="1" si="53"/>
        <v>153688.02900574121</v>
      </c>
      <c r="AM76" s="2">
        <f t="shared" ca="1" si="53"/>
        <v>156326.44829902746</v>
      </c>
      <c r="AN76" s="2">
        <f t="shared" ca="1" si="53"/>
        <v>193904.2988817126</v>
      </c>
      <c r="AO76" s="2">
        <f t="shared" ca="1" si="53"/>
        <v>196866.90944668255</v>
      </c>
      <c r="AP76" s="2">
        <f t="shared" ca="1" si="53"/>
        <v>234919.25757105602</v>
      </c>
      <c r="AQ76" s="2">
        <f t="shared" ca="1" si="53"/>
        <v>238013.11081559386</v>
      </c>
      <c r="AR76" s="2">
        <f t="shared" ca="1" si="53"/>
        <v>241699.53673942672</v>
      </c>
      <c r="AS76" s="2">
        <f t="shared" ca="1" si="53"/>
        <v>280337.20109809923</v>
      </c>
      <c r="AT76" s="2">
        <f t="shared" ca="1" si="53"/>
        <v>284133.26109248208</v>
      </c>
      <c r="AU76" s="2">
        <f t="shared" ca="1" si="53"/>
        <v>288200.0290384682</v>
      </c>
      <c r="AV76" s="2">
        <f t="shared" ca="1" si="53"/>
        <v>327637.40136631206</v>
      </c>
      <c r="AW76" s="2">
        <f t="shared" ca="1" si="53"/>
        <v>332063.98612553463</v>
      </c>
      <c r="AX76" s="2">
        <f t="shared" ca="1" si="53"/>
        <v>371930.01353339024</v>
      </c>
      <c r="AY76" s="2">
        <f t="shared" ca="1" si="53"/>
        <v>377212.9296203733</v>
      </c>
      <c r="AZ76" s="2">
        <f t="shared" ca="1" si="53"/>
        <v>417509.8692576529</v>
      </c>
      <c r="BA76" s="2">
        <f t="shared" ca="1" si="53"/>
        <v>458440.45818747283</v>
      </c>
      <c r="BB76" s="2">
        <f t="shared" ca="1" si="53"/>
        <v>464541.81044291856</v>
      </c>
      <c r="BC76" s="2">
        <f t="shared" ca="1" si="53"/>
        <v>505878.15660602367</v>
      </c>
      <c r="BD76" s="2">
        <f t="shared" ca="1" si="53"/>
        <v>548268.65459977917</v>
      </c>
      <c r="BE76" s="2">
        <f t="shared" ca="1" si="53"/>
        <v>555545.52289711719</v>
      </c>
      <c r="BF76" s="2">
        <f t="shared" ca="1" si="53"/>
        <v>595128.1112198612</v>
      </c>
      <c r="BG76" s="2">
        <f t="shared" ca="1" si="53"/>
        <v>641256.66189382691</v>
      </c>
      <c r="BH76" s="2">
        <f t="shared" ca="1" si="53"/>
        <v>688271.70142991049</v>
      </c>
      <c r="BI76" s="2">
        <f t="shared" ca="1" si="53"/>
        <v>735587.96540246147</v>
      </c>
      <c r="BJ76" s="2">
        <f t="shared" ca="1" si="53"/>
        <v>783839.11960664042</v>
      </c>
      <c r="BK76" s="2">
        <f t="shared" ca="1" si="53"/>
        <v>833145.85444407281</v>
      </c>
      <c r="BL76" s="2">
        <f t="shared" ca="1" si="53"/>
        <v>882840.86960972706</v>
      </c>
      <c r="BM76" s="2">
        <f t="shared" ca="1" si="53"/>
        <v>933903.23070934741</v>
      </c>
      <c r="BN76" s="2">
        <f t="shared" ca="1" si="53"/>
        <v>985712.90323213942</v>
      </c>
      <c r="BO76" s="2">
        <f t="shared" ca="1" si="53"/>
        <v>1038260.0718562248</v>
      </c>
      <c r="BP76" s="2">
        <f t="shared" ca="1" si="53"/>
        <v>1092849.3822622048</v>
      </c>
      <c r="BQ76" s="2">
        <f t="shared" ca="1" si="53"/>
        <v>1147672.2269815018</v>
      </c>
    </row>
    <row r="77" spans="1:69">
      <c r="D77" s="66" t="s">
        <v>293</v>
      </c>
      <c r="E77" s="2" t="str">
        <f t="shared" ref="E77:AJ77" si="54">E$68</f>
        <v>Corporation tax paid POS</v>
      </c>
      <c r="F77" s="2">
        <f t="shared" si="54"/>
        <v>0</v>
      </c>
      <c r="G77" s="2" t="str">
        <f t="shared" si="54"/>
        <v>GBP</v>
      </c>
      <c r="H77" s="2">
        <f t="shared" ca="1" si="54"/>
        <v>9885042.9093900993</v>
      </c>
      <c r="I77" s="2">
        <f t="shared" si="54"/>
        <v>0</v>
      </c>
      <c r="J77" s="2">
        <f t="shared" si="54"/>
        <v>0</v>
      </c>
      <c r="K77" s="2">
        <f t="shared" ca="1" si="54"/>
        <v>0</v>
      </c>
      <c r="L77" s="2">
        <f t="shared" ca="1" si="54"/>
        <v>0</v>
      </c>
      <c r="M77" s="2">
        <f t="shared" ca="1" si="54"/>
        <v>0</v>
      </c>
      <c r="N77" s="2">
        <f t="shared" ca="1" si="54"/>
        <v>0</v>
      </c>
      <c r="O77" s="2">
        <f t="shared" ca="1" si="54"/>
        <v>0</v>
      </c>
      <c r="P77" s="2">
        <f t="shared" ca="1" si="54"/>
        <v>0</v>
      </c>
      <c r="Q77" s="2">
        <f t="shared" ca="1" si="54"/>
        <v>0</v>
      </c>
      <c r="R77" s="2">
        <f t="shared" ca="1" si="54"/>
        <v>0</v>
      </c>
      <c r="S77" s="2">
        <f t="shared" ca="1" si="54"/>
        <v>0</v>
      </c>
      <c r="T77" s="2">
        <f t="shared" ca="1" si="54"/>
        <v>0</v>
      </c>
      <c r="U77" s="2">
        <f t="shared" ca="1" si="54"/>
        <v>0</v>
      </c>
      <c r="V77" s="2">
        <f t="shared" ca="1" si="54"/>
        <v>0</v>
      </c>
      <c r="W77" s="2">
        <f t="shared" ca="1" si="54"/>
        <v>0</v>
      </c>
      <c r="X77" s="2">
        <f t="shared" ca="1" si="54"/>
        <v>0</v>
      </c>
      <c r="Y77" s="2">
        <f t="shared" ca="1" si="54"/>
        <v>172931.96758910635</v>
      </c>
      <c r="Z77" s="2">
        <f t="shared" ca="1" si="54"/>
        <v>0</v>
      </c>
      <c r="AA77" s="2">
        <f t="shared" ca="1" si="54"/>
        <v>0</v>
      </c>
      <c r="AB77" s="2">
        <f t="shared" ca="1" si="54"/>
        <v>0</v>
      </c>
      <c r="AC77" s="2">
        <f t="shared" ca="1" si="54"/>
        <v>0</v>
      </c>
      <c r="AD77" s="2">
        <f t="shared" ca="1" si="54"/>
        <v>0</v>
      </c>
      <c r="AE77" s="2">
        <f t="shared" ca="1" si="54"/>
        <v>0</v>
      </c>
      <c r="AF77" s="2">
        <f t="shared" ca="1" si="54"/>
        <v>0</v>
      </c>
      <c r="AG77" s="2">
        <f t="shared" ca="1" si="54"/>
        <v>0</v>
      </c>
      <c r="AH77" s="2">
        <f t="shared" ca="1" si="54"/>
        <v>0</v>
      </c>
      <c r="AI77" s="2">
        <f t="shared" ca="1" si="54"/>
        <v>0</v>
      </c>
      <c r="AJ77" s="2">
        <f t="shared" ca="1" si="54"/>
        <v>0</v>
      </c>
      <c r="AK77" s="2">
        <f t="shared" ref="AK77:BQ77" ca="1" si="55">AK$68</f>
        <v>1009079.3836522016</v>
      </c>
      <c r="AL77" s="2">
        <f t="shared" ca="1" si="55"/>
        <v>0</v>
      </c>
      <c r="AM77" s="2">
        <f t="shared" ca="1" si="55"/>
        <v>0</v>
      </c>
      <c r="AN77" s="2">
        <f t="shared" ca="1" si="55"/>
        <v>0</v>
      </c>
      <c r="AO77" s="2">
        <f t="shared" ca="1" si="55"/>
        <v>0</v>
      </c>
      <c r="AP77" s="2">
        <f t="shared" ca="1" si="55"/>
        <v>0</v>
      </c>
      <c r="AQ77" s="2">
        <f t="shared" ca="1" si="55"/>
        <v>0</v>
      </c>
      <c r="AR77" s="2">
        <f t="shared" ca="1" si="55"/>
        <v>0</v>
      </c>
      <c r="AS77" s="2">
        <f t="shared" ca="1" si="55"/>
        <v>0</v>
      </c>
      <c r="AT77" s="2">
        <f t="shared" ca="1" si="55"/>
        <v>0</v>
      </c>
      <c r="AU77" s="2">
        <f t="shared" ca="1" si="55"/>
        <v>0</v>
      </c>
      <c r="AV77" s="2">
        <f t="shared" ca="1" si="55"/>
        <v>0</v>
      </c>
      <c r="AW77" s="2">
        <f t="shared" ca="1" si="55"/>
        <v>2746983.6823349316</v>
      </c>
      <c r="AX77" s="2">
        <f t="shared" ca="1" si="55"/>
        <v>0</v>
      </c>
      <c r="AY77" s="2">
        <f t="shared" ca="1" si="55"/>
        <v>0</v>
      </c>
      <c r="AZ77" s="2">
        <f t="shared" ca="1" si="55"/>
        <v>0</v>
      </c>
      <c r="BA77" s="2">
        <f t="shared" ca="1" si="55"/>
        <v>0</v>
      </c>
      <c r="BB77" s="2">
        <f t="shared" ca="1" si="55"/>
        <v>0</v>
      </c>
      <c r="BC77" s="2">
        <f t="shared" ca="1" si="55"/>
        <v>0</v>
      </c>
      <c r="BD77" s="2">
        <f t="shared" ca="1" si="55"/>
        <v>0</v>
      </c>
      <c r="BE77" s="2">
        <f t="shared" ca="1" si="55"/>
        <v>0</v>
      </c>
      <c r="BF77" s="2">
        <f t="shared" ca="1" si="55"/>
        <v>0</v>
      </c>
      <c r="BG77" s="2">
        <f t="shared" ca="1" si="55"/>
        <v>0</v>
      </c>
      <c r="BH77" s="2">
        <f t="shared" ca="1" si="55"/>
        <v>0</v>
      </c>
      <c r="BI77" s="2">
        <f t="shared" ca="1" si="55"/>
        <v>5956047.8758138604</v>
      </c>
      <c r="BJ77" s="2">
        <f t="shared" ca="1" si="55"/>
        <v>0</v>
      </c>
      <c r="BK77" s="2">
        <f t="shared" ca="1" si="55"/>
        <v>0</v>
      </c>
      <c r="BL77" s="2">
        <f t="shared" ca="1" si="55"/>
        <v>0</v>
      </c>
      <c r="BM77" s="2">
        <f t="shared" ca="1" si="55"/>
        <v>0</v>
      </c>
      <c r="BN77" s="2">
        <f t="shared" ca="1" si="55"/>
        <v>0</v>
      </c>
      <c r="BO77" s="2">
        <f t="shared" ca="1" si="55"/>
        <v>0</v>
      </c>
      <c r="BP77" s="2">
        <f t="shared" ca="1" si="55"/>
        <v>0</v>
      </c>
      <c r="BQ77" s="2">
        <f t="shared" ca="1" si="55"/>
        <v>0</v>
      </c>
    </row>
    <row r="78" spans="1:69" s="32" customFormat="1">
      <c r="A78" s="48"/>
      <c r="B78" s="48"/>
      <c r="C78" s="68"/>
      <c r="D78" s="69"/>
      <c r="E78" s="11" t="s">
        <v>221</v>
      </c>
      <c r="F78" s="11"/>
      <c r="G78" s="11" t="s">
        <v>252</v>
      </c>
      <c r="H78" s="11"/>
      <c r="I78" s="11">
        <f t="shared" ref="I78:AN78" si="56">IF(I74=0,$F73,I75+I76-I77)</f>
        <v>0</v>
      </c>
      <c r="J78" s="11">
        <f t="shared" ca="1" si="56"/>
        <v>0</v>
      </c>
      <c r="K78" s="11">
        <f t="shared" ca="1" si="56"/>
        <v>0</v>
      </c>
      <c r="L78" s="11">
        <f t="shared" ca="1" si="56"/>
        <v>0</v>
      </c>
      <c r="M78" s="11">
        <f t="shared" ca="1" si="56"/>
        <v>0</v>
      </c>
      <c r="N78" s="11">
        <f t="shared" ca="1" si="56"/>
        <v>0</v>
      </c>
      <c r="O78" s="11">
        <f t="shared" ca="1" si="56"/>
        <v>0</v>
      </c>
      <c r="P78" s="11">
        <f t="shared" ca="1" si="56"/>
        <v>0</v>
      </c>
      <c r="Q78" s="11">
        <f t="shared" ca="1" si="56"/>
        <v>0</v>
      </c>
      <c r="R78" s="11">
        <f t="shared" ca="1" si="56"/>
        <v>0</v>
      </c>
      <c r="S78" s="11">
        <f t="shared" ca="1" si="56"/>
        <v>1390.4451961941932</v>
      </c>
      <c r="T78" s="11">
        <f t="shared" ca="1" si="56"/>
        <v>23533.242223126996</v>
      </c>
      <c r="U78" s="11">
        <f t="shared" ca="1" si="56"/>
        <v>45223.532984226469</v>
      </c>
      <c r="V78" s="11">
        <f t="shared" ca="1" si="56"/>
        <v>66323.532984226476</v>
      </c>
      <c r="W78" s="11">
        <f t="shared" ca="1" si="56"/>
        <v>117871.08508320525</v>
      </c>
      <c r="X78" s="11">
        <f t="shared" ca="1" si="56"/>
        <v>172931.96758910635</v>
      </c>
      <c r="Y78" s="11">
        <f t="shared" ca="1" si="56"/>
        <v>54355.047394366993</v>
      </c>
      <c r="Z78" s="11">
        <f t="shared" ca="1" si="56"/>
        <v>108103.92869564198</v>
      </c>
      <c r="AA78" s="11">
        <f t="shared" ca="1" si="56"/>
        <v>161231.27243329573</v>
      </c>
      <c r="AB78" s="11">
        <f t="shared" ca="1" si="56"/>
        <v>213541.30648498057</v>
      </c>
      <c r="AC78" s="11">
        <f t="shared" ca="1" si="56"/>
        <v>300153.57794680184</v>
      </c>
      <c r="AD78" s="11">
        <f t="shared" ca="1" si="56"/>
        <v>385994.81150989933</v>
      </c>
      <c r="AE78" s="11">
        <f t="shared" ca="1" si="56"/>
        <v>470884.43667894544</v>
      </c>
      <c r="AF78" s="11">
        <f t="shared" ca="1" si="56"/>
        <v>554999.36789808387</v>
      </c>
      <c r="AG78" s="11">
        <f t="shared" ca="1" si="56"/>
        <v>673207.20368769648</v>
      </c>
      <c r="AH78" s="11">
        <f t="shared" ca="1" si="56"/>
        <v>783066.04930140567</v>
      </c>
      <c r="AI78" s="11">
        <f t="shared" ca="1" si="56"/>
        <v>894965.05988823157</v>
      </c>
      <c r="AJ78" s="11">
        <f t="shared" ca="1" si="56"/>
        <v>1009079.3836522016</v>
      </c>
      <c r="AK78" s="11">
        <f t="shared" ca="1" si="56"/>
        <v>151258.19898032933</v>
      </c>
      <c r="AL78" s="11">
        <f t="shared" ca="1" si="56"/>
        <v>304946.22798607056</v>
      </c>
      <c r="AM78" s="11">
        <f t="shared" ca="1" si="56"/>
        <v>461272.67628509802</v>
      </c>
      <c r="AN78" s="11">
        <f t="shared" ca="1" si="56"/>
        <v>655176.97516681068</v>
      </c>
      <c r="AO78" s="11">
        <f t="shared" ref="AO78:BT78" ca="1" si="57">IF(AO74=0,$F73,AO75+AO76-AO77)</f>
        <v>852043.88461349322</v>
      </c>
      <c r="AP78" s="11">
        <f t="shared" ca="1" si="57"/>
        <v>1086963.1421845492</v>
      </c>
      <c r="AQ78" s="11">
        <f t="shared" ca="1" si="57"/>
        <v>1324976.253000143</v>
      </c>
      <c r="AR78" s="11">
        <f t="shared" ca="1" si="57"/>
        <v>1566675.7897395696</v>
      </c>
      <c r="AS78" s="11">
        <f t="shared" ca="1" si="57"/>
        <v>1847012.990837669</v>
      </c>
      <c r="AT78" s="11">
        <f t="shared" ca="1" si="57"/>
        <v>2131146.2519301511</v>
      </c>
      <c r="AU78" s="11">
        <f t="shared" ca="1" si="57"/>
        <v>2419346.2809686195</v>
      </c>
      <c r="AV78" s="11">
        <f t="shared" ca="1" si="57"/>
        <v>2746983.6823349316</v>
      </c>
      <c r="AW78" s="11">
        <f t="shared" ca="1" si="57"/>
        <v>332063.9861255344</v>
      </c>
      <c r="AX78" s="11">
        <f t="shared" ca="1" si="57"/>
        <v>703993.99965892464</v>
      </c>
      <c r="AY78" s="11">
        <f t="shared" ca="1" si="57"/>
        <v>1081206.9292792981</v>
      </c>
      <c r="AZ78" s="11">
        <f t="shared" ca="1" si="57"/>
        <v>1498716.798536951</v>
      </c>
      <c r="BA78" s="11">
        <f t="shared" ca="1" si="57"/>
        <v>1957157.2567244237</v>
      </c>
      <c r="BB78" s="11">
        <f t="shared" ca="1" si="57"/>
        <v>2421699.0671673422</v>
      </c>
      <c r="BC78" s="11">
        <f t="shared" ca="1" si="57"/>
        <v>2927577.2237733658</v>
      </c>
      <c r="BD78" s="11">
        <f t="shared" ca="1" si="57"/>
        <v>3475845.8783731451</v>
      </c>
      <c r="BE78" s="11">
        <f t="shared" ca="1" si="57"/>
        <v>4031391.4012702624</v>
      </c>
      <c r="BF78" s="11">
        <f t="shared" ca="1" si="57"/>
        <v>4626519.5124901235</v>
      </c>
      <c r="BG78" s="11">
        <f t="shared" ca="1" si="57"/>
        <v>5267776.1743839504</v>
      </c>
      <c r="BH78" s="11">
        <f t="shared" ca="1" si="57"/>
        <v>5956047.8758138604</v>
      </c>
      <c r="BI78" s="11">
        <f t="shared" ca="1" si="57"/>
        <v>735587.96540246159</v>
      </c>
      <c r="BJ78" s="11">
        <f t="shared" ca="1" si="57"/>
        <v>1519427.085009102</v>
      </c>
      <c r="BK78" s="11">
        <f t="shared" ca="1" si="57"/>
        <v>2352572.9394531748</v>
      </c>
      <c r="BL78" s="11">
        <f t="shared" ca="1" si="57"/>
        <v>3235413.8090629019</v>
      </c>
      <c r="BM78" s="11">
        <f t="shared" ca="1" si="57"/>
        <v>4169317.0397722493</v>
      </c>
      <c r="BN78" s="11">
        <f t="shared" ca="1" si="57"/>
        <v>5155029.9430043884</v>
      </c>
      <c r="BO78" s="11">
        <f t="shared" ca="1" si="57"/>
        <v>6193290.0148606133</v>
      </c>
      <c r="BP78" s="11">
        <f t="shared" ca="1" si="57"/>
        <v>7286139.397122818</v>
      </c>
      <c r="BQ78" s="11">
        <f t="shared" ca="1" si="57"/>
        <v>8433811.6241043191</v>
      </c>
    </row>
    <row r="80" spans="1:69">
      <c r="B80" s="22" t="s">
        <v>298</v>
      </c>
    </row>
    <row r="81" spans="1:69">
      <c r="E81" s="2" t="str">
        <f t="shared" ref="E81:AJ81" si="58">E$47</f>
        <v>Corporation tax POS</v>
      </c>
      <c r="F81" s="2">
        <f t="shared" si="58"/>
        <v>0</v>
      </c>
      <c r="G81" s="2" t="str">
        <f t="shared" si="58"/>
        <v>GBP</v>
      </c>
      <c r="H81" s="2">
        <f t="shared" ca="1" si="58"/>
        <v>18318854.533494424</v>
      </c>
      <c r="I81" s="2">
        <f t="shared" si="58"/>
        <v>0</v>
      </c>
      <c r="J81" s="2">
        <f t="shared" ca="1" si="58"/>
        <v>0</v>
      </c>
      <c r="K81" s="2">
        <f t="shared" ca="1" si="58"/>
        <v>0</v>
      </c>
      <c r="L81" s="2">
        <f t="shared" ca="1" si="58"/>
        <v>0</v>
      </c>
      <c r="M81" s="2">
        <f t="shared" ca="1" si="58"/>
        <v>0</v>
      </c>
      <c r="N81" s="2">
        <f t="shared" ca="1" si="58"/>
        <v>0</v>
      </c>
      <c r="O81" s="2">
        <f t="shared" ca="1" si="58"/>
        <v>0</v>
      </c>
      <c r="P81" s="2">
        <f t="shared" ca="1" si="58"/>
        <v>0</v>
      </c>
      <c r="Q81" s="2">
        <f t="shared" ca="1" si="58"/>
        <v>0</v>
      </c>
      <c r="R81" s="2">
        <f t="shared" ca="1" si="58"/>
        <v>0</v>
      </c>
      <c r="S81" s="2">
        <f t="shared" ca="1" si="58"/>
        <v>1390.4451961941932</v>
      </c>
      <c r="T81" s="2">
        <f t="shared" ca="1" si="58"/>
        <v>22142.797026932803</v>
      </c>
      <c r="U81" s="2">
        <f t="shared" ca="1" si="58"/>
        <v>21690.290761099473</v>
      </c>
      <c r="V81" s="2">
        <f t="shared" ca="1" si="58"/>
        <v>21100</v>
      </c>
      <c r="W81" s="2">
        <f t="shared" ca="1" si="58"/>
        <v>51547.552098978776</v>
      </c>
      <c r="X81" s="2">
        <f t="shared" ca="1" si="58"/>
        <v>55060.882505901092</v>
      </c>
      <c r="Y81" s="2">
        <f t="shared" ca="1" si="58"/>
        <v>54355.047394366986</v>
      </c>
      <c r="Z81" s="2">
        <f t="shared" ca="1" si="58"/>
        <v>53748.881301274989</v>
      </c>
      <c r="AA81" s="2">
        <f t="shared" ca="1" si="58"/>
        <v>53127.34373765374</v>
      </c>
      <c r="AB81" s="2">
        <f t="shared" ca="1" si="58"/>
        <v>52310.03405168483</v>
      </c>
      <c r="AC81" s="2">
        <f t="shared" ca="1" si="58"/>
        <v>86612.271461821292</v>
      </c>
      <c r="AD81" s="2">
        <f t="shared" ca="1" si="58"/>
        <v>85841.233563097485</v>
      </c>
      <c r="AE81" s="2">
        <f t="shared" ca="1" si="58"/>
        <v>84889.625169046136</v>
      </c>
      <c r="AF81" s="2">
        <f t="shared" ca="1" si="58"/>
        <v>84114.931219138438</v>
      </c>
      <c r="AG81" s="2">
        <f t="shared" ca="1" si="58"/>
        <v>118207.83578961261</v>
      </c>
      <c r="AH81" s="2">
        <f t="shared" ca="1" si="58"/>
        <v>109858.84561370921</v>
      </c>
      <c r="AI81" s="2">
        <f t="shared" ca="1" si="58"/>
        <v>111899.01058682596</v>
      </c>
      <c r="AJ81" s="2">
        <f t="shared" ca="1" si="58"/>
        <v>114114.32376396999</v>
      </c>
      <c r="AK81" s="2">
        <f t="shared" ref="AK81:BQ81" ca="1" si="59">AK$47</f>
        <v>151258.19898032941</v>
      </c>
      <c r="AL81" s="2">
        <f t="shared" ca="1" si="59"/>
        <v>153688.02900574121</v>
      </c>
      <c r="AM81" s="2">
        <f t="shared" ca="1" si="59"/>
        <v>156326.44829902746</v>
      </c>
      <c r="AN81" s="2">
        <f t="shared" ca="1" si="59"/>
        <v>193904.2988817126</v>
      </c>
      <c r="AO81" s="2">
        <f t="shared" ca="1" si="59"/>
        <v>196866.90944668255</v>
      </c>
      <c r="AP81" s="2">
        <f t="shared" ca="1" si="59"/>
        <v>234919.25757105602</v>
      </c>
      <c r="AQ81" s="2">
        <f t="shared" ca="1" si="59"/>
        <v>238013.11081559386</v>
      </c>
      <c r="AR81" s="2">
        <f t="shared" ca="1" si="59"/>
        <v>241699.53673942672</v>
      </c>
      <c r="AS81" s="2">
        <f t="shared" ca="1" si="59"/>
        <v>280337.20109809923</v>
      </c>
      <c r="AT81" s="2">
        <f t="shared" ca="1" si="59"/>
        <v>284133.26109248208</v>
      </c>
      <c r="AU81" s="2">
        <f t="shared" ca="1" si="59"/>
        <v>288200.0290384682</v>
      </c>
      <c r="AV81" s="2">
        <f t="shared" ca="1" si="59"/>
        <v>327637.40136631206</v>
      </c>
      <c r="AW81" s="2">
        <f t="shared" ca="1" si="59"/>
        <v>332063.98612553463</v>
      </c>
      <c r="AX81" s="2">
        <f t="shared" ca="1" si="59"/>
        <v>371930.01353339024</v>
      </c>
      <c r="AY81" s="2">
        <f t="shared" ca="1" si="59"/>
        <v>377212.9296203733</v>
      </c>
      <c r="AZ81" s="2">
        <f t="shared" ca="1" si="59"/>
        <v>417509.8692576529</v>
      </c>
      <c r="BA81" s="2">
        <f t="shared" ca="1" si="59"/>
        <v>458440.45818747283</v>
      </c>
      <c r="BB81" s="2">
        <f t="shared" ca="1" si="59"/>
        <v>464541.81044291856</v>
      </c>
      <c r="BC81" s="2">
        <f t="shared" ca="1" si="59"/>
        <v>505878.15660602367</v>
      </c>
      <c r="BD81" s="2">
        <f t="shared" ca="1" si="59"/>
        <v>548268.65459977917</v>
      </c>
      <c r="BE81" s="2">
        <f t="shared" ca="1" si="59"/>
        <v>555545.52289711719</v>
      </c>
      <c r="BF81" s="2">
        <f t="shared" ca="1" si="59"/>
        <v>595128.1112198612</v>
      </c>
      <c r="BG81" s="2">
        <f t="shared" ca="1" si="59"/>
        <v>641256.66189382691</v>
      </c>
      <c r="BH81" s="2">
        <f t="shared" ca="1" si="59"/>
        <v>688271.70142991049</v>
      </c>
      <c r="BI81" s="2">
        <f t="shared" ca="1" si="59"/>
        <v>735587.96540246147</v>
      </c>
      <c r="BJ81" s="2">
        <f t="shared" ca="1" si="59"/>
        <v>783839.11960664042</v>
      </c>
      <c r="BK81" s="2">
        <f t="shared" ca="1" si="59"/>
        <v>833145.85444407281</v>
      </c>
      <c r="BL81" s="2">
        <f t="shared" ca="1" si="59"/>
        <v>882840.86960972706</v>
      </c>
      <c r="BM81" s="2">
        <f t="shared" ca="1" si="59"/>
        <v>933903.23070934741</v>
      </c>
      <c r="BN81" s="2">
        <f t="shared" ca="1" si="59"/>
        <v>985712.90323213942</v>
      </c>
      <c r="BO81" s="2">
        <f t="shared" ca="1" si="59"/>
        <v>1038260.0718562248</v>
      </c>
      <c r="BP81" s="2">
        <f t="shared" ca="1" si="59"/>
        <v>1092849.3822622048</v>
      </c>
      <c r="BQ81" s="2">
        <f t="shared" ca="1" si="59"/>
        <v>1147672.2269815018</v>
      </c>
    </row>
    <row r="82" spans="1:69">
      <c r="A82" s="17"/>
      <c r="B82" s="17"/>
      <c r="C82" s="26"/>
      <c r="D82" s="27"/>
      <c r="E82" s="4" t="str">
        <f>'Income Statement'!E$19</f>
        <v>Profit before tax</v>
      </c>
      <c r="F82" s="4">
        <f>'Income Statement'!F$19</f>
        <v>0</v>
      </c>
      <c r="G82" s="4" t="str">
        <f>'Income Statement'!G$19</f>
        <v>GBP</v>
      </c>
      <c r="H82" s="4">
        <f ca="1">'Income Statement'!H$19</f>
        <v>87829618.362924516</v>
      </c>
      <c r="I82" s="4">
        <f>'Income Statement'!I$19</f>
        <v>0</v>
      </c>
      <c r="J82" s="4">
        <f ca="1">'Income Statement'!J$19</f>
        <v>-46000</v>
      </c>
      <c r="K82" s="4">
        <f ca="1">'Income Statement'!K$19</f>
        <v>-54565.051762757437</v>
      </c>
      <c r="L82" s="4">
        <f ca="1">'Income Statement'!L$19</f>
        <v>-55870.831437052359</v>
      </c>
      <c r="M82" s="4">
        <f ca="1">'Income Statement'!M$19</f>
        <v>-57908.4671930111</v>
      </c>
      <c r="N82" s="4">
        <f ca="1">'Income Statement'!N$19</f>
        <v>-59424.944152283344</v>
      </c>
      <c r="O82" s="4">
        <f ca="1">'Income Statement'!O$19</f>
        <v>-60979.999882111922</v>
      </c>
      <c r="P82" s="4">
        <f ca="1">'Income Statement'!P$19</f>
        <v>-63305.36300263006</v>
      </c>
      <c r="Q82" s="4">
        <f ca="1">'Income Statement'!Q$19</f>
        <v>74532.421391779746</v>
      </c>
      <c r="R82" s="4">
        <f ca="1">'Income Statement'!R$19</f>
        <v>98894.942492405637</v>
      </c>
      <c r="S82" s="4">
        <f ca="1">'Income Statement'!S$19</f>
        <v>98079.519526631833</v>
      </c>
      <c r="T82" s="4">
        <f ca="1">'Income Statement'!T$19</f>
        <v>96130.651801330678</v>
      </c>
      <c r="U82" s="4">
        <f ca="1">'Income Statement'!U$19</f>
        <v>93868.120472164039</v>
      </c>
      <c r="V82" s="4">
        <f ca="1">'Income Statement'!V$19</f>
        <v>90916.666666666672</v>
      </c>
      <c r="W82" s="4">
        <f ca="1">'Income Statement'!W$19</f>
        <v>235862.76049489388</v>
      </c>
      <c r="X82" s="4">
        <f ca="1">'Income Statement'!X$19</f>
        <v>253429.41252950544</v>
      </c>
      <c r="Y82" s="4">
        <f ca="1">'Income Statement'!Y$19</f>
        <v>249900.23697183491</v>
      </c>
      <c r="Z82" s="4">
        <f ca="1">'Income Statement'!Z$19</f>
        <v>246869.40650637494</v>
      </c>
      <c r="AA82" s="4">
        <f ca="1">'Income Statement'!AA$19</f>
        <v>236470.05202160202</v>
      </c>
      <c r="AB82" s="4">
        <f ca="1">'Income Statement'!AB$19</f>
        <v>232383.50359175747</v>
      </c>
      <c r="AC82" s="4">
        <f ca="1">'Income Statement'!AC$19</f>
        <v>403894.69064243976</v>
      </c>
      <c r="AD82" s="4">
        <f ca="1">'Income Statement'!AD$19</f>
        <v>400039.50114882068</v>
      </c>
      <c r="AE82" s="4">
        <f ca="1">'Income Statement'!AE$19</f>
        <v>387989.79251189734</v>
      </c>
      <c r="AF82" s="4">
        <f ca="1">'Income Statement'!AF$19</f>
        <v>384116.32276235888</v>
      </c>
      <c r="AG82" s="4">
        <f ca="1">'Income Statement'!AG$19</f>
        <v>554580.84561472968</v>
      </c>
      <c r="AH82" s="4">
        <f ca="1">'Income Statement'!AH$19</f>
        <v>505544.22806854604</v>
      </c>
      <c r="AI82" s="4">
        <f ca="1">'Income Statement'!AI$19</f>
        <v>516474.21960079641</v>
      </c>
      <c r="AJ82" s="4">
        <f ca="1">'Income Statement'!AJ$19</f>
        <v>521032.50024679751</v>
      </c>
      <c r="AK82" s="4">
        <f ca="1">'Income Statement'!AK$19</f>
        <v>707570.59732756624</v>
      </c>
      <c r="AL82" s="4">
        <f ca="1">'Income Statement'!AL$19</f>
        <v>720588.11355445161</v>
      </c>
      <c r="AM82" s="4">
        <f ca="1">'Income Statement'!AM$19</f>
        <v>727409.56490401726</v>
      </c>
      <c r="AN82" s="4">
        <f ca="1">'Income Statement'!AN$19</f>
        <v>916273.83435786306</v>
      </c>
      <c r="AO82" s="4">
        <f ca="1">'Income Statement'!AO$19</f>
        <v>932121.02617699071</v>
      </c>
      <c r="AP82" s="4">
        <f ca="1">'Income Statement'!AP$19</f>
        <v>1116185.8656398305</v>
      </c>
      <c r="AQ82" s="4">
        <f ca="1">'Income Statement'!AQ$19</f>
        <v>1132816.281088308</v>
      </c>
      <c r="AR82" s="4">
        <f ca="1">'Income Statement'!AR$19</f>
        <v>1145188.3023198543</v>
      </c>
      <c r="AS82" s="4">
        <f ca="1">'Income Statement'!AS$19</f>
        <v>1339675.8514105047</v>
      </c>
      <c r="AT82" s="4">
        <f ca="1">'Income Statement'!AT$19</f>
        <v>1352742.2721286365</v>
      </c>
      <c r="AU82" s="4">
        <f ca="1">'Income Statement'!AU$19</f>
        <v>1367242.7785252337</v>
      </c>
      <c r="AV82" s="4">
        <f ca="1">'Income Statement'!AV$19</f>
        <v>1565977.7457024574</v>
      </c>
      <c r="AW82" s="4">
        <f ca="1">'Income Statement'!AW$19</f>
        <v>1582457.7385079623</v>
      </c>
      <c r="AX82" s="4">
        <f ca="1">'Income Statement'!AX$19</f>
        <v>1776234.1732335028</v>
      </c>
      <c r="AY82" s="4">
        <f ca="1">'Income Statement'!AY$19</f>
        <v>1804491.9551902867</v>
      </c>
      <c r="AZ82" s="4">
        <f ca="1">'Income Statement'!AZ$19</f>
        <v>2000636.0940589043</v>
      </c>
      <c r="BA82" s="4">
        <f ca="1">'Income Statement'!BA$19</f>
        <v>2200066.6227878989</v>
      </c>
      <c r="BB82" s="4">
        <f ca="1">'Income Statement'!BB$19</f>
        <v>2225472.1074835407</v>
      </c>
      <c r="BC82" s="4">
        <f ca="1">'Income Statement'!BC$19</f>
        <v>2427186.4224637854</v>
      </c>
      <c r="BD82" s="4">
        <f ca="1">'Income Statement'!BD$19</f>
        <v>2634312.3006806388</v>
      </c>
      <c r="BE82" s="4">
        <f ca="1">'Income Statement'!BE$19</f>
        <v>2666004.5258928202</v>
      </c>
      <c r="BF82" s="4">
        <f ca="1">'Income Statement'!BF$19</f>
        <v>2859382.8330774345</v>
      </c>
      <c r="BG82" s="4">
        <f ca="1">'Income Statement'!BG$19</f>
        <v>3086308.6816285588</v>
      </c>
      <c r="BH82" s="4">
        <f ca="1">'Income Statement'!BH$19</f>
        <v>3317883.5724377618</v>
      </c>
      <c r="BI82" s="4">
        <f ca="1">'Income Statement'!BI$19</f>
        <v>3551186.6839929274</v>
      </c>
      <c r="BJ82" s="4">
        <f ca="1">'Income Statement'!BJ$19</f>
        <v>3789407.4256627145</v>
      </c>
      <c r="BK82" s="4">
        <f ca="1">'Income Statement'!BK$19</f>
        <v>4033163.983883122</v>
      </c>
      <c r="BL82" s="4">
        <f ca="1">'Income Statement'!BL$19</f>
        <v>4279126.4069722053</v>
      </c>
      <c r="BM82" s="4">
        <f ca="1">'Income Statement'!BM$19</f>
        <v>4532215.124376378</v>
      </c>
      <c r="BN82" s="4">
        <f ca="1">'Income Statement'!BN$19</f>
        <v>4789337.317185198</v>
      </c>
      <c r="BO82" s="4">
        <f ca="1">'Income Statement'!BO$19</f>
        <v>5050474.0537756896</v>
      </c>
      <c r="BP82" s="4">
        <f ca="1">'Income Statement'!BP$19</f>
        <v>5322166.4826188087</v>
      </c>
      <c r="BQ82" s="4">
        <f ca="1">'Income Statement'!BQ$19</f>
        <v>5595356.4862451879</v>
      </c>
    </row>
    <row r="83" spans="1:69">
      <c r="E83" s="2" t="s">
        <v>298</v>
      </c>
      <c r="F83" s="45">
        <f ca="1">SUM($J81:$BQ81)/SUM($J82:$BQ82)</f>
        <v>0.20857263045136212</v>
      </c>
      <c r="G83" s="2" t="s">
        <v>205</v>
      </c>
      <c r="M83" s="45"/>
    </row>
    <row r="86" spans="1:69">
      <c r="B86" s="22" t="s">
        <v>265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BQ16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27.7265625" style="2" customWidth="1"/>
    <col min="6" max="6" width="20.7265625" style="2" customWidth="1"/>
    <col min="7" max="7" width="13.7265625" style="2" customWidth="1"/>
    <col min="8" max="8" width="7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48" width="11.7265625" style="2" customWidth="1"/>
    <col min="49" max="50" width="12.7265625" style="2" customWidth="1"/>
    <col min="51" max="51" width="11.7265625" style="2" customWidth="1"/>
    <col min="52" max="53" width="12.7265625" style="2" customWidth="1"/>
    <col min="54" max="54" width="11.7265625" style="2" customWidth="1"/>
    <col min="55" max="55" width="12.7265625" style="2" customWidth="1"/>
    <col min="56" max="57" width="11.7265625" style="2" customWidth="1"/>
    <col min="58" max="59" width="12.7265625" style="2" customWidth="1"/>
    <col min="60" max="60" width="11.7265625" style="2" customWidth="1"/>
    <col min="61" max="62" width="12.7265625" style="2" customWidth="1"/>
    <col min="63" max="63" width="11.7265625" style="2" customWidth="1"/>
    <col min="64" max="65" width="12.7265625" style="2" customWidth="1"/>
    <col min="66" max="66" width="11.7265625" style="2" customWidth="1"/>
    <col min="67" max="67" width="12.7265625" style="2" customWidth="1"/>
    <col min="68" max="69" width="11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Equity</v>
      </c>
      <c r="B1" s="37"/>
      <c r="C1" s="58"/>
      <c r="D1" s="67"/>
      <c r="F1" s="42" t="str">
        <f>HYPERLINK("#Contents!A1","Go to contents")</f>
        <v>Go to contents</v>
      </c>
      <c r="H1" s="38"/>
      <c r="J1" s="38"/>
    </row>
    <row r="2" spans="1:69" s="43" customFormat="1">
      <c r="A2" s="39"/>
      <c r="B2" s="39"/>
      <c r="C2" s="56"/>
      <c r="D2" s="62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>
      <c r="A3" s="39"/>
      <c r="B3" s="39"/>
      <c r="C3" s="56"/>
      <c r="D3" s="62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62"/>
      <c r="E4" s="20" t="s">
        <v>325</v>
      </c>
      <c r="F4" s="22"/>
      <c r="G4" s="20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>
      <c r="A5" s="39"/>
      <c r="B5" s="39"/>
      <c r="C5" s="56"/>
      <c r="D5" s="62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6" spans="1:69">
      <c r="F6" s="22"/>
      <c r="G6" s="22"/>
      <c r="H6" s="22"/>
    </row>
    <row r="8" spans="1:69">
      <c r="B8" s="22" t="s">
        <v>18</v>
      </c>
    </row>
    <row r="9" spans="1:69" s="64" customFormat="1">
      <c r="A9" s="46"/>
      <c r="B9" s="46"/>
      <c r="C9" s="65"/>
      <c r="D9" s="63"/>
      <c r="E9" s="34" t="str">
        <f>InpC!E$46</f>
        <v>Opening Share Capital</v>
      </c>
      <c r="F9" s="34">
        <f>InpC!F$46</f>
        <v>0</v>
      </c>
      <c r="G9" s="34" t="str">
        <f>InpC!G$46</f>
        <v>GBP</v>
      </c>
    </row>
    <row r="10" spans="1:69">
      <c r="A10" s="17"/>
      <c r="B10" s="17"/>
      <c r="C10" s="26"/>
      <c r="D10" s="27"/>
      <c r="E10" s="10" t="str">
        <f>Time!E$28</f>
        <v>Period number</v>
      </c>
      <c r="F10" s="10">
        <f>Time!F$28</f>
        <v>0</v>
      </c>
      <c r="G10" s="10" t="str">
        <f>Time!G$28</f>
        <v>Counter</v>
      </c>
      <c r="H10" s="10">
        <f>Time!H$28</f>
        <v>0</v>
      </c>
      <c r="I10" s="10">
        <f>Time!I$28</f>
        <v>0</v>
      </c>
      <c r="J10" s="10">
        <f>Time!J$28</f>
        <v>1</v>
      </c>
      <c r="K10" s="10">
        <f>Time!K$28</f>
        <v>2</v>
      </c>
      <c r="L10" s="10">
        <f>Time!L$28</f>
        <v>3</v>
      </c>
      <c r="M10" s="10">
        <f>Time!M$28</f>
        <v>4</v>
      </c>
      <c r="N10" s="10">
        <f>Time!N$28</f>
        <v>5</v>
      </c>
      <c r="O10" s="10">
        <f>Time!O$28</f>
        <v>6</v>
      </c>
      <c r="P10" s="10">
        <f>Time!P$28</f>
        <v>7</v>
      </c>
      <c r="Q10" s="10">
        <f>Time!Q$28</f>
        <v>8</v>
      </c>
      <c r="R10" s="10">
        <f>Time!R$28</f>
        <v>9</v>
      </c>
      <c r="S10" s="10">
        <f>Time!S$28</f>
        <v>10</v>
      </c>
      <c r="T10" s="10">
        <f>Time!T$28</f>
        <v>11</v>
      </c>
      <c r="U10" s="10">
        <f>Time!U$28</f>
        <v>12</v>
      </c>
      <c r="V10" s="10">
        <f>Time!V$28</f>
        <v>13</v>
      </c>
      <c r="W10" s="10">
        <f>Time!W$28</f>
        <v>14</v>
      </c>
      <c r="X10" s="10">
        <f>Time!X$28</f>
        <v>15</v>
      </c>
      <c r="Y10" s="10">
        <f>Time!Y$28</f>
        <v>16</v>
      </c>
      <c r="Z10" s="10">
        <f>Time!Z$28</f>
        <v>17</v>
      </c>
      <c r="AA10" s="10">
        <f>Time!AA$28</f>
        <v>18</v>
      </c>
      <c r="AB10" s="10">
        <f>Time!AB$28</f>
        <v>19</v>
      </c>
      <c r="AC10" s="10">
        <f>Time!AC$28</f>
        <v>20</v>
      </c>
      <c r="AD10" s="10">
        <f>Time!AD$28</f>
        <v>21</v>
      </c>
      <c r="AE10" s="10">
        <f>Time!AE$28</f>
        <v>22</v>
      </c>
      <c r="AF10" s="10">
        <f>Time!AF$28</f>
        <v>23</v>
      </c>
      <c r="AG10" s="10">
        <f>Time!AG$28</f>
        <v>24</v>
      </c>
      <c r="AH10" s="10">
        <f>Time!AH$28</f>
        <v>25</v>
      </c>
      <c r="AI10" s="10">
        <f>Time!AI$28</f>
        <v>26</v>
      </c>
      <c r="AJ10" s="10">
        <f>Time!AJ$28</f>
        <v>27</v>
      </c>
      <c r="AK10" s="10">
        <f>Time!AK$28</f>
        <v>28</v>
      </c>
      <c r="AL10" s="10">
        <f>Time!AL$28</f>
        <v>29</v>
      </c>
      <c r="AM10" s="10">
        <f>Time!AM$28</f>
        <v>30</v>
      </c>
      <c r="AN10" s="10">
        <f>Time!AN$28</f>
        <v>31</v>
      </c>
      <c r="AO10" s="10">
        <f>Time!AO$28</f>
        <v>32</v>
      </c>
      <c r="AP10" s="10">
        <f>Time!AP$28</f>
        <v>33</v>
      </c>
      <c r="AQ10" s="10">
        <f>Time!AQ$28</f>
        <v>34</v>
      </c>
      <c r="AR10" s="10">
        <f>Time!AR$28</f>
        <v>35</v>
      </c>
      <c r="AS10" s="10">
        <f>Time!AS$28</f>
        <v>36</v>
      </c>
      <c r="AT10" s="10">
        <f>Time!AT$28</f>
        <v>37</v>
      </c>
      <c r="AU10" s="10">
        <f>Time!AU$28</f>
        <v>38</v>
      </c>
      <c r="AV10" s="10">
        <f>Time!AV$28</f>
        <v>39</v>
      </c>
      <c r="AW10" s="10">
        <f>Time!AW$28</f>
        <v>40</v>
      </c>
      <c r="AX10" s="10">
        <f>Time!AX$28</f>
        <v>41</v>
      </c>
      <c r="AY10" s="10">
        <f>Time!AY$28</f>
        <v>42</v>
      </c>
      <c r="AZ10" s="10">
        <f>Time!AZ$28</f>
        <v>43</v>
      </c>
      <c r="BA10" s="10">
        <f>Time!BA$28</f>
        <v>44</v>
      </c>
      <c r="BB10" s="10">
        <f>Time!BB$28</f>
        <v>45</v>
      </c>
      <c r="BC10" s="10">
        <f>Time!BC$28</f>
        <v>46</v>
      </c>
      <c r="BD10" s="10">
        <f>Time!BD$28</f>
        <v>47</v>
      </c>
      <c r="BE10" s="10">
        <f>Time!BE$28</f>
        <v>48</v>
      </c>
      <c r="BF10" s="10">
        <f>Time!BF$28</f>
        <v>49</v>
      </c>
      <c r="BG10" s="10">
        <f>Time!BG$28</f>
        <v>50</v>
      </c>
      <c r="BH10" s="10">
        <f>Time!BH$28</f>
        <v>51</v>
      </c>
      <c r="BI10" s="10">
        <f>Time!BI$28</f>
        <v>52</v>
      </c>
      <c r="BJ10" s="10">
        <f>Time!BJ$28</f>
        <v>53</v>
      </c>
      <c r="BK10" s="10">
        <f>Time!BK$28</f>
        <v>54</v>
      </c>
      <c r="BL10" s="10">
        <f>Time!BL$28</f>
        <v>55</v>
      </c>
      <c r="BM10" s="10">
        <f>Time!BM$28</f>
        <v>56</v>
      </c>
      <c r="BN10" s="10">
        <f>Time!BN$28</f>
        <v>57</v>
      </c>
      <c r="BO10" s="10">
        <f>Time!BO$28</f>
        <v>58</v>
      </c>
      <c r="BP10" s="10">
        <f>Time!BP$28</f>
        <v>59</v>
      </c>
      <c r="BQ10" s="10">
        <f>Time!BQ$28</f>
        <v>60</v>
      </c>
    </row>
    <row r="11" spans="1:69" ht="14.5">
      <c r="E11" s="2" t="s">
        <v>41</v>
      </c>
      <c r="G11" s="2" t="s">
        <v>252</v>
      </c>
      <c r="I11"/>
      <c r="J11" s="2">
        <f t="shared" ref="J11:AO11" si="0">I13</f>
        <v>0</v>
      </c>
      <c r="K11" s="2">
        <f t="shared" si="0"/>
        <v>0</v>
      </c>
      <c r="L11" s="2">
        <f t="shared" si="0"/>
        <v>0</v>
      </c>
      <c r="M11" s="2">
        <f t="shared" si="0"/>
        <v>0</v>
      </c>
      <c r="N11" s="2">
        <f t="shared" si="0"/>
        <v>0</v>
      </c>
      <c r="O11" s="2">
        <f t="shared" si="0"/>
        <v>0</v>
      </c>
      <c r="P11" s="2">
        <f t="shared" si="0"/>
        <v>0</v>
      </c>
      <c r="Q11" s="2">
        <f t="shared" si="0"/>
        <v>0</v>
      </c>
      <c r="R11" s="2">
        <f t="shared" si="0"/>
        <v>0</v>
      </c>
      <c r="S11" s="2">
        <f t="shared" si="0"/>
        <v>0</v>
      </c>
      <c r="T11" s="2">
        <f t="shared" si="0"/>
        <v>0</v>
      </c>
      <c r="U11" s="2">
        <f t="shared" si="0"/>
        <v>0</v>
      </c>
      <c r="V11" s="2">
        <f t="shared" si="0"/>
        <v>0</v>
      </c>
      <c r="W11" s="2">
        <f t="shared" si="0"/>
        <v>0</v>
      </c>
      <c r="X11" s="2">
        <f t="shared" si="0"/>
        <v>0</v>
      </c>
      <c r="Y11" s="2">
        <f t="shared" si="0"/>
        <v>0</v>
      </c>
      <c r="Z11" s="2">
        <f t="shared" si="0"/>
        <v>0</v>
      </c>
      <c r="AA11" s="2">
        <f t="shared" si="0"/>
        <v>0</v>
      </c>
      <c r="AB11" s="2">
        <f t="shared" si="0"/>
        <v>0</v>
      </c>
      <c r="AC11" s="2">
        <f t="shared" si="0"/>
        <v>0</v>
      </c>
      <c r="AD11" s="2">
        <f t="shared" si="0"/>
        <v>0</v>
      </c>
      <c r="AE11" s="2">
        <f t="shared" si="0"/>
        <v>0</v>
      </c>
      <c r="AF11" s="2">
        <f t="shared" si="0"/>
        <v>0</v>
      </c>
      <c r="AG11" s="2">
        <f t="shared" si="0"/>
        <v>0</v>
      </c>
      <c r="AH11" s="2">
        <f t="shared" si="0"/>
        <v>0</v>
      </c>
      <c r="AI11" s="2">
        <f t="shared" si="0"/>
        <v>0</v>
      </c>
      <c r="AJ11" s="2">
        <f t="shared" si="0"/>
        <v>0</v>
      </c>
      <c r="AK11" s="2">
        <f t="shared" si="0"/>
        <v>0</v>
      </c>
      <c r="AL11" s="2">
        <f t="shared" si="0"/>
        <v>0</v>
      </c>
      <c r="AM11" s="2">
        <f t="shared" si="0"/>
        <v>0</v>
      </c>
      <c r="AN11" s="2">
        <f t="shared" si="0"/>
        <v>0</v>
      </c>
      <c r="AO11" s="2">
        <f t="shared" si="0"/>
        <v>0</v>
      </c>
      <c r="AP11" s="2">
        <f t="shared" ref="AP11:BQ11" si="1">AO13</f>
        <v>0</v>
      </c>
      <c r="AQ11" s="2">
        <f t="shared" si="1"/>
        <v>0</v>
      </c>
      <c r="AR11" s="2">
        <f t="shared" si="1"/>
        <v>0</v>
      </c>
      <c r="AS11" s="2">
        <f t="shared" si="1"/>
        <v>0</v>
      </c>
      <c r="AT11" s="2">
        <f t="shared" si="1"/>
        <v>0</v>
      </c>
      <c r="AU11" s="2">
        <f t="shared" si="1"/>
        <v>0</v>
      </c>
      <c r="AV11" s="2">
        <f t="shared" si="1"/>
        <v>0</v>
      </c>
      <c r="AW11" s="2">
        <f t="shared" si="1"/>
        <v>0</v>
      </c>
      <c r="AX11" s="2">
        <f t="shared" si="1"/>
        <v>0</v>
      </c>
      <c r="AY11" s="2">
        <f t="shared" si="1"/>
        <v>0</v>
      </c>
      <c r="AZ11" s="2">
        <f t="shared" si="1"/>
        <v>0</v>
      </c>
      <c r="BA11" s="2">
        <f t="shared" si="1"/>
        <v>0</v>
      </c>
      <c r="BB11" s="2">
        <f t="shared" si="1"/>
        <v>0</v>
      </c>
      <c r="BC11" s="2">
        <f t="shared" si="1"/>
        <v>0</v>
      </c>
      <c r="BD11" s="2">
        <f t="shared" si="1"/>
        <v>0</v>
      </c>
      <c r="BE11" s="2">
        <f t="shared" si="1"/>
        <v>0</v>
      </c>
      <c r="BF11" s="2">
        <f t="shared" si="1"/>
        <v>0</v>
      </c>
      <c r="BG11" s="2">
        <f t="shared" si="1"/>
        <v>0</v>
      </c>
      <c r="BH11" s="2">
        <f t="shared" si="1"/>
        <v>0</v>
      </c>
      <c r="BI11" s="2">
        <f t="shared" si="1"/>
        <v>0</v>
      </c>
      <c r="BJ11" s="2">
        <f t="shared" si="1"/>
        <v>0</v>
      </c>
      <c r="BK11" s="2">
        <f t="shared" si="1"/>
        <v>0</v>
      </c>
      <c r="BL11" s="2">
        <f t="shared" si="1"/>
        <v>0</v>
      </c>
      <c r="BM11" s="2">
        <f t="shared" si="1"/>
        <v>0</v>
      </c>
      <c r="BN11" s="2">
        <f t="shared" si="1"/>
        <v>0</v>
      </c>
      <c r="BO11" s="2">
        <f t="shared" si="1"/>
        <v>0</v>
      </c>
      <c r="BP11" s="2">
        <f t="shared" si="1"/>
        <v>0</v>
      </c>
      <c r="BQ11" s="2">
        <f t="shared" si="1"/>
        <v>0</v>
      </c>
    </row>
    <row r="12" spans="1:69">
      <c r="A12" s="17"/>
      <c r="B12" s="17"/>
      <c r="C12" s="26"/>
      <c r="D12" s="27" t="s">
        <v>216</v>
      </c>
      <c r="E12" s="4" t="str">
        <f>InpS!E$11</f>
        <v>New share capital issued</v>
      </c>
      <c r="F12" s="4">
        <f>InpS!F$11</f>
        <v>0</v>
      </c>
      <c r="G12" s="4" t="str">
        <f>InpS!G$11</f>
        <v>GBP</v>
      </c>
      <c r="H12" s="4">
        <f>InpS!H$11</f>
        <v>0</v>
      </c>
      <c r="I12" s="4">
        <f>InpS!I$11</f>
        <v>0</v>
      </c>
      <c r="J12" s="4">
        <f>InpS!J$11</f>
        <v>0</v>
      </c>
      <c r="K12" s="4">
        <f>InpS!K$11</f>
        <v>0</v>
      </c>
      <c r="L12" s="4">
        <f>InpS!L$11</f>
        <v>0</v>
      </c>
      <c r="M12" s="4">
        <f>InpS!M$11</f>
        <v>0</v>
      </c>
      <c r="N12" s="4">
        <f>InpS!N$11</f>
        <v>0</v>
      </c>
      <c r="O12" s="4">
        <f>InpS!O$11</f>
        <v>0</v>
      </c>
      <c r="P12" s="4">
        <f>InpS!P$11</f>
        <v>0</v>
      </c>
      <c r="Q12" s="4">
        <f>InpS!Q$11</f>
        <v>0</v>
      </c>
      <c r="R12" s="4">
        <f>InpS!R$11</f>
        <v>0</v>
      </c>
      <c r="S12" s="4">
        <f>InpS!S$11</f>
        <v>0</v>
      </c>
      <c r="T12" s="4">
        <f>InpS!T$11</f>
        <v>0</v>
      </c>
      <c r="U12" s="4">
        <f>InpS!U$11</f>
        <v>0</v>
      </c>
      <c r="V12" s="4">
        <f>InpS!V$11</f>
        <v>0</v>
      </c>
      <c r="W12" s="4">
        <f>InpS!W$11</f>
        <v>0</v>
      </c>
      <c r="X12" s="4">
        <f>InpS!X$11</f>
        <v>0</v>
      </c>
      <c r="Y12" s="4">
        <f>InpS!Y$11</f>
        <v>0</v>
      </c>
      <c r="Z12" s="4">
        <f>InpS!Z$11</f>
        <v>0</v>
      </c>
      <c r="AA12" s="4">
        <f>InpS!AA$11</f>
        <v>0</v>
      </c>
      <c r="AB12" s="4">
        <f>InpS!AB$11</f>
        <v>0</v>
      </c>
      <c r="AC12" s="4">
        <f>InpS!AC$11</f>
        <v>0</v>
      </c>
      <c r="AD12" s="4">
        <f>InpS!AD$11</f>
        <v>0</v>
      </c>
      <c r="AE12" s="4">
        <f>InpS!AE$11</f>
        <v>0</v>
      </c>
      <c r="AF12" s="4">
        <f>InpS!AF$11</f>
        <v>0</v>
      </c>
      <c r="AG12" s="4">
        <f>InpS!AG$11</f>
        <v>0</v>
      </c>
      <c r="AH12" s="4">
        <f>InpS!AH$11</f>
        <v>0</v>
      </c>
      <c r="AI12" s="4">
        <f>InpS!AI$11</f>
        <v>0</v>
      </c>
      <c r="AJ12" s="4">
        <f>InpS!AJ$11</f>
        <v>0</v>
      </c>
      <c r="AK12" s="4">
        <f>InpS!AK$11</f>
        <v>0</v>
      </c>
      <c r="AL12" s="4">
        <f>InpS!AL$11</f>
        <v>0</v>
      </c>
      <c r="AM12" s="4">
        <f>InpS!AM$11</f>
        <v>0</v>
      </c>
      <c r="AN12" s="4">
        <f>InpS!AN$11</f>
        <v>0</v>
      </c>
      <c r="AO12" s="4">
        <f>InpS!AO$11</f>
        <v>0</v>
      </c>
      <c r="AP12" s="4">
        <f>InpS!AP$11</f>
        <v>0</v>
      </c>
      <c r="AQ12" s="4">
        <f>InpS!AQ$11</f>
        <v>0</v>
      </c>
      <c r="AR12" s="4">
        <f>InpS!AR$11</f>
        <v>0</v>
      </c>
      <c r="AS12" s="4">
        <f>InpS!AS$11</f>
        <v>0</v>
      </c>
      <c r="AT12" s="4">
        <f>InpS!AT$11</f>
        <v>0</v>
      </c>
      <c r="AU12" s="4">
        <f>InpS!AU$11</f>
        <v>0</v>
      </c>
      <c r="AV12" s="4">
        <f>InpS!AV$11</f>
        <v>0</v>
      </c>
      <c r="AW12" s="4">
        <f>InpS!AW$11</f>
        <v>0</v>
      </c>
      <c r="AX12" s="4">
        <f>InpS!AX$11</f>
        <v>0</v>
      </c>
      <c r="AY12" s="4">
        <f>InpS!AY$11</f>
        <v>0</v>
      </c>
      <c r="AZ12" s="4">
        <f>InpS!AZ$11</f>
        <v>0</v>
      </c>
      <c r="BA12" s="4">
        <f>InpS!BA$11</f>
        <v>0</v>
      </c>
      <c r="BB12" s="4">
        <f>InpS!BB$11</f>
        <v>0</v>
      </c>
      <c r="BC12" s="4">
        <f>InpS!BC$11</f>
        <v>0</v>
      </c>
      <c r="BD12" s="4">
        <f>InpS!BD$11</f>
        <v>0</v>
      </c>
      <c r="BE12" s="4">
        <f>InpS!BE$11</f>
        <v>0</v>
      </c>
      <c r="BF12" s="4">
        <f>InpS!BF$11</f>
        <v>0</v>
      </c>
      <c r="BG12" s="4">
        <f>InpS!BG$11</f>
        <v>0</v>
      </c>
      <c r="BH12" s="4">
        <f>InpS!BH$11</f>
        <v>0</v>
      </c>
      <c r="BI12" s="4">
        <f>InpS!BI$11</f>
        <v>0</v>
      </c>
      <c r="BJ12" s="4">
        <f>InpS!BJ$11</f>
        <v>0</v>
      </c>
      <c r="BK12" s="4">
        <f>InpS!BK$11</f>
        <v>0</v>
      </c>
      <c r="BL12" s="4">
        <f>InpS!BL$11</f>
        <v>0</v>
      </c>
      <c r="BM12" s="4">
        <f>InpS!BM$11</f>
        <v>0</v>
      </c>
      <c r="BN12" s="4">
        <f>InpS!BN$11</f>
        <v>0</v>
      </c>
      <c r="BO12" s="4">
        <f>InpS!BO$11</f>
        <v>0</v>
      </c>
      <c r="BP12" s="4">
        <f>InpS!BP$11</f>
        <v>0</v>
      </c>
      <c r="BQ12" s="4">
        <f>InpS!BQ$11</f>
        <v>0</v>
      </c>
    </row>
    <row r="13" spans="1:69" s="32" customFormat="1">
      <c r="A13" s="48"/>
      <c r="B13" s="48"/>
      <c r="C13" s="68"/>
      <c r="D13" s="69"/>
      <c r="E13" s="11" t="s">
        <v>18</v>
      </c>
      <c r="F13" s="11"/>
      <c r="G13" s="11" t="s">
        <v>252</v>
      </c>
      <c r="H13" s="11"/>
      <c r="I13" s="11">
        <f t="shared" ref="I13:AN13" si="2">IF(I10=0,$F9,I11+I12)</f>
        <v>0</v>
      </c>
      <c r="J13" s="11">
        <f t="shared" si="2"/>
        <v>0</v>
      </c>
      <c r="K13" s="11">
        <f t="shared" si="2"/>
        <v>0</v>
      </c>
      <c r="L13" s="11">
        <f t="shared" si="2"/>
        <v>0</v>
      </c>
      <c r="M13" s="11">
        <f t="shared" si="2"/>
        <v>0</v>
      </c>
      <c r="N13" s="11">
        <f t="shared" si="2"/>
        <v>0</v>
      </c>
      <c r="O13" s="11">
        <f t="shared" si="2"/>
        <v>0</v>
      </c>
      <c r="P13" s="11">
        <f t="shared" si="2"/>
        <v>0</v>
      </c>
      <c r="Q13" s="11">
        <f t="shared" si="2"/>
        <v>0</v>
      </c>
      <c r="R13" s="11">
        <f t="shared" si="2"/>
        <v>0</v>
      </c>
      <c r="S13" s="11">
        <f t="shared" si="2"/>
        <v>0</v>
      </c>
      <c r="T13" s="11">
        <f t="shared" si="2"/>
        <v>0</v>
      </c>
      <c r="U13" s="11">
        <f t="shared" si="2"/>
        <v>0</v>
      </c>
      <c r="V13" s="11">
        <f t="shared" si="2"/>
        <v>0</v>
      </c>
      <c r="W13" s="11">
        <f t="shared" si="2"/>
        <v>0</v>
      </c>
      <c r="X13" s="11">
        <f t="shared" si="2"/>
        <v>0</v>
      </c>
      <c r="Y13" s="11">
        <f t="shared" si="2"/>
        <v>0</v>
      </c>
      <c r="Z13" s="11">
        <f t="shared" si="2"/>
        <v>0</v>
      </c>
      <c r="AA13" s="11">
        <f t="shared" si="2"/>
        <v>0</v>
      </c>
      <c r="AB13" s="11">
        <f t="shared" si="2"/>
        <v>0</v>
      </c>
      <c r="AC13" s="11">
        <f t="shared" si="2"/>
        <v>0</v>
      </c>
      <c r="AD13" s="11">
        <f t="shared" si="2"/>
        <v>0</v>
      </c>
      <c r="AE13" s="11">
        <f t="shared" si="2"/>
        <v>0</v>
      </c>
      <c r="AF13" s="11">
        <f t="shared" si="2"/>
        <v>0</v>
      </c>
      <c r="AG13" s="11">
        <f t="shared" si="2"/>
        <v>0</v>
      </c>
      <c r="AH13" s="11">
        <f t="shared" si="2"/>
        <v>0</v>
      </c>
      <c r="AI13" s="11">
        <f t="shared" si="2"/>
        <v>0</v>
      </c>
      <c r="AJ13" s="11">
        <f t="shared" si="2"/>
        <v>0</v>
      </c>
      <c r="AK13" s="11">
        <f t="shared" si="2"/>
        <v>0</v>
      </c>
      <c r="AL13" s="11">
        <f t="shared" si="2"/>
        <v>0</v>
      </c>
      <c r="AM13" s="11">
        <f t="shared" si="2"/>
        <v>0</v>
      </c>
      <c r="AN13" s="11">
        <f t="shared" si="2"/>
        <v>0</v>
      </c>
      <c r="AO13" s="11">
        <f t="shared" ref="AO13:BT13" si="3">IF(AO10=0,$F9,AO11+AO12)</f>
        <v>0</v>
      </c>
      <c r="AP13" s="11">
        <f t="shared" si="3"/>
        <v>0</v>
      </c>
      <c r="AQ13" s="11">
        <f t="shared" si="3"/>
        <v>0</v>
      </c>
      <c r="AR13" s="11">
        <f t="shared" si="3"/>
        <v>0</v>
      </c>
      <c r="AS13" s="11">
        <f t="shared" si="3"/>
        <v>0</v>
      </c>
      <c r="AT13" s="11">
        <f t="shared" si="3"/>
        <v>0</v>
      </c>
      <c r="AU13" s="11">
        <f t="shared" si="3"/>
        <v>0</v>
      </c>
      <c r="AV13" s="11">
        <f t="shared" si="3"/>
        <v>0</v>
      </c>
      <c r="AW13" s="11">
        <f t="shared" si="3"/>
        <v>0</v>
      </c>
      <c r="AX13" s="11">
        <f t="shared" si="3"/>
        <v>0</v>
      </c>
      <c r="AY13" s="11">
        <f t="shared" si="3"/>
        <v>0</v>
      </c>
      <c r="AZ13" s="11">
        <f t="shared" si="3"/>
        <v>0</v>
      </c>
      <c r="BA13" s="11">
        <f t="shared" si="3"/>
        <v>0</v>
      </c>
      <c r="BB13" s="11">
        <f t="shared" si="3"/>
        <v>0</v>
      </c>
      <c r="BC13" s="11">
        <f t="shared" si="3"/>
        <v>0</v>
      </c>
      <c r="BD13" s="11">
        <f t="shared" si="3"/>
        <v>0</v>
      </c>
      <c r="BE13" s="11">
        <f t="shared" si="3"/>
        <v>0</v>
      </c>
      <c r="BF13" s="11">
        <f t="shared" si="3"/>
        <v>0</v>
      </c>
      <c r="BG13" s="11">
        <f t="shared" si="3"/>
        <v>0</v>
      </c>
      <c r="BH13" s="11">
        <f t="shared" si="3"/>
        <v>0</v>
      </c>
      <c r="BI13" s="11">
        <f t="shared" si="3"/>
        <v>0</v>
      </c>
      <c r="BJ13" s="11">
        <f t="shared" si="3"/>
        <v>0</v>
      </c>
      <c r="BK13" s="11">
        <f t="shared" si="3"/>
        <v>0</v>
      </c>
      <c r="BL13" s="11">
        <f t="shared" si="3"/>
        <v>0</v>
      </c>
      <c r="BM13" s="11">
        <f t="shared" si="3"/>
        <v>0</v>
      </c>
      <c r="BN13" s="11">
        <f t="shared" si="3"/>
        <v>0</v>
      </c>
      <c r="BO13" s="11">
        <f t="shared" si="3"/>
        <v>0</v>
      </c>
      <c r="BP13" s="11">
        <f t="shared" si="3"/>
        <v>0</v>
      </c>
      <c r="BQ13" s="11">
        <f t="shared" si="3"/>
        <v>0</v>
      </c>
    </row>
    <row r="16" spans="1:69">
      <c r="B16" s="22" t="s">
        <v>265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Q26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33.7265625" style="2" customWidth="1"/>
    <col min="6" max="6" width="20.7265625" style="2" customWidth="1"/>
    <col min="7" max="7" width="13.7265625" style="2" customWidth="1"/>
    <col min="8" max="8" width="7.7265625" style="2" customWidth="1"/>
    <col min="9" max="9" width="3.7265625" style="2" customWidth="1"/>
    <col min="10" max="11" width="12.7265625" style="2" customWidth="1"/>
    <col min="12" max="12" width="11.7265625" style="2" customWidth="1"/>
    <col min="13" max="14" width="12.7265625" style="2" customWidth="1"/>
    <col min="15" max="15" width="11.7265625" style="2" customWidth="1"/>
    <col min="16" max="17" width="12.7265625" style="2" customWidth="1"/>
    <col min="18" max="18" width="11.7265625" style="2" customWidth="1"/>
    <col min="19" max="19" width="12.7265625" style="2" customWidth="1"/>
    <col min="20" max="21" width="11.7265625" style="2" customWidth="1"/>
    <col min="22" max="23" width="12.7265625" style="2" customWidth="1"/>
    <col min="24" max="24" width="11.7265625" style="2" customWidth="1"/>
    <col min="25" max="26" width="12.7265625" style="2" customWidth="1"/>
    <col min="27" max="27" width="11.7265625" style="2" customWidth="1"/>
    <col min="28" max="29" width="12.7265625" style="2" customWidth="1"/>
    <col min="30" max="30" width="11.7265625" style="2" customWidth="1"/>
    <col min="31" max="31" width="12.7265625" style="2" customWidth="1"/>
    <col min="32" max="33" width="11.7265625" style="2" customWidth="1"/>
    <col min="34" max="35" width="12.7265625" style="2" customWidth="1"/>
    <col min="36" max="36" width="11.7265625" style="2" customWidth="1"/>
    <col min="37" max="38" width="12.7265625" style="2" customWidth="1"/>
    <col min="39" max="39" width="11.7265625" style="2" customWidth="1"/>
    <col min="40" max="41" width="12.7265625" style="2" customWidth="1"/>
    <col min="42" max="42" width="11.7265625" style="2" customWidth="1"/>
    <col min="43" max="43" width="12.7265625" style="2" customWidth="1"/>
    <col min="44" max="45" width="11.7265625" style="2" customWidth="1"/>
    <col min="46" max="47" width="12.7265625" style="2" customWidth="1"/>
    <col min="48" max="48" width="11.7265625" style="2" customWidth="1"/>
    <col min="49" max="50" width="12.7265625" style="2" customWidth="1"/>
    <col min="51" max="51" width="11.7265625" style="2" customWidth="1"/>
    <col min="52" max="53" width="12.7265625" style="2" customWidth="1"/>
    <col min="54" max="54" width="11.7265625" style="2" customWidth="1"/>
    <col min="55" max="55" width="12.7265625" style="2" customWidth="1"/>
    <col min="56" max="57" width="11.7265625" style="2" customWidth="1"/>
    <col min="58" max="59" width="12.7265625" style="2" customWidth="1"/>
    <col min="60" max="60" width="11.7265625" style="2" customWidth="1"/>
    <col min="61" max="61" width="12.7265625" style="2" customWidth="1"/>
    <col min="62" max="69" width="13.7265625" style="2" customWidth="1"/>
    <col min="70" max="70" width="15.7265625" style="2" customWidth="1"/>
    <col min="71" max="16384" width="9.1796875" style="2"/>
  </cols>
  <sheetData>
    <row r="1" spans="1:69" s="53" customFormat="1" ht="25">
      <c r="A1" s="37" t="str">
        <f ca="1">RIGHT(CELL("filename",A1),LEN(CELL("filename",A1))-SEARCH("]",CELL("filename",A1)))</f>
        <v>Model Checks and Alerts</v>
      </c>
      <c r="B1" s="37"/>
      <c r="C1" s="58"/>
      <c r="D1" s="67"/>
      <c r="F1" s="42" t="str">
        <f>HYPERLINK("#Contents!A1","Go to contents")</f>
        <v>Go to contents</v>
      </c>
      <c r="H1" s="38"/>
      <c r="J1" s="38"/>
    </row>
    <row r="2" spans="1:69" s="43" customFormat="1">
      <c r="A2" s="39"/>
      <c r="B2" s="39"/>
      <c r="C2" s="56"/>
      <c r="D2" s="62"/>
      <c r="E2" s="20" t="s">
        <v>324</v>
      </c>
      <c r="F2" s="41">
        <f ca="1">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>
      <c r="A3" s="39"/>
      <c r="B3" s="39"/>
      <c r="C3" s="56"/>
      <c r="D3" s="62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62"/>
      <c r="E4" s="20" t="s">
        <v>325</v>
      </c>
      <c r="F4" s="22"/>
      <c r="G4" s="20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>
      <c r="A5" s="39"/>
      <c r="B5" s="39"/>
      <c r="C5" s="56"/>
      <c r="D5" s="62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</row>
    <row r="6" spans="1:69">
      <c r="F6" s="22"/>
      <c r="G6" s="22"/>
      <c r="H6" s="22"/>
    </row>
    <row r="8" spans="1:69">
      <c r="A8" s="22" t="s">
        <v>19</v>
      </c>
    </row>
    <row r="9" spans="1:69" ht="14.5">
      <c r="A9"/>
      <c r="B9" s="22" t="s">
        <v>137</v>
      </c>
    </row>
    <row r="10" spans="1:69">
      <c r="E10" s="2" t="str">
        <f>E$22</f>
        <v>Balance Sheet Balances overall</v>
      </c>
      <c r="F10" s="41">
        <f ca="1">F$22</f>
        <v>0</v>
      </c>
      <c r="G10" s="2">
        <f>G$22</f>
        <v>0</v>
      </c>
    </row>
    <row r="11" spans="1:69">
      <c r="E11" s="2" t="s">
        <v>137</v>
      </c>
      <c r="F11" s="2">
        <f ca="1">SUM($F10)</f>
        <v>0</v>
      </c>
    </row>
    <row r="14" spans="1:69">
      <c r="B14" s="22" t="s">
        <v>299</v>
      </c>
    </row>
    <row r="15" spans="1:69">
      <c r="A15" s="17"/>
      <c r="B15" s="17"/>
      <c r="C15" s="26"/>
      <c r="D15" s="27"/>
      <c r="E15" s="4" t="str">
        <f>Financials!E$24</f>
        <v>Net Assets</v>
      </c>
      <c r="F15" s="4">
        <f>Financials!F$24</f>
        <v>0</v>
      </c>
      <c r="G15" s="4" t="str">
        <f>Financials!G$24</f>
        <v>GBP</v>
      </c>
      <c r="H15" s="4">
        <f>Financials!H$24</f>
        <v>0</v>
      </c>
      <c r="I15" s="4">
        <f>Financials!I$24</f>
        <v>0</v>
      </c>
      <c r="J15" s="4">
        <f ca="1">Financials!J$24</f>
        <v>-46000</v>
      </c>
      <c r="K15" s="4">
        <f ca="1">Financials!K$24</f>
        <v>-100565.05176275742</v>
      </c>
      <c r="L15" s="4">
        <f ca="1">Financials!L$24</f>
        <v>-156435.88319980979</v>
      </c>
      <c r="M15" s="4">
        <f ca="1">Financials!M$24</f>
        <v>-214344.3503928209</v>
      </c>
      <c r="N15" s="4">
        <f ca="1">Financials!N$24</f>
        <v>-273769.29454510426</v>
      </c>
      <c r="O15" s="4">
        <f ca="1">Financials!O$24</f>
        <v>-334749.29442721617</v>
      </c>
      <c r="P15" s="4">
        <f ca="1">Financials!P$24</f>
        <v>-398054.65742984624</v>
      </c>
      <c r="Q15" s="4">
        <f ca="1">Financials!Q$24</f>
        <v>-323522.23603806645</v>
      </c>
      <c r="R15" s="4">
        <f ca="1">Financials!R$24</f>
        <v>-224627.2935456608</v>
      </c>
      <c r="S15" s="4">
        <f ca="1">Financials!S$24</f>
        <v>-127938.2192152231</v>
      </c>
      <c r="T15" s="4">
        <f ca="1">Financials!T$24</f>
        <v>-53950.364440825302</v>
      </c>
      <c r="U15" s="4">
        <f ca="1">Financials!U$24</f>
        <v>18227.465270239161</v>
      </c>
      <c r="V15" s="4">
        <f ca="1">Financials!V$24</f>
        <v>88044.131936905673</v>
      </c>
      <c r="W15" s="4">
        <f ca="1">Financials!W$24</f>
        <v>272359.34033282101</v>
      </c>
      <c r="X15" s="4">
        <f ca="1">Financials!X$24</f>
        <v>470727.87035642518</v>
      </c>
      <c r="Y15" s="4">
        <f ca="1">Financials!Y$24</f>
        <v>666273.05993389338</v>
      </c>
      <c r="Z15" s="4">
        <f ca="1">Financials!Z$24</f>
        <v>859393.58513899334</v>
      </c>
      <c r="AA15" s="4">
        <f ca="1">Financials!AA$24</f>
        <v>1042736.2934229411</v>
      </c>
      <c r="AB15" s="4">
        <f ca="1">Financials!AB$24</f>
        <v>1222809.762963014</v>
      </c>
      <c r="AC15" s="4">
        <f ca="1">Financials!AC$24</f>
        <v>1540092.1821436323</v>
      </c>
      <c r="AD15" s="4">
        <f ca="1">Financials!AD$24</f>
        <v>1854290.4497293551</v>
      </c>
      <c r="AE15" s="4">
        <f ca="1">Financials!AE$24</f>
        <v>2157390.617072206</v>
      </c>
      <c r="AF15" s="4">
        <f ca="1">Financials!AF$24</f>
        <v>2457392.0086154267</v>
      </c>
      <c r="AG15" s="4">
        <f ca="1">Financials!AG$24</f>
        <v>2893765.0184405437</v>
      </c>
      <c r="AH15" s="4">
        <f ca="1">Financials!AH$24</f>
        <v>3289450.4008953813</v>
      </c>
      <c r="AI15" s="4">
        <f ca="1">Financials!AI$24</f>
        <v>3694025.6099093501</v>
      </c>
      <c r="AJ15" s="4">
        <f ca="1">Financials!AJ$24</f>
        <v>4100943.7863921775</v>
      </c>
      <c r="AK15" s="4">
        <f ca="1">Financials!AK$24</f>
        <v>4657256.1847394165</v>
      </c>
      <c r="AL15" s="4">
        <f ca="1">Financials!AL$24</f>
        <v>5224156.2692881264</v>
      </c>
      <c r="AM15" s="4">
        <f ca="1">Financials!AM$24</f>
        <v>5795239.3858931148</v>
      </c>
      <c r="AN15" s="4">
        <f ca="1">Financials!AN$24</f>
        <v>6517608.9213692639</v>
      </c>
      <c r="AO15" s="4">
        <f ca="1">Financials!AO$24</f>
        <v>7252863.0380995739</v>
      </c>
      <c r="AP15" s="4">
        <f ca="1">Financials!AP$24</f>
        <v>8134129.6461683493</v>
      </c>
      <c r="AQ15" s="4">
        <f ca="1">Financials!AQ$24</f>
        <v>9028932.8164410628</v>
      </c>
      <c r="AR15" s="4">
        <f ca="1">Financials!AR$24</f>
        <v>9932421.5820214953</v>
      </c>
      <c r="AS15" s="4">
        <f ca="1">Financials!AS$24</f>
        <v>10991760.232333899</v>
      </c>
      <c r="AT15" s="4">
        <f ca="1">Financials!AT$24</f>
        <v>12060369.243370052</v>
      </c>
      <c r="AU15" s="4">
        <f ca="1">Financials!AU$24</f>
        <v>13139411.992856819</v>
      </c>
      <c r="AV15" s="4">
        <f ca="1">Financials!AV$24</f>
        <v>14377752.33719296</v>
      </c>
      <c r="AW15" s="4">
        <f ca="1">Financials!AW$24</f>
        <v>15628146.089575391</v>
      </c>
      <c r="AX15" s="4">
        <f ca="1">Financials!AX$24</f>
        <v>17032450.249275506</v>
      </c>
      <c r="AY15" s="4">
        <f ca="1">Financials!AY$24</f>
        <v>18459729.274845414</v>
      </c>
      <c r="AZ15" s="4">
        <f ca="1">Financials!AZ$24</f>
        <v>20042855.499646667</v>
      </c>
      <c r="BA15" s="4">
        <f ca="1">Financials!BA$24</f>
        <v>21784481.664247099</v>
      </c>
      <c r="BB15" s="4">
        <f ca="1">Financials!BB$24</f>
        <v>23545411.961287726</v>
      </c>
      <c r="BC15" s="4">
        <f ca="1">Financials!BC$24</f>
        <v>25466720.227145486</v>
      </c>
      <c r="BD15" s="4">
        <f ca="1">Financials!BD$24</f>
        <v>27552763.873226345</v>
      </c>
      <c r="BE15" s="4">
        <f ca="1">Financials!BE$24</f>
        <v>29663222.876222044</v>
      </c>
      <c r="BF15" s="4">
        <f ca="1">Financials!BF$24</f>
        <v>31927477.598079618</v>
      </c>
      <c r="BG15" s="4">
        <f ca="1">Financials!BG$24</f>
        <v>34372529.617814355</v>
      </c>
      <c r="BH15" s="4">
        <f ca="1">Financials!BH$24</f>
        <v>37002141.488822192</v>
      </c>
      <c r="BI15" s="4">
        <f ca="1">Financials!BI$24</f>
        <v>39817740.20741266</v>
      </c>
      <c r="BJ15" s="4">
        <f ca="1">Financials!BJ$24</f>
        <v>42823308.513468742</v>
      </c>
      <c r="BK15" s="4">
        <f ca="1">Financials!BK$24</f>
        <v>46023326.642907791</v>
      </c>
      <c r="BL15" s="4">
        <f ca="1">Financials!BL$24</f>
        <v>49419612.180270255</v>
      </c>
      <c r="BM15" s="4">
        <f ca="1">Financials!BM$24</f>
        <v>53017924.073937282</v>
      </c>
      <c r="BN15" s="4">
        <f ca="1">Financials!BN$24</f>
        <v>56821548.487890348</v>
      </c>
      <c r="BO15" s="4">
        <f ca="1">Financials!BO$24</f>
        <v>60833762.469809793</v>
      </c>
      <c r="BP15" s="4">
        <f ca="1">Financials!BP$24</f>
        <v>65063079.570166409</v>
      </c>
      <c r="BQ15" s="4">
        <f ca="1">Financials!BQ$24</f>
        <v>69510763.829430073</v>
      </c>
    </row>
    <row r="16" spans="1:69">
      <c r="A16" s="17"/>
      <c r="B16" s="17"/>
      <c r="C16" s="26"/>
      <c r="D16" s="27"/>
      <c r="E16" s="4" t="str">
        <f>Financials!E$30</f>
        <v>Shareholder Equity</v>
      </c>
      <c r="F16" s="4">
        <f>Financials!F$30</f>
        <v>0</v>
      </c>
      <c r="G16" s="4" t="str">
        <f>Financials!G$30</f>
        <v>GBP</v>
      </c>
      <c r="H16" s="4">
        <f>Financials!H$30</f>
        <v>0</v>
      </c>
      <c r="I16" s="4">
        <f>Financials!I$30</f>
        <v>0</v>
      </c>
      <c r="J16" s="4">
        <f ca="1">Financials!J$30</f>
        <v>-46000</v>
      </c>
      <c r="K16" s="4">
        <f ca="1">Financials!K$30</f>
        <v>-100565.05176275744</v>
      </c>
      <c r="L16" s="4">
        <f ca="1">Financials!L$30</f>
        <v>-156435.88319980982</v>
      </c>
      <c r="M16" s="4">
        <f ca="1">Financials!M$30</f>
        <v>-214344.35039282092</v>
      </c>
      <c r="N16" s="4">
        <f ca="1">Financials!N$30</f>
        <v>-273769.29454510426</v>
      </c>
      <c r="O16" s="4">
        <f ca="1">Financials!O$30</f>
        <v>-334749.29442721617</v>
      </c>
      <c r="P16" s="4">
        <f ca="1">Financials!P$30</f>
        <v>-398054.65742984624</v>
      </c>
      <c r="Q16" s="4">
        <f ca="1">Financials!Q$30</f>
        <v>-323522.2360380665</v>
      </c>
      <c r="R16" s="4">
        <f ca="1">Financials!R$30</f>
        <v>-224627.29354566085</v>
      </c>
      <c r="S16" s="4">
        <f ca="1">Financials!S$30</f>
        <v>-127938.21921522322</v>
      </c>
      <c r="T16" s="4">
        <f ca="1">Financials!T$30</f>
        <v>-53950.364440825346</v>
      </c>
      <c r="U16" s="4">
        <f ca="1">Financials!U$30</f>
        <v>18227.46527023922</v>
      </c>
      <c r="V16" s="4">
        <f ca="1">Financials!V$30</f>
        <v>88044.131936905891</v>
      </c>
      <c r="W16" s="4">
        <f ca="1">Financials!W$30</f>
        <v>272359.34033282101</v>
      </c>
      <c r="X16" s="4">
        <f ca="1">Financials!X$30</f>
        <v>470727.87035642535</v>
      </c>
      <c r="Y16" s="4">
        <f ca="1">Financials!Y$30</f>
        <v>666273.05993389327</v>
      </c>
      <c r="Z16" s="4">
        <f ca="1">Financials!Z$30</f>
        <v>859393.58513899322</v>
      </c>
      <c r="AA16" s="4">
        <f ca="1">Financials!AA$30</f>
        <v>1042736.2934229415</v>
      </c>
      <c r="AB16" s="4">
        <f ca="1">Financials!AB$30</f>
        <v>1222809.7629630142</v>
      </c>
      <c r="AC16" s="4">
        <f ca="1">Financials!AC$30</f>
        <v>1540092.1821436328</v>
      </c>
      <c r="AD16" s="4">
        <f ca="1">Financials!AD$30</f>
        <v>1854290.449729356</v>
      </c>
      <c r="AE16" s="4">
        <f ca="1">Financials!AE$30</f>
        <v>2157390.6170722069</v>
      </c>
      <c r="AF16" s="4">
        <f ca="1">Financials!AF$30</f>
        <v>2457392.0086154272</v>
      </c>
      <c r="AG16" s="4">
        <f ca="1">Financials!AG$30</f>
        <v>2893765.0184405441</v>
      </c>
      <c r="AH16" s="4">
        <f ca="1">Financials!AH$30</f>
        <v>3289450.4008953809</v>
      </c>
      <c r="AI16" s="4">
        <f ca="1">Financials!AI$30</f>
        <v>3694025.6099093514</v>
      </c>
      <c r="AJ16" s="4">
        <f ca="1">Financials!AJ$30</f>
        <v>4100943.7863921789</v>
      </c>
      <c r="AK16" s="4">
        <f ca="1">Financials!AK$30</f>
        <v>4657256.1847394155</v>
      </c>
      <c r="AL16" s="4">
        <f ca="1">Financials!AL$30</f>
        <v>5224156.2692881264</v>
      </c>
      <c r="AM16" s="4">
        <f ca="1">Financials!AM$30</f>
        <v>5795239.3858931158</v>
      </c>
      <c r="AN16" s="4">
        <f ca="1">Financials!AN$30</f>
        <v>6517608.9213692658</v>
      </c>
      <c r="AO16" s="4">
        <f ca="1">Financials!AO$30</f>
        <v>7252863.0380995739</v>
      </c>
      <c r="AP16" s="4">
        <f ca="1">Financials!AP$30</f>
        <v>8134129.6461683484</v>
      </c>
      <c r="AQ16" s="4">
        <f ca="1">Financials!AQ$30</f>
        <v>9028932.8164410628</v>
      </c>
      <c r="AR16" s="4">
        <f ca="1">Financials!AR$30</f>
        <v>9932421.5820214897</v>
      </c>
      <c r="AS16" s="4">
        <f ca="1">Financials!AS$30</f>
        <v>10991760.232333895</v>
      </c>
      <c r="AT16" s="4">
        <f ca="1">Financials!AT$30</f>
        <v>12060369.243370049</v>
      </c>
      <c r="AU16" s="4">
        <f ca="1">Financials!AU$30</f>
        <v>13139411.992856814</v>
      </c>
      <c r="AV16" s="4">
        <f ca="1">Financials!AV$30</f>
        <v>14377752.337192958</v>
      </c>
      <c r="AW16" s="4">
        <f ca="1">Financials!AW$30</f>
        <v>15628146.089575386</v>
      </c>
      <c r="AX16" s="4">
        <f ca="1">Financials!AX$30</f>
        <v>17032450.249275498</v>
      </c>
      <c r="AY16" s="4">
        <f ca="1">Financials!AY$30</f>
        <v>18459729.27484541</v>
      </c>
      <c r="AZ16" s="4">
        <f ca="1">Financials!AZ$30</f>
        <v>20042855.49964666</v>
      </c>
      <c r="BA16" s="4">
        <f ca="1">Financials!BA$30</f>
        <v>21784481.664247084</v>
      </c>
      <c r="BB16" s="4">
        <f ca="1">Financials!BB$30</f>
        <v>23545411.961287707</v>
      </c>
      <c r="BC16" s="4">
        <f ca="1">Financials!BC$30</f>
        <v>25466720.227145471</v>
      </c>
      <c r="BD16" s="4">
        <f ca="1">Financials!BD$30</f>
        <v>27552763.87322633</v>
      </c>
      <c r="BE16" s="4">
        <f ca="1">Financials!BE$30</f>
        <v>29663222.876222033</v>
      </c>
      <c r="BF16" s="4">
        <f ca="1">Financials!BF$30</f>
        <v>31927477.598079607</v>
      </c>
      <c r="BG16" s="4">
        <f ca="1">Financials!BG$30</f>
        <v>34372529.61781434</v>
      </c>
      <c r="BH16" s="4">
        <f ca="1">Financials!BH$30</f>
        <v>37002141.488822192</v>
      </c>
      <c r="BI16" s="4">
        <f ca="1">Financials!BI$30</f>
        <v>39817740.20741266</v>
      </c>
      <c r="BJ16" s="4">
        <f ca="1">Financials!BJ$30</f>
        <v>42823308.513468735</v>
      </c>
      <c r="BK16" s="4">
        <f ca="1">Financials!BK$30</f>
        <v>46023326.642907783</v>
      </c>
      <c r="BL16" s="4">
        <f ca="1">Financials!BL$30</f>
        <v>49419612.180270262</v>
      </c>
      <c r="BM16" s="4">
        <f ca="1">Financials!BM$30</f>
        <v>53017924.073937289</v>
      </c>
      <c r="BN16" s="4">
        <f ca="1">Financials!BN$30</f>
        <v>56821548.487890348</v>
      </c>
      <c r="BO16" s="4">
        <f ca="1">Financials!BO$30</f>
        <v>60833762.469809815</v>
      </c>
      <c r="BP16" s="4">
        <f ca="1">Financials!BP$30</f>
        <v>65063079.570166416</v>
      </c>
      <c r="BQ16" s="4">
        <f ca="1">Financials!BQ$30</f>
        <v>69510763.829430103</v>
      </c>
    </row>
    <row r="17" spans="2:69" ht="14.5">
      <c r="E17" s="2" t="s">
        <v>299</v>
      </c>
      <c r="F17"/>
      <c r="G17" s="2" t="s">
        <v>66</v>
      </c>
      <c r="H17"/>
      <c r="I17"/>
      <c r="J17" s="2">
        <f t="shared" ref="J17:AO17" ca="1" si="0">IF(ROUND(ABS(J15-J16),6)=0,0,1)</f>
        <v>0</v>
      </c>
      <c r="K17" s="2">
        <f t="shared" ca="1" si="0"/>
        <v>0</v>
      </c>
      <c r="L17" s="2">
        <f t="shared" ca="1" si="0"/>
        <v>0</v>
      </c>
      <c r="M17" s="2">
        <f t="shared" ca="1" si="0"/>
        <v>0</v>
      </c>
      <c r="N17" s="2">
        <f t="shared" ca="1" si="0"/>
        <v>0</v>
      </c>
      <c r="O17" s="2">
        <f t="shared" ca="1" si="0"/>
        <v>0</v>
      </c>
      <c r="P17" s="2">
        <f t="shared" ca="1" si="0"/>
        <v>0</v>
      </c>
      <c r="Q17" s="2">
        <f t="shared" ca="1" si="0"/>
        <v>0</v>
      </c>
      <c r="R17" s="2">
        <f t="shared" ca="1" si="0"/>
        <v>0</v>
      </c>
      <c r="S17" s="2">
        <f t="shared" ca="1" si="0"/>
        <v>0</v>
      </c>
      <c r="T17" s="2">
        <f t="shared" ca="1" si="0"/>
        <v>0</v>
      </c>
      <c r="U17" s="2">
        <f t="shared" ca="1" si="0"/>
        <v>0</v>
      </c>
      <c r="V17" s="2">
        <f t="shared" ca="1" si="0"/>
        <v>0</v>
      </c>
      <c r="W17" s="2">
        <f t="shared" ca="1" si="0"/>
        <v>0</v>
      </c>
      <c r="X17" s="2">
        <f t="shared" ca="1" si="0"/>
        <v>0</v>
      </c>
      <c r="Y17" s="2">
        <f t="shared" ca="1" si="0"/>
        <v>0</v>
      </c>
      <c r="Z17" s="2">
        <f t="shared" ca="1" si="0"/>
        <v>0</v>
      </c>
      <c r="AA17" s="2">
        <f t="shared" ca="1" si="0"/>
        <v>0</v>
      </c>
      <c r="AB17" s="2">
        <f t="shared" ca="1" si="0"/>
        <v>0</v>
      </c>
      <c r="AC17" s="2">
        <f t="shared" ca="1" si="0"/>
        <v>0</v>
      </c>
      <c r="AD17" s="2">
        <f t="shared" ca="1" si="0"/>
        <v>0</v>
      </c>
      <c r="AE17" s="2">
        <f t="shared" ca="1" si="0"/>
        <v>0</v>
      </c>
      <c r="AF17" s="2">
        <f t="shared" ca="1" si="0"/>
        <v>0</v>
      </c>
      <c r="AG17" s="2">
        <f t="shared" ca="1" si="0"/>
        <v>0</v>
      </c>
      <c r="AH17" s="2">
        <f t="shared" ca="1" si="0"/>
        <v>0</v>
      </c>
      <c r="AI17" s="2">
        <f t="shared" ca="1" si="0"/>
        <v>0</v>
      </c>
      <c r="AJ17" s="2">
        <f t="shared" ca="1" si="0"/>
        <v>0</v>
      </c>
      <c r="AK17" s="2">
        <f t="shared" ca="1" si="0"/>
        <v>0</v>
      </c>
      <c r="AL17" s="2">
        <f t="shared" ca="1" si="0"/>
        <v>0</v>
      </c>
      <c r="AM17" s="2">
        <f t="shared" ca="1" si="0"/>
        <v>0</v>
      </c>
      <c r="AN17" s="2">
        <f t="shared" ca="1" si="0"/>
        <v>0</v>
      </c>
      <c r="AO17" s="2">
        <f t="shared" ca="1" si="0"/>
        <v>0</v>
      </c>
      <c r="AP17" s="2">
        <f t="shared" ref="AP17:BU17" ca="1" si="1">IF(ROUND(ABS(AP15-AP16),6)=0,0,1)</f>
        <v>0</v>
      </c>
      <c r="AQ17" s="2">
        <f t="shared" ca="1" si="1"/>
        <v>0</v>
      </c>
      <c r="AR17" s="2">
        <f t="shared" ca="1" si="1"/>
        <v>0</v>
      </c>
      <c r="AS17" s="2">
        <f t="shared" ca="1" si="1"/>
        <v>0</v>
      </c>
      <c r="AT17" s="2">
        <f t="shared" ca="1" si="1"/>
        <v>0</v>
      </c>
      <c r="AU17" s="2">
        <f t="shared" ca="1" si="1"/>
        <v>0</v>
      </c>
      <c r="AV17" s="2">
        <f t="shared" ca="1" si="1"/>
        <v>0</v>
      </c>
      <c r="AW17" s="2">
        <f t="shared" ca="1" si="1"/>
        <v>0</v>
      </c>
      <c r="AX17" s="2">
        <f t="shared" ca="1" si="1"/>
        <v>0</v>
      </c>
      <c r="AY17" s="2">
        <f t="shared" ca="1" si="1"/>
        <v>0</v>
      </c>
      <c r="AZ17" s="2">
        <f t="shared" ca="1" si="1"/>
        <v>0</v>
      </c>
      <c r="BA17" s="2">
        <f t="shared" ca="1" si="1"/>
        <v>0</v>
      </c>
      <c r="BB17" s="2">
        <f t="shared" ca="1" si="1"/>
        <v>0</v>
      </c>
      <c r="BC17" s="2">
        <f t="shared" ca="1" si="1"/>
        <v>0</v>
      </c>
      <c r="BD17" s="2">
        <f t="shared" ca="1" si="1"/>
        <v>0</v>
      </c>
      <c r="BE17" s="2">
        <f t="shared" ca="1" si="1"/>
        <v>0</v>
      </c>
      <c r="BF17" s="2">
        <f t="shared" ca="1" si="1"/>
        <v>0</v>
      </c>
      <c r="BG17" s="2">
        <f t="shared" ca="1" si="1"/>
        <v>0</v>
      </c>
      <c r="BH17" s="2">
        <f t="shared" ca="1" si="1"/>
        <v>0</v>
      </c>
      <c r="BI17" s="2">
        <f t="shared" ca="1" si="1"/>
        <v>0</v>
      </c>
      <c r="BJ17" s="2">
        <f t="shared" ca="1" si="1"/>
        <v>0</v>
      </c>
      <c r="BK17" s="2">
        <f t="shared" ca="1" si="1"/>
        <v>0</v>
      </c>
      <c r="BL17" s="2">
        <f t="shared" ca="1" si="1"/>
        <v>0</v>
      </c>
      <c r="BM17" s="2">
        <f t="shared" ca="1" si="1"/>
        <v>0</v>
      </c>
      <c r="BN17" s="2">
        <f t="shared" ca="1" si="1"/>
        <v>0</v>
      </c>
      <c r="BO17" s="2">
        <f t="shared" ca="1" si="1"/>
        <v>0</v>
      </c>
      <c r="BP17" s="2">
        <f t="shared" ca="1" si="1"/>
        <v>0</v>
      </c>
      <c r="BQ17" s="2">
        <f t="shared" ca="1" si="1"/>
        <v>0</v>
      </c>
    </row>
    <row r="20" spans="2:69">
      <c r="B20" s="22" t="s">
        <v>84</v>
      </c>
    </row>
    <row r="21" spans="2:69">
      <c r="E21" s="2" t="str">
        <f t="shared" ref="E21:AJ21" si="2">E$17</f>
        <v>Balance Sheet Balances</v>
      </c>
      <c r="F21" s="2">
        <f t="shared" si="2"/>
        <v>0</v>
      </c>
      <c r="G21" s="2" t="str">
        <f t="shared" si="2"/>
        <v>Check</v>
      </c>
      <c r="H21" s="2">
        <f t="shared" si="2"/>
        <v>0</v>
      </c>
      <c r="I21" s="2">
        <f t="shared" si="2"/>
        <v>0</v>
      </c>
      <c r="J21" s="2">
        <f t="shared" ca="1" si="2"/>
        <v>0</v>
      </c>
      <c r="K21" s="2">
        <f t="shared" ca="1" si="2"/>
        <v>0</v>
      </c>
      <c r="L21" s="2">
        <f t="shared" ca="1" si="2"/>
        <v>0</v>
      </c>
      <c r="M21" s="2">
        <f t="shared" ca="1" si="2"/>
        <v>0</v>
      </c>
      <c r="N21" s="2">
        <f t="shared" ca="1" si="2"/>
        <v>0</v>
      </c>
      <c r="O21" s="2">
        <f t="shared" ca="1" si="2"/>
        <v>0</v>
      </c>
      <c r="P21" s="2">
        <f t="shared" ca="1" si="2"/>
        <v>0</v>
      </c>
      <c r="Q21" s="2">
        <f t="shared" ca="1" si="2"/>
        <v>0</v>
      </c>
      <c r="R21" s="2">
        <f t="shared" ca="1" si="2"/>
        <v>0</v>
      </c>
      <c r="S21" s="2">
        <f t="shared" ca="1" si="2"/>
        <v>0</v>
      </c>
      <c r="T21" s="2">
        <f t="shared" ca="1" si="2"/>
        <v>0</v>
      </c>
      <c r="U21" s="2">
        <f t="shared" ca="1" si="2"/>
        <v>0</v>
      </c>
      <c r="V21" s="2">
        <f t="shared" ca="1" si="2"/>
        <v>0</v>
      </c>
      <c r="W21" s="2">
        <f t="shared" ca="1" si="2"/>
        <v>0</v>
      </c>
      <c r="X21" s="2">
        <f t="shared" ca="1" si="2"/>
        <v>0</v>
      </c>
      <c r="Y21" s="2">
        <f t="shared" ca="1" si="2"/>
        <v>0</v>
      </c>
      <c r="Z21" s="2">
        <f t="shared" ca="1" si="2"/>
        <v>0</v>
      </c>
      <c r="AA21" s="2">
        <f t="shared" ca="1" si="2"/>
        <v>0</v>
      </c>
      <c r="AB21" s="2">
        <f t="shared" ca="1" si="2"/>
        <v>0</v>
      </c>
      <c r="AC21" s="2">
        <f t="shared" ca="1" si="2"/>
        <v>0</v>
      </c>
      <c r="AD21" s="2">
        <f t="shared" ca="1" si="2"/>
        <v>0</v>
      </c>
      <c r="AE21" s="2">
        <f t="shared" ca="1" si="2"/>
        <v>0</v>
      </c>
      <c r="AF21" s="2">
        <f t="shared" ca="1" si="2"/>
        <v>0</v>
      </c>
      <c r="AG21" s="2">
        <f t="shared" ca="1" si="2"/>
        <v>0</v>
      </c>
      <c r="AH21" s="2">
        <f t="shared" ca="1" si="2"/>
        <v>0</v>
      </c>
      <c r="AI21" s="2">
        <f t="shared" ca="1" si="2"/>
        <v>0</v>
      </c>
      <c r="AJ21" s="2">
        <f t="shared" ca="1" si="2"/>
        <v>0</v>
      </c>
      <c r="AK21" s="2">
        <f t="shared" ref="AK21:BQ21" ca="1" si="3">AK$17</f>
        <v>0</v>
      </c>
      <c r="AL21" s="2">
        <f t="shared" ca="1" si="3"/>
        <v>0</v>
      </c>
      <c r="AM21" s="2">
        <f t="shared" ca="1" si="3"/>
        <v>0</v>
      </c>
      <c r="AN21" s="2">
        <f t="shared" ca="1" si="3"/>
        <v>0</v>
      </c>
      <c r="AO21" s="2">
        <f t="shared" ca="1" si="3"/>
        <v>0</v>
      </c>
      <c r="AP21" s="2">
        <f t="shared" ca="1" si="3"/>
        <v>0</v>
      </c>
      <c r="AQ21" s="2">
        <f t="shared" ca="1" si="3"/>
        <v>0</v>
      </c>
      <c r="AR21" s="2">
        <f t="shared" ca="1" si="3"/>
        <v>0</v>
      </c>
      <c r="AS21" s="2">
        <f t="shared" ca="1" si="3"/>
        <v>0</v>
      </c>
      <c r="AT21" s="2">
        <f t="shared" ca="1" si="3"/>
        <v>0</v>
      </c>
      <c r="AU21" s="2">
        <f t="shared" ca="1" si="3"/>
        <v>0</v>
      </c>
      <c r="AV21" s="2">
        <f t="shared" ca="1" si="3"/>
        <v>0</v>
      </c>
      <c r="AW21" s="2">
        <f t="shared" ca="1" si="3"/>
        <v>0</v>
      </c>
      <c r="AX21" s="2">
        <f t="shared" ca="1" si="3"/>
        <v>0</v>
      </c>
      <c r="AY21" s="2">
        <f t="shared" ca="1" si="3"/>
        <v>0</v>
      </c>
      <c r="AZ21" s="2">
        <f t="shared" ca="1" si="3"/>
        <v>0</v>
      </c>
      <c r="BA21" s="2">
        <f t="shared" ca="1" si="3"/>
        <v>0</v>
      </c>
      <c r="BB21" s="2">
        <f t="shared" ca="1" si="3"/>
        <v>0</v>
      </c>
      <c r="BC21" s="2">
        <f t="shared" ca="1" si="3"/>
        <v>0</v>
      </c>
      <c r="BD21" s="2">
        <f t="shared" ca="1" si="3"/>
        <v>0</v>
      </c>
      <c r="BE21" s="2">
        <f t="shared" ca="1" si="3"/>
        <v>0</v>
      </c>
      <c r="BF21" s="2">
        <f t="shared" ca="1" si="3"/>
        <v>0</v>
      </c>
      <c r="BG21" s="2">
        <f t="shared" ca="1" si="3"/>
        <v>0</v>
      </c>
      <c r="BH21" s="2">
        <f t="shared" ca="1" si="3"/>
        <v>0</v>
      </c>
      <c r="BI21" s="2">
        <f t="shared" ca="1" si="3"/>
        <v>0</v>
      </c>
      <c r="BJ21" s="2">
        <f t="shared" ca="1" si="3"/>
        <v>0</v>
      </c>
      <c r="BK21" s="2">
        <f t="shared" ca="1" si="3"/>
        <v>0</v>
      </c>
      <c r="BL21" s="2">
        <f t="shared" ca="1" si="3"/>
        <v>0</v>
      </c>
      <c r="BM21" s="2">
        <f t="shared" ca="1" si="3"/>
        <v>0</v>
      </c>
      <c r="BN21" s="2">
        <f t="shared" ca="1" si="3"/>
        <v>0</v>
      </c>
      <c r="BO21" s="2">
        <f t="shared" ca="1" si="3"/>
        <v>0</v>
      </c>
      <c r="BP21" s="2">
        <f t="shared" ca="1" si="3"/>
        <v>0</v>
      </c>
      <c r="BQ21" s="2">
        <f t="shared" ca="1" si="3"/>
        <v>0</v>
      </c>
    </row>
    <row r="22" spans="2:69" ht="14.5">
      <c r="E22" s="2" t="s">
        <v>84</v>
      </c>
      <c r="F22" s="2">
        <f ca="1">IF(MAX($J21:$BQ21)&gt;0,1,0)</f>
        <v>0</v>
      </c>
      <c r="G22"/>
    </row>
    <row r="26" spans="2:69">
      <c r="B26" s="22" t="s">
        <v>265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P22"/>
  <sheetViews>
    <sheetView topLeftCell="A4" workbookViewId="0">
      <selection activeCell="A26" sqref="A26"/>
    </sheetView>
  </sheetViews>
  <sheetFormatPr defaultColWidth="0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31.7265625" customWidth="1"/>
    <col min="6" max="6" width="20.7265625" customWidth="1"/>
    <col min="7" max="7" width="13.7265625" customWidth="1"/>
    <col min="8" max="8" width="13.7265625" style="2" customWidth="1"/>
    <col min="9" max="9" width="3.7265625" customWidth="1"/>
    <col min="10" max="12" width="11.7265625" customWidth="1"/>
    <col min="13" max="13" width="12.7265625" customWidth="1"/>
    <col min="14" max="14" width="13.7265625" customWidth="1"/>
    <col min="15" max="17" width="15.7265625" customWidth="1"/>
  </cols>
  <sheetData>
    <row r="1" spans="1:16" s="53" customFormat="1" ht="25">
      <c r="A1" s="37" t="str">
        <f ca="1">RIGHT(CELL("filename",A1),LEN(CELL("filename",A1))-SEARCH("]",CELL("filename",A1)))</f>
        <v>Income Statement Ann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16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Time!J$35</f>
        <v>45412</v>
      </c>
      <c r="K2" s="6">
        <f>Time!K$35</f>
        <v>45777</v>
      </c>
      <c r="L2" s="6">
        <f>Time!L$35</f>
        <v>46142</v>
      </c>
      <c r="M2" s="6">
        <f>Time!M$35</f>
        <v>46507</v>
      </c>
      <c r="N2" s="6">
        <f>Time!N$35</f>
        <v>46873</v>
      </c>
      <c r="O2" s="6"/>
      <c r="P2" s="6"/>
    </row>
    <row r="3" spans="1:16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Time!J$42</f>
        <v>Month12</v>
      </c>
      <c r="K3" s="7" t="str">
        <f>Time!K$42</f>
        <v>Month24</v>
      </c>
      <c r="L3" s="7" t="str">
        <f>Time!L$42</f>
        <v>Month36</v>
      </c>
      <c r="M3" s="7" t="str">
        <f>Time!M$42</f>
        <v>Month48</v>
      </c>
      <c r="N3" s="7" t="str">
        <f>Time!N$42</f>
        <v>Month60</v>
      </c>
      <c r="O3" s="7"/>
      <c r="P3" s="7"/>
    </row>
    <row r="4" spans="1:16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Time!J$48</f>
        <v>12</v>
      </c>
      <c r="K4" s="5">
        <f>Time!K$48</f>
        <v>24</v>
      </c>
      <c r="L4" s="5">
        <f>Time!L$48</f>
        <v>36</v>
      </c>
      <c r="M4" s="5">
        <f>Time!M$48</f>
        <v>48</v>
      </c>
      <c r="N4" s="5">
        <f>Time!N$48</f>
        <v>60</v>
      </c>
    </row>
    <row r="5" spans="1:16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16" s="2" customFormat="1" ht="13">
      <c r="A6" s="22"/>
      <c r="B6" s="22"/>
      <c r="C6" s="40"/>
      <c r="D6" s="54"/>
      <c r="F6" s="22"/>
      <c r="G6" s="22"/>
      <c r="H6" s="22"/>
    </row>
    <row r="8" spans="1:16">
      <c r="A8"/>
      <c r="E8" s="15" t="str">
        <f>Income!E$18</f>
        <v>Income</v>
      </c>
      <c r="F8" s="15">
        <f>Income!F$18</f>
        <v>0</v>
      </c>
      <c r="G8" s="15" t="str">
        <f>Income!G$18</f>
        <v>GBP</v>
      </c>
      <c r="H8" s="9">
        <f ca="1">Income!H$18</f>
        <v>106647181.69069508</v>
      </c>
      <c r="I8" s="15">
        <f>Income!I$18</f>
        <v>0</v>
      </c>
      <c r="J8" s="9">
        <f ca="1">SUMIF(Time!$J291:$BQ291,Time!J$28,Income!$J18:$BQ18)</f>
        <v>845025.36147508363</v>
      </c>
      <c r="K8" s="9">
        <f ca="1">SUMIF(Time!$J291:$BQ291,Time!K$28,Income!$J18:$BQ18)</f>
        <v>5054823.1999894241</v>
      </c>
      <c r="L8" s="9">
        <f ca="1">SUMIF(Time!$J291:$BQ291,Time!L$28,Income!$J18:$BQ18)</f>
        <v>13025085.536442325</v>
      </c>
      <c r="M8" s="9">
        <f ca="1">SUMIF(Time!$J291:$BQ291,Time!M$28,Income!$J18:$BQ18)</f>
        <v>28539351.100147415</v>
      </c>
      <c r="N8" s="9">
        <f ca="1">SUMIF(Time!$J291:$BQ291,Time!N$28,Income!$J18:$BQ18)</f>
        <v>59182896.492640823</v>
      </c>
    </row>
    <row r="9" spans="1:16">
      <c r="E9" s="15" t="str">
        <f>Expense!E$27</f>
        <v xml:space="preserve">Variable Operating expense </v>
      </c>
      <c r="F9" s="15">
        <f>Expense!F$27</f>
        <v>0</v>
      </c>
      <c r="G9" s="15" t="str">
        <f>Expense!G$27</f>
        <v>GBP</v>
      </c>
      <c r="H9" s="9">
        <f ca="1">Expense!H$27</f>
        <v>-13199424.859496675</v>
      </c>
      <c r="I9" s="15">
        <f>Expense!I$27</f>
        <v>0</v>
      </c>
      <c r="J9" s="9">
        <f ca="1">SUMIF(Time!$J291:$BQ291,Time!J$28,Expense!$J27:$BQ27)</f>
        <v>-353787.83998730907</v>
      </c>
      <c r="K9" s="9">
        <f ca="1">SUMIF(Time!$J291:$BQ291,Time!K$28,Expense!$J27:$BQ27)</f>
        <v>-707989.73698279925</v>
      </c>
      <c r="L9" s="9">
        <f ca="1">SUMIF(Time!$J291:$BQ291,Time!L$28,Expense!$J27:$BQ27)</f>
        <v>-1734178.6969832131</v>
      </c>
      <c r="M9" s="9">
        <f ca="1">SUMIF(Time!$J291:$BQ291,Time!M$28,Expense!$J27:$BQ27)</f>
        <v>-3468418.251588448</v>
      </c>
      <c r="N9" s="9">
        <f ca="1">SUMIF(Time!$J291:$BQ291,Time!N$28,Expense!$J27:$BQ27)</f>
        <v>-6935050.3339549042</v>
      </c>
    </row>
    <row r="10" spans="1:16">
      <c r="E10" s="15" t="str">
        <f>Expense!E$20</f>
        <v xml:space="preserve">Fixed operating expense </v>
      </c>
      <c r="F10" s="15">
        <f>Expense!F$20</f>
        <v>0</v>
      </c>
      <c r="G10" s="15" t="str">
        <f>Expense!G$20</f>
        <v>GBP</v>
      </c>
      <c r="H10" s="9">
        <f>Expense!H$20</f>
        <v>-1899484.1637263105</v>
      </c>
      <c r="I10" s="15">
        <f>Expense!I$20</f>
        <v>0</v>
      </c>
      <c r="J10" s="9">
        <f>SUMIF(Time!$J291:$BQ291,Time!J$28,Expense!$J20:$BQ20)</f>
        <v>-311119.85656664212</v>
      </c>
      <c r="K10" s="9">
        <f>SUMIF(Time!$J291:$BQ291,Time!K$28,Expense!$J20:$BQ20)</f>
        <v>-342255.27154374332</v>
      </c>
      <c r="L10" s="9">
        <f>SUMIF(Time!$J291:$BQ291,Time!L$28,Expense!$J20:$BQ20)</f>
        <v>-376480.98544824088</v>
      </c>
      <c r="M10" s="9">
        <f>SUMIF(Time!$J291:$BQ291,Time!M$28,Expense!$J20:$BQ20)</f>
        <v>-414122.38472134311</v>
      </c>
      <c r="N10" s="9">
        <f>SUMIF(Time!$J291:$BQ291,Time!N$28,Expense!$J20:$BQ20)</f>
        <v>-455505.66544633987</v>
      </c>
    </row>
    <row r="11" spans="1:16">
      <c r="E11" s="12" t="s">
        <v>176</v>
      </c>
      <c r="F11" s="28"/>
      <c r="G11" s="12" t="s">
        <v>252</v>
      </c>
      <c r="H11" s="12">
        <f ca="1">SUM(J11:BQ11)</f>
        <v>91548272.667472094</v>
      </c>
      <c r="I11" s="28"/>
      <c r="J11" s="12">
        <f ca="1">SUMIF(Time!$J291:$BQ291,Time!J$28,'Income Statement'!$J11:$BQ11)</f>
        <v>180117.66492113232</v>
      </c>
      <c r="K11" s="12">
        <f ca="1">SUMIF(Time!$J291:$BQ291,Time!K$28,'Income Statement'!$J11:$BQ11)</f>
        <v>4004578.1914628814</v>
      </c>
      <c r="L11" s="12">
        <f ca="1">SUMIF(Time!$J291:$BQ291,Time!L$28,'Income Statement'!$J11:$BQ11)</f>
        <v>10914425.854010871</v>
      </c>
      <c r="M11" s="12">
        <f ca="1">SUMIF(Time!$J291:$BQ291,Time!M$28,'Income Statement'!$J11:$BQ11)</f>
        <v>24656810.463837624</v>
      </c>
      <c r="N11" s="12">
        <f ca="1">SUMIF(Time!$J291:$BQ291,Time!N$28,'Income Statement'!$J11:$BQ11)</f>
        <v>51792340.493239582</v>
      </c>
    </row>
    <row r="13" spans="1:16">
      <c r="E13" s="15" t="str">
        <f>Assets!E$12</f>
        <v xml:space="preserve">Depreciation this period </v>
      </c>
      <c r="F13" s="15">
        <f>Assets!F$12</f>
        <v>0</v>
      </c>
      <c r="G13" s="15" t="str">
        <f>Assets!G$12</f>
        <v>GBP</v>
      </c>
      <c r="H13" s="9">
        <f ca="1">Assets!H$12</f>
        <v>-3718654.3045475697</v>
      </c>
      <c r="I13" s="15">
        <f>Assets!I$12</f>
        <v>0</v>
      </c>
      <c r="J13" s="9">
        <f ca="1">SUMIF(Time!$J291:$BQ291,Time!J$28,Assets!$J12:$BQ12)</f>
        <v>-116666.66666666666</v>
      </c>
      <c r="K13" s="9">
        <f ca="1">SUMIF(Time!$J291:$BQ291,Time!K$28,Assets!$J12:$BQ12)</f>
        <v>-328124.99999999994</v>
      </c>
      <c r="L13" s="9">
        <f ca="1">SUMIF(Time!$J291:$BQ291,Time!L$28,Assets!$J12:$BQ12)</f>
        <v>-633545.46931534389</v>
      </c>
      <c r="M13" s="9">
        <f ca="1">SUMIF(Time!$J291:$BQ291,Time!M$28,Assets!$J12:$BQ12)</f>
        <v>-1053985.7271819548</v>
      </c>
      <c r="N13" s="9">
        <f ca="1">SUMIF(Time!$J291:$BQ291,Time!N$28,Assets!$J12:$BQ12)</f>
        <v>-1586331.4413836035</v>
      </c>
    </row>
    <row r="14" spans="1:16">
      <c r="E14" s="12" t="s">
        <v>63</v>
      </c>
      <c r="F14" s="28"/>
      <c r="G14" s="12" t="s">
        <v>252</v>
      </c>
      <c r="H14" s="12">
        <f ca="1">SUM(J14:BQ14)</f>
        <v>87829618.362924531</v>
      </c>
      <c r="I14" s="28"/>
      <c r="J14" s="12">
        <f ca="1">SUMIF(Time!$J291:$BQ291,Time!J$28,'Income Statement'!$J14:$BQ14)</f>
        <v>63450.998254465696</v>
      </c>
      <c r="K14" s="12">
        <f ca="1">SUMIF(Time!$J291:$BQ291,Time!K$28,'Income Statement'!$J14:$BQ14)</f>
        <v>3676453.1914628819</v>
      </c>
      <c r="L14" s="12">
        <f ca="1">SUMIF(Time!$J291:$BQ291,Time!L$28,'Income Statement'!$J14:$BQ14)</f>
        <v>10280880.384695526</v>
      </c>
      <c r="M14" s="12">
        <f ca="1">SUMIF(Time!$J291:$BQ291,Time!M$28,'Income Statement'!$J14:$BQ14)</f>
        <v>23602824.736655667</v>
      </c>
      <c r="N14" s="12">
        <f ca="1">SUMIF(Time!$J291:$BQ291,Time!N$28,'Income Statement'!$J14:$BQ14)</f>
        <v>50206009.051855989</v>
      </c>
    </row>
    <row r="16" spans="1:16">
      <c r="E16" s="15" t="str">
        <f>'Supply Chain finance'!E$42</f>
        <v xml:space="preserve">Supply Chain Finance interest </v>
      </c>
      <c r="F16" s="15">
        <f>'Supply Chain finance'!F$42</f>
        <v>0</v>
      </c>
      <c r="G16" s="15" t="str">
        <f>'Supply Chain finance'!G$42</f>
        <v>GBP</v>
      </c>
      <c r="H16" s="9">
        <f ca="1">'Supply Chain finance'!H$42</f>
        <v>0</v>
      </c>
      <c r="I16" s="15">
        <f>'Supply Chain finance'!I$42</f>
        <v>0</v>
      </c>
      <c r="J16" s="9">
        <f ca="1">SUMIF(Time!$J291:$BQ291,Time!J$28,'Supply Chain finance'!$J42:$BQ42)</f>
        <v>0</v>
      </c>
      <c r="K16" s="9">
        <f ca="1">SUMIF(Time!$J291:$BQ291,Time!K$28,'Supply Chain finance'!$J42:$BQ42)</f>
        <v>0</v>
      </c>
      <c r="L16" s="9">
        <f ca="1">SUMIF(Time!$J291:$BQ291,Time!L$28,'Supply Chain finance'!$J42:$BQ42)</f>
        <v>0</v>
      </c>
      <c r="M16" s="9">
        <f ca="1">SUMIF(Time!$J291:$BQ291,Time!M$28,'Supply Chain finance'!$J42:$BQ42)</f>
        <v>0</v>
      </c>
      <c r="N16" s="9">
        <f ca="1">SUMIF(Time!$J291:$BQ291,Time!N$28,'Supply Chain finance'!$J42:$BQ42)</f>
        <v>0</v>
      </c>
    </row>
    <row r="17" spans="5:14">
      <c r="E17" s="15" t="str">
        <f>'Invoice finance'!E$41</f>
        <v xml:space="preserve">Invoice finance interest </v>
      </c>
      <c r="F17" s="15">
        <f>'Invoice finance'!F$41</f>
        <v>0</v>
      </c>
      <c r="G17" s="15" t="str">
        <f>'Invoice finance'!G$41</f>
        <v>GBP</v>
      </c>
      <c r="H17" s="9">
        <f ca="1">'Invoice finance'!H$41</f>
        <v>0</v>
      </c>
      <c r="I17" s="15">
        <f>'Invoice finance'!I$41</f>
        <v>0</v>
      </c>
      <c r="J17" s="9">
        <f ca="1">SUMIF(Time!$J291:$BQ291,Time!J$28,'Invoice finance'!$J41:$BQ41)</f>
        <v>0</v>
      </c>
      <c r="K17" s="9">
        <f ca="1">SUMIF(Time!$J291:$BQ291,Time!K$28,'Invoice finance'!$J41:$BQ41)</f>
        <v>0</v>
      </c>
      <c r="L17" s="9">
        <f ca="1">SUMIF(Time!$J291:$BQ291,Time!L$28,'Invoice finance'!$J41:$BQ41)</f>
        <v>0</v>
      </c>
      <c r="M17" s="9">
        <f ca="1">SUMIF(Time!$J291:$BQ291,Time!M$28,'Invoice finance'!$J41:$BQ41)</f>
        <v>0</v>
      </c>
      <c r="N17" s="9">
        <f ca="1">SUMIF(Time!$J291:$BQ291,Time!N$28,'Invoice finance'!$J41:$BQ41)</f>
        <v>0</v>
      </c>
    </row>
    <row r="18" spans="5:14">
      <c r="E18" s="15" t="str">
        <f>'Asset Finance'!E$42</f>
        <v xml:space="preserve">Asset Finance interest </v>
      </c>
      <c r="F18" s="15">
        <f>'Asset Finance'!F$42</f>
        <v>0</v>
      </c>
      <c r="G18" s="15" t="str">
        <f>'Asset Finance'!G$42</f>
        <v>GBP</v>
      </c>
      <c r="H18" s="9">
        <f ca="1">'Asset Finance'!H$42</f>
        <v>0</v>
      </c>
      <c r="I18" s="15">
        <f>'Asset Finance'!I$42</f>
        <v>0</v>
      </c>
      <c r="J18" s="9">
        <f ca="1">SUMIF(Time!$J291:$BQ291,Time!J$28,'Asset Finance'!$J42:$BQ42)</f>
        <v>0</v>
      </c>
      <c r="K18" s="9">
        <f ca="1">SUMIF(Time!$J291:$BQ291,Time!K$28,'Asset Finance'!$J42:$BQ42)</f>
        <v>0</v>
      </c>
      <c r="L18" s="9">
        <f ca="1">SUMIF(Time!$J291:$BQ291,Time!L$28,'Asset Finance'!$J42:$BQ42)</f>
        <v>0</v>
      </c>
      <c r="M18" s="9">
        <f ca="1">SUMIF(Time!$J291:$BQ291,Time!M$28,'Asset Finance'!$J42:$BQ42)</f>
        <v>0</v>
      </c>
      <c r="N18" s="9">
        <f ca="1">SUMIF(Time!$J291:$BQ291,Time!N$28,'Asset Finance'!$J42:$BQ42)</f>
        <v>0</v>
      </c>
    </row>
    <row r="19" spans="5:14">
      <c r="E19" s="12" t="s">
        <v>177</v>
      </c>
      <c r="F19" s="28"/>
      <c r="G19" s="12" t="s">
        <v>252</v>
      </c>
      <c r="H19" s="12">
        <f ca="1">SUM(J19:BQ19)</f>
        <v>87829618.362924531</v>
      </c>
      <c r="I19" s="28"/>
      <c r="J19" s="12">
        <f ca="1">SUMIF(Time!$J291:$BQ291,Time!J$28,'Income Statement'!$J19:$BQ19)</f>
        <v>63450.998254465696</v>
      </c>
      <c r="K19" s="12">
        <f ca="1">SUMIF(Time!$J291:$BQ291,Time!K$28,'Income Statement'!$J19:$BQ19)</f>
        <v>3676453.1914628819</v>
      </c>
      <c r="L19" s="12">
        <f ca="1">SUMIF(Time!$J291:$BQ291,Time!L$28,'Income Statement'!$J19:$BQ19)</f>
        <v>10280880.384695526</v>
      </c>
      <c r="M19" s="12">
        <f ca="1">SUMIF(Time!$J291:$BQ291,Time!M$28,'Income Statement'!$J19:$BQ19)</f>
        <v>23602824.736655667</v>
      </c>
      <c r="N19" s="12">
        <f ca="1">SUMIF(Time!$J291:$BQ291,Time!N$28,'Income Statement'!$J19:$BQ19)</f>
        <v>50206009.051855989</v>
      </c>
    </row>
    <row r="21" spans="5:14">
      <c r="E21" s="15" t="str">
        <f>'Corporation tax'!E$48</f>
        <v xml:space="preserve">Corporation tax </v>
      </c>
      <c r="F21" s="15">
        <f>'Corporation tax'!F$48</f>
        <v>0</v>
      </c>
      <c r="G21" s="15" t="str">
        <f>'Corporation tax'!G$48</f>
        <v>GBP</v>
      </c>
      <c r="H21" s="9">
        <f ca="1">'Corporation tax'!H$48</f>
        <v>-18318854.533494424</v>
      </c>
      <c r="I21" s="15">
        <f>'Corporation tax'!I$48</f>
        <v>0</v>
      </c>
      <c r="J21" s="9">
        <f ca="1">SUMIF(Time!$J291:$BQ291,Time!J$28,'Corporation tax'!$J48:$BQ48)</f>
        <v>-45223.532984226469</v>
      </c>
      <c r="K21" s="9">
        <f ca="1">SUMIF(Time!$J291:$BQ291,Time!K$28,'Corporation tax'!$J48:$BQ48)</f>
        <v>-800915.63829257642</v>
      </c>
      <c r="L21" s="9">
        <f ca="1">SUMIF(Time!$J291:$BQ291,Time!L$28,'Corporation tax'!$J48:$BQ48)</f>
        <v>-2182885.1708021741</v>
      </c>
      <c r="M21" s="9">
        <f ca="1">SUMIF(Time!$J291:$BQ291,Time!M$28,'Corporation tax'!$J48:$BQ48)</f>
        <v>-4931362.0927675245</v>
      </c>
      <c r="N21" s="9">
        <f ca="1">SUMIF(Time!$J291:$BQ291,Time!N$28,'Corporation tax'!$J48:$BQ48)</f>
        <v>-10358468.098647919</v>
      </c>
    </row>
    <row r="22" spans="5:14">
      <c r="E22" s="12" t="s">
        <v>38</v>
      </c>
      <c r="F22" s="28"/>
      <c r="G22" s="12" t="s">
        <v>252</v>
      </c>
      <c r="H22" s="12">
        <f ca="1">SUM(J22:BQ22)</f>
        <v>69510763.829430103</v>
      </c>
      <c r="I22" s="28"/>
      <c r="J22" s="12">
        <f ca="1">SUMIF(Time!$J291:$BQ291,Time!J$28,'Income Statement'!$J22:$BQ22)</f>
        <v>18227.46527023922</v>
      </c>
      <c r="K22" s="12">
        <f ca="1">SUMIF(Time!$J291:$BQ291,Time!K$28,'Income Statement'!$J22:$BQ22)</f>
        <v>2875537.5531703052</v>
      </c>
      <c r="L22" s="12">
        <f ca="1">SUMIF(Time!$J291:$BQ291,Time!L$28,'Income Statement'!$J22:$BQ22)</f>
        <v>8097995.2138933521</v>
      </c>
      <c r="M22" s="12">
        <f ca="1">SUMIF(Time!$J291:$BQ291,Time!M$28,'Income Statement'!$J22:$BQ22)</f>
        <v>18671462.643888142</v>
      </c>
      <c r="N22" s="12">
        <f ca="1">SUMIF(Time!$J291:$BQ291,Time!N$28,'Income Statement'!$J22:$BQ22)</f>
        <v>39847540.953208067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XFD27"/>
  <sheetViews>
    <sheetView topLeftCell="A6" workbookViewId="0">
      <selection activeCell="E11" sqref="E11"/>
    </sheetView>
  </sheetViews>
  <sheetFormatPr defaultColWidth="15.08984375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31.7265625" customWidth="1"/>
    <col min="6" max="6" width="20.7265625" customWidth="1"/>
    <col min="7" max="7" width="13.7265625" customWidth="1"/>
    <col min="8" max="8" width="7.7265625" style="2" customWidth="1"/>
    <col min="9" max="9" width="3.7265625" customWidth="1"/>
    <col min="10" max="12" width="11.7265625" customWidth="1"/>
    <col min="13" max="14" width="13.7265625" customWidth="1"/>
    <col min="15" max="16" width="15.7265625" customWidth="1"/>
  </cols>
  <sheetData>
    <row r="1" spans="1:16" s="53" customFormat="1" ht="25">
      <c r="A1" s="37" t="str">
        <f ca="1">RIGHT(CELL("filename",A1),LEN(CELL("filename",A1))-SEARCH("]",CELL("filename",A1)))</f>
        <v>Balance Sheet Ann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16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Time!J$35</f>
        <v>45412</v>
      </c>
      <c r="K2" s="6">
        <f>Time!K$35</f>
        <v>45777</v>
      </c>
      <c r="L2" s="6">
        <f>Time!L$35</f>
        <v>46142</v>
      </c>
      <c r="M2" s="6">
        <f>Time!M$35</f>
        <v>46507</v>
      </c>
      <c r="N2" s="6">
        <f>Time!N$35</f>
        <v>46873</v>
      </c>
      <c r="O2" s="6"/>
      <c r="P2" s="6"/>
    </row>
    <row r="3" spans="1:16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Time!J$42</f>
        <v>Month12</v>
      </c>
      <c r="K3" s="7" t="str">
        <f>Time!K$42</f>
        <v>Month24</v>
      </c>
      <c r="L3" s="7" t="str">
        <f>Time!L$42</f>
        <v>Month36</v>
      </c>
      <c r="M3" s="7" t="str">
        <f>Time!M$42</f>
        <v>Month48</v>
      </c>
      <c r="N3" s="7" t="str">
        <f>Time!N$42</f>
        <v>Month60</v>
      </c>
      <c r="O3" s="7"/>
      <c r="P3" s="7"/>
    </row>
    <row r="4" spans="1:16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Time!J$48</f>
        <v>12</v>
      </c>
      <c r="K4" s="5">
        <f>Time!K$48</f>
        <v>24</v>
      </c>
      <c r="L4" s="5">
        <f>Time!L$48</f>
        <v>36</v>
      </c>
      <c r="M4" s="5">
        <f>Time!M$48</f>
        <v>48</v>
      </c>
      <c r="N4" s="5">
        <f>Time!N$48</f>
        <v>60</v>
      </c>
    </row>
    <row r="5" spans="1:16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16" s="2" customFormat="1" ht="13">
      <c r="A6" s="22"/>
      <c r="B6" s="22"/>
      <c r="C6" s="40"/>
      <c r="D6" s="54"/>
      <c r="F6" s="22"/>
      <c r="G6" s="22"/>
      <c r="H6" s="22"/>
    </row>
    <row r="8" spans="1:16">
      <c r="A8"/>
      <c r="E8" s="15" t="str">
        <f>Assets!E$21</f>
        <v>Inventory</v>
      </c>
      <c r="F8" s="15">
        <f>Assets!F$21</f>
        <v>0</v>
      </c>
      <c r="G8" s="15" t="str">
        <f>Assets!G$21</f>
        <v>GBP</v>
      </c>
      <c r="H8" s="9">
        <f>Assets!H$21</f>
        <v>0</v>
      </c>
      <c r="I8" s="15">
        <f>Assets!I$21</f>
        <v>0</v>
      </c>
      <c r="J8" s="9">
        <f ca="1">SUMIF(Time!$J296:$BQ296,Time!J$28,Assets!$J21:$BQ21)</f>
        <v>350000</v>
      </c>
      <c r="K8" s="9">
        <f ca="1">SUMIF(Time!$J296:$BQ296,Time!K$28,Assets!$J21:$BQ21)</f>
        <v>1050000</v>
      </c>
      <c r="L8" s="9">
        <f ca="1">SUMIF(Time!$J296:$BQ296,Time!L$28,Assets!$J21:$BQ21)</f>
        <v>1630176.8000105759</v>
      </c>
      <c r="M8" s="9">
        <f ca="1">SUMIF(Time!$J296:$BQ296,Time!M$28,Assets!$J21:$BQ21)</f>
        <v>2790185.3525249097</v>
      </c>
      <c r="N8" s="9">
        <f ca="1">SUMIF(Time!$J296:$BQ296,Time!N$28,Assets!$J21:$BQ21)</f>
        <v>3445036.4383722316</v>
      </c>
    </row>
    <row r="9" spans="1:16">
      <c r="E9" s="15" t="str">
        <f>Assets!E$30</f>
        <v xml:space="preserve">Depreciation </v>
      </c>
      <c r="F9" s="15">
        <f>Assets!F$30</f>
        <v>0</v>
      </c>
      <c r="G9" s="15" t="str">
        <f>Assets!G$30</f>
        <v>GBP</v>
      </c>
      <c r="H9" s="9">
        <f>Assets!H$30</f>
        <v>0</v>
      </c>
      <c r="I9" s="15">
        <f>Assets!I$30</f>
        <v>0</v>
      </c>
      <c r="J9" s="9">
        <f ca="1">SUMIF(Time!$J296:$BQ296,Time!J$28,Assets!$J30:$BQ30)</f>
        <v>-116666.66666666666</v>
      </c>
      <c r="K9" s="9">
        <f ca="1">SUMIF(Time!$J296:$BQ296,Time!K$28,Assets!$J30:$BQ30)</f>
        <v>-444791.66666666663</v>
      </c>
      <c r="L9" s="9">
        <f ca="1">SUMIF(Time!$J296:$BQ296,Time!L$28,Assets!$J30:$BQ30)</f>
        <v>-783513.93599258631</v>
      </c>
      <c r="M9" s="9">
        <f ca="1">SUMIF(Time!$J296:$BQ296,Time!M$28,Assets!$J30:$BQ30)</f>
        <v>-1247508.2156888754</v>
      </c>
      <c r="N9" s="9">
        <f ca="1">SUMIF(Time!$J296:$BQ296,Time!N$28,Assets!$J30:$BQ30)</f>
        <v>-1388690.7429198015</v>
      </c>
    </row>
    <row r="10" spans="1:16">
      <c r="E10" s="15" t="str">
        <f>'Working Capital'!E$45</f>
        <v>Debtors</v>
      </c>
      <c r="F10" s="15">
        <f>'Working Capital'!F$45</f>
        <v>0</v>
      </c>
      <c r="G10" s="15" t="str">
        <f>'Working Capital'!G$45</f>
        <v>GBP</v>
      </c>
      <c r="H10" s="9">
        <f>'Working Capital'!H$45</f>
        <v>0</v>
      </c>
      <c r="I10" s="15">
        <f>'Working Capital'!I$45</f>
        <v>0</v>
      </c>
      <c r="J10" s="9">
        <f ca="1">SUMIF(Time!$J296:$BQ296,Time!J$28,'Working Capital'!$J45:$BQ45)</f>
        <v>-3.8562575355172157E-10</v>
      </c>
      <c r="K10" s="9">
        <f ca="1">SUMIF(Time!$J296:$BQ296,Time!K$28,'Working Capital'!$J45:$BQ45)</f>
        <v>2519999.9999999981</v>
      </c>
      <c r="L10" s="9">
        <f ca="1">SUMIF(Time!$J296:$BQ296,Time!L$28,'Working Capital'!$J45:$BQ45)</f>
        <v>6789278.990363691</v>
      </c>
      <c r="M10" s="9">
        <f ca="1">SUMIF(Time!$J296:$BQ296,Time!M$28,'Working Capital'!$J45:$BQ45)</f>
        <v>10289934.178493176</v>
      </c>
      <c r="N10" s="9">
        <f ca="1">SUMIF(Time!$J296:$BQ296,Time!N$28,'Working Capital'!$J45:$BQ45)</f>
        <v>19634984.398088749</v>
      </c>
    </row>
    <row r="11" spans="1:16">
      <c r="E11" s="15" t="str">
        <f>Financials!E$13</f>
        <v>Cash</v>
      </c>
      <c r="F11" s="15">
        <f>Financials!F$13</f>
        <v>0</v>
      </c>
      <c r="G11" s="15" t="str">
        <f>Financials!G$13</f>
        <v>GBP</v>
      </c>
      <c r="H11" s="9">
        <f>Financials!H$13</f>
        <v>0</v>
      </c>
      <c r="I11" s="15">
        <f>Financials!I$13</f>
        <v>0</v>
      </c>
      <c r="J11" s="9">
        <f ca="1">SUMIF(Time!$J296:$BQ296,Time!J$28,Financials!$J13:$BQ13)</f>
        <v>1246437.4488265985</v>
      </c>
      <c r="K11" s="9">
        <f ca="1">SUMIF(Time!$J296:$BQ296,Time!K$28,Financials!$J13:$BQ13)</f>
        <v>5773019.245225206</v>
      </c>
      <c r="L11" s="9">
        <f ca="1">SUMIF(Time!$J296:$BQ296,Time!L$28,Financials!$J13:$BQ13)</f>
        <v>19248519.165587541</v>
      </c>
      <c r="M11" s="9">
        <f ca="1">SUMIF(Time!$J296:$BQ296,Time!M$28,Financials!$J13:$BQ13)</f>
        <v>48421534.225866169</v>
      </c>
      <c r="N11" s="9">
        <f ca="1">SUMIF(Time!$J296:$BQ296,Time!N$28,Financials!$J13:$BQ13)</f>
        <v>107847639.85822076</v>
      </c>
    </row>
    <row r="12" spans="1:16">
      <c r="E12" s="12" t="s">
        <v>85</v>
      </c>
      <c r="F12" s="28"/>
      <c r="G12" s="12" t="s">
        <v>252</v>
      </c>
      <c r="H12" s="12"/>
      <c r="I12" s="28"/>
      <c r="J12" s="12">
        <f ca="1">SUMIF(Time!$J296:$BQ296,Time!J$28,'Balance Sheet'!$J12:$BQ12)</f>
        <v>1479770.7821599315</v>
      </c>
      <c r="K12" s="12">
        <f ca="1">SUMIF(Time!$J296:$BQ296,Time!K$28,'Balance Sheet'!$J12:$BQ12)</f>
        <v>8898227.5785585381</v>
      </c>
      <c r="L12" s="12">
        <f ca="1">SUMIF(Time!$J296:$BQ296,Time!L$28,'Balance Sheet'!$J12:$BQ12)</f>
        <v>26884461.019969221</v>
      </c>
      <c r="M12" s="12">
        <f ca="1">SUMIF(Time!$J296:$BQ296,Time!M$28,'Balance Sheet'!$J12:$BQ12)</f>
        <v>60254145.541195378</v>
      </c>
      <c r="N12" s="12">
        <f ca="1">SUMIF(Time!$J296:$BQ296,Time!N$28,'Balance Sheet'!$J12:$BQ12)</f>
        <v>129538969.95176193</v>
      </c>
    </row>
    <row r="14" spans="1:16">
      <c r="E14" s="15" t="str">
        <f>Income!E$27</f>
        <v>Deferred Income</v>
      </c>
      <c r="F14" s="15">
        <f>Income!F$27</f>
        <v>0</v>
      </c>
      <c r="G14" s="15" t="str">
        <f>Income!G$27</f>
        <v>GBP</v>
      </c>
      <c r="H14" s="9">
        <f>Income!H$27</f>
        <v>0</v>
      </c>
      <c r="I14" s="15">
        <f>Income!I$27</f>
        <v>0</v>
      </c>
      <c r="J14" s="9">
        <f ca="1">SUMIF(Time!$J296:$BQ296,Time!J$28,Income!$J27:$BQ27)</f>
        <v>1254974.638524916</v>
      </c>
      <c r="K14" s="9">
        <f ca="1">SUMIF(Time!$J296:$BQ296,Time!K$28,Income!$J27:$BQ27)</f>
        <v>4600151.438535491</v>
      </c>
      <c r="L14" s="9">
        <f ca="1">SUMIF(Time!$J296:$BQ296,Time!L$28,Income!$J27:$BQ27)</f>
        <v>12557217.152018126</v>
      </c>
      <c r="M14" s="9">
        <f ca="1">SUMIF(Time!$J296:$BQ296,Time!M$28,Income!$J27:$BQ27)</f>
        <v>24665367.022437617</v>
      </c>
      <c r="N14" s="9">
        <f ca="1">SUMIF(Time!$J296:$BQ296,Time!N$28,Income!$J27:$BQ27)</f>
        <v>49029641.650374562</v>
      </c>
    </row>
    <row r="15" spans="1:16">
      <c r="E15" s="15" t="str">
        <f>'Working Capital'!E$36</f>
        <v>Creditors</v>
      </c>
      <c r="F15" s="15">
        <f>'Working Capital'!F$36</f>
        <v>0</v>
      </c>
      <c r="G15" s="15" t="str">
        <f>'Working Capital'!G$36</f>
        <v>GBP</v>
      </c>
      <c r="H15" s="9">
        <f>'Working Capital'!H$36</f>
        <v>0</v>
      </c>
      <c r="I15" s="15">
        <f>'Working Capital'!I$36</f>
        <v>0</v>
      </c>
      <c r="J15" s="9">
        <f ca="1">SUMIF(Time!$J296:$BQ296,Time!J$28,'Working Capital'!$J36:$BQ36)</f>
        <v>167999.99999999997</v>
      </c>
      <c r="K15" s="9">
        <f ca="1">SUMIF(Time!$J296:$BQ296,Time!K$28,'Working Capital'!$J36:$BQ36)</f>
        <v>357000.00000000012</v>
      </c>
      <c r="L15" s="9">
        <f ca="1">SUMIF(Time!$J296:$BQ296,Time!L$28,'Working Capital'!$J36:$BQ36)</f>
        <v>556500.00000000023</v>
      </c>
      <c r="M15" s="9">
        <f ca="1">SUMIF(Time!$J296:$BQ296,Time!M$28,'Working Capital'!$J36:$BQ36)</f>
        <v>1102500</v>
      </c>
      <c r="N15" s="9">
        <f ca="1">SUMIF(Time!$J296:$BQ296,Time!N$28,'Working Capital'!$J36:$BQ36)</f>
        <v>1228500.0000000012</v>
      </c>
    </row>
    <row r="16" spans="1:16">
      <c r="E16" s="15" t="str">
        <f>'Supply Chain finance'!E$15</f>
        <v>Supply Chain Finance balance</v>
      </c>
      <c r="F16" s="15">
        <f>'Supply Chain finance'!F$15</f>
        <v>0</v>
      </c>
      <c r="G16" s="15" t="str">
        <f>'Supply Chain finance'!G$15</f>
        <v>GBP</v>
      </c>
      <c r="H16" s="9">
        <f>'Supply Chain finance'!H$15</f>
        <v>0</v>
      </c>
      <c r="I16" s="15">
        <f>'Supply Chain finance'!I$15</f>
        <v>0</v>
      </c>
      <c r="J16" s="9">
        <f ca="1">SUMIF(Time!$J296:$BQ296,Time!J$28,'Supply Chain finance'!$J15:$BQ15)</f>
        <v>0</v>
      </c>
      <c r="K16" s="9">
        <f ca="1">SUMIF(Time!$J296:$BQ296,Time!K$28,'Supply Chain finance'!$J15:$BQ15)</f>
        <v>0</v>
      </c>
      <c r="L16" s="9">
        <f ca="1">SUMIF(Time!$J296:$BQ296,Time!L$28,'Supply Chain finance'!$J15:$BQ15)</f>
        <v>0</v>
      </c>
      <c r="M16" s="9">
        <f ca="1">SUMIF(Time!$J296:$BQ296,Time!M$28,'Supply Chain finance'!$J15:$BQ15)</f>
        <v>0</v>
      </c>
      <c r="N16" s="9">
        <f ca="1">SUMIF(Time!$J296:$BQ296,Time!N$28,'Supply Chain finance'!$J15:$BQ15)</f>
        <v>0</v>
      </c>
    </row>
    <row r="17" spans="5:16384">
      <c r="E17" s="15" t="str">
        <f>'Invoice finance'!E$15</f>
        <v>Invoice finance balance</v>
      </c>
      <c r="F17" s="15">
        <f>'Invoice finance'!F$15</f>
        <v>0</v>
      </c>
      <c r="G17" s="15" t="str">
        <f>'Invoice finance'!G$15</f>
        <v>GBP</v>
      </c>
      <c r="H17" s="9">
        <f>'Invoice finance'!H$15</f>
        <v>0</v>
      </c>
      <c r="I17" s="15">
        <f>'Invoice finance'!I$15</f>
        <v>0</v>
      </c>
      <c r="J17" s="9">
        <f ca="1">SUMIF(Time!$J296:$BQ296,Time!J$28,'Invoice finance'!$J15:$BQ15)</f>
        <v>0</v>
      </c>
      <c r="K17" s="9">
        <f ca="1">SUMIF(Time!$J296:$BQ296,Time!K$28,'Invoice finance'!$J15:$BQ15)</f>
        <v>0</v>
      </c>
      <c r="L17" s="9">
        <f ca="1">SUMIF(Time!$J296:$BQ296,Time!L$28,'Invoice finance'!$J15:$BQ15)</f>
        <v>0</v>
      </c>
      <c r="M17" s="9">
        <f ca="1">SUMIF(Time!$J296:$BQ296,Time!M$28,'Invoice finance'!$J15:$BQ15)</f>
        <v>0</v>
      </c>
      <c r="N17" s="9">
        <f ca="1">SUMIF(Time!$J296:$BQ296,Time!N$28,'Invoice finance'!$J15:$BQ15)</f>
        <v>0</v>
      </c>
    </row>
    <row r="18" spans="5:16384">
      <c r="E18" s="15" t="str">
        <f>'Asset Finance'!E$15</f>
        <v>Asset Finance balance</v>
      </c>
      <c r="F18" s="15">
        <f>'Asset Finance'!F$15</f>
        <v>0</v>
      </c>
      <c r="G18" s="15" t="str">
        <f>'Asset Finance'!G$15</f>
        <v>GBP</v>
      </c>
      <c r="H18" s="9">
        <f>'Asset Finance'!H$15</f>
        <v>0</v>
      </c>
      <c r="I18" s="15">
        <f>'Asset Finance'!I$15</f>
        <v>0</v>
      </c>
      <c r="J18" s="9">
        <f ca="1">SUMIF(Time!$J296:$BQ296,Time!J$28,'Asset Finance'!$J15:$BQ15)</f>
        <v>0</v>
      </c>
      <c r="K18" s="9">
        <f ca="1">SUMIF(Time!$J296:$BQ296,Time!K$28,'Asset Finance'!$J15:$BQ15)</f>
        <v>0</v>
      </c>
      <c r="L18" s="9">
        <f ca="1">SUMIF(Time!$J296:$BQ296,Time!L$28,'Asset Finance'!$J15:$BQ15)</f>
        <v>0</v>
      </c>
      <c r="M18" s="9">
        <f ca="1">SUMIF(Time!$J296:$BQ296,Time!M$28,'Asset Finance'!$J15:$BQ15)</f>
        <v>0</v>
      </c>
      <c r="N18" s="9">
        <f ca="1">SUMIF(Time!$J296:$BQ296,Time!N$28,'Asset Finance'!$J15:$BQ15)</f>
        <v>0</v>
      </c>
    </row>
    <row r="19" spans="5:16384">
      <c r="E19" s="15" t="str">
        <f>VAT!E$32</f>
        <v>VAT balance</v>
      </c>
      <c r="F19" s="15">
        <f>VAT!F$32</f>
        <v>0</v>
      </c>
      <c r="G19" s="15" t="str">
        <f>VAT!G$32</f>
        <v>GBP</v>
      </c>
      <c r="H19" s="9">
        <f>VAT!H$32</f>
        <v>0</v>
      </c>
      <c r="I19" s="15">
        <f>VAT!I$32</f>
        <v>0</v>
      </c>
      <c r="J19" s="9">
        <f ca="1">SUMIF(Time!$J296:$BQ296,Time!J$28,VAT!$J32:$BQ32)</f>
        <v>-6654.8546194502633</v>
      </c>
      <c r="K19" s="9">
        <f ca="1">SUMIF(Time!$J296:$BQ296,Time!K$28,VAT!$J32:$BQ32)</f>
        <v>374103.91789480631</v>
      </c>
      <c r="L19" s="9">
        <f ca="1">SUMIF(Time!$J296:$BQ296,Time!L$28,VAT!$J32:$BQ32)</f>
        <v>931970.64477952756</v>
      </c>
      <c r="M19" s="9">
        <f ca="1">SUMIF(Time!$J296:$BQ296,Time!M$28,VAT!$J32:$BQ32)</f>
        <v>791664.24126545433</v>
      </c>
      <c r="N19" s="9">
        <f ca="1">SUMIF(Time!$J296:$BQ296,Time!N$28,VAT!$J32:$BQ32)</f>
        <v>1336252.8478529695</v>
      </c>
    </row>
    <row r="20" spans="5:16384">
      <c r="E20" s="15" t="str">
        <f>'Corporation tax'!E$78</f>
        <v>Corporation tax creditor</v>
      </c>
      <c r="F20" s="15">
        <f>'Corporation tax'!F$78</f>
        <v>0</v>
      </c>
      <c r="G20" s="15" t="str">
        <f>'Corporation tax'!G$78</f>
        <v>GBP</v>
      </c>
      <c r="H20" s="9">
        <f>'Corporation tax'!H$78</f>
        <v>0</v>
      </c>
      <c r="I20" s="15">
        <f>'Corporation tax'!I$78</f>
        <v>0</v>
      </c>
      <c r="J20" s="9">
        <f ca="1">SUMIF(Time!$J296:$BQ296,Time!J$28,'Corporation tax'!$J78:$BQ78)</f>
        <v>45223.532984226469</v>
      </c>
      <c r="K20" s="9">
        <f ca="1">SUMIF(Time!$J296:$BQ296,Time!K$28,'Corporation tax'!$J78:$BQ78)</f>
        <v>673207.20368769648</v>
      </c>
      <c r="L20" s="9">
        <f ca="1">SUMIF(Time!$J296:$BQ296,Time!L$28,'Corporation tax'!$J78:$BQ78)</f>
        <v>1847012.990837669</v>
      </c>
      <c r="M20" s="9">
        <f ca="1">SUMIF(Time!$J296:$BQ296,Time!M$28,'Corporation tax'!$J78:$BQ78)</f>
        <v>4031391.4012702624</v>
      </c>
      <c r="N20" s="9">
        <f ca="1">SUMIF(Time!$J296:$BQ296,Time!N$28,'Corporation tax'!$J78:$BQ78)</f>
        <v>8433811.6241043191</v>
      </c>
    </row>
    <row r="21" spans="5:16384">
      <c r="E21" s="12" t="s">
        <v>222</v>
      </c>
      <c r="F21" s="28"/>
      <c r="G21" s="12" t="s">
        <v>252</v>
      </c>
      <c r="H21" s="12"/>
      <c r="I21" s="28"/>
      <c r="J21" s="12">
        <f ca="1">SUMIF(Time!$J296:$BQ296,Time!J$28,'Balance Sheet'!$J21:$BQ21)</f>
        <v>1461543.3168896923</v>
      </c>
      <c r="K21" s="12">
        <f ca="1">SUMIF(Time!$J296:$BQ296,Time!K$28,'Balance Sheet'!$J21:$BQ21)</f>
        <v>6004462.5601179944</v>
      </c>
      <c r="L21" s="12">
        <f ca="1">SUMIF(Time!$J296:$BQ296,Time!L$28,'Balance Sheet'!$J21:$BQ21)</f>
        <v>15892700.787635323</v>
      </c>
      <c r="M21" s="12">
        <f ca="1">SUMIF(Time!$J296:$BQ296,Time!M$28,'Balance Sheet'!$J21:$BQ21)</f>
        <v>30590922.664973333</v>
      </c>
      <c r="N21" s="12">
        <f ca="1">SUMIF(Time!$J296:$BQ296,Time!N$28,'Balance Sheet'!$J21:$BQ21)</f>
        <v>60028206.12233185</v>
      </c>
    </row>
    <row r="23" spans="5:16384">
      <c r="E23" s="15" t="str">
        <f>Financials!E$24</f>
        <v>Net Assets</v>
      </c>
      <c r="F23" s="15"/>
      <c r="G23" s="15" t="str">
        <f>Financials!G$24</f>
        <v>GBP</v>
      </c>
      <c r="H23" s="9">
        <f>Financials!H$24</f>
        <v>0</v>
      </c>
      <c r="I23" s="15">
        <f>Financials!I$24</f>
        <v>0</v>
      </c>
      <c r="J23" s="16">
        <f ca="1">SUMIF(Time!$J296:$BQ296,Time!J$28,Financials!$J24:$BQ24)</f>
        <v>18227.465270239161</v>
      </c>
      <c r="K23" s="16">
        <f ca="1">SUMIF(Time!$J296:$BQ296,Time!K$28,Financials!$J24:$BQ24)</f>
        <v>2893765.0184405437</v>
      </c>
      <c r="L23" s="16">
        <f ca="1">SUMIF(Time!$J296:$BQ296,Time!L$28,Financials!$J24:$BQ24)</f>
        <v>10991760.232333899</v>
      </c>
      <c r="M23" s="16">
        <f ca="1">SUMIF(Time!$J296:$BQ296,Time!M$28,Financials!$J24:$BQ24)</f>
        <v>29663222.876222044</v>
      </c>
      <c r="N23" s="16">
        <f ca="1">SUMIF(Time!$J296:$BQ296,Time!N$28,Financials!$J24:$BQ24)</f>
        <v>69510763.829430073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5" spans="5:16384">
      <c r="E25" s="15" t="str">
        <f>Financials!E$38</f>
        <v>Retained Earnings</v>
      </c>
      <c r="F25" s="15">
        <f>Financials!F$38</f>
        <v>0</v>
      </c>
      <c r="G25" s="15" t="str">
        <f>Financials!G$38</f>
        <v>GBP</v>
      </c>
      <c r="H25" s="9">
        <f>Financials!H$38</f>
        <v>0</v>
      </c>
      <c r="I25" s="15">
        <f>Financials!I$38</f>
        <v>0</v>
      </c>
      <c r="J25" s="9">
        <f ca="1">SUMIF(Time!$J296:$BQ296,Time!J$28,Financials!$J38:$BQ38)</f>
        <v>18227.46527023922</v>
      </c>
      <c r="K25" s="9">
        <f ca="1">SUMIF(Time!$J296:$BQ296,Time!K$28,Financials!$J38:$BQ38)</f>
        <v>2893765.0184405441</v>
      </c>
      <c r="L25" s="9">
        <f ca="1">SUMIF(Time!$J296:$BQ296,Time!L$28,Financials!$J38:$BQ38)</f>
        <v>10991760.232333895</v>
      </c>
      <c r="M25" s="9">
        <f ca="1">SUMIF(Time!$J296:$BQ296,Time!M$28,Financials!$J38:$BQ38)</f>
        <v>29663222.876222033</v>
      </c>
      <c r="N25" s="9">
        <f ca="1">SUMIF(Time!$J296:$BQ296,Time!N$28,Financials!$J38:$BQ38)</f>
        <v>69510763.829430103</v>
      </c>
    </row>
    <row r="26" spans="5:16384">
      <c r="E26" s="15" t="str">
        <f>Equity!E$13</f>
        <v>Share Capital</v>
      </c>
      <c r="F26" s="15">
        <f>Equity!F$13</f>
        <v>0</v>
      </c>
      <c r="G26" s="15" t="str">
        <f>Equity!G$13</f>
        <v>GBP</v>
      </c>
      <c r="H26" s="9">
        <f>Equity!H$13</f>
        <v>0</v>
      </c>
      <c r="I26" s="15">
        <f>Equity!I$13</f>
        <v>0</v>
      </c>
      <c r="J26" s="9">
        <f>SUMIF(Time!$J296:$BQ296,Time!J$28,Equity!$J13:$BQ13)</f>
        <v>0</v>
      </c>
      <c r="K26" s="9">
        <f>SUMIF(Time!$J296:$BQ296,Time!K$28,Equity!$J13:$BQ13)</f>
        <v>0</v>
      </c>
      <c r="L26" s="9">
        <f>SUMIF(Time!$J296:$BQ296,Time!L$28,Equity!$J13:$BQ13)</f>
        <v>0</v>
      </c>
      <c r="M26" s="9">
        <f>SUMIF(Time!$J296:$BQ296,Time!M$28,Equity!$J13:$BQ13)</f>
        <v>0</v>
      </c>
      <c r="N26" s="9">
        <f>SUMIF(Time!$J296:$BQ296,Time!N$28,Equity!$J13:$BQ13)</f>
        <v>0</v>
      </c>
    </row>
    <row r="27" spans="5:16384">
      <c r="E27" s="15" t="str">
        <f>Financials!E$30</f>
        <v>Shareholder Equity</v>
      </c>
      <c r="F27" s="15"/>
      <c r="G27" s="15" t="str">
        <f>Financials!G$30</f>
        <v>GBP</v>
      </c>
      <c r="H27" s="9">
        <f>Financials!H$30</f>
        <v>0</v>
      </c>
      <c r="I27" s="15">
        <f>Financials!I$30</f>
        <v>0</v>
      </c>
      <c r="J27" s="16">
        <f ca="1">SUMIF(Time!$J296:$BQ296,Time!J$28,Financials!$J30:$BQ30)</f>
        <v>18227.46527023922</v>
      </c>
      <c r="K27" s="16">
        <f ca="1">SUMIF(Time!$J296:$BQ296,Time!K$28,Financials!$J30:$BQ30)</f>
        <v>2893765.0184405441</v>
      </c>
      <c r="L27" s="16">
        <f ca="1">SUMIF(Time!$J296:$BQ296,Time!L$28,Financials!$J30:$BQ30)</f>
        <v>10991760.232333895</v>
      </c>
      <c r="M27" s="16">
        <f ca="1">SUMIF(Time!$J296:$BQ296,Time!M$28,Financials!$J30:$BQ30)</f>
        <v>29663222.876222033</v>
      </c>
      <c r="N27" s="16">
        <f ca="1">SUMIF(Time!$J296:$BQ296,Time!N$28,Financials!$J30:$BQ30)</f>
        <v>69510763.829430103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P29"/>
  <sheetViews>
    <sheetView topLeftCell="J6" workbookViewId="0">
      <selection activeCell="J6" sqref="J6"/>
    </sheetView>
  </sheetViews>
  <sheetFormatPr defaultColWidth="0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43.7265625" customWidth="1"/>
    <col min="6" max="6" width="20.7265625" customWidth="1"/>
    <col min="7" max="7" width="13.7265625" customWidth="1"/>
    <col min="8" max="8" width="13.7265625" style="2" customWidth="1"/>
    <col min="9" max="9" width="3.7265625" customWidth="1"/>
    <col min="10" max="11" width="11.7265625" customWidth="1"/>
    <col min="12" max="12" width="12.7265625" customWidth="1"/>
    <col min="13" max="14" width="13.7265625" customWidth="1"/>
    <col min="15" max="17" width="15.7265625" customWidth="1"/>
  </cols>
  <sheetData>
    <row r="1" spans="1:16" s="53" customFormat="1" ht="25">
      <c r="A1" s="37" t="str">
        <f ca="1">RIGHT(CELL("filename",A1),LEN(CELL("filename",A1))-SEARCH("]",CELL("filename",A1)))</f>
        <v>Cashflow Ann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16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Time!J$35</f>
        <v>45412</v>
      </c>
      <c r="K2" s="6">
        <f>Time!K$35</f>
        <v>45777</v>
      </c>
      <c r="L2" s="6">
        <f>Time!L$35</f>
        <v>46142</v>
      </c>
      <c r="M2" s="6">
        <f>Time!M$35</f>
        <v>46507</v>
      </c>
      <c r="N2" s="6">
        <f>Time!N$35</f>
        <v>46873</v>
      </c>
      <c r="O2" s="6"/>
      <c r="P2" s="6"/>
    </row>
    <row r="3" spans="1:16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Time!J$42</f>
        <v>Month12</v>
      </c>
      <c r="K3" s="7" t="str">
        <f>Time!K$42</f>
        <v>Month24</v>
      </c>
      <c r="L3" s="7" t="str">
        <f>Time!L$42</f>
        <v>Month36</v>
      </c>
      <c r="M3" s="7" t="str">
        <f>Time!M$42</f>
        <v>Month48</v>
      </c>
      <c r="N3" s="7" t="str">
        <f>Time!N$42</f>
        <v>Month60</v>
      </c>
      <c r="O3" s="7"/>
      <c r="P3" s="7"/>
    </row>
    <row r="4" spans="1:16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Time!J$48</f>
        <v>12</v>
      </c>
      <c r="K4" s="5">
        <f>Time!K$48</f>
        <v>24</v>
      </c>
      <c r="L4" s="5">
        <f>Time!L$48</f>
        <v>36</v>
      </c>
      <c r="M4" s="5">
        <f>Time!M$48</f>
        <v>48</v>
      </c>
      <c r="N4" s="5">
        <f>Time!N$48</f>
        <v>60</v>
      </c>
    </row>
    <row r="5" spans="1:16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16" s="2" customFormat="1" ht="13">
      <c r="A6" s="22"/>
      <c r="B6" s="22"/>
      <c r="C6" s="40"/>
      <c r="D6" s="54"/>
      <c r="F6" s="22"/>
      <c r="G6" s="22"/>
      <c r="H6" s="22"/>
    </row>
    <row r="8" spans="1:16">
      <c r="A8"/>
      <c r="E8" s="15" t="str">
        <f>'Working Capital'!E$22</f>
        <v>Cash in from Sales</v>
      </c>
      <c r="F8" s="15">
        <f>'Working Capital'!F$22</f>
        <v>0</v>
      </c>
      <c r="G8" s="15" t="str">
        <f>'Working Capital'!G$22</f>
        <v>GBP</v>
      </c>
      <c r="H8" s="9">
        <f ca="1">'Working Capital'!H$22</f>
        <v>167177203.61119482</v>
      </c>
      <c r="I8" s="15">
        <f>'Working Capital'!I$22</f>
        <v>0</v>
      </c>
      <c r="J8" s="9">
        <f ca="1">SUMIF(Time!$J291:$BQ291,Time!J$28,'Working Capital'!$J22:$BQ22)</f>
        <v>2520000</v>
      </c>
      <c r="K8" s="9">
        <f ca="1">SUMIF(Time!$J291:$BQ291,Time!K$28,'Working Capital'!$J22:$BQ22)</f>
        <v>7560000</v>
      </c>
      <c r="L8" s="9">
        <f ca="1">SUMIF(Time!$J291:$BQ291,Time!L$28,'Working Capital'!$J22:$BQ22)</f>
        <v>20909302.509546261</v>
      </c>
      <c r="M8" s="9">
        <f ca="1">SUMIF(Time!$J291:$BQ291,Time!M$28,'Working Capital'!$J22:$BQ22)</f>
        <v>45276345.976550803</v>
      </c>
      <c r="N8" s="9">
        <f ca="1">SUMIF(Time!$J291:$BQ291,Time!N$28,'Working Capital'!$J22:$BQ22)</f>
        <v>90911555.125097737</v>
      </c>
    </row>
    <row r="9" spans="1:16">
      <c r="E9" s="15" t="str">
        <f>'Working Capital'!E$52</f>
        <v xml:space="preserve">Cash out on Operating Expense </v>
      </c>
      <c r="F9" s="15">
        <f>'Working Capital'!F$52</f>
        <v>0</v>
      </c>
      <c r="G9" s="15" t="str">
        <f>'Working Capital'!G$52</f>
        <v>GBP</v>
      </c>
      <c r="H9" s="9">
        <f ca="1">'Working Capital'!H$52</f>
        <v>-16608799.925545277</v>
      </c>
      <c r="I9" s="15">
        <f>'Working Capital'!I$52</f>
        <v>0</v>
      </c>
      <c r="J9" s="9">
        <f ca="1">SUMIF(Time!$J291:$BQ291,Time!J$28,'Working Capital'!$J52:$BQ52)</f>
        <v>-731398.46620934643</v>
      </c>
      <c r="K9" s="9">
        <f ca="1">SUMIF(Time!$J291:$BQ291,Time!K$28,'Working Capital'!$J52:$BQ52)</f>
        <v>-1155269.5093791969</v>
      </c>
      <c r="L9" s="9">
        <f ca="1">SUMIF(Time!$J291:$BQ291,Time!L$28,'Working Capital'!$J52:$BQ52)</f>
        <v>-2321725.6506745988</v>
      </c>
      <c r="M9" s="9">
        <f ca="1">SUMIF(Time!$J291:$BQ291,Time!M$28,'Working Capital'!$J52:$BQ52)</f>
        <v>-4270794.6999407709</v>
      </c>
      <c r="N9" s="9">
        <f ca="1">SUMIF(Time!$J291:$BQ291,Time!N$28,'Working Capital'!$J52:$BQ52)</f>
        <v>-8129611.5993413674</v>
      </c>
    </row>
    <row r="10" spans="1:16">
      <c r="E10" s="15" t="str">
        <f>VAT!E$38</f>
        <v xml:space="preserve">VAT paid </v>
      </c>
      <c r="F10" s="15">
        <f>VAT!F$38</f>
        <v>0</v>
      </c>
      <c r="G10" s="15" t="str">
        <f>VAT!G$38</f>
        <v>GBP</v>
      </c>
      <c r="H10" s="9">
        <f ca="1">VAT!H$38</f>
        <v>-27134220.918038663</v>
      </c>
      <c r="I10" s="15">
        <f>VAT!I$38</f>
        <v>0</v>
      </c>
      <c r="J10" s="9">
        <f ca="1">SUMIF(Time!$J291:$BQ291,Time!J$28,VAT!$J38:$BQ38)</f>
        <v>-290164.0849640551</v>
      </c>
      <c r="K10" s="9">
        <f ca="1">SUMIF(Time!$J291:$BQ291,Time!K$28,VAT!$J38:$BQ38)</f>
        <v>-1054216.7266330891</v>
      </c>
      <c r="L10" s="9">
        <f ca="1">SUMIF(Time!$J291:$BQ291,Time!L$28,VAT!$J38:$BQ38)</f>
        <v>-3252497.5548571264</v>
      </c>
      <c r="M10" s="9">
        <f ca="1">SUMIF(Time!$J291:$BQ291,Time!M$28,VAT!$J38:$BQ38)</f>
        <v>-7531552.5339964768</v>
      </c>
      <c r="N10" s="9">
        <f ca="1">SUMIF(Time!$J291:$BQ291,Time!N$28,VAT!$J38:$BQ38)</f>
        <v>-15005790.017587913</v>
      </c>
    </row>
    <row r="11" spans="1:16">
      <c r="E11" s="15" t="str">
        <f>'Corporation tax'!E$69</f>
        <v xml:space="preserve">Corporation tax paid </v>
      </c>
      <c r="F11" s="15">
        <f>'Corporation tax'!F$69</f>
        <v>0</v>
      </c>
      <c r="G11" s="15" t="str">
        <f>'Corporation tax'!G$69</f>
        <v>GBP</v>
      </c>
      <c r="H11" s="9">
        <f ca="1">'Corporation tax'!H$69</f>
        <v>-9885042.9093900993</v>
      </c>
      <c r="I11" s="15">
        <f>'Corporation tax'!I$69</f>
        <v>0</v>
      </c>
      <c r="J11" s="9">
        <f ca="1">SUMIF(Time!$J291:$BQ291,Time!J$28,'Corporation tax'!$J69:$BQ69)</f>
        <v>0</v>
      </c>
      <c r="K11" s="9">
        <f ca="1">SUMIF(Time!$J291:$BQ291,Time!K$28,'Corporation tax'!$J69:$BQ69)</f>
        <v>-172931.96758910635</v>
      </c>
      <c r="L11" s="9">
        <f ca="1">SUMIF(Time!$J291:$BQ291,Time!L$28,'Corporation tax'!$J69:$BQ69)</f>
        <v>-1009079.3836522016</v>
      </c>
      <c r="M11" s="9">
        <f ca="1">SUMIF(Time!$J291:$BQ291,Time!M$28,'Corporation tax'!$J69:$BQ69)</f>
        <v>-2746983.6823349316</v>
      </c>
      <c r="N11" s="9">
        <f ca="1">SUMIF(Time!$J291:$BQ291,Time!N$28,'Corporation tax'!$J69:$BQ69)</f>
        <v>-5956047.8758138604</v>
      </c>
    </row>
    <row r="12" spans="1:16">
      <c r="E12" s="12" t="s">
        <v>113</v>
      </c>
      <c r="F12" s="28"/>
      <c r="G12" s="12" t="s">
        <v>252</v>
      </c>
      <c r="H12" s="12">
        <f ca="1">SUM(J12:BQ12)</f>
        <v>113549139.85822079</v>
      </c>
      <c r="I12" s="28"/>
      <c r="J12" s="12">
        <f ca="1">SUMIF(Time!$J291:$BQ291,Time!J$28,Cashflow!$J12:$BQ12)</f>
        <v>1498437.4488265985</v>
      </c>
      <c r="K12" s="12">
        <f ca="1">SUMIF(Time!$J291:$BQ291,Time!K$28,Cashflow!$J12:$BQ12)</f>
        <v>5177581.796398608</v>
      </c>
      <c r="L12" s="12">
        <f ca="1">SUMIF(Time!$J291:$BQ291,Time!L$28,Cashflow!$J12:$BQ12)</f>
        <v>14325999.920362335</v>
      </c>
      <c r="M12" s="12">
        <f ca="1">SUMIF(Time!$J291:$BQ291,Time!M$28,Cashflow!$J12:$BQ12)</f>
        <v>30727015.060278632</v>
      </c>
      <c r="N12" s="12">
        <f ca="1">SUMIF(Time!$J291:$BQ291,Time!N$28,Cashflow!$J12:$BQ12)</f>
        <v>61820105.632354617</v>
      </c>
    </row>
    <row r="14" spans="1:16">
      <c r="E14" s="15" t="str">
        <f>'Working Capital'!E$15</f>
        <v xml:space="preserve">Cash out on Inventory </v>
      </c>
      <c r="F14" s="15">
        <f>'Working Capital'!F$15</f>
        <v>0</v>
      </c>
      <c r="G14" s="15" t="str">
        <f>'Working Capital'!G$15</f>
        <v>GBP</v>
      </c>
      <c r="H14" s="9">
        <f ca="1">'Working Capital'!H$15</f>
        <v>-5701499.9999999991</v>
      </c>
      <c r="I14" s="15">
        <f>'Working Capital'!I$15</f>
        <v>0</v>
      </c>
      <c r="J14" s="9">
        <f ca="1">SUMIF(Time!$J291:$BQ291,Time!J$28,'Working Capital'!$J15:$BQ15)</f>
        <v>-251999.99999999997</v>
      </c>
      <c r="K14" s="9">
        <f ca="1">SUMIF(Time!$J291:$BQ291,Time!K$28,'Working Capital'!$J15:$BQ15)</f>
        <v>-650999.99999999988</v>
      </c>
      <c r="L14" s="9">
        <f ca="1">SUMIF(Time!$J291:$BQ291,Time!L$28,'Working Capital'!$J15:$BQ15)</f>
        <v>-850499.99999999988</v>
      </c>
      <c r="M14" s="9">
        <f ca="1">SUMIF(Time!$J291:$BQ291,Time!M$28,'Working Capital'!$J15:$BQ15)</f>
        <v>-1553999.9999999998</v>
      </c>
      <c r="N14" s="9">
        <f ca="1">SUMIF(Time!$J291:$BQ291,Time!N$28,'Working Capital'!$J15:$BQ15)</f>
        <v>-2393999.9999999995</v>
      </c>
    </row>
    <row r="15" spans="1:16">
      <c r="E15" s="12" t="s">
        <v>20</v>
      </c>
      <c r="F15" s="28"/>
      <c r="G15" s="12" t="s">
        <v>252</v>
      </c>
      <c r="H15" s="12">
        <f ca="1">SUM(J15:BQ15)</f>
        <v>107847639.85822079</v>
      </c>
      <c r="I15" s="28"/>
      <c r="J15" s="12">
        <f ca="1">SUMIF(Time!$J291:$BQ291,Time!J$28,Cashflow!$J15:$BQ15)</f>
        <v>1246437.4488265985</v>
      </c>
      <c r="K15" s="12">
        <f ca="1">SUMIF(Time!$J291:$BQ291,Time!K$28,Cashflow!$J15:$BQ15)</f>
        <v>4526581.796398608</v>
      </c>
      <c r="L15" s="12">
        <f ca="1">SUMIF(Time!$J291:$BQ291,Time!L$28,Cashflow!$J15:$BQ15)</f>
        <v>13475499.920362335</v>
      </c>
      <c r="M15" s="12">
        <f ca="1">SUMIF(Time!$J291:$BQ291,Time!M$28,Cashflow!$J15:$BQ15)</f>
        <v>29173015.060278632</v>
      </c>
      <c r="N15" s="12">
        <f ca="1">SUMIF(Time!$J291:$BQ291,Time!N$28,Cashflow!$J15:$BQ15)</f>
        <v>59426105.632354617</v>
      </c>
    </row>
    <row r="17" spans="5:14">
      <c r="E17" s="15" t="str">
        <f>'Supply Chain finance'!E$22</f>
        <v>Supply Chain Finance drawdown</v>
      </c>
      <c r="F17" s="15">
        <f>'Supply Chain finance'!F$22</f>
        <v>0</v>
      </c>
      <c r="G17" s="15" t="str">
        <f>'Supply Chain finance'!G$22</f>
        <v>GBP</v>
      </c>
      <c r="H17" s="9">
        <f ca="1">'Supply Chain finance'!H$22</f>
        <v>0</v>
      </c>
      <c r="I17" s="15">
        <f>'Supply Chain finance'!I$22</f>
        <v>0</v>
      </c>
      <c r="J17" s="9">
        <f ca="1">SUMIF(Time!$J291:$BQ291,Time!J$28,'Supply Chain finance'!$J22:$BQ22)</f>
        <v>0</v>
      </c>
      <c r="K17" s="9">
        <f ca="1">SUMIF(Time!$J291:$BQ291,Time!K$28,'Supply Chain finance'!$J22:$BQ22)</f>
        <v>0</v>
      </c>
      <c r="L17" s="9">
        <f ca="1">SUMIF(Time!$J291:$BQ291,Time!L$28,'Supply Chain finance'!$J22:$BQ22)</f>
        <v>0</v>
      </c>
      <c r="M17" s="9">
        <f ca="1">SUMIF(Time!$J291:$BQ291,Time!M$28,'Supply Chain finance'!$J22:$BQ22)</f>
        <v>0</v>
      </c>
      <c r="N17" s="9">
        <f ca="1">SUMIF(Time!$J291:$BQ291,Time!N$28,'Supply Chain finance'!$J22:$BQ22)</f>
        <v>0</v>
      </c>
    </row>
    <row r="18" spans="5:14">
      <c r="E18" s="15" t="str">
        <f>'Supply Chain finance'!E$29</f>
        <v xml:space="preserve">Supply Chain Finance principal repayment </v>
      </c>
      <c r="F18" s="15">
        <f>'Supply Chain finance'!F$29</f>
        <v>0</v>
      </c>
      <c r="G18" s="15" t="str">
        <f>'Supply Chain finance'!G$29</f>
        <v>GBP</v>
      </c>
      <c r="H18" s="9">
        <f ca="1">'Supply Chain finance'!H$29</f>
        <v>0</v>
      </c>
      <c r="I18" s="15">
        <f>'Supply Chain finance'!I$29</f>
        <v>0</v>
      </c>
      <c r="J18" s="9">
        <f ca="1">SUMIF(Time!$J291:$BQ291,Time!J$28,'Supply Chain finance'!$J29:$BQ29)</f>
        <v>0</v>
      </c>
      <c r="K18" s="9">
        <f ca="1">SUMIF(Time!$J291:$BQ291,Time!K$28,'Supply Chain finance'!$J29:$BQ29)</f>
        <v>0</v>
      </c>
      <c r="L18" s="9">
        <f ca="1">SUMIF(Time!$J291:$BQ291,Time!L$28,'Supply Chain finance'!$J29:$BQ29)</f>
        <v>0</v>
      </c>
      <c r="M18" s="9">
        <f ca="1">SUMIF(Time!$J291:$BQ291,Time!M$28,'Supply Chain finance'!$J29:$BQ29)</f>
        <v>0</v>
      </c>
      <c r="N18" s="9">
        <f ca="1">SUMIF(Time!$J291:$BQ291,Time!N$28,'Supply Chain finance'!$J29:$BQ29)</f>
        <v>0</v>
      </c>
    </row>
    <row r="19" spans="5:14">
      <c r="E19" s="15" t="str">
        <f>'Invoice finance'!E$21</f>
        <v>Invoice finance drawdown</v>
      </c>
      <c r="F19" s="15">
        <f>'Invoice finance'!F$21</f>
        <v>0</v>
      </c>
      <c r="G19" s="15" t="str">
        <f>'Invoice finance'!G$21</f>
        <v>GBP</v>
      </c>
      <c r="H19" s="9">
        <f ca="1">'Invoice finance'!H$21</f>
        <v>0</v>
      </c>
      <c r="I19" s="15">
        <f>'Invoice finance'!I$21</f>
        <v>0</v>
      </c>
      <c r="J19" s="9">
        <f ca="1">SUMIF(Time!$J291:$BQ291,Time!J$28,'Invoice finance'!$J21:$BQ21)</f>
        <v>0</v>
      </c>
      <c r="K19" s="9">
        <f ca="1">SUMIF(Time!$J291:$BQ291,Time!K$28,'Invoice finance'!$J21:$BQ21)</f>
        <v>0</v>
      </c>
      <c r="L19" s="9">
        <f ca="1">SUMIF(Time!$J291:$BQ291,Time!L$28,'Invoice finance'!$J21:$BQ21)</f>
        <v>0</v>
      </c>
      <c r="M19" s="9">
        <f ca="1">SUMIF(Time!$J291:$BQ291,Time!M$28,'Invoice finance'!$J21:$BQ21)</f>
        <v>0</v>
      </c>
      <c r="N19" s="9">
        <f ca="1">SUMIF(Time!$J291:$BQ291,Time!N$28,'Invoice finance'!$J21:$BQ21)</f>
        <v>0</v>
      </c>
    </row>
    <row r="20" spans="5:14">
      <c r="E20" s="15" t="str">
        <f>'Invoice finance'!E$28</f>
        <v xml:space="preserve">Invoice finance principal repayment </v>
      </c>
      <c r="F20" s="15">
        <f>'Invoice finance'!F$28</f>
        <v>0</v>
      </c>
      <c r="G20" s="15" t="str">
        <f>'Invoice finance'!G$28</f>
        <v>GBP</v>
      </c>
      <c r="H20" s="9">
        <f ca="1">'Invoice finance'!H$28</f>
        <v>0</v>
      </c>
      <c r="I20" s="15">
        <f>'Invoice finance'!I$28</f>
        <v>0</v>
      </c>
      <c r="J20" s="9">
        <f ca="1">SUMIF(Time!$J291:$BQ291,Time!J$28,'Invoice finance'!$J28:$BQ28)</f>
        <v>0</v>
      </c>
      <c r="K20" s="9">
        <f ca="1">SUMIF(Time!$J291:$BQ291,Time!K$28,'Invoice finance'!$J28:$BQ28)</f>
        <v>0</v>
      </c>
      <c r="L20" s="9">
        <f ca="1">SUMIF(Time!$J291:$BQ291,Time!L$28,'Invoice finance'!$J28:$BQ28)</f>
        <v>0</v>
      </c>
      <c r="M20" s="9">
        <f ca="1">SUMIF(Time!$J291:$BQ291,Time!M$28,'Invoice finance'!$J28:$BQ28)</f>
        <v>0</v>
      </c>
      <c r="N20" s="9">
        <f ca="1">SUMIF(Time!$J291:$BQ291,Time!N$28,'Invoice finance'!$J28:$BQ28)</f>
        <v>0</v>
      </c>
    </row>
    <row r="21" spans="5:14">
      <c r="E21" s="15" t="str">
        <f>'Asset Finance'!E$22</f>
        <v>Asset Finance drawdown</v>
      </c>
      <c r="F21" s="15">
        <f>'Asset Finance'!F$22</f>
        <v>0</v>
      </c>
      <c r="G21" s="15" t="str">
        <f>'Asset Finance'!G$22</f>
        <v>GBP</v>
      </c>
      <c r="H21" s="9">
        <f ca="1">'Asset Finance'!H$22</f>
        <v>0</v>
      </c>
      <c r="I21" s="15">
        <f>'Asset Finance'!I$22</f>
        <v>0</v>
      </c>
      <c r="J21" s="9">
        <f ca="1">SUMIF(Time!$J291:$BQ291,Time!J$28,'Asset Finance'!$J22:$BQ22)</f>
        <v>0</v>
      </c>
      <c r="K21" s="9">
        <f ca="1">SUMIF(Time!$J291:$BQ291,Time!K$28,'Asset Finance'!$J22:$BQ22)</f>
        <v>0</v>
      </c>
      <c r="L21" s="9">
        <f ca="1">SUMIF(Time!$J291:$BQ291,Time!L$28,'Asset Finance'!$J22:$BQ22)</f>
        <v>0</v>
      </c>
      <c r="M21" s="9">
        <f ca="1">SUMIF(Time!$J291:$BQ291,Time!M$28,'Asset Finance'!$J22:$BQ22)</f>
        <v>0</v>
      </c>
      <c r="N21" s="9">
        <f ca="1">SUMIF(Time!$J291:$BQ291,Time!N$28,'Asset Finance'!$J22:$BQ22)</f>
        <v>0</v>
      </c>
    </row>
    <row r="22" spans="5:14">
      <c r="E22" s="15" t="str">
        <f>'Asset Finance'!E$29</f>
        <v xml:space="preserve">Asset Finance principal repayment </v>
      </c>
      <c r="F22" s="15">
        <f>'Asset Finance'!F$29</f>
        <v>0</v>
      </c>
      <c r="G22" s="15" t="str">
        <f>'Asset Finance'!G$29</f>
        <v>GBP</v>
      </c>
      <c r="H22" s="9">
        <f ca="1">'Asset Finance'!H$29</f>
        <v>0</v>
      </c>
      <c r="I22" s="15">
        <f>'Asset Finance'!I$29</f>
        <v>0</v>
      </c>
      <c r="J22" s="9">
        <f ca="1">SUMIF(Time!$J291:$BQ291,Time!J$28,'Asset Finance'!$J29:$BQ29)</f>
        <v>0</v>
      </c>
      <c r="K22" s="9">
        <f ca="1">SUMIF(Time!$J291:$BQ291,Time!K$28,'Asset Finance'!$J29:$BQ29)</f>
        <v>0</v>
      </c>
      <c r="L22" s="9">
        <f ca="1">SUMIF(Time!$J291:$BQ291,Time!L$28,'Asset Finance'!$J29:$BQ29)</f>
        <v>0</v>
      </c>
      <c r="M22" s="9">
        <f ca="1">SUMIF(Time!$J291:$BQ291,Time!M$28,'Asset Finance'!$J29:$BQ29)</f>
        <v>0</v>
      </c>
      <c r="N22" s="9">
        <f ca="1">SUMIF(Time!$J291:$BQ291,Time!N$28,'Asset Finance'!$J29:$BQ29)</f>
        <v>0</v>
      </c>
    </row>
    <row r="23" spans="5:14">
      <c r="E23" s="15" t="str">
        <f>'Supply Chain finance'!E$48</f>
        <v xml:space="preserve">Supply Chain Finance interest paid </v>
      </c>
      <c r="F23" s="15">
        <f>'Supply Chain finance'!F$48</f>
        <v>0</v>
      </c>
      <c r="G23" s="15" t="str">
        <f>'Supply Chain finance'!G$48</f>
        <v>GBP</v>
      </c>
      <c r="H23" s="9">
        <f ca="1">'Supply Chain finance'!H$48</f>
        <v>0</v>
      </c>
      <c r="I23" s="15">
        <f>'Supply Chain finance'!I$48</f>
        <v>0</v>
      </c>
      <c r="J23" s="9">
        <f ca="1">SUMIF(Time!$J291:$BQ291,Time!J$28,'Supply Chain finance'!$J48:$BQ48)</f>
        <v>0</v>
      </c>
      <c r="K23" s="9">
        <f ca="1">SUMIF(Time!$J291:$BQ291,Time!K$28,'Supply Chain finance'!$J48:$BQ48)</f>
        <v>0</v>
      </c>
      <c r="L23" s="9">
        <f ca="1">SUMIF(Time!$J291:$BQ291,Time!L$28,'Supply Chain finance'!$J48:$BQ48)</f>
        <v>0</v>
      </c>
      <c r="M23" s="9">
        <f ca="1">SUMIF(Time!$J291:$BQ291,Time!M$28,'Supply Chain finance'!$J48:$BQ48)</f>
        <v>0</v>
      </c>
      <c r="N23" s="9">
        <f ca="1">SUMIF(Time!$J291:$BQ291,Time!N$28,'Supply Chain finance'!$J48:$BQ48)</f>
        <v>0</v>
      </c>
    </row>
    <row r="24" spans="5:14">
      <c r="E24" s="15" t="str">
        <f>'Invoice finance'!E$47</f>
        <v xml:space="preserve">Invoice finance interest paid </v>
      </c>
      <c r="F24" s="15">
        <f>'Invoice finance'!F$47</f>
        <v>0</v>
      </c>
      <c r="G24" s="15" t="str">
        <f>'Invoice finance'!G$47</f>
        <v>GBP</v>
      </c>
      <c r="H24" s="9">
        <f ca="1">'Invoice finance'!H$47</f>
        <v>0</v>
      </c>
      <c r="I24" s="15">
        <f>'Invoice finance'!I$47</f>
        <v>0</v>
      </c>
      <c r="J24" s="9">
        <f ca="1">SUMIF(Time!$J291:$BQ291,Time!J$28,'Invoice finance'!$J47:$BQ47)</f>
        <v>0</v>
      </c>
      <c r="K24" s="9">
        <f ca="1">SUMIF(Time!$J291:$BQ291,Time!K$28,'Invoice finance'!$J47:$BQ47)</f>
        <v>0</v>
      </c>
      <c r="L24" s="9">
        <f ca="1">SUMIF(Time!$J291:$BQ291,Time!L$28,'Invoice finance'!$J47:$BQ47)</f>
        <v>0</v>
      </c>
      <c r="M24" s="9">
        <f ca="1">SUMIF(Time!$J291:$BQ291,Time!M$28,'Invoice finance'!$J47:$BQ47)</f>
        <v>0</v>
      </c>
      <c r="N24" s="9">
        <f ca="1">SUMIF(Time!$J291:$BQ291,Time!N$28,'Invoice finance'!$J47:$BQ47)</f>
        <v>0</v>
      </c>
    </row>
    <row r="25" spans="5:14">
      <c r="E25" s="15" t="str">
        <f>'Asset Finance'!E$48</f>
        <v xml:space="preserve">Asset Finance interest paid </v>
      </c>
      <c r="F25" s="15">
        <f>'Asset Finance'!F$48</f>
        <v>0</v>
      </c>
      <c r="G25" s="15" t="str">
        <f>'Asset Finance'!G$48</f>
        <v>GBP</v>
      </c>
      <c r="H25" s="9">
        <f ca="1">'Asset Finance'!H$48</f>
        <v>0</v>
      </c>
      <c r="I25" s="15">
        <f>'Asset Finance'!I$48</f>
        <v>0</v>
      </c>
      <c r="J25" s="9">
        <f ca="1">SUMIF(Time!$J291:$BQ291,Time!J$28,'Asset Finance'!$J48:$BQ48)</f>
        <v>0</v>
      </c>
      <c r="K25" s="9">
        <f ca="1">SUMIF(Time!$J291:$BQ291,Time!K$28,'Asset Finance'!$J48:$BQ48)</f>
        <v>0</v>
      </c>
      <c r="L25" s="9">
        <f ca="1">SUMIF(Time!$J291:$BQ291,Time!L$28,'Asset Finance'!$J48:$BQ48)</f>
        <v>0</v>
      </c>
      <c r="M25" s="9">
        <f ca="1">SUMIF(Time!$J291:$BQ291,Time!M$28,'Asset Finance'!$J48:$BQ48)</f>
        <v>0</v>
      </c>
      <c r="N25" s="9">
        <f ca="1">SUMIF(Time!$J291:$BQ291,Time!N$28,'Asset Finance'!$J48:$BQ48)</f>
        <v>0</v>
      </c>
    </row>
    <row r="26" spans="5:14">
      <c r="E26" s="12" t="s">
        <v>178</v>
      </c>
      <c r="F26" s="28"/>
      <c r="G26" s="12" t="s">
        <v>252</v>
      </c>
      <c r="H26" s="12">
        <f ca="1">SUM(J26:BQ26)</f>
        <v>107847639.85822079</v>
      </c>
      <c r="I26" s="28"/>
      <c r="J26" s="12">
        <f ca="1">SUMIF(Time!$J291:$BQ291,Time!J$28,Cashflow!$J26:$BQ26)</f>
        <v>1246437.4488265985</v>
      </c>
      <c r="K26" s="12">
        <f ca="1">SUMIF(Time!$J291:$BQ291,Time!K$28,Cashflow!$J26:$BQ26)</f>
        <v>4526581.796398608</v>
      </c>
      <c r="L26" s="12">
        <f ca="1">SUMIF(Time!$J291:$BQ291,Time!L$28,Cashflow!$J26:$BQ26)</f>
        <v>13475499.920362335</v>
      </c>
      <c r="M26" s="12">
        <f ca="1">SUMIF(Time!$J291:$BQ291,Time!M$28,Cashflow!$J26:$BQ26)</f>
        <v>29173015.060278632</v>
      </c>
      <c r="N26" s="12">
        <f ca="1">SUMIF(Time!$J291:$BQ291,Time!N$28,Cashflow!$J26:$BQ26)</f>
        <v>59426105.632354617</v>
      </c>
    </row>
    <row r="28" spans="5:14">
      <c r="E28" s="15" t="str">
        <f>InpS!E$11</f>
        <v>New share capital issued</v>
      </c>
      <c r="F28" s="15">
        <f>InpS!F$11</f>
        <v>0</v>
      </c>
      <c r="G28" s="15" t="str">
        <f>InpS!G$11</f>
        <v>GBP</v>
      </c>
      <c r="H28" s="9">
        <f>InpS!H$11</f>
        <v>0</v>
      </c>
      <c r="I28" s="15">
        <f>InpS!I$11</f>
        <v>0</v>
      </c>
      <c r="J28" s="9">
        <f>SUMIF(Time!$J291:$BQ291,Time!J$28,InpS!$J11:$BQ11)</f>
        <v>0</v>
      </c>
      <c r="K28" s="9">
        <f>SUMIF(Time!$J291:$BQ291,Time!K$28,InpS!$J11:$BQ11)</f>
        <v>0</v>
      </c>
      <c r="L28" s="9">
        <f>SUMIF(Time!$J291:$BQ291,Time!L$28,InpS!$J11:$BQ11)</f>
        <v>0</v>
      </c>
      <c r="M28" s="9">
        <f>SUMIF(Time!$J291:$BQ291,Time!M$28,InpS!$J11:$BQ11)</f>
        <v>0</v>
      </c>
      <c r="N28" s="9">
        <f>SUMIF(Time!$J291:$BQ291,Time!N$28,InpS!$J11:$BQ11)</f>
        <v>0</v>
      </c>
    </row>
    <row r="29" spans="5:14">
      <c r="E29" s="12" t="s">
        <v>114</v>
      </c>
      <c r="F29" s="28"/>
      <c r="G29" s="12" t="s">
        <v>252</v>
      </c>
      <c r="H29" s="12">
        <f ca="1">SUM(J29:BQ29)</f>
        <v>107847639.85822079</v>
      </c>
      <c r="I29" s="28"/>
      <c r="J29" s="12">
        <f ca="1">SUMIF(Time!$J291:$BQ291,Time!J$28,Cashflow!$J29:$BQ29)</f>
        <v>1246437.4488265985</v>
      </c>
      <c r="K29" s="12">
        <f ca="1">SUMIF(Time!$J291:$BQ291,Time!K$28,Cashflow!$J29:$BQ29)</f>
        <v>4526581.796398608</v>
      </c>
      <c r="L29" s="12">
        <f ca="1">SUMIF(Time!$J291:$BQ291,Time!L$28,Cashflow!$J29:$BQ29)</f>
        <v>13475499.920362335</v>
      </c>
      <c r="M29" s="12">
        <f ca="1">SUMIF(Time!$J291:$BQ291,Time!M$28,Cashflow!$J29:$BQ29)</f>
        <v>29173015.060278632</v>
      </c>
      <c r="N29" s="12">
        <f ca="1">SUMIF(Time!$J291:$BQ291,Time!N$28,Cashflow!$J29:$BQ29)</f>
        <v>59426105.632354617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P18"/>
  <sheetViews>
    <sheetView topLeftCell="A6" workbookViewId="0">
      <selection activeCell="A25" sqref="A25"/>
    </sheetView>
  </sheetViews>
  <sheetFormatPr defaultColWidth="0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38.7265625" customWidth="1"/>
    <col min="6" max="6" width="20.7265625" customWidth="1"/>
    <col min="7" max="7" width="13.7265625" customWidth="1"/>
    <col min="8" max="8" width="9.7265625" style="2" customWidth="1"/>
    <col min="9" max="9" width="3.7265625" customWidth="1"/>
    <col min="10" max="14" width="11.7265625" customWidth="1"/>
    <col min="15" max="17" width="15.7265625" customWidth="1"/>
  </cols>
  <sheetData>
    <row r="1" spans="1:16" s="53" customFormat="1" ht="25">
      <c r="A1" s="37" t="str">
        <f ca="1">RIGHT(CELL("filename",A1),LEN(CELL("filename",A1))-SEARCH("]",CELL("filename",A1)))</f>
        <v>Inventory Report Ann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16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Time!J$35</f>
        <v>45412</v>
      </c>
      <c r="K2" s="6">
        <f>Time!K$35</f>
        <v>45777</v>
      </c>
      <c r="L2" s="6">
        <f>Time!L$35</f>
        <v>46142</v>
      </c>
      <c r="M2" s="6">
        <f>Time!M$35</f>
        <v>46507</v>
      </c>
      <c r="N2" s="6">
        <f>Time!N$35</f>
        <v>46873</v>
      </c>
      <c r="O2" s="6"/>
      <c r="P2" s="6"/>
    </row>
    <row r="3" spans="1:16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Time!J$42</f>
        <v>Month12</v>
      </c>
      <c r="K3" s="7" t="str">
        <f>Time!K$42</f>
        <v>Month24</v>
      </c>
      <c r="L3" s="7" t="str">
        <f>Time!L$42</f>
        <v>Month36</v>
      </c>
      <c r="M3" s="7" t="str">
        <f>Time!M$42</f>
        <v>Month48</v>
      </c>
      <c r="N3" s="7" t="str">
        <f>Time!N$42</f>
        <v>Month60</v>
      </c>
      <c r="O3" s="7"/>
      <c r="P3" s="7"/>
    </row>
    <row r="4" spans="1:16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Time!J$48</f>
        <v>12</v>
      </c>
      <c r="K4" s="5">
        <f>Time!K$48</f>
        <v>24</v>
      </c>
      <c r="L4" s="5">
        <f>Time!L$48</f>
        <v>36</v>
      </c>
      <c r="M4" s="5">
        <f>Time!M$48</f>
        <v>48</v>
      </c>
      <c r="N4" s="5">
        <f>Time!N$48</f>
        <v>60</v>
      </c>
    </row>
    <row r="5" spans="1:16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16" s="2" customFormat="1" ht="13">
      <c r="A6" s="22"/>
      <c r="B6" s="22"/>
      <c r="C6" s="40"/>
      <c r="D6" s="54"/>
      <c r="F6" s="22"/>
      <c r="G6" s="22"/>
      <c r="H6" s="22"/>
    </row>
    <row r="8" spans="1:16">
      <c r="A8"/>
      <c r="E8" s="15" t="str">
        <f>Customers!E$11</f>
        <v>New customers orders</v>
      </c>
      <c r="F8" s="15">
        <f>Customers!F$11</f>
        <v>0</v>
      </c>
      <c r="G8" s="15" t="str">
        <f>Customers!G$11</f>
        <v>Units</v>
      </c>
      <c r="H8" s="9">
        <f>Customers!H$11</f>
        <v>261181.72293639058</v>
      </c>
      <c r="I8" s="15">
        <f>Customers!I$11</f>
        <v>0</v>
      </c>
      <c r="J8" s="9">
        <f>SUMIF(Time!$J291:$BQ291,Time!J$28,Customers!$J11:$BQ11)</f>
        <v>8423.5199996978354</v>
      </c>
      <c r="K8" s="9">
        <f>SUMIF(Time!$J291:$BQ291,Time!K$28,Customers!$J11:$BQ11)</f>
        <v>16856.898499590458</v>
      </c>
      <c r="L8" s="9">
        <f>SUMIF(Time!$J291:$BQ291,Time!L$28,Customers!$J11:$BQ11)</f>
        <v>33708.800976062739</v>
      </c>
      <c r="M8" s="9">
        <f>SUMIF(Time!$J291:$BQ291,Time!M$28,Customers!$J11:$BQ11)</f>
        <v>67410.178292950688</v>
      </c>
      <c r="N8" s="9">
        <f>SUMIF(Time!$J291:$BQ291,Time!N$28,Customers!$J11:$BQ11)</f>
        <v>134782.32516808886</v>
      </c>
    </row>
    <row r="9" spans="1:16">
      <c r="E9" s="15" t="str">
        <f>Customers!E$32</f>
        <v>Renewing Customer Orders</v>
      </c>
      <c r="F9" s="15">
        <f>Customers!F$32</f>
        <v>0</v>
      </c>
      <c r="G9" s="15" t="str">
        <f>Customers!G$32</f>
        <v>Units</v>
      </c>
      <c r="H9" s="9">
        <f ca="1">Customers!H$32</f>
        <v>53090.297527815921</v>
      </c>
      <c r="I9" s="15">
        <f>Customers!I$32</f>
        <v>0</v>
      </c>
      <c r="J9" s="9">
        <f ca="1">SUMIF(Time!$J291:$BQ291,Time!J$28,Customers!$J32:$BQ32)</f>
        <v>0</v>
      </c>
      <c r="K9" s="9">
        <f ca="1">SUMIF(Time!$J291:$BQ291,Time!K$28,Customers!$J32:$BQ32)</f>
        <v>0</v>
      </c>
      <c r="L9" s="9">
        <f ca="1">SUMIF(Time!$J291:$BQ291,Time!L$28,Customers!$J32:$BQ32)</f>
        <v>7581.1679997280535</v>
      </c>
      <c r="M9" s="9">
        <f ca="1">SUMIF(Time!$J291:$BQ291,Time!M$28,Customers!$J32:$BQ32)</f>
        <v>15171.208649631413</v>
      </c>
      <c r="N9" s="9">
        <f ca="1">SUMIF(Time!$J291:$BQ291,Time!N$28,Customers!$J32:$BQ32)</f>
        <v>30337.920878456462</v>
      </c>
    </row>
    <row r="10" spans="1:16">
      <c r="E10" s="15" t="str">
        <f>Customers!E$21</f>
        <v>Customer Orders Awaiting Fullfilment</v>
      </c>
      <c r="F10" s="15">
        <f>Customers!F$21</f>
        <v>0</v>
      </c>
      <c r="G10" s="15" t="str">
        <f>Customers!G$21</f>
        <v>Units</v>
      </c>
      <c r="H10" s="9">
        <f>Customers!H$21</f>
        <v>0</v>
      </c>
      <c r="I10" s="15">
        <f>Customers!I$21</f>
        <v>0</v>
      </c>
      <c r="J10" s="9">
        <f ca="1">SUMIF(Time!$J296:$BQ296,Time!J$28,Customers!$J21:$BQ21)</f>
        <v>3423.5199996978349</v>
      </c>
      <c r="K10" s="9">
        <f ca="1">SUMIF(Time!$J296:$BQ296,Time!K$28,Customers!$J21:$BQ21)</f>
        <v>5280.4184992882947</v>
      </c>
      <c r="L10" s="9">
        <f ca="1">SUMIF(Time!$J296:$BQ296,Time!L$28,Customers!$J21:$BQ21)</f>
        <v>11612.884499067255</v>
      </c>
      <c r="M10" s="9">
        <f ca="1">SUMIF(Time!$J296:$BQ296,Time!M$28,Customers!$J21:$BQ21)</f>
        <v>32372.010202025675</v>
      </c>
      <c r="N10" s="9">
        <f ca="1">SUMIF(Time!$J296:$BQ296,Time!N$28,Customers!$J21:$BQ21)</f>
        <v>60392.68148681907</v>
      </c>
    </row>
    <row r="11" spans="1:16">
      <c r="E11" s="15" t="str">
        <f>Inventory!E$26</f>
        <v>Units ordered</v>
      </c>
      <c r="F11" s="15">
        <f>Inventory!F$26</f>
        <v>0</v>
      </c>
      <c r="G11" s="15" t="str">
        <f>Inventory!G$26</f>
        <v>Units</v>
      </c>
      <c r="H11" s="9">
        <f ca="1">Inventory!H$26</f>
        <v>165000</v>
      </c>
      <c r="I11" s="15">
        <f>Inventory!I$26</f>
        <v>0</v>
      </c>
      <c r="J11" s="9">
        <f ca="1">SUMIF(Time!$J291:$BQ291,Time!J$28,Inventory!$J26:$BQ26)</f>
        <v>10000</v>
      </c>
      <c r="K11" s="9">
        <f ca="1">SUMIF(Time!$J291:$BQ291,Time!K$28,Inventory!$J26:$BQ26)</f>
        <v>20000</v>
      </c>
      <c r="L11" s="9">
        <f ca="1">SUMIF(Time!$J291:$BQ291,Time!L$28,Inventory!$J26:$BQ26)</f>
        <v>25000</v>
      </c>
      <c r="M11" s="9">
        <f ca="1">SUMIF(Time!$J291:$BQ291,Time!M$28,Inventory!$J26:$BQ26)</f>
        <v>50000</v>
      </c>
      <c r="N11" s="9">
        <f ca="1">SUMIF(Time!$J291:$BQ291,Time!N$28,Inventory!$J26:$BQ26)</f>
        <v>60000</v>
      </c>
    </row>
    <row r="12" spans="1:16">
      <c r="E12" s="15" t="str">
        <f>Inventory!E$41</f>
        <v>Units on order</v>
      </c>
      <c r="F12" s="15">
        <f>Inventory!F$41</f>
        <v>0</v>
      </c>
      <c r="G12" s="15" t="str">
        <f>Inventory!G$41</f>
        <v>Units</v>
      </c>
      <c r="H12" s="9">
        <f>Inventory!H$41</f>
        <v>0</v>
      </c>
      <c r="I12" s="15">
        <f>Inventory!I$41</f>
        <v>0</v>
      </c>
      <c r="J12" s="9">
        <f ca="1">SUMIF(Time!$J296:$BQ296,Time!J$28,Inventory!$J41:$BQ41)</f>
        <v>5000</v>
      </c>
      <c r="K12" s="9">
        <f ca="1">SUMIF(Time!$J296:$BQ296,Time!K$28,Inventory!$J41:$BQ41)</f>
        <v>10000</v>
      </c>
      <c r="L12" s="9">
        <f ca="1">SUMIF(Time!$J296:$BQ296,Time!L$28,Inventory!$J41:$BQ41)</f>
        <v>15000</v>
      </c>
      <c r="M12" s="9">
        <f ca="1">SUMIF(Time!$J296:$BQ296,Time!M$28,Inventory!$J41:$BQ41)</f>
        <v>30000</v>
      </c>
      <c r="N12" s="9">
        <f ca="1">SUMIF(Time!$J296:$BQ296,Time!N$28,Inventory!$J41:$BQ41)</f>
        <v>30000</v>
      </c>
    </row>
    <row r="13" spans="1:16">
      <c r="E13" s="15" t="str">
        <f>Inventory!E$32</f>
        <v>Units delivered</v>
      </c>
      <c r="F13" s="15">
        <f>Inventory!F$32</f>
        <v>0</v>
      </c>
      <c r="G13" s="15" t="str">
        <f>Inventory!G$32</f>
        <v>Units</v>
      </c>
      <c r="H13" s="9">
        <f ca="1">Inventory!H$32</f>
        <v>135000</v>
      </c>
      <c r="I13" s="15">
        <f>Inventory!I$32</f>
        <v>0</v>
      </c>
      <c r="J13" s="9">
        <f ca="1">SUMIF(Time!$J291:$BQ291,Time!J$28,Inventory!$J32:$BQ32)</f>
        <v>5000</v>
      </c>
      <c r="K13" s="9">
        <f ca="1">SUMIF(Time!$J291:$BQ291,Time!K$28,Inventory!$J32:$BQ32)</f>
        <v>15000</v>
      </c>
      <c r="L13" s="9">
        <f ca="1">SUMIF(Time!$J291:$BQ291,Time!L$28,Inventory!$J32:$BQ32)</f>
        <v>20000</v>
      </c>
      <c r="M13" s="9">
        <f ca="1">SUMIF(Time!$J291:$BQ291,Time!M$28,Inventory!$J32:$BQ32)</f>
        <v>35000</v>
      </c>
      <c r="N13" s="9">
        <f ca="1">SUMIF(Time!$J291:$BQ291,Time!N$28,Inventory!$J32:$BQ32)</f>
        <v>60000</v>
      </c>
    </row>
    <row r="14" spans="1:16">
      <c r="E14" s="15" t="str">
        <f>Inventory!E$18</f>
        <v>Deployed units returned</v>
      </c>
      <c r="F14" s="15">
        <f>Inventory!F$18</f>
        <v>0</v>
      </c>
      <c r="G14" s="15" t="str">
        <f>Inventory!G$18</f>
        <v>Units</v>
      </c>
      <c r="H14" s="9">
        <f ca="1">Inventory!H$18</f>
        <v>66570.387475079086</v>
      </c>
      <c r="I14" s="15">
        <f>Inventory!I$18</f>
        <v>0</v>
      </c>
      <c r="J14" s="9">
        <f ca="1">SUMIF(Time!$J291:$BQ291,Time!J$28,Inventory!$J18:$BQ18)</f>
        <v>0</v>
      </c>
      <c r="K14" s="9">
        <f ca="1">SUMIF(Time!$J291:$BQ291,Time!K$28,Inventory!$J18:$BQ18)</f>
        <v>0</v>
      </c>
      <c r="L14" s="9">
        <f ca="1">SUMIF(Time!$J291:$BQ291,Time!L$28,Inventory!$J18:$BQ18)</f>
        <v>8423.5199996978354</v>
      </c>
      <c r="M14" s="9">
        <f ca="1">SUMIF(Time!$J291:$BQ291,Time!M$28,Inventory!$J18:$BQ18)</f>
        <v>16856.898499590458</v>
      </c>
      <c r="N14" s="9">
        <f ca="1">SUMIF(Time!$J291:$BQ291,Time!N$28,Inventory!$J18:$BQ18)</f>
        <v>41289.968975790784</v>
      </c>
    </row>
    <row r="15" spans="1:16">
      <c r="E15" s="15" t="str">
        <f>Inventory!E$56</f>
        <v>Units in stock</v>
      </c>
      <c r="F15" s="15">
        <f>Inventory!F$56</f>
        <v>0</v>
      </c>
      <c r="G15" s="15" t="str">
        <f>Inventory!G$56</f>
        <v>Units</v>
      </c>
      <c r="H15" s="9">
        <f>Inventory!H$56</f>
        <v>0</v>
      </c>
      <c r="I15" s="15">
        <f>Inventory!I$56</f>
        <v>0</v>
      </c>
      <c r="J15" s="9">
        <f ca="1">SUMIF(Time!$J296:$BQ296,Time!J$28,Inventory!$J56:$BQ56)</f>
        <v>0</v>
      </c>
      <c r="K15" s="9">
        <f ca="1">SUMIF(Time!$J296:$BQ296,Time!K$28,Inventory!$J56:$BQ56)</f>
        <v>0</v>
      </c>
      <c r="L15" s="9">
        <f ca="1">SUMIF(Time!$J296:$BQ296,Time!L$28,Inventory!$J56:$BQ56)</f>
        <v>1889.5370233838521</v>
      </c>
      <c r="M15" s="9">
        <f ca="1">SUMIF(Time!$J296:$BQ296,Time!M$28,Inventory!$J56:$BQ56)</f>
        <v>8781.0727829410807</v>
      </c>
      <c r="N15" s="9">
        <f ca="1">SUMIF(Time!$J296:$BQ296,Time!N$28,Inventory!$J56:$BQ56)</f>
        <v>14261.435972770712</v>
      </c>
    </row>
    <row r="16" spans="1:16">
      <c r="E16" s="15" t="str">
        <f>Inventory!E$45</f>
        <v>Units deployed</v>
      </c>
      <c r="F16" s="15">
        <f>Inventory!F$45</f>
        <v>0</v>
      </c>
      <c r="G16" s="15" t="str">
        <f>Inventory!G$45</f>
        <v>Units</v>
      </c>
      <c r="H16" s="9">
        <f ca="1">Inventory!H$45</f>
        <v>253879.33897738747</v>
      </c>
      <c r="I16" s="15">
        <f>Inventory!I$45</f>
        <v>0</v>
      </c>
      <c r="J16" s="9">
        <f ca="1">SUMIF(Time!$J291:$BQ291,Time!J$28,Inventory!$J45:$BQ45)</f>
        <v>5000</v>
      </c>
      <c r="K16" s="9">
        <f ca="1">SUMIF(Time!$J291:$BQ291,Time!K$28,Inventory!$J45:$BQ45)</f>
        <v>15000</v>
      </c>
      <c r="L16" s="9">
        <f ca="1">SUMIF(Time!$J291:$BQ291,Time!L$28,Inventory!$J45:$BQ45)</f>
        <v>34957.50297601182</v>
      </c>
      <c r="M16" s="9">
        <f ca="1">SUMIF(Time!$J291:$BQ291,Time!M$28,Inventory!$J45:$BQ45)</f>
        <v>61822.261239623687</v>
      </c>
      <c r="N16" s="9">
        <f ca="1">SUMIF(Time!$J291:$BQ291,Time!N$28,Inventory!$J45:$BQ45)</f>
        <v>137099.57476175195</v>
      </c>
    </row>
    <row r="17" spans="5:14">
      <c r="E17" s="15" t="str">
        <f>Inventory!E$64</f>
        <v>Units in use</v>
      </c>
      <c r="F17" s="15">
        <f>Inventory!F$64</f>
        <v>0</v>
      </c>
      <c r="G17" s="15" t="str">
        <f>Inventory!G$64</f>
        <v>Units</v>
      </c>
      <c r="H17" s="9">
        <f>Inventory!H$64</f>
        <v>0</v>
      </c>
      <c r="I17" s="15">
        <f>Inventory!I$64</f>
        <v>0</v>
      </c>
      <c r="J17" s="9">
        <f ca="1">SUMIF(Time!$J296:$BQ296,Time!J$28,Inventory!$J64:$BQ64)</f>
        <v>5000</v>
      </c>
      <c r="K17" s="9">
        <f ca="1">SUMIF(Time!$J296:$BQ296,Time!K$28,Inventory!$J64:$BQ64)</f>
        <v>20000</v>
      </c>
      <c r="L17" s="9">
        <f ca="1">SUMIF(Time!$J296:$BQ296,Time!L$28,Inventory!$J64:$BQ64)</f>
        <v>46533.982976313979</v>
      </c>
      <c r="M17" s="9">
        <f ca="1">SUMIF(Time!$J296:$BQ296,Time!M$28,Inventory!$J64:$BQ64)</f>
        <v>91499.34571634719</v>
      </c>
      <c r="N17" s="9">
        <f ca="1">SUMIF(Time!$J296:$BQ296,Time!N$28,Inventory!$J64:$BQ64)</f>
        <v>187308.95150230839</v>
      </c>
    </row>
    <row r="18" spans="5:14">
      <c r="E18" s="15" t="str">
        <f>Inventory!E$68</f>
        <v>Units retired</v>
      </c>
      <c r="F18" s="15">
        <f>Inventory!F$68</f>
        <v>0</v>
      </c>
      <c r="G18" s="15" t="str">
        <f>Inventory!G$68</f>
        <v>Units</v>
      </c>
      <c r="H18" s="9">
        <f ca="1">Inventory!H$68</f>
        <v>66570.387475079086</v>
      </c>
      <c r="I18" s="15">
        <f>Inventory!I$68</f>
        <v>0</v>
      </c>
      <c r="J18" s="9">
        <f ca="1">SUMIF(Time!$J291:$BQ291,Time!J$28,Inventory!$J68:$BQ68)</f>
        <v>0</v>
      </c>
      <c r="K18" s="9">
        <f ca="1">SUMIF(Time!$J291:$BQ291,Time!K$28,Inventory!$J68:$BQ68)</f>
        <v>0</v>
      </c>
      <c r="L18" s="9">
        <f ca="1">SUMIF(Time!$J291:$BQ291,Time!L$28,Inventory!$J68:$BQ68)</f>
        <v>8423.5199996978354</v>
      </c>
      <c r="M18" s="9">
        <f ca="1">SUMIF(Time!$J291:$BQ291,Time!M$28,Inventory!$J68:$BQ68)</f>
        <v>16856.898499590458</v>
      </c>
      <c r="N18" s="9">
        <f ca="1">SUMIF(Time!$J291:$BQ291,Time!N$28,Inventory!$J68:$BQ68)</f>
        <v>41289.968975790784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P8"/>
  <sheetViews>
    <sheetView topLeftCell="J6" workbookViewId="0">
      <selection activeCell="J6" sqref="J6"/>
    </sheetView>
  </sheetViews>
  <sheetFormatPr defaultColWidth="0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23.7265625" customWidth="1"/>
    <col min="6" max="6" width="20.7265625" customWidth="1"/>
    <col min="7" max="7" width="13.7265625" customWidth="1"/>
    <col min="8" max="8" width="7.7265625" style="2" customWidth="1"/>
    <col min="9" max="9" width="3.7265625" customWidth="1"/>
    <col min="10" max="14" width="11.7265625" customWidth="1"/>
    <col min="15" max="17" width="15.7265625" customWidth="1"/>
  </cols>
  <sheetData>
    <row r="1" spans="1:16" s="53" customFormat="1" ht="25">
      <c r="A1" s="37" t="str">
        <f ca="1">RIGHT(CELL("filename",A1),LEN(CELL("filename",A1))-SEARCH("]",CELL("filename",A1)))</f>
        <v>Metrics Report Ann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16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Time!J$55</f>
        <v>45412</v>
      </c>
      <c r="K2" s="6">
        <f>Time!K$55</f>
        <v>45777</v>
      </c>
      <c r="L2" s="6">
        <f>Time!L$55</f>
        <v>46142</v>
      </c>
      <c r="M2" s="6">
        <f>Time!M$55</f>
        <v>46507</v>
      </c>
      <c r="N2" s="6">
        <f>Time!N$55</f>
        <v>46873</v>
      </c>
      <c r="O2" s="6"/>
      <c r="P2" s="6"/>
    </row>
    <row r="3" spans="1:16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Time!J$62</f>
        <v>Month12</v>
      </c>
      <c r="K3" s="7" t="str">
        <f>Time!K$62</f>
        <v>Month24</v>
      </c>
      <c r="L3" s="7" t="str">
        <f>Time!L$62</f>
        <v>Month36</v>
      </c>
      <c r="M3" s="7" t="str">
        <f>Time!M$62</f>
        <v>Month48</v>
      </c>
      <c r="N3" s="7" t="str">
        <f>Time!N$62</f>
        <v>Month60</v>
      </c>
      <c r="O3" s="7"/>
      <c r="P3" s="7"/>
    </row>
    <row r="4" spans="1:16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Time!J$68</f>
        <v>12</v>
      </c>
      <c r="K4" s="5">
        <f>Time!K$68</f>
        <v>24</v>
      </c>
      <c r="L4" s="5">
        <f>Time!L$68</f>
        <v>36</v>
      </c>
      <c r="M4" s="5">
        <f>Time!M$68</f>
        <v>48</v>
      </c>
      <c r="N4" s="5">
        <f>Time!N$68</f>
        <v>60</v>
      </c>
    </row>
    <row r="5" spans="1:16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16" s="2" customFormat="1" ht="13">
      <c r="A6" s="22"/>
      <c r="B6" s="22"/>
      <c r="C6" s="40"/>
      <c r="D6" s="54"/>
      <c r="F6" s="22"/>
      <c r="G6" s="22"/>
      <c r="H6" s="22"/>
    </row>
    <row r="8" spans="1:16">
      <c r="A8"/>
      <c r="E8" s="15" t="str">
        <f>Metrics!E$10</f>
        <v>Cash Low</v>
      </c>
      <c r="F8" s="15">
        <f ca="1">Metrics!F$10</f>
        <v>-1012204.3346045238</v>
      </c>
      <c r="G8" s="15" t="str">
        <f>Metrics!G$10</f>
        <v>GBP</v>
      </c>
      <c r="H8" s="9"/>
      <c r="I8" s="15"/>
      <c r="J8" s="9"/>
      <c r="K8" s="9"/>
      <c r="L8" s="9"/>
      <c r="M8" s="9"/>
      <c r="N8" s="9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Q22"/>
  <sheetViews>
    <sheetView topLeftCell="A6" workbookViewId="0">
      <selection activeCell="E16" sqref="E16"/>
    </sheetView>
  </sheetViews>
  <sheetFormatPr defaultColWidth="0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31.7265625" customWidth="1"/>
    <col min="6" max="6" width="20.7265625" customWidth="1"/>
    <col min="7" max="7" width="13.7265625" customWidth="1"/>
    <col min="8" max="8" width="13.7265625" style="2" customWidth="1"/>
    <col min="9" max="9" width="3.7265625" customWidth="1"/>
    <col min="10" max="11" width="12.7265625" customWidth="1"/>
    <col min="12" max="12" width="11.7265625" customWidth="1"/>
    <col min="13" max="14" width="12.7265625" customWidth="1"/>
    <col min="15" max="15" width="11.7265625" customWidth="1"/>
    <col min="16" max="17" width="12.7265625" customWidth="1"/>
    <col min="18" max="18" width="11.7265625" customWidth="1"/>
    <col min="19" max="19" width="12.7265625" customWidth="1"/>
    <col min="20" max="21" width="11.7265625" customWidth="1"/>
    <col min="22" max="23" width="12.7265625" customWidth="1"/>
    <col min="24" max="24" width="11.7265625" customWidth="1"/>
    <col min="25" max="26" width="12.7265625" customWidth="1"/>
    <col min="27" max="27" width="11.7265625" customWidth="1"/>
    <col min="28" max="29" width="12.7265625" customWidth="1"/>
    <col min="30" max="30" width="11.7265625" customWidth="1"/>
    <col min="31" max="31" width="12.7265625" customWidth="1"/>
    <col min="32" max="33" width="11.7265625" customWidth="1"/>
    <col min="34" max="35" width="12.7265625" customWidth="1"/>
    <col min="36" max="36" width="11.7265625" customWidth="1"/>
    <col min="37" max="38" width="12.7265625" customWidth="1"/>
    <col min="39" max="39" width="11.7265625" customWidth="1"/>
    <col min="40" max="41" width="12.7265625" customWidth="1"/>
    <col min="42" max="42" width="11.7265625" customWidth="1"/>
    <col min="43" max="43" width="12.7265625" customWidth="1"/>
    <col min="44" max="45" width="11.7265625" customWidth="1"/>
    <col min="46" max="47" width="12.7265625" customWidth="1"/>
    <col min="48" max="48" width="11.7265625" customWidth="1"/>
    <col min="49" max="50" width="12.7265625" customWidth="1"/>
    <col min="51" max="51" width="11.7265625" customWidth="1"/>
    <col min="52" max="53" width="12.7265625" customWidth="1"/>
    <col min="54" max="54" width="11.7265625" customWidth="1"/>
    <col min="55" max="55" width="12.7265625" customWidth="1"/>
    <col min="56" max="57" width="11.7265625" customWidth="1"/>
    <col min="58" max="59" width="12.7265625" customWidth="1"/>
    <col min="60" max="60" width="11.7265625" customWidth="1"/>
    <col min="61" max="62" width="12.7265625" customWidth="1"/>
    <col min="63" max="63" width="11.7265625" customWidth="1"/>
    <col min="64" max="65" width="12.7265625" customWidth="1"/>
    <col min="66" max="66" width="11.7265625" customWidth="1"/>
    <col min="67" max="67" width="12.7265625" customWidth="1"/>
    <col min="68" max="69" width="11.7265625" customWidth="1"/>
    <col min="70" max="70" width="15.7265625" customWidth="1"/>
  </cols>
  <sheetData>
    <row r="1" spans="1:69" s="53" customFormat="1" ht="25">
      <c r="A1" s="37" t="str">
        <f ca="1">RIGHT(CELL("filename",A1),LEN(CELL("filename",A1))-SEARCH("]",CELL("filename",A1)))</f>
        <v>Income Statement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69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69" s="2" customFormat="1" ht="13">
      <c r="A6" s="22"/>
      <c r="B6" s="22"/>
      <c r="C6" s="40"/>
      <c r="D6" s="54"/>
      <c r="F6" s="22"/>
      <c r="G6" s="22"/>
      <c r="H6" s="22"/>
    </row>
    <row r="8" spans="1:69">
      <c r="A8"/>
      <c r="E8" s="15" t="str">
        <f>Income!E$18</f>
        <v>Income</v>
      </c>
      <c r="F8" s="15">
        <f>Income!F$18</f>
        <v>0</v>
      </c>
      <c r="G8" s="15" t="str">
        <f>Income!G$18</f>
        <v>GBP</v>
      </c>
      <c r="H8" s="9">
        <f ca="1">Income!H$18</f>
        <v>106647181.69069508</v>
      </c>
      <c r="I8" s="15">
        <f>Income!I$18</f>
        <v>0</v>
      </c>
      <c r="J8" s="246">
        <f ca="1">Income!J$18</f>
        <v>0</v>
      </c>
      <c r="K8" s="246">
        <f ca="1">Income!K$18</f>
        <v>0</v>
      </c>
      <c r="L8" s="246">
        <f ca="1">Income!L$18</f>
        <v>0</v>
      </c>
      <c r="M8" s="246">
        <f ca="1">Income!M$18</f>
        <v>0</v>
      </c>
      <c r="N8" s="246">
        <f ca="1">Income!N$18</f>
        <v>0</v>
      </c>
      <c r="O8" s="246">
        <f ca="1">Income!O$18</f>
        <v>0</v>
      </c>
      <c r="P8" s="246">
        <f ca="1">Income!P$18</f>
        <v>0</v>
      </c>
      <c r="Q8" s="246">
        <f ca="1">Income!Q$18</f>
        <v>146875.4946458746</v>
      </c>
      <c r="R8" s="246">
        <f ca="1">Income!R$18</f>
        <v>173149.86682920906</v>
      </c>
      <c r="S8" s="246">
        <f ca="1">Income!S$18</f>
        <v>175000</v>
      </c>
      <c r="T8" s="246">
        <f ca="1">Income!T$18</f>
        <v>175000</v>
      </c>
      <c r="U8" s="246">
        <f ca="1">Income!U$18</f>
        <v>175000</v>
      </c>
      <c r="V8" s="246">
        <f ca="1">Income!V$18</f>
        <v>175000</v>
      </c>
      <c r="W8" s="246">
        <f ca="1">Income!W$18</f>
        <v>329823.19998942426</v>
      </c>
      <c r="X8" s="246">
        <f ca="1">Income!X$18</f>
        <v>350000</v>
      </c>
      <c r="Y8" s="246">
        <f ca="1">Income!Y$18</f>
        <v>350000</v>
      </c>
      <c r="Z8" s="246">
        <f ca="1">Income!Z$18</f>
        <v>350000</v>
      </c>
      <c r="AA8" s="246">
        <f ca="1">Income!AA$18</f>
        <v>350000</v>
      </c>
      <c r="AB8" s="246">
        <f ca="1">Income!AB$18</f>
        <v>350000</v>
      </c>
      <c r="AC8" s="246">
        <f ca="1">Income!AC$18</f>
        <v>525000</v>
      </c>
      <c r="AD8" s="246">
        <f ca="1">Income!AD$18</f>
        <v>525000</v>
      </c>
      <c r="AE8" s="246">
        <f ca="1">Income!AE$18</f>
        <v>525000</v>
      </c>
      <c r="AF8" s="246">
        <f ca="1">Income!AF$18</f>
        <v>525000</v>
      </c>
      <c r="AG8" s="246">
        <f ca="1">Income!AG$18</f>
        <v>700000</v>
      </c>
      <c r="AH8" s="246">
        <f ca="1">Income!AH$18</f>
        <v>682500</v>
      </c>
      <c r="AI8" s="246">
        <f ca="1">Income!AI$18</f>
        <v>698938.84575325763</v>
      </c>
      <c r="AJ8" s="246">
        <f ca="1">Income!AJ$18</f>
        <v>716411.85027142079</v>
      </c>
      <c r="AK8" s="246">
        <f ca="1">Income!AK$18</f>
        <v>909869.67182623129</v>
      </c>
      <c r="AL8" s="246">
        <f ca="1">Income!AL$18</f>
        <v>929446.72742267023</v>
      </c>
      <c r="AM8" s="246">
        <f ca="1">Income!AM$18</f>
        <v>950255.36484303907</v>
      </c>
      <c r="AN8" s="246">
        <f ca="1">Income!AN$18</f>
        <v>1147236.8229205357</v>
      </c>
      <c r="AO8" s="246">
        <f ca="1">Income!AO$18</f>
        <v>1170601.1224625402</v>
      </c>
      <c r="AP8" s="246">
        <f ca="1">Income!AP$18</f>
        <v>1370282.2854102841</v>
      </c>
      <c r="AQ8" s="246">
        <f ca="1">Income!AQ$18</f>
        <v>1396460.0495509729</v>
      </c>
      <c r="AR8" s="246">
        <f ca="1">Income!AR$18</f>
        <v>1424393.3918103829</v>
      </c>
      <c r="AS8" s="246">
        <f ca="1">Income!AS$18</f>
        <v>1628689.4041709893</v>
      </c>
      <c r="AT8" s="246">
        <f ca="1">Income!AT$18</f>
        <v>1659823.1999894241</v>
      </c>
      <c r="AU8" s="246">
        <f ca="1">Income!AU$18</f>
        <v>1692668.6670773155</v>
      </c>
      <c r="AV8" s="246">
        <f ca="1">Income!AV$18</f>
        <v>1902648.0766761205</v>
      </c>
      <c r="AW8" s="246">
        <f ca="1">Income!AW$18</f>
        <v>1939596.244656648</v>
      </c>
      <c r="AX8" s="246">
        <f ca="1">Income!AX$18</f>
        <v>2153781.6970723947</v>
      </c>
      <c r="AY8" s="246">
        <f ca="1">Income!AY$18</f>
        <v>2195428.7937488197</v>
      </c>
      <c r="AZ8" s="246">
        <f ca="1">Income!AZ$18</f>
        <v>2414419.9285778757</v>
      </c>
      <c r="BA8" s="246">
        <f ca="1">Income!BA$18</f>
        <v>2636174.6023709257</v>
      </c>
      <c r="BB8" s="246">
        <f ca="1">Income!BB$18</f>
        <v>2685531.3065014896</v>
      </c>
      <c r="BC8" s="246">
        <f ca="1">Income!BC$18</f>
        <v>2912934.0284541845</v>
      </c>
      <c r="BD8" s="246">
        <f ca="1">Income!BD$18</f>
        <v>3143867.4549500649</v>
      </c>
      <c r="BE8" s="246">
        <f ca="1">Income!BE$18</f>
        <v>3202477.1000721515</v>
      </c>
      <c r="BF8" s="246">
        <f ca="1">Income!BF$18</f>
        <v>3424020.3631239873</v>
      </c>
      <c r="BG8" s="246">
        <f ca="1">Income!BG$18</f>
        <v>3679616.2967353612</v>
      </c>
      <c r="BH8" s="246">
        <f ca="1">Income!BH$18</f>
        <v>3940278.5662991563</v>
      </c>
      <c r="BI8" s="246">
        <f ca="1">Income!BI$18</f>
        <v>4205765.2719614776</v>
      </c>
      <c r="BJ8" s="246">
        <f ca="1">Income!BJ$18</f>
        <v>4476734.6463104058</v>
      </c>
      <c r="BK8" s="246">
        <f ca="1">Income!BK$18</f>
        <v>4753736.7456466844</v>
      </c>
      <c r="BL8" s="246">
        <f ca="1">Income!BL$18</f>
        <v>5036483.5284200152</v>
      </c>
      <c r="BM8" s="246">
        <f ca="1">Income!BM$18</f>
        <v>5326003.3752347399</v>
      </c>
      <c r="BN8" s="246">
        <f ca="1">Income!BN$18</f>
        <v>5621925.7813064922</v>
      </c>
      <c r="BO8" s="246">
        <f ca="1">Income!BO$18</f>
        <v>5925267.6243523387</v>
      </c>
      <c r="BP8" s="246">
        <f ca="1">Income!BP$18</f>
        <v>6237250.9906693799</v>
      </c>
      <c r="BQ8" s="246">
        <f ca="1">Income!BQ$18</f>
        <v>6555813.3025807934</v>
      </c>
    </row>
    <row r="9" spans="1:69">
      <c r="E9" s="15" t="str">
        <f>Expense!E$27</f>
        <v xml:space="preserve">Variable Operating expense </v>
      </c>
      <c r="F9" s="15">
        <f>Expense!F$27</f>
        <v>0</v>
      </c>
      <c r="G9" s="15" t="str">
        <f>Expense!G$27</f>
        <v>GBP</v>
      </c>
      <c r="H9" s="9">
        <f ca="1">Expense!H$27</f>
        <v>-13199424.859496675</v>
      </c>
      <c r="I9" s="15">
        <f>Expense!I$27</f>
        <v>0</v>
      </c>
      <c r="J9" s="246">
        <f ca="1">Expense!J$27</f>
        <v>-21000</v>
      </c>
      <c r="K9" s="246">
        <f ca="1">Expense!K$27</f>
        <v>-22273.385096090773</v>
      </c>
      <c r="L9" s="246">
        <f ca="1">Expense!L$27</f>
        <v>-23579.164770385694</v>
      </c>
      <c r="M9" s="246">
        <f ca="1">Expense!M$27</f>
        <v>-25008.943674998918</v>
      </c>
      <c r="N9" s="246">
        <f ca="1">Expense!N$27</f>
        <v>-26525.420634271159</v>
      </c>
      <c r="O9" s="246">
        <f ca="1">Expense!O$27</f>
        <v>-28080.476364099741</v>
      </c>
      <c r="P9" s="246">
        <f ca="1">Expense!P$27</f>
        <v>-29783.203035203253</v>
      </c>
      <c r="Q9" s="246">
        <f ca="1">Expense!Q$27</f>
        <v>-31529.246620001373</v>
      </c>
      <c r="R9" s="246">
        <f ca="1">Expense!R$27</f>
        <v>-33441.097702709951</v>
      </c>
      <c r="S9" s="246">
        <f ca="1">Expense!S$27</f>
        <v>-35468.878436593099</v>
      </c>
      <c r="T9" s="246">
        <f ca="1">Expense!T$27</f>
        <v>-37417.746161894254</v>
      </c>
      <c r="U9" s="246">
        <f ca="1">Expense!U$27</f>
        <v>-39680.277491060901</v>
      </c>
      <c r="V9" s="246">
        <f ca="1">Expense!V$27</f>
        <v>-42000</v>
      </c>
      <c r="W9" s="246">
        <f ca="1">Expense!W$27</f>
        <v>-44585.43949453035</v>
      </c>
      <c r="X9" s="246">
        <f ca="1">Expense!X$27</f>
        <v>-47195.587470494567</v>
      </c>
      <c r="Y9" s="246">
        <f ca="1">Expense!Y$27</f>
        <v>-50053.373364356317</v>
      </c>
      <c r="Z9" s="246">
        <f ca="1">Expense!Z$27</f>
        <v>-53084.203829816244</v>
      </c>
      <c r="AA9" s="246">
        <f ca="1">Expense!AA$27</f>
        <v>-56191.891647922515</v>
      </c>
      <c r="AB9" s="246">
        <f ca="1">Expense!AB$27</f>
        <v>-59594.421500977842</v>
      </c>
      <c r="AC9" s="246">
        <f ca="1">Expense!AC$27</f>
        <v>-63083.234450295487</v>
      </c>
      <c r="AD9" s="246">
        <f ca="1">Expense!AD$27</f>
        <v>-66938.423943914589</v>
      </c>
      <c r="AE9" s="246">
        <f ca="1">Expense!AE$27</f>
        <v>-70993.581544595101</v>
      </c>
      <c r="AF9" s="246">
        <f ca="1">Expense!AF$27</f>
        <v>-74867.051294133489</v>
      </c>
      <c r="AG9" s="246">
        <f ca="1">Expense!AG$27</f>
        <v>-79402.528441762712</v>
      </c>
      <c r="AH9" s="246">
        <f ca="1">Expense!AH$27</f>
        <v>-102953.14122132264</v>
      </c>
      <c r="AI9" s="246">
        <f ca="1">Expense!AI$27</f>
        <v>-109191.16210899652</v>
      </c>
      <c r="AJ9" s="246">
        <f ca="1">Expense!AJ$27</f>
        <v>-115587.60074143946</v>
      </c>
      <c r="AK9" s="246">
        <f ca="1">Expense!AK$27</f>
        <v>-122591.15468809247</v>
      </c>
      <c r="AL9" s="246">
        <f ca="1">Expense!AL$27</f>
        <v>-130019.06015747237</v>
      </c>
      <c r="AM9" s="246">
        <f ca="1">Expense!AM$27</f>
        <v>-137635.60111140989</v>
      </c>
      <c r="AN9" s="246">
        <f ca="1">Expense!AN$27</f>
        <v>-145975.06289482419</v>
      </c>
      <c r="AO9" s="246">
        <f ca="1">Expense!AO$27</f>
        <v>-154526.30961197891</v>
      </c>
      <c r="AP9" s="246">
        <f ca="1">Expense!AP$27</f>
        <v>-163945.73193785522</v>
      </c>
      <c r="AQ9" s="246">
        <f ca="1">Expense!AQ$27</f>
        <v>-173881.25222069537</v>
      </c>
      <c r="AR9" s="246">
        <f ca="1">Expense!AR$27</f>
        <v>-183382.46486094096</v>
      </c>
      <c r="AS9" s="246">
        <f ca="1">Expense!AS$27</f>
        <v>-194490.15542818501</v>
      </c>
      <c r="AT9" s="246">
        <f ca="1">Expense!AT$27</f>
        <v>-205879.7237195654</v>
      </c>
      <c r="AU9" s="246">
        <f ca="1">Expense!AU$27</f>
        <v>-218391.35107752625</v>
      </c>
      <c r="AV9" s="246">
        <f ca="1">Expense!AV$27</f>
        <v>-231183.89903711202</v>
      </c>
      <c r="AW9" s="246">
        <f ca="1">Expense!AW$27</f>
        <v>-245190.59345073468</v>
      </c>
      <c r="AX9" s="246">
        <f ca="1">Expense!AX$27</f>
        <v>-260045.90882720315</v>
      </c>
      <c r="AY9" s="246">
        <f ca="1">Expense!AY$27</f>
        <v>-275278.42506871279</v>
      </c>
      <c r="AZ9" s="246">
        <f ca="1">Expense!AZ$27</f>
        <v>-291956.66625808872</v>
      </c>
      <c r="BA9" s="246">
        <f ca="1">Expense!BA$27</f>
        <v>-309058.39540203923</v>
      </c>
      <c r="BB9" s="246">
        <f ca="1">Expense!BB$27</f>
        <v>-327908.33825537481</v>
      </c>
      <c r="BC9" s="246">
        <f ca="1">Expense!BC$27</f>
        <v>-347779.25793416298</v>
      </c>
      <c r="BD9" s="246">
        <f ca="1">Expense!BD$27</f>
        <v>-366760.19446126604</v>
      </c>
      <c r="BE9" s="246">
        <f ca="1">Expense!BE$27</f>
        <v>-388985.49809666211</v>
      </c>
      <c r="BF9" s="246">
        <f ca="1">Expense!BF$27</f>
        <v>-411775.39646504144</v>
      </c>
      <c r="BG9" s="246">
        <f ca="1">Expense!BG$27</f>
        <v>-436728.57670658681</v>
      </c>
      <c r="BH9" s="246">
        <f ca="1">Expense!BH$27</f>
        <v>-462315.64858996338</v>
      </c>
      <c r="BI9" s="246">
        <f ca="1">Expense!BI$27</f>
        <v>-490331.51800387161</v>
      </c>
      <c r="BJ9" s="246">
        <f ca="1">Expense!BJ$27</f>
        <v>-520045.12133190478</v>
      </c>
      <c r="BK9" s="246">
        <f ca="1">Expense!BK$27</f>
        <v>-550513.54648102203</v>
      </c>
      <c r="BL9" s="246">
        <f ca="1">Expense!BL$27</f>
        <v>-583874.12108244875</v>
      </c>
      <c r="BM9" s="246">
        <f ca="1">Expense!BM$27</f>
        <v>-618082.16239907162</v>
      </c>
      <c r="BN9" s="246">
        <f ca="1">Expense!BN$27</f>
        <v>-654956.20585686364</v>
      </c>
      <c r="BO9" s="246">
        <f ca="1">Expense!BO$27</f>
        <v>-694635.44004964025</v>
      </c>
      <c r="BP9" s="246">
        <f ca="1">Expense!BP$27</f>
        <v>-733672.25433678052</v>
      </c>
      <c r="BQ9" s="246">
        <f ca="1">Expense!BQ$27</f>
        <v>-778120.34265170898</v>
      </c>
    </row>
    <row r="10" spans="1:69">
      <c r="E10" s="15" t="str">
        <f>Expense!E$20</f>
        <v xml:space="preserve">Fixed operating expense </v>
      </c>
      <c r="F10" s="15">
        <f>Expense!F$20</f>
        <v>0</v>
      </c>
      <c r="G10" s="15" t="str">
        <f>Expense!G$20</f>
        <v>GBP</v>
      </c>
      <c r="H10" s="9">
        <f>Expense!H$20</f>
        <v>-1899484.1637263105</v>
      </c>
      <c r="I10" s="15">
        <f>Expense!I$20</f>
        <v>0</v>
      </c>
      <c r="J10" s="246">
        <f>Expense!J$20</f>
        <v>-25000</v>
      </c>
      <c r="K10" s="246">
        <f>Expense!K$20</f>
        <v>-25000</v>
      </c>
      <c r="L10" s="246">
        <f>Expense!L$20</f>
        <v>-25000</v>
      </c>
      <c r="M10" s="246">
        <f>Expense!M$20</f>
        <v>-25607.856851345517</v>
      </c>
      <c r="N10" s="246">
        <f>Expense!N$20</f>
        <v>-25607.856851345517</v>
      </c>
      <c r="O10" s="246">
        <f>Expense!O$20</f>
        <v>-25607.856851345517</v>
      </c>
      <c r="P10" s="246">
        <f>Expense!P$20</f>
        <v>-26230.493300760143</v>
      </c>
      <c r="Q10" s="246">
        <f>Expense!Q$20</f>
        <v>-26230.493300760143</v>
      </c>
      <c r="R10" s="246">
        <f>Expense!R$20</f>
        <v>-26230.493300760143</v>
      </c>
      <c r="S10" s="246">
        <f>Expense!S$20</f>
        <v>-26868.268703441732</v>
      </c>
      <c r="T10" s="246">
        <f>Expense!T$20</f>
        <v>-26868.268703441732</v>
      </c>
      <c r="U10" s="246">
        <f>Expense!U$20</f>
        <v>-26868.268703441732</v>
      </c>
      <c r="V10" s="246">
        <f>Expense!V$20</f>
        <v>-27500.000000000004</v>
      </c>
      <c r="W10" s="246">
        <f>Expense!W$20</f>
        <v>-27500.000000000004</v>
      </c>
      <c r="X10" s="246">
        <f>Expense!X$20</f>
        <v>-27500.000000000004</v>
      </c>
      <c r="Y10" s="246">
        <f>Expense!Y$20</f>
        <v>-28171.389663808775</v>
      </c>
      <c r="Z10" s="246">
        <f>Expense!Z$20</f>
        <v>-28171.389663808775</v>
      </c>
      <c r="AA10" s="246">
        <f>Expense!AA$20</f>
        <v>-28171.389663808775</v>
      </c>
      <c r="AB10" s="246">
        <f>Expense!AB$20</f>
        <v>-28855.408240598044</v>
      </c>
      <c r="AC10" s="246">
        <f>Expense!AC$20</f>
        <v>-28855.408240598044</v>
      </c>
      <c r="AD10" s="246">
        <f>Expense!AD$20</f>
        <v>-28855.408240598044</v>
      </c>
      <c r="AE10" s="246">
        <f>Expense!AE$20</f>
        <v>-29558.292610174307</v>
      </c>
      <c r="AF10" s="246">
        <f>Expense!AF$20</f>
        <v>-29558.292610174307</v>
      </c>
      <c r="AG10" s="246">
        <f>Expense!AG$20</f>
        <v>-29558.292610174307</v>
      </c>
      <c r="AH10" s="246">
        <f>Expense!AH$20</f>
        <v>-30252.630710131383</v>
      </c>
      <c r="AI10" s="246">
        <f>Expense!AI$20</f>
        <v>-30252.630710131383</v>
      </c>
      <c r="AJ10" s="246">
        <f>Expense!AJ$20</f>
        <v>-30252.630710131383</v>
      </c>
      <c r="AK10" s="246">
        <f>Expense!AK$20</f>
        <v>-30987.522236491855</v>
      </c>
      <c r="AL10" s="246">
        <f>Expense!AL$20</f>
        <v>-30987.522236491855</v>
      </c>
      <c r="AM10" s="246">
        <f>Expense!AM$20</f>
        <v>-30987.522236491855</v>
      </c>
      <c r="AN10" s="246">
        <f>Expense!AN$20</f>
        <v>-31740.265617148605</v>
      </c>
      <c r="AO10" s="246">
        <f>Expense!AO$20</f>
        <v>-31740.265617148605</v>
      </c>
      <c r="AP10" s="246">
        <f>Expense!AP$20</f>
        <v>-31740.265617148605</v>
      </c>
      <c r="AQ10" s="246">
        <f>Expense!AQ$20</f>
        <v>-32513.243252308428</v>
      </c>
      <c r="AR10" s="246">
        <f>Expense!AR$20</f>
        <v>-32513.243252308428</v>
      </c>
      <c r="AS10" s="246">
        <f>Expense!AS$20</f>
        <v>-32513.243252308428</v>
      </c>
      <c r="AT10" s="246">
        <f>Expense!AT$20</f>
        <v>-33277.170807448252</v>
      </c>
      <c r="AU10" s="246">
        <f>Expense!AU$20</f>
        <v>-33277.170807448252</v>
      </c>
      <c r="AV10" s="246">
        <f>Expense!AV$20</f>
        <v>-33277.170807448252</v>
      </c>
      <c r="AW10" s="246">
        <f>Expense!AW$20</f>
        <v>-34085.720578240354</v>
      </c>
      <c r="AX10" s="246">
        <f>Expense!AX$20</f>
        <v>-34085.720578240354</v>
      </c>
      <c r="AY10" s="246">
        <f>Expense!AY$20</f>
        <v>-34085.720578240354</v>
      </c>
      <c r="AZ10" s="246">
        <f>Expense!AZ$20</f>
        <v>-34913.916031522422</v>
      </c>
      <c r="BA10" s="246">
        <f>Expense!BA$20</f>
        <v>-34913.916031522422</v>
      </c>
      <c r="BB10" s="246">
        <f>Expense!BB$20</f>
        <v>-34913.916031522422</v>
      </c>
      <c r="BC10" s="246">
        <f>Expense!BC$20</f>
        <v>-35763.987489903346</v>
      </c>
      <c r="BD10" s="246">
        <f>Expense!BD$20</f>
        <v>-35763.987489903346</v>
      </c>
      <c r="BE10" s="246">
        <f>Expense!BE$20</f>
        <v>-35763.987489903346</v>
      </c>
      <c r="BF10" s="246">
        <f>Expense!BF$20</f>
        <v>-36604.410559640419</v>
      </c>
      <c r="BG10" s="246">
        <f>Expense!BG$20</f>
        <v>-36604.410559640419</v>
      </c>
      <c r="BH10" s="246">
        <f>Expense!BH$20</f>
        <v>-36604.410559640419</v>
      </c>
      <c r="BI10" s="246">
        <f>Expense!BI$20</f>
        <v>-37493.926945298947</v>
      </c>
      <c r="BJ10" s="246">
        <f>Expense!BJ$20</f>
        <v>-37493.926945298947</v>
      </c>
      <c r="BK10" s="246">
        <f>Expense!BK$20</f>
        <v>-37493.926945298947</v>
      </c>
      <c r="BL10" s="246">
        <f>Expense!BL$20</f>
        <v>-38405.059288932411</v>
      </c>
      <c r="BM10" s="246">
        <f>Expense!BM$20</f>
        <v>-38405.059288932411</v>
      </c>
      <c r="BN10" s="246">
        <f>Expense!BN$20</f>
        <v>-38405.059288932411</v>
      </c>
      <c r="BO10" s="246">
        <f>Expense!BO$20</f>
        <v>-39331.82502157487</v>
      </c>
      <c r="BP10" s="246">
        <f>Expense!BP$20</f>
        <v>-39331.82502157487</v>
      </c>
      <c r="BQ10" s="246">
        <f>Expense!BQ$20</f>
        <v>-39331.82502157487</v>
      </c>
    </row>
    <row r="11" spans="1:69">
      <c r="E11" s="12" t="s">
        <v>176</v>
      </c>
      <c r="F11" s="28"/>
      <c r="G11" s="12" t="s">
        <v>252</v>
      </c>
      <c r="H11" s="12">
        <f ca="1">SUM(J11:BQ11)</f>
        <v>91548272.667472109</v>
      </c>
      <c r="I11" s="28"/>
      <c r="J11" s="247">
        <f t="shared" ref="J11:AO11" ca="1" si="0">SUM(J8:J10)</f>
        <v>-46000</v>
      </c>
      <c r="K11" s="247">
        <f t="shared" ca="1" si="0"/>
        <v>-47273.385096090773</v>
      </c>
      <c r="L11" s="247">
        <f t="shared" ca="1" si="0"/>
        <v>-48579.164770385694</v>
      </c>
      <c r="M11" s="247">
        <f t="shared" ca="1" si="0"/>
        <v>-50616.800526344436</v>
      </c>
      <c r="N11" s="247">
        <f t="shared" ca="1" si="0"/>
        <v>-52133.27748561668</v>
      </c>
      <c r="O11" s="247">
        <f t="shared" ca="1" si="0"/>
        <v>-53688.333215445258</v>
      </c>
      <c r="P11" s="247">
        <f t="shared" ca="1" si="0"/>
        <v>-56013.696335963396</v>
      </c>
      <c r="Q11" s="247">
        <f t="shared" ca="1" si="0"/>
        <v>89115.754725113075</v>
      </c>
      <c r="R11" s="247">
        <f t="shared" ca="1" si="0"/>
        <v>113478.27582573897</v>
      </c>
      <c r="S11" s="247">
        <f t="shared" ca="1" si="0"/>
        <v>112662.85285996516</v>
      </c>
      <c r="T11" s="247">
        <f t="shared" ca="1" si="0"/>
        <v>110713.98513466401</v>
      </c>
      <c r="U11" s="247">
        <f t="shared" ca="1" si="0"/>
        <v>108451.45380549737</v>
      </c>
      <c r="V11" s="247">
        <f t="shared" ca="1" si="0"/>
        <v>105500</v>
      </c>
      <c r="W11" s="247">
        <f t="shared" ca="1" si="0"/>
        <v>257737.76049489388</v>
      </c>
      <c r="X11" s="247">
        <f t="shared" ca="1" si="0"/>
        <v>275304.41252950544</v>
      </c>
      <c r="Y11" s="247">
        <f t="shared" ca="1" si="0"/>
        <v>271775.23697183491</v>
      </c>
      <c r="Z11" s="247">
        <f t="shared" ca="1" si="0"/>
        <v>268744.40650637494</v>
      </c>
      <c r="AA11" s="247">
        <f t="shared" ca="1" si="0"/>
        <v>265636.71868826868</v>
      </c>
      <c r="AB11" s="247">
        <f t="shared" ca="1" si="0"/>
        <v>261550.17025842413</v>
      </c>
      <c r="AC11" s="247">
        <f t="shared" ca="1" si="0"/>
        <v>433061.35730910645</v>
      </c>
      <c r="AD11" s="247">
        <f t="shared" ca="1" si="0"/>
        <v>429206.16781548737</v>
      </c>
      <c r="AE11" s="247">
        <f t="shared" ca="1" si="0"/>
        <v>424448.12584523065</v>
      </c>
      <c r="AF11" s="247">
        <f t="shared" ca="1" si="0"/>
        <v>420574.65609569219</v>
      </c>
      <c r="AG11" s="247">
        <f t="shared" ca="1" si="0"/>
        <v>591039.17894806305</v>
      </c>
      <c r="AH11" s="247">
        <f t="shared" ca="1" si="0"/>
        <v>549294.22806854604</v>
      </c>
      <c r="AI11" s="247">
        <f t="shared" ca="1" si="0"/>
        <v>559495.05293412972</v>
      </c>
      <c r="AJ11" s="247">
        <f t="shared" ca="1" si="0"/>
        <v>570571.61881984991</v>
      </c>
      <c r="AK11" s="247">
        <f t="shared" ca="1" si="0"/>
        <v>756290.99490164698</v>
      </c>
      <c r="AL11" s="247">
        <f t="shared" ca="1" si="0"/>
        <v>768440.14502870594</v>
      </c>
      <c r="AM11" s="247">
        <f t="shared" ca="1" si="0"/>
        <v>781632.24149513722</v>
      </c>
      <c r="AN11" s="247">
        <f t="shared" ca="1" si="0"/>
        <v>969521.4944085629</v>
      </c>
      <c r="AO11" s="247">
        <f t="shared" ca="1" si="0"/>
        <v>984334.54723341262</v>
      </c>
      <c r="AP11" s="247">
        <f t="shared" ref="AP11:BU11" ca="1" si="1">SUM(AP8:AP10)</f>
        <v>1174596.2878552801</v>
      </c>
      <c r="AQ11" s="247">
        <f t="shared" ca="1" si="1"/>
        <v>1190065.5540779692</v>
      </c>
      <c r="AR11" s="247">
        <f t="shared" ca="1" si="1"/>
        <v>1208497.6836971336</v>
      </c>
      <c r="AS11" s="247">
        <f t="shared" ca="1" si="1"/>
        <v>1401686.0054904961</v>
      </c>
      <c r="AT11" s="247">
        <f t="shared" ca="1" si="1"/>
        <v>1420666.3054624104</v>
      </c>
      <c r="AU11" s="247">
        <f t="shared" ca="1" si="1"/>
        <v>1441000.1451923409</v>
      </c>
      <c r="AV11" s="247">
        <f t="shared" ca="1" si="1"/>
        <v>1638187.0068315603</v>
      </c>
      <c r="AW11" s="247">
        <f t="shared" ca="1" si="1"/>
        <v>1660319.9306276729</v>
      </c>
      <c r="AX11" s="247">
        <f t="shared" ca="1" si="1"/>
        <v>1859650.0676669511</v>
      </c>
      <c r="AY11" s="247">
        <f t="shared" ca="1" si="1"/>
        <v>1886064.6481018665</v>
      </c>
      <c r="AZ11" s="247">
        <f t="shared" ca="1" si="1"/>
        <v>2087549.3462882645</v>
      </c>
      <c r="BA11" s="247">
        <f t="shared" ca="1" si="1"/>
        <v>2292202.2909373641</v>
      </c>
      <c r="BB11" s="247">
        <f t="shared" ca="1" si="1"/>
        <v>2322709.0522145927</v>
      </c>
      <c r="BC11" s="247">
        <f t="shared" ca="1" si="1"/>
        <v>2529390.7830301183</v>
      </c>
      <c r="BD11" s="247">
        <f t="shared" ca="1" si="1"/>
        <v>2741343.2729988955</v>
      </c>
      <c r="BE11" s="247">
        <f t="shared" ca="1" si="1"/>
        <v>2777727.6144855861</v>
      </c>
      <c r="BF11" s="247">
        <f t="shared" ca="1" si="1"/>
        <v>2975640.5560993059</v>
      </c>
      <c r="BG11" s="247">
        <f t="shared" ca="1" si="1"/>
        <v>3206283.3094691341</v>
      </c>
      <c r="BH11" s="247">
        <f t="shared" ca="1" si="1"/>
        <v>3441358.5071495525</v>
      </c>
      <c r="BI11" s="247">
        <f t="shared" ca="1" si="1"/>
        <v>3677939.827012307</v>
      </c>
      <c r="BJ11" s="247">
        <f t="shared" ca="1" si="1"/>
        <v>3919195.5980332019</v>
      </c>
      <c r="BK11" s="247">
        <f t="shared" ca="1" si="1"/>
        <v>4165729.2722203638</v>
      </c>
      <c r="BL11" s="247">
        <f t="shared" ca="1" si="1"/>
        <v>4414204.3480486348</v>
      </c>
      <c r="BM11" s="247">
        <f t="shared" ca="1" si="1"/>
        <v>4669516.1535467366</v>
      </c>
      <c r="BN11" s="247">
        <f t="shared" ca="1" si="1"/>
        <v>4928564.5161606967</v>
      </c>
      <c r="BO11" s="247">
        <f t="shared" ca="1" si="1"/>
        <v>5191300.3592811236</v>
      </c>
      <c r="BP11" s="247">
        <f t="shared" ca="1" si="1"/>
        <v>5464246.9113110239</v>
      </c>
      <c r="BQ11" s="247">
        <f t="shared" ca="1" si="1"/>
        <v>5738361.1349075092</v>
      </c>
    </row>
    <row r="12" spans="1:69">
      <c r="J12" s="248"/>
      <c r="K12" s="248"/>
      <c r="L12" s="248"/>
      <c r="M12" s="248"/>
      <c r="N12" s="248"/>
      <c r="O12" s="248"/>
      <c r="P12" s="248"/>
      <c r="Q12" s="248"/>
      <c r="R12" s="248"/>
      <c r="S12" s="248"/>
      <c r="T12" s="248"/>
      <c r="U12" s="248"/>
      <c r="V12" s="248"/>
      <c r="W12" s="248"/>
      <c r="X12" s="248"/>
      <c r="Y12" s="248"/>
      <c r="Z12" s="248"/>
      <c r="AA12" s="248"/>
      <c r="AB12" s="248"/>
      <c r="AC12" s="248"/>
      <c r="AD12" s="248"/>
      <c r="AE12" s="248"/>
      <c r="AF12" s="248"/>
      <c r="AG12" s="248"/>
      <c r="AH12" s="248"/>
      <c r="AI12" s="248"/>
      <c r="AJ12" s="248"/>
      <c r="AK12" s="248"/>
      <c r="AL12" s="248"/>
      <c r="AM12" s="248"/>
      <c r="AN12" s="248"/>
      <c r="AO12" s="248"/>
      <c r="AP12" s="248"/>
      <c r="AQ12" s="248"/>
      <c r="AR12" s="248"/>
      <c r="AS12" s="248"/>
      <c r="AT12" s="248"/>
      <c r="AU12" s="248"/>
      <c r="AV12" s="248"/>
      <c r="AW12" s="248"/>
      <c r="AX12" s="248"/>
      <c r="AY12" s="248"/>
      <c r="AZ12" s="248"/>
      <c r="BA12" s="248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</row>
    <row r="13" spans="1:69">
      <c r="E13" s="15" t="str">
        <f>Assets!E$12</f>
        <v xml:space="preserve">Depreciation this period </v>
      </c>
      <c r="F13" s="15">
        <f>Assets!F$12</f>
        <v>0</v>
      </c>
      <c r="G13" s="15" t="str">
        <f>Assets!G$12</f>
        <v>GBP</v>
      </c>
      <c r="H13" s="9">
        <f ca="1">Assets!H$12</f>
        <v>-3718654.3045475697</v>
      </c>
      <c r="I13" s="15">
        <f>Assets!I$12</f>
        <v>0</v>
      </c>
      <c r="J13" s="246">
        <f>Assets!J$12</f>
        <v>0</v>
      </c>
      <c r="K13" s="246">
        <f ca="1">Assets!K$12</f>
        <v>-7291.666666666667</v>
      </c>
      <c r="L13" s="246">
        <f ca="1">Assets!L$12</f>
        <v>-7291.666666666667</v>
      </c>
      <c r="M13" s="246">
        <f ca="1">Assets!M$12</f>
        <v>-7291.666666666667</v>
      </c>
      <c r="N13" s="246">
        <f ca="1">Assets!N$12</f>
        <v>-7291.666666666667</v>
      </c>
      <c r="O13" s="246">
        <f ca="1">Assets!O$12</f>
        <v>-7291.666666666667</v>
      </c>
      <c r="P13" s="246">
        <f ca="1">Assets!P$12</f>
        <v>-7291.666666666667</v>
      </c>
      <c r="Q13" s="246">
        <f ca="1">Assets!Q$12</f>
        <v>-14583.333333333334</v>
      </c>
      <c r="R13" s="246">
        <f ca="1">Assets!R$12</f>
        <v>-14583.333333333334</v>
      </c>
      <c r="S13" s="246">
        <f ca="1">Assets!S$12</f>
        <v>-14583.333333333334</v>
      </c>
      <c r="T13" s="246">
        <f ca="1">Assets!T$12</f>
        <v>-14583.333333333334</v>
      </c>
      <c r="U13" s="246">
        <f ca="1">Assets!U$12</f>
        <v>-14583.333333333334</v>
      </c>
      <c r="V13" s="246">
        <f ca="1">Assets!V$12</f>
        <v>-14583.333333333334</v>
      </c>
      <c r="W13" s="246">
        <f ca="1">Assets!W$12</f>
        <v>-21875</v>
      </c>
      <c r="X13" s="246">
        <f ca="1">Assets!X$12</f>
        <v>-21875</v>
      </c>
      <c r="Y13" s="246">
        <f ca="1">Assets!Y$12</f>
        <v>-21875</v>
      </c>
      <c r="Z13" s="246">
        <f ca="1">Assets!Z$12</f>
        <v>-21875</v>
      </c>
      <c r="AA13" s="246">
        <f ca="1">Assets!AA$12</f>
        <v>-29166.666666666668</v>
      </c>
      <c r="AB13" s="246">
        <f ca="1">Assets!AB$12</f>
        <v>-29166.666666666668</v>
      </c>
      <c r="AC13" s="246">
        <f ca="1">Assets!AC$12</f>
        <v>-29166.666666666668</v>
      </c>
      <c r="AD13" s="246">
        <f ca="1">Assets!AD$12</f>
        <v>-29166.666666666668</v>
      </c>
      <c r="AE13" s="246">
        <f ca="1">Assets!AE$12</f>
        <v>-36458.333333333336</v>
      </c>
      <c r="AF13" s="246">
        <f ca="1">Assets!AF$12</f>
        <v>-36458.333333333336</v>
      </c>
      <c r="AG13" s="246">
        <f ca="1">Assets!AG$12</f>
        <v>-36458.333333333336</v>
      </c>
      <c r="AH13" s="246">
        <f ca="1">Assets!AH$12</f>
        <v>-43750</v>
      </c>
      <c r="AI13" s="246">
        <f ca="1">Assets!AI$12</f>
        <v>-43020.833333333336</v>
      </c>
      <c r="AJ13" s="246">
        <f ca="1">Assets!AJ$12</f>
        <v>-49539.118573052401</v>
      </c>
      <c r="AK13" s="246">
        <f ca="1">Assets!AK$12</f>
        <v>-48720.397574080678</v>
      </c>
      <c r="AL13" s="246">
        <f ca="1">Assets!AL$12</f>
        <v>-47852.031474254327</v>
      </c>
      <c r="AM13" s="246">
        <f ca="1">Assets!AM$12</f>
        <v>-54222.676591119911</v>
      </c>
      <c r="AN13" s="246">
        <f ca="1">Assets!AN$12</f>
        <v>-53247.660050699786</v>
      </c>
      <c r="AO13" s="246">
        <f ca="1">Assets!AO$12</f>
        <v>-52213.521056421894</v>
      </c>
      <c r="AP13" s="246">
        <f ca="1">Assets!AP$12</f>
        <v>-58410.422215449624</v>
      </c>
      <c r="AQ13" s="246">
        <f ca="1">Assets!AQ$12</f>
        <v>-57249.272989661084</v>
      </c>
      <c r="AR13" s="246">
        <f ca="1">Assets!AR$12</f>
        <v>-63309.38137727938</v>
      </c>
      <c r="AS13" s="246">
        <f ca="1">Assets!AS$12</f>
        <v>-62010.154079991386</v>
      </c>
      <c r="AT13" s="246">
        <f ca="1">Assets!AT$12</f>
        <v>-67924.033333774001</v>
      </c>
      <c r="AU13" s="246">
        <f ca="1">Assets!AU$12</f>
        <v>-73757.36666710733</v>
      </c>
      <c r="AV13" s="246">
        <f ca="1">Assets!AV$12</f>
        <v>-72209.261129102801</v>
      </c>
      <c r="AW13" s="246">
        <f ca="1">Assets!AW$12</f>
        <v>-77862.192119710628</v>
      </c>
      <c r="AX13" s="246">
        <f ca="1">Assets!AX$12</f>
        <v>-83415.894433448266</v>
      </c>
      <c r="AY13" s="246">
        <f ca="1">Assets!AY$12</f>
        <v>-81572.692911579637</v>
      </c>
      <c r="AZ13" s="246">
        <f ca="1">Assets!AZ$12</f>
        <v>-86913.252229360107</v>
      </c>
      <c r="BA13" s="246">
        <f ca="1">Assets!BA$12</f>
        <v>-92135.66814946504</v>
      </c>
      <c r="BB13" s="246">
        <f ca="1">Assets!BB$12</f>
        <v>-97236.94473105199</v>
      </c>
      <c r="BC13" s="246">
        <f ca="1">Assets!BC$12</f>
        <v>-102204.36056633275</v>
      </c>
      <c r="BD13" s="246">
        <f ca="1">Assets!BD$12</f>
        <v>-107030.97231825652</v>
      </c>
      <c r="BE13" s="246">
        <f ca="1">Assets!BE$12</f>
        <v>-111723.08859276578</v>
      </c>
      <c r="BF13" s="246">
        <f ca="1">Assets!BF$12</f>
        <v>-116257.72302187124</v>
      </c>
      <c r="BG13" s="246">
        <f ca="1">Assets!BG$12</f>
        <v>-119974.62784057531</v>
      </c>
      <c r="BH13" s="246">
        <f ca="1">Assets!BH$12</f>
        <v>-123474.93471179072</v>
      </c>
      <c r="BI13" s="246">
        <f ca="1">Assets!BI$12</f>
        <v>-126753.14301937963</v>
      </c>
      <c r="BJ13" s="246">
        <f ca="1">Assets!BJ$12</f>
        <v>-129788.17237048752</v>
      </c>
      <c r="BK13" s="246">
        <f ca="1">Assets!BK$12</f>
        <v>-132565.28833724195</v>
      </c>
      <c r="BL13" s="246">
        <f ca="1">Assets!BL$12</f>
        <v>-135077.9410764291</v>
      </c>
      <c r="BM13" s="246">
        <f ca="1">Assets!BM$12</f>
        <v>-137301.02917035882</v>
      </c>
      <c r="BN13" s="246">
        <f ca="1">Assets!BN$12</f>
        <v>-139227.19897549841</v>
      </c>
      <c r="BO13" s="246">
        <f ca="1">Assets!BO$12</f>
        <v>-140826.30550543399</v>
      </c>
      <c r="BP13" s="246">
        <f ca="1">Assets!BP$12</f>
        <v>-142080.42869221538</v>
      </c>
      <c r="BQ13" s="246">
        <f ca="1">Assets!BQ$12</f>
        <v>-143004.64866232162</v>
      </c>
    </row>
    <row r="14" spans="1:69">
      <c r="E14" s="12" t="s">
        <v>63</v>
      </c>
      <c r="F14" s="28"/>
      <c r="G14" s="12" t="s">
        <v>252</v>
      </c>
      <c r="H14" s="12">
        <f ca="1">SUM(J14:BQ14)</f>
        <v>87829618.362924516</v>
      </c>
      <c r="I14" s="28"/>
      <c r="J14" s="247">
        <f t="shared" ref="J14:AO14" ca="1" si="2">J11+J13</f>
        <v>-46000</v>
      </c>
      <c r="K14" s="247">
        <f t="shared" ca="1" si="2"/>
        <v>-54565.051762757437</v>
      </c>
      <c r="L14" s="247">
        <f t="shared" ca="1" si="2"/>
        <v>-55870.831437052359</v>
      </c>
      <c r="M14" s="247">
        <f t="shared" ca="1" si="2"/>
        <v>-57908.4671930111</v>
      </c>
      <c r="N14" s="247">
        <f t="shared" ca="1" si="2"/>
        <v>-59424.944152283344</v>
      </c>
      <c r="O14" s="247">
        <f t="shared" ca="1" si="2"/>
        <v>-60979.999882111922</v>
      </c>
      <c r="P14" s="247">
        <f t="shared" ca="1" si="2"/>
        <v>-63305.36300263006</v>
      </c>
      <c r="Q14" s="247">
        <f t="shared" ca="1" si="2"/>
        <v>74532.421391779746</v>
      </c>
      <c r="R14" s="247">
        <f t="shared" ca="1" si="2"/>
        <v>98894.942492405637</v>
      </c>
      <c r="S14" s="247">
        <f t="shared" ca="1" si="2"/>
        <v>98079.519526631833</v>
      </c>
      <c r="T14" s="247">
        <f t="shared" ca="1" si="2"/>
        <v>96130.651801330678</v>
      </c>
      <c r="U14" s="247">
        <f t="shared" ca="1" si="2"/>
        <v>93868.120472164039</v>
      </c>
      <c r="V14" s="247">
        <f t="shared" ca="1" si="2"/>
        <v>90916.666666666672</v>
      </c>
      <c r="W14" s="247">
        <f t="shared" ca="1" si="2"/>
        <v>235862.76049489388</v>
      </c>
      <c r="X14" s="247">
        <f t="shared" ca="1" si="2"/>
        <v>253429.41252950544</v>
      </c>
      <c r="Y14" s="247">
        <f t="shared" ca="1" si="2"/>
        <v>249900.23697183491</v>
      </c>
      <c r="Z14" s="247">
        <f t="shared" ca="1" si="2"/>
        <v>246869.40650637494</v>
      </c>
      <c r="AA14" s="247">
        <f t="shared" ca="1" si="2"/>
        <v>236470.05202160202</v>
      </c>
      <c r="AB14" s="247">
        <f t="shared" ca="1" si="2"/>
        <v>232383.50359175747</v>
      </c>
      <c r="AC14" s="247">
        <f t="shared" ca="1" si="2"/>
        <v>403894.69064243976</v>
      </c>
      <c r="AD14" s="247">
        <f t="shared" ca="1" si="2"/>
        <v>400039.50114882068</v>
      </c>
      <c r="AE14" s="247">
        <f t="shared" ca="1" si="2"/>
        <v>387989.79251189734</v>
      </c>
      <c r="AF14" s="247">
        <f t="shared" ca="1" si="2"/>
        <v>384116.32276235888</v>
      </c>
      <c r="AG14" s="247">
        <f t="shared" ca="1" si="2"/>
        <v>554580.84561472968</v>
      </c>
      <c r="AH14" s="247">
        <f t="shared" ca="1" si="2"/>
        <v>505544.22806854604</v>
      </c>
      <c r="AI14" s="247">
        <f t="shared" ca="1" si="2"/>
        <v>516474.21960079641</v>
      </c>
      <c r="AJ14" s="247">
        <f t="shared" ca="1" si="2"/>
        <v>521032.50024679751</v>
      </c>
      <c r="AK14" s="247">
        <f t="shared" ca="1" si="2"/>
        <v>707570.59732756624</v>
      </c>
      <c r="AL14" s="247">
        <f t="shared" ca="1" si="2"/>
        <v>720588.11355445161</v>
      </c>
      <c r="AM14" s="247">
        <f t="shared" ca="1" si="2"/>
        <v>727409.56490401726</v>
      </c>
      <c r="AN14" s="247">
        <f t="shared" ca="1" si="2"/>
        <v>916273.83435786306</v>
      </c>
      <c r="AO14" s="247">
        <f t="shared" ca="1" si="2"/>
        <v>932121.02617699071</v>
      </c>
      <c r="AP14" s="247">
        <f t="shared" ref="AP14:BU14" ca="1" si="3">AP11+AP13</f>
        <v>1116185.8656398305</v>
      </c>
      <c r="AQ14" s="247">
        <f t="shared" ca="1" si="3"/>
        <v>1132816.281088308</v>
      </c>
      <c r="AR14" s="247">
        <f t="shared" ca="1" si="3"/>
        <v>1145188.3023198543</v>
      </c>
      <c r="AS14" s="247">
        <f t="shared" ca="1" si="3"/>
        <v>1339675.8514105047</v>
      </c>
      <c r="AT14" s="247">
        <f t="shared" ca="1" si="3"/>
        <v>1352742.2721286365</v>
      </c>
      <c r="AU14" s="247">
        <f t="shared" ca="1" si="3"/>
        <v>1367242.7785252337</v>
      </c>
      <c r="AV14" s="247">
        <f t="shared" ca="1" si="3"/>
        <v>1565977.7457024574</v>
      </c>
      <c r="AW14" s="247">
        <f t="shared" ca="1" si="3"/>
        <v>1582457.7385079623</v>
      </c>
      <c r="AX14" s="247">
        <f t="shared" ca="1" si="3"/>
        <v>1776234.1732335028</v>
      </c>
      <c r="AY14" s="247">
        <f t="shared" ca="1" si="3"/>
        <v>1804491.9551902867</v>
      </c>
      <c r="AZ14" s="247">
        <f t="shared" ca="1" si="3"/>
        <v>2000636.0940589043</v>
      </c>
      <c r="BA14" s="247">
        <f t="shared" ca="1" si="3"/>
        <v>2200066.6227878989</v>
      </c>
      <c r="BB14" s="247">
        <f t="shared" ca="1" si="3"/>
        <v>2225472.1074835407</v>
      </c>
      <c r="BC14" s="247">
        <f t="shared" ca="1" si="3"/>
        <v>2427186.4224637854</v>
      </c>
      <c r="BD14" s="247">
        <f t="shared" ca="1" si="3"/>
        <v>2634312.3006806388</v>
      </c>
      <c r="BE14" s="247">
        <f t="shared" ca="1" si="3"/>
        <v>2666004.5258928202</v>
      </c>
      <c r="BF14" s="247">
        <f t="shared" ca="1" si="3"/>
        <v>2859382.8330774345</v>
      </c>
      <c r="BG14" s="247">
        <f t="shared" ca="1" si="3"/>
        <v>3086308.6816285588</v>
      </c>
      <c r="BH14" s="247">
        <f t="shared" ca="1" si="3"/>
        <v>3317883.5724377618</v>
      </c>
      <c r="BI14" s="247">
        <f t="shared" ca="1" si="3"/>
        <v>3551186.6839929274</v>
      </c>
      <c r="BJ14" s="247">
        <f t="shared" ca="1" si="3"/>
        <v>3789407.4256627145</v>
      </c>
      <c r="BK14" s="247">
        <f t="shared" ca="1" si="3"/>
        <v>4033163.983883122</v>
      </c>
      <c r="BL14" s="247">
        <f t="shared" ca="1" si="3"/>
        <v>4279126.4069722053</v>
      </c>
      <c r="BM14" s="247">
        <f t="shared" ca="1" si="3"/>
        <v>4532215.124376378</v>
      </c>
      <c r="BN14" s="247">
        <f t="shared" ca="1" si="3"/>
        <v>4789337.317185198</v>
      </c>
      <c r="BO14" s="247">
        <f t="shared" ca="1" si="3"/>
        <v>5050474.0537756896</v>
      </c>
      <c r="BP14" s="247">
        <f t="shared" ca="1" si="3"/>
        <v>5322166.4826188087</v>
      </c>
      <c r="BQ14" s="247">
        <f t="shared" ca="1" si="3"/>
        <v>5595356.4862451879</v>
      </c>
    </row>
    <row r="15" spans="1:69">
      <c r="J15" s="248"/>
      <c r="K15" s="248"/>
      <c r="L15" s="248"/>
      <c r="M15" s="248"/>
      <c r="N15" s="248"/>
      <c r="O15" s="248"/>
      <c r="P15" s="248"/>
      <c r="Q15" s="248"/>
      <c r="R15" s="248"/>
      <c r="S15" s="248"/>
      <c r="T15" s="248"/>
      <c r="U15" s="248"/>
      <c r="V15" s="248"/>
      <c r="W15" s="248"/>
      <c r="X15" s="248"/>
      <c r="Y15" s="248"/>
      <c r="Z15" s="248"/>
      <c r="AA15" s="248"/>
      <c r="AB15" s="248"/>
      <c r="AC15" s="248"/>
      <c r="AD15" s="248"/>
      <c r="AE15" s="248"/>
      <c r="AF15" s="248"/>
      <c r="AG15" s="248"/>
      <c r="AH15" s="248"/>
      <c r="AI15" s="248"/>
      <c r="AJ15" s="248"/>
      <c r="AK15" s="248"/>
      <c r="AL15" s="248"/>
      <c r="AM15" s="248"/>
      <c r="AN15" s="248"/>
      <c r="AO15" s="248"/>
      <c r="AP15" s="248"/>
      <c r="AQ15" s="248"/>
      <c r="AR15" s="248"/>
      <c r="AS15" s="248"/>
      <c r="AT15" s="248"/>
      <c r="AU15" s="248"/>
      <c r="AV15" s="248"/>
      <c r="AW15" s="248"/>
      <c r="AX15" s="248"/>
      <c r="AY15" s="248"/>
      <c r="AZ15" s="248"/>
      <c r="BA15" s="248"/>
      <c r="BB15" s="248"/>
      <c r="BC15" s="248"/>
      <c r="BD15" s="248"/>
      <c r="BE15" s="248"/>
      <c r="BF15" s="248"/>
      <c r="BG15" s="248"/>
      <c r="BH15" s="248"/>
      <c r="BI15" s="248"/>
      <c r="BJ15" s="248"/>
      <c r="BK15" s="248"/>
      <c r="BL15" s="248"/>
      <c r="BM15" s="248"/>
      <c r="BN15" s="248"/>
      <c r="BO15" s="248"/>
      <c r="BP15" s="248"/>
      <c r="BQ15" s="248"/>
    </row>
    <row r="16" spans="1:69">
      <c r="E16" s="15" t="str">
        <f>'Supply Chain finance'!E$42</f>
        <v xml:space="preserve">Supply Chain Finance interest </v>
      </c>
      <c r="F16" s="15">
        <f>'Supply Chain finance'!F$42</f>
        <v>0</v>
      </c>
      <c r="G16" s="15" t="str">
        <f>'Supply Chain finance'!G$42</f>
        <v>GBP</v>
      </c>
      <c r="H16" s="9">
        <f ca="1">'Supply Chain finance'!H$42</f>
        <v>0</v>
      </c>
      <c r="I16" s="15">
        <f>'Supply Chain finance'!I$42</f>
        <v>0</v>
      </c>
      <c r="J16" s="246">
        <f>'Supply Chain finance'!J$42</f>
        <v>0</v>
      </c>
      <c r="K16" s="246">
        <f ca="1">'Supply Chain finance'!K$42</f>
        <v>0</v>
      </c>
      <c r="L16" s="246">
        <f ca="1">'Supply Chain finance'!L$42</f>
        <v>0</v>
      </c>
      <c r="M16" s="246">
        <f ca="1">'Supply Chain finance'!M$42</f>
        <v>0</v>
      </c>
      <c r="N16" s="246">
        <f ca="1">'Supply Chain finance'!N$42</f>
        <v>0</v>
      </c>
      <c r="O16" s="246">
        <f ca="1">'Supply Chain finance'!O$42</f>
        <v>0</v>
      </c>
      <c r="P16" s="246">
        <f ca="1">'Supply Chain finance'!P$42</f>
        <v>0</v>
      </c>
      <c r="Q16" s="246">
        <f ca="1">'Supply Chain finance'!Q$42</f>
        <v>0</v>
      </c>
      <c r="R16" s="246">
        <f ca="1">'Supply Chain finance'!R$42</f>
        <v>0</v>
      </c>
      <c r="S16" s="246">
        <f ca="1">'Supply Chain finance'!S$42</f>
        <v>0</v>
      </c>
      <c r="T16" s="246">
        <f ca="1">'Supply Chain finance'!T$42</f>
        <v>0</v>
      </c>
      <c r="U16" s="246">
        <f ca="1">'Supply Chain finance'!U$42</f>
        <v>0</v>
      </c>
      <c r="V16" s="246">
        <f ca="1">'Supply Chain finance'!V$42</f>
        <v>0</v>
      </c>
      <c r="W16" s="246">
        <f ca="1">'Supply Chain finance'!W$42</f>
        <v>0</v>
      </c>
      <c r="X16" s="246">
        <f ca="1">'Supply Chain finance'!X$42</f>
        <v>0</v>
      </c>
      <c r="Y16" s="246">
        <f ca="1">'Supply Chain finance'!Y$42</f>
        <v>0</v>
      </c>
      <c r="Z16" s="246">
        <f ca="1">'Supply Chain finance'!Z$42</f>
        <v>0</v>
      </c>
      <c r="AA16" s="246">
        <f ca="1">'Supply Chain finance'!AA$42</f>
        <v>0</v>
      </c>
      <c r="AB16" s="246">
        <f ca="1">'Supply Chain finance'!AB$42</f>
        <v>0</v>
      </c>
      <c r="AC16" s="246">
        <f ca="1">'Supply Chain finance'!AC$42</f>
        <v>0</v>
      </c>
      <c r="AD16" s="246">
        <f ca="1">'Supply Chain finance'!AD$42</f>
        <v>0</v>
      </c>
      <c r="AE16" s="246">
        <f ca="1">'Supply Chain finance'!AE$42</f>
        <v>0</v>
      </c>
      <c r="AF16" s="246">
        <f ca="1">'Supply Chain finance'!AF$42</f>
        <v>0</v>
      </c>
      <c r="AG16" s="246">
        <f ca="1">'Supply Chain finance'!AG$42</f>
        <v>0</v>
      </c>
      <c r="AH16" s="246">
        <f ca="1">'Supply Chain finance'!AH$42</f>
        <v>0</v>
      </c>
      <c r="AI16" s="246">
        <f ca="1">'Supply Chain finance'!AI$42</f>
        <v>0</v>
      </c>
      <c r="AJ16" s="246">
        <f ca="1">'Supply Chain finance'!AJ$42</f>
        <v>0</v>
      </c>
      <c r="AK16" s="246">
        <f ca="1">'Supply Chain finance'!AK$42</f>
        <v>0</v>
      </c>
      <c r="AL16" s="246">
        <f ca="1">'Supply Chain finance'!AL$42</f>
        <v>0</v>
      </c>
      <c r="AM16" s="246">
        <f ca="1">'Supply Chain finance'!AM$42</f>
        <v>0</v>
      </c>
      <c r="AN16" s="246">
        <f ca="1">'Supply Chain finance'!AN$42</f>
        <v>0</v>
      </c>
      <c r="AO16" s="246">
        <f ca="1">'Supply Chain finance'!AO$42</f>
        <v>0</v>
      </c>
      <c r="AP16" s="246">
        <f ca="1">'Supply Chain finance'!AP$42</f>
        <v>0</v>
      </c>
      <c r="AQ16" s="246">
        <f ca="1">'Supply Chain finance'!AQ$42</f>
        <v>0</v>
      </c>
      <c r="AR16" s="246">
        <f ca="1">'Supply Chain finance'!AR$42</f>
        <v>0</v>
      </c>
      <c r="AS16" s="246">
        <f ca="1">'Supply Chain finance'!AS$42</f>
        <v>0</v>
      </c>
      <c r="AT16" s="246">
        <f ca="1">'Supply Chain finance'!AT$42</f>
        <v>0</v>
      </c>
      <c r="AU16" s="246">
        <f ca="1">'Supply Chain finance'!AU$42</f>
        <v>0</v>
      </c>
      <c r="AV16" s="246">
        <f ca="1">'Supply Chain finance'!AV$42</f>
        <v>0</v>
      </c>
      <c r="AW16" s="246">
        <f ca="1">'Supply Chain finance'!AW$42</f>
        <v>0</v>
      </c>
      <c r="AX16" s="246">
        <f ca="1">'Supply Chain finance'!AX$42</f>
        <v>0</v>
      </c>
      <c r="AY16" s="246">
        <f ca="1">'Supply Chain finance'!AY$42</f>
        <v>0</v>
      </c>
      <c r="AZ16" s="246">
        <f ca="1">'Supply Chain finance'!AZ$42</f>
        <v>0</v>
      </c>
      <c r="BA16" s="246">
        <f ca="1">'Supply Chain finance'!BA$42</f>
        <v>0</v>
      </c>
      <c r="BB16" s="246">
        <f ca="1">'Supply Chain finance'!BB$42</f>
        <v>0</v>
      </c>
      <c r="BC16" s="246">
        <f ca="1">'Supply Chain finance'!BC$42</f>
        <v>0</v>
      </c>
      <c r="BD16" s="246">
        <f ca="1">'Supply Chain finance'!BD$42</f>
        <v>0</v>
      </c>
      <c r="BE16" s="246">
        <f ca="1">'Supply Chain finance'!BE$42</f>
        <v>0</v>
      </c>
      <c r="BF16" s="246">
        <f ca="1">'Supply Chain finance'!BF$42</f>
        <v>0</v>
      </c>
      <c r="BG16" s="246">
        <f ca="1">'Supply Chain finance'!BG$42</f>
        <v>0</v>
      </c>
      <c r="BH16" s="246">
        <f ca="1">'Supply Chain finance'!BH$42</f>
        <v>0</v>
      </c>
      <c r="BI16" s="246">
        <f ca="1">'Supply Chain finance'!BI$42</f>
        <v>0</v>
      </c>
      <c r="BJ16" s="246">
        <f ca="1">'Supply Chain finance'!BJ$42</f>
        <v>0</v>
      </c>
      <c r="BK16" s="246">
        <f ca="1">'Supply Chain finance'!BK$42</f>
        <v>0</v>
      </c>
      <c r="BL16" s="246">
        <f ca="1">'Supply Chain finance'!BL$42</f>
        <v>0</v>
      </c>
      <c r="BM16" s="246">
        <f ca="1">'Supply Chain finance'!BM$42</f>
        <v>0</v>
      </c>
      <c r="BN16" s="246">
        <f ca="1">'Supply Chain finance'!BN$42</f>
        <v>0</v>
      </c>
      <c r="BO16" s="246">
        <f ca="1">'Supply Chain finance'!BO$42</f>
        <v>0</v>
      </c>
      <c r="BP16" s="246">
        <f ca="1">'Supply Chain finance'!BP$42</f>
        <v>0</v>
      </c>
      <c r="BQ16" s="246">
        <f ca="1">'Supply Chain finance'!BQ$42</f>
        <v>0</v>
      </c>
    </row>
    <row r="17" spans="5:69">
      <c r="E17" s="15" t="str">
        <f>'Invoice finance'!E$41</f>
        <v xml:space="preserve">Invoice finance interest </v>
      </c>
      <c r="F17" s="15">
        <f>'Invoice finance'!F$41</f>
        <v>0</v>
      </c>
      <c r="G17" s="15" t="str">
        <f>'Invoice finance'!G$41</f>
        <v>GBP</v>
      </c>
      <c r="H17" s="9">
        <f ca="1">'Invoice finance'!H$41</f>
        <v>0</v>
      </c>
      <c r="I17" s="15">
        <f>'Invoice finance'!I$41</f>
        <v>0</v>
      </c>
      <c r="J17" s="246">
        <f>'Invoice finance'!J$41</f>
        <v>0</v>
      </c>
      <c r="K17" s="246">
        <f ca="1">'Invoice finance'!K$41</f>
        <v>0</v>
      </c>
      <c r="L17" s="246">
        <f ca="1">'Invoice finance'!L$41</f>
        <v>0</v>
      </c>
      <c r="M17" s="246">
        <f ca="1">'Invoice finance'!M$41</f>
        <v>0</v>
      </c>
      <c r="N17" s="246">
        <f ca="1">'Invoice finance'!N$41</f>
        <v>0</v>
      </c>
      <c r="O17" s="246">
        <f ca="1">'Invoice finance'!O$41</f>
        <v>0</v>
      </c>
      <c r="P17" s="246">
        <f ca="1">'Invoice finance'!P$41</f>
        <v>0</v>
      </c>
      <c r="Q17" s="246">
        <f ca="1">'Invoice finance'!Q$41</f>
        <v>0</v>
      </c>
      <c r="R17" s="246">
        <f ca="1">'Invoice finance'!R$41</f>
        <v>0</v>
      </c>
      <c r="S17" s="246">
        <f ca="1">'Invoice finance'!S$41</f>
        <v>0</v>
      </c>
      <c r="T17" s="246">
        <f ca="1">'Invoice finance'!T$41</f>
        <v>0</v>
      </c>
      <c r="U17" s="246">
        <f ca="1">'Invoice finance'!U$41</f>
        <v>0</v>
      </c>
      <c r="V17" s="246">
        <f ca="1">'Invoice finance'!V$41</f>
        <v>0</v>
      </c>
      <c r="W17" s="246">
        <f ca="1">'Invoice finance'!W$41</f>
        <v>0</v>
      </c>
      <c r="X17" s="246">
        <f ca="1">'Invoice finance'!X$41</f>
        <v>0</v>
      </c>
      <c r="Y17" s="246">
        <f ca="1">'Invoice finance'!Y$41</f>
        <v>0</v>
      </c>
      <c r="Z17" s="246">
        <f ca="1">'Invoice finance'!Z$41</f>
        <v>0</v>
      </c>
      <c r="AA17" s="246">
        <f ca="1">'Invoice finance'!AA$41</f>
        <v>0</v>
      </c>
      <c r="AB17" s="246">
        <f ca="1">'Invoice finance'!AB$41</f>
        <v>0</v>
      </c>
      <c r="AC17" s="246">
        <f ca="1">'Invoice finance'!AC$41</f>
        <v>0</v>
      </c>
      <c r="AD17" s="246">
        <f ca="1">'Invoice finance'!AD$41</f>
        <v>0</v>
      </c>
      <c r="AE17" s="246">
        <f ca="1">'Invoice finance'!AE$41</f>
        <v>0</v>
      </c>
      <c r="AF17" s="246">
        <f ca="1">'Invoice finance'!AF$41</f>
        <v>0</v>
      </c>
      <c r="AG17" s="246">
        <f ca="1">'Invoice finance'!AG$41</f>
        <v>0</v>
      </c>
      <c r="AH17" s="246">
        <f ca="1">'Invoice finance'!AH$41</f>
        <v>0</v>
      </c>
      <c r="AI17" s="246">
        <f ca="1">'Invoice finance'!AI$41</f>
        <v>0</v>
      </c>
      <c r="AJ17" s="246">
        <f ca="1">'Invoice finance'!AJ$41</f>
        <v>0</v>
      </c>
      <c r="AK17" s="246">
        <f ca="1">'Invoice finance'!AK$41</f>
        <v>0</v>
      </c>
      <c r="AL17" s="246">
        <f ca="1">'Invoice finance'!AL$41</f>
        <v>0</v>
      </c>
      <c r="AM17" s="246">
        <f ca="1">'Invoice finance'!AM$41</f>
        <v>0</v>
      </c>
      <c r="AN17" s="246">
        <f ca="1">'Invoice finance'!AN$41</f>
        <v>0</v>
      </c>
      <c r="AO17" s="246">
        <f ca="1">'Invoice finance'!AO$41</f>
        <v>0</v>
      </c>
      <c r="AP17" s="246">
        <f ca="1">'Invoice finance'!AP$41</f>
        <v>0</v>
      </c>
      <c r="AQ17" s="246">
        <f ca="1">'Invoice finance'!AQ$41</f>
        <v>0</v>
      </c>
      <c r="AR17" s="246">
        <f ca="1">'Invoice finance'!AR$41</f>
        <v>0</v>
      </c>
      <c r="AS17" s="246">
        <f ca="1">'Invoice finance'!AS$41</f>
        <v>0</v>
      </c>
      <c r="AT17" s="246">
        <f ca="1">'Invoice finance'!AT$41</f>
        <v>0</v>
      </c>
      <c r="AU17" s="246">
        <f ca="1">'Invoice finance'!AU$41</f>
        <v>0</v>
      </c>
      <c r="AV17" s="246">
        <f ca="1">'Invoice finance'!AV$41</f>
        <v>0</v>
      </c>
      <c r="AW17" s="246">
        <f ca="1">'Invoice finance'!AW$41</f>
        <v>0</v>
      </c>
      <c r="AX17" s="246">
        <f ca="1">'Invoice finance'!AX$41</f>
        <v>0</v>
      </c>
      <c r="AY17" s="246">
        <f ca="1">'Invoice finance'!AY$41</f>
        <v>0</v>
      </c>
      <c r="AZ17" s="246">
        <f ca="1">'Invoice finance'!AZ$41</f>
        <v>0</v>
      </c>
      <c r="BA17" s="246">
        <f ca="1">'Invoice finance'!BA$41</f>
        <v>0</v>
      </c>
      <c r="BB17" s="246">
        <f ca="1">'Invoice finance'!BB$41</f>
        <v>0</v>
      </c>
      <c r="BC17" s="246">
        <f ca="1">'Invoice finance'!BC$41</f>
        <v>0</v>
      </c>
      <c r="BD17" s="246">
        <f ca="1">'Invoice finance'!BD$41</f>
        <v>0</v>
      </c>
      <c r="BE17" s="246">
        <f ca="1">'Invoice finance'!BE$41</f>
        <v>0</v>
      </c>
      <c r="BF17" s="246">
        <f ca="1">'Invoice finance'!BF$41</f>
        <v>0</v>
      </c>
      <c r="BG17" s="246">
        <f ca="1">'Invoice finance'!BG$41</f>
        <v>0</v>
      </c>
      <c r="BH17" s="246">
        <f ca="1">'Invoice finance'!BH$41</f>
        <v>0</v>
      </c>
      <c r="BI17" s="246">
        <f ca="1">'Invoice finance'!BI$41</f>
        <v>0</v>
      </c>
      <c r="BJ17" s="246">
        <f ca="1">'Invoice finance'!BJ$41</f>
        <v>0</v>
      </c>
      <c r="BK17" s="246">
        <f ca="1">'Invoice finance'!BK$41</f>
        <v>0</v>
      </c>
      <c r="BL17" s="246">
        <f ca="1">'Invoice finance'!BL$41</f>
        <v>0</v>
      </c>
      <c r="BM17" s="246">
        <f ca="1">'Invoice finance'!BM$41</f>
        <v>0</v>
      </c>
      <c r="BN17" s="246">
        <f ca="1">'Invoice finance'!BN$41</f>
        <v>0</v>
      </c>
      <c r="BO17" s="246">
        <f ca="1">'Invoice finance'!BO$41</f>
        <v>0</v>
      </c>
      <c r="BP17" s="246">
        <f ca="1">'Invoice finance'!BP$41</f>
        <v>0</v>
      </c>
      <c r="BQ17" s="246">
        <f ca="1">'Invoice finance'!BQ$41</f>
        <v>0</v>
      </c>
    </row>
    <row r="18" spans="5:69">
      <c r="E18" s="15" t="str">
        <f>'Asset Finance'!E$42</f>
        <v xml:space="preserve">Asset Finance interest </v>
      </c>
      <c r="F18" s="15">
        <f>'Asset Finance'!F$42</f>
        <v>0</v>
      </c>
      <c r="G18" s="15" t="str">
        <f>'Asset Finance'!G$42</f>
        <v>GBP</v>
      </c>
      <c r="H18" s="9">
        <f ca="1">'Asset Finance'!H$42</f>
        <v>0</v>
      </c>
      <c r="I18" s="15">
        <f>'Asset Finance'!I$42</f>
        <v>0</v>
      </c>
      <c r="J18" s="246">
        <f>'Asset Finance'!J$42</f>
        <v>0</v>
      </c>
      <c r="K18" s="246">
        <f ca="1">'Asset Finance'!K$42</f>
        <v>0</v>
      </c>
      <c r="L18" s="246">
        <f ca="1">'Asset Finance'!L$42</f>
        <v>0</v>
      </c>
      <c r="M18" s="246">
        <f ca="1">'Asset Finance'!M$42</f>
        <v>0</v>
      </c>
      <c r="N18" s="246">
        <f ca="1">'Asset Finance'!N$42</f>
        <v>0</v>
      </c>
      <c r="O18" s="246">
        <f ca="1">'Asset Finance'!O$42</f>
        <v>0</v>
      </c>
      <c r="P18" s="246">
        <f ca="1">'Asset Finance'!P$42</f>
        <v>0</v>
      </c>
      <c r="Q18" s="246">
        <f ca="1">'Asset Finance'!Q$42</f>
        <v>0</v>
      </c>
      <c r="R18" s="246">
        <f ca="1">'Asset Finance'!R$42</f>
        <v>0</v>
      </c>
      <c r="S18" s="246">
        <f ca="1">'Asset Finance'!S$42</f>
        <v>0</v>
      </c>
      <c r="T18" s="246">
        <f ca="1">'Asset Finance'!T$42</f>
        <v>0</v>
      </c>
      <c r="U18" s="246">
        <f ca="1">'Asset Finance'!U$42</f>
        <v>0</v>
      </c>
      <c r="V18" s="246">
        <f ca="1">'Asset Finance'!V$42</f>
        <v>0</v>
      </c>
      <c r="W18" s="246">
        <f ca="1">'Asset Finance'!W$42</f>
        <v>0</v>
      </c>
      <c r="X18" s="246">
        <f ca="1">'Asset Finance'!X$42</f>
        <v>0</v>
      </c>
      <c r="Y18" s="246">
        <f ca="1">'Asset Finance'!Y$42</f>
        <v>0</v>
      </c>
      <c r="Z18" s="246">
        <f ca="1">'Asset Finance'!Z$42</f>
        <v>0</v>
      </c>
      <c r="AA18" s="246">
        <f ca="1">'Asset Finance'!AA$42</f>
        <v>0</v>
      </c>
      <c r="AB18" s="246">
        <f ca="1">'Asset Finance'!AB$42</f>
        <v>0</v>
      </c>
      <c r="AC18" s="246">
        <f ca="1">'Asset Finance'!AC$42</f>
        <v>0</v>
      </c>
      <c r="AD18" s="246">
        <f ca="1">'Asset Finance'!AD$42</f>
        <v>0</v>
      </c>
      <c r="AE18" s="246">
        <f ca="1">'Asset Finance'!AE$42</f>
        <v>0</v>
      </c>
      <c r="AF18" s="246">
        <f ca="1">'Asset Finance'!AF$42</f>
        <v>0</v>
      </c>
      <c r="AG18" s="246">
        <f ca="1">'Asset Finance'!AG$42</f>
        <v>0</v>
      </c>
      <c r="AH18" s="246">
        <f ca="1">'Asset Finance'!AH$42</f>
        <v>0</v>
      </c>
      <c r="AI18" s="246">
        <f ca="1">'Asset Finance'!AI$42</f>
        <v>0</v>
      </c>
      <c r="AJ18" s="246">
        <f ca="1">'Asset Finance'!AJ$42</f>
        <v>0</v>
      </c>
      <c r="AK18" s="246">
        <f ca="1">'Asset Finance'!AK$42</f>
        <v>0</v>
      </c>
      <c r="AL18" s="246">
        <f ca="1">'Asset Finance'!AL$42</f>
        <v>0</v>
      </c>
      <c r="AM18" s="246">
        <f ca="1">'Asset Finance'!AM$42</f>
        <v>0</v>
      </c>
      <c r="AN18" s="246">
        <f ca="1">'Asset Finance'!AN$42</f>
        <v>0</v>
      </c>
      <c r="AO18" s="246">
        <f ca="1">'Asset Finance'!AO$42</f>
        <v>0</v>
      </c>
      <c r="AP18" s="246">
        <f ca="1">'Asset Finance'!AP$42</f>
        <v>0</v>
      </c>
      <c r="AQ18" s="246">
        <f ca="1">'Asset Finance'!AQ$42</f>
        <v>0</v>
      </c>
      <c r="AR18" s="246">
        <f ca="1">'Asset Finance'!AR$42</f>
        <v>0</v>
      </c>
      <c r="AS18" s="246">
        <f ca="1">'Asset Finance'!AS$42</f>
        <v>0</v>
      </c>
      <c r="AT18" s="246">
        <f ca="1">'Asset Finance'!AT$42</f>
        <v>0</v>
      </c>
      <c r="AU18" s="246">
        <f ca="1">'Asset Finance'!AU$42</f>
        <v>0</v>
      </c>
      <c r="AV18" s="246">
        <f ca="1">'Asset Finance'!AV$42</f>
        <v>0</v>
      </c>
      <c r="AW18" s="246">
        <f ca="1">'Asset Finance'!AW$42</f>
        <v>0</v>
      </c>
      <c r="AX18" s="246">
        <f ca="1">'Asset Finance'!AX$42</f>
        <v>0</v>
      </c>
      <c r="AY18" s="246">
        <f ca="1">'Asset Finance'!AY$42</f>
        <v>0</v>
      </c>
      <c r="AZ18" s="246">
        <f ca="1">'Asset Finance'!AZ$42</f>
        <v>0</v>
      </c>
      <c r="BA18" s="246">
        <f ca="1">'Asset Finance'!BA$42</f>
        <v>0</v>
      </c>
      <c r="BB18" s="246">
        <f ca="1">'Asset Finance'!BB$42</f>
        <v>0</v>
      </c>
      <c r="BC18" s="246">
        <f ca="1">'Asset Finance'!BC$42</f>
        <v>0</v>
      </c>
      <c r="BD18" s="246">
        <f ca="1">'Asset Finance'!BD$42</f>
        <v>0</v>
      </c>
      <c r="BE18" s="246">
        <f ca="1">'Asset Finance'!BE$42</f>
        <v>0</v>
      </c>
      <c r="BF18" s="246">
        <f ca="1">'Asset Finance'!BF$42</f>
        <v>0</v>
      </c>
      <c r="BG18" s="246">
        <f ca="1">'Asset Finance'!BG$42</f>
        <v>0</v>
      </c>
      <c r="BH18" s="246">
        <f ca="1">'Asset Finance'!BH$42</f>
        <v>0</v>
      </c>
      <c r="BI18" s="246">
        <f ca="1">'Asset Finance'!BI$42</f>
        <v>0</v>
      </c>
      <c r="BJ18" s="246">
        <f ca="1">'Asset Finance'!BJ$42</f>
        <v>0</v>
      </c>
      <c r="BK18" s="246">
        <f ca="1">'Asset Finance'!BK$42</f>
        <v>0</v>
      </c>
      <c r="BL18" s="246">
        <f ca="1">'Asset Finance'!BL$42</f>
        <v>0</v>
      </c>
      <c r="BM18" s="246">
        <f ca="1">'Asset Finance'!BM$42</f>
        <v>0</v>
      </c>
      <c r="BN18" s="246">
        <f ca="1">'Asset Finance'!BN$42</f>
        <v>0</v>
      </c>
      <c r="BO18" s="246">
        <f ca="1">'Asset Finance'!BO$42</f>
        <v>0</v>
      </c>
      <c r="BP18" s="246">
        <f ca="1">'Asset Finance'!BP$42</f>
        <v>0</v>
      </c>
      <c r="BQ18" s="246">
        <f ca="1">'Asset Finance'!BQ$42</f>
        <v>0</v>
      </c>
    </row>
    <row r="19" spans="5:69">
      <c r="E19" s="12" t="s">
        <v>177</v>
      </c>
      <c r="F19" s="28"/>
      <c r="G19" s="12" t="s">
        <v>252</v>
      </c>
      <c r="H19" s="12">
        <f ca="1">SUM(J19:BQ19)</f>
        <v>87829618.362924516</v>
      </c>
      <c r="I19" s="28"/>
      <c r="J19" s="247">
        <f t="shared" ref="J19:AO19" ca="1" si="4">J14+SUM(J16:J18)</f>
        <v>-46000</v>
      </c>
      <c r="K19" s="247">
        <f t="shared" ca="1" si="4"/>
        <v>-54565.051762757437</v>
      </c>
      <c r="L19" s="247">
        <f t="shared" ca="1" si="4"/>
        <v>-55870.831437052359</v>
      </c>
      <c r="M19" s="247">
        <f t="shared" ca="1" si="4"/>
        <v>-57908.4671930111</v>
      </c>
      <c r="N19" s="247">
        <f t="shared" ca="1" si="4"/>
        <v>-59424.944152283344</v>
      </c>
      <c r="O19" s="247">
        <f t="shared" ca="1" si="4"/>
        <v>-60979.999882111922</v>
      </c>
      <c r="P19" s="247">
        <f t="shared" ca="1" si="4"/>
        <v>-63305.36300263006</v>
      </c>
      <c r="Q19" s="247">
        <f t="shared" ca="1" si="4"/>
        <v>74532.421391779746</v>
      </c>
      <c r="R19" s="247">
        <f t="shared" ca="1" si="4"/>
        <v>98894.942492405637</v>
      </c>
      <c r="S19" s="247">
        <f t="shared" ca="1" si="4"/>
        <v>98079.519526631833</v>
      </c>
      <c r="T19" s="247">
        <f t="shared" ca="1" si="4"/>
        <v>96130.651801330678</v>
      </c>
      <c r="U19" s="247">
        <f t="shared" ca="1" si="4"/>
        <v>93868.120472164039</v>
      </c>
      <c r="V19" s="247">
        <f t="shared" ca="1" si="4"/>
        <v>90916.666666666672</v>
      </c>
      <c r="W19" s="247">
        <f t="shared" ca="1" si="4"/>
        <v>235862.76049489388</v>
      </c>
      <c r="X19" s="247">
        <f t="shared" ca="1" si="4"/>
        <v>253429.41252950544</v>
      </c>
      <c r="Y19" s="247">
        <f t="shared" ca="1" si="4"/>
        <v>249900.23697183491</v>
      </c>
      <c r="Z19" s="247">
        <f t="shared" ca="1" si="4"/>
        <v>246869.40650637494</v>
      </c>
      <c r="AA19" s="247">
        <f t="shared" ca="1" si="4"/>
        <v>236470.05202160202</v>
      </c>
      <c r="AB19" s="247">
        <f t="shared" ca="1" si="4"/>
        <v>232383.50359175747</v>
      </c>
      <c r="AC19" s="247">
        <f t="shared" ca="1" si="4"/>
        <v>403894.69064243976</v>
      </c>
      <c r="AD19" s="247">
        <f t="shared" ca="1" si="4"/>
        <v>400039.50114882068</v>
      </c>
      <c r="AE19" s="247">
        <f t="shared" ca="1" si="4"/>
        <v>387989.79251189734</v>
      </c>
      <c r="AF19" s="247">
        <f t="shared" ca="1" si="4"/>
        <v>384116.32276235888</v>
      </c>
      <c r="AG19" s="247">
        <f t="shared" ca="1" si="4"/>
        <v>554580.84561472968</v>
      </c>
      <c r="AH19" s="247">
        <f t="shared" ca="1" si="4"/>
        <v>505544.22806854604</v>
      </c>
      <c r="AI19" s="247">
        <f t="shared" ca="1" si="4"/>
        <v>516474.21960079641</v>
      </c>
      <c r="AJ19" s="247">
        <f t="shared" ca="1" si="4"/>
        <v>521032.50024679751</v>
      </c>
      <c r="AK19" s="247">
        <f t="shared" ca="1" si="4"/>
        <v>707570.59732756624</v>
      </c>
      <c r="AL19" s="247">
        <f t="shared" ca="1" si="4"/>
        <v>720588.11355445161</v>
      </c>
      <c r="AM19" s="247">
        <f t="shared" ca="1" si="4"/>
        <v>727409.56490401726</v>
      </c>
      <c r="AN19" s="247">
        <f t="shared" ca="1" si="4"/>
        <v>916273.83435786306</v>
      </c>
      <c r="AO19" s="247">
        <f t="shared" ca="1" si="4"/>
        <v>932121.02617699071</v>
      </c>
      <c r="AP19" s="247">
        <f t="shared" ref="AP19:BU19" ca="1" si="5">AP14+SUM(AP16:AP18)</f>
        <v>1116185.8656398305</v>
      </c>
      <c r="AQ19" s="247">
        <f t="shared" ca="1" si="5"/>
        <v>1132816.281088308</v>
      </c>
      <c r="AR19" s="247">
        <f t="shared" ca="1" si="5"/>
        <v>1145188.3023198543</v>
      </c>
      <c r="AS19" s="247">
        <f t="shared" ca="1" si="5"/>
        <v>1339675.8514105047</v>
      </c>
      <c r="AT19" s="247">
        <f t="shared" ca="1" si="5"/>
        <v>1352742.2721286365</v>
      </c>
      <c r="AU19" s="247">
        <f t="shared" ca="1" si="5"/>
        <v>1367242.7785252337</v>
      </c>
      <c r="AV19" s="247">
        <f t="shared" ca="1" si="5"/>
        <v>1565977.7457024574</v>
      </c>
      <c r="AW19" s="247">
        <f t="shared" ca="1" si="5"/>
        <v>1582457.7385079623</v>
      </c>
      <c r="AX19" s="247">
        <f t="shared" ca="1" si="5"/>
        <v>1776234.1732335028</v>
      </c>
      <c r="AY19" s="247">
        <f t="shared" ca="1" si="5"/>
        <v>1804491.9551902867</v>
      </c>
      <c r="AZ19" s="247">
        <f t="shared" ca="1" si="5"/>
        <v>2000636.0940589043</v>
      </c>
      <c r="BA19" s="247">
        <f t="shared" ca="1" si="5"/>
        <v>2200066.6227878989</v>
      </c>
      <c r="BB19" s="247">
        <f t="shared" ca="1" si="5"/>
        <v>2225472.1074835407</v>
      </c>
      <c r="BC19" s="247">
        <f t="shared" ca="1" si="5"/>
        <v>2427186.4224637854</v>
      </c>
      <c r="BD19" s="247">
        <f t="shared" ca="1" si="5"/>
        <v>2634312.3006806388</v>
      </c>
      <c r="BE19" s="247">
        <f t="shared" ca="1" si="5"/>
        <v>2666004.5258928202</v>
      </c>
      <c r="BF19" s="247">
        <f t="shared" ca="1" si="5"/>
        <v>2859382.8330774345</v>
      </c>
      <c r="BG19" s="247">
        <f t="shared" ca="1" si="5"/>
        <v>3086308.6816285588</v>
      </c>
      <c r="BH19" s="247">
        <f t="shared" ca="1" si="5"/>
        <v>3317883.5724377618</v>
      </c>
      <c r="BI19" s="247">
        <f t="shared" ca="1" si="5"/>
        <v>3551186.6839929274</v>
      </c>
      <c r="BJ19" s="247">
        <f t="shared" ca="1" si="5"/>
        <v>3789407.4256627145</v>
      </c>
      <c r="BK19" s="247">
        <f t="shared" ca="1" si="5"/>
        <v>4033163.983883122</v>
      </c>
      <c r="BL19" s="247">
        <f t="shared" ca="1" si="5"/>
        <v>4279126.4069722053</v>
      </c>
      <c r="BM19" s="247">
        <f t="shared" ca="1" si="5"/>
        <v>4532215.124376378</v>
      </c>
      <c r="BN19" s="247">
        <f t="shared" ca="1" si="5"/>
        <v>4789337.317185198</v>
      </c>
      <c r="BO19" s="247">
        <f t="shared" ca="1" si="5"/>
        <v>5050474.0537756896</v>
      </c>
      <c r="BP19" s="247">
        <f t="shared" ca="1" si="5"/>
        <v>5322166.4826188087</v>
      </c>
      <c r="BQ19" s="247">
        <f t="shared" ca="1" si="5"/>
        <v>5595356.4862451879</v>
      </c>
    </row>
    <row r="20" spans="5:69">
      <c r="J20" s="248"/>
      <c r="K20" s="248"/>
      <c r="L20" s="248"/>
      <c r="M20" s="248"/>
      <c r="N20" s="248"/>
      <c r="O20" s="248"/>
      <c r="P20" s="248"/>
      <c r="Q20" s="248"/>
      <c r="R20" s="248"/>
      <c r="S20" s="248"/>
      <c r="T20" s="248"/>
      <c r="U20" s="248"/>
      <c r="V20" s="248"/>
      <c r="W20" s="248"/>
      <c r="X20" s="248"/>
      <c r="Y20" s="248"/>
      <c r="Z20" s="248"/>
      <c r="AA20" s="248"/>
      <c r="AB20" s="248"/>
      <c r="AC20" s="248"/>
      <c r="AD20" s="248"/>
      <c r="AE20" s="248"/>
      <c r="AF20" s="248"/>
      <c r="AG20" s="248"/>
      <c r="AH20" s="248"/>
      <c r="AI20" s="248"/>
      <c r="AJ20" s="248"/>
      <c r="AK20" s="248"/>
      <c r="AL20" s="248"/>
      <c r="AM20" s="248"/>
      <c r="AN20" s="248"/>
      <c r="AO20" s="248"/>
      <c r="AP20" s="248"/>
      <c r="AQ20" s="248"/>
      <c r="AR20" s="248"/>
      <c r="AS20" s="248"/>
      <c r="AT20" s="248"/>
      <c r="AU20" s="248"/>
      <c r="AV20" s="248"/>
      <c r="AW20" s="248"/>
      <c r="AX20" s="248"/>
      <c r="AY20" s="248"/>
      <c r="AZ20" s="248"/>
      <c r="BA20" s="248"/>
      <c r="BB20" s="248"/>
      <c r="BC20" s="248"/>
      <c r="BD20" s="248"/>
      <c r="BE20" s="248"/>
      <c r="BF20" s="248"/>
      <c r="BG20" s="248"/>
      <c r="BH20" s="248"/>
      <c r="BI20" s="248"/>
      <c r="BJ20" s="248"/>
      <c r="BK20" s="248"/>
      <c r="BL20" s="248"/>
      <c r="BM20" s="248"/>
      <c r="BN20" s="248"/>
      <c r="BO20" s="248"/>
      <c r="BP20" s="248"/>
      <c r="BQ20" s="248"/>
    </row>
    <row r="21" spans="5:69">
      <c r="E21" s="15" t="str">
        <f>'Corporation tax'!E$48</f>
        <v xml:space="preserve">Corporation tax </v>
      </c>
      <c r="F21" s="15">
        <f>'Corporation tax'!F$48</f>
        <v>0</v>
      </c>
      <c r="G21" s="15" t="str">
        <f>'Corporation tax'!G$48</f>
        <v>GBP</v>
      </c>
      <c r="H21" s="9">
        <f ca="1">'Corporation tax'!H$48</f>
        <v>-18318854.533494424</v>
      </c>
      <c r="I21" s="15">
        <f>'Corporation tax'!I$48</f>
        <v>0</v>
      </c>
      <c r="J21" s="246">
        <f ca="1">'Corporation tax'!J$48</f>
        <v>0</v>
      </c>
      <c r="K21" s="246">
        <f ca="1">'Corporation tax'!K$48</f>
        <v>0</v>
      </c>
      <c r="L21" s="246">
        <f ca="1">'Corporation tax'!L$48</f>
        <v>0</v>
      </c>
      <c r="M21" s="246">
        <f ca="1">'Corporation tax'!M$48</f>
        <v>0</v>
      </c>
      <c r="N21" s="246">
        <f ca="1">'Corporation tax'!N$48</f>
        <v>0</v>
      </c>
      <c r="O21" s="246">
        <f ca="1">'Corporation tax'!O$48</f>
        <v>0</v>
      </c>
      <c r="P21" s="246">
        <f ca="1">'Corporation tax'!P$48</f>
        <v>0</v>
      </c>
      <c r="Q21" s="246">
        <f ca="1">'Corporation tax'!Q$48</f>
        <v>0</v>
      </c>
      <c r="R21" s="246">
        <f ca="1">'Corporation tax'!R$48</f>
        <v>0</v>
      </c>
      <c r="S21" s="246">
        <f ca="1">'Corporation tax'!S$48</f>
        <v>-1390.4451961941932</v>
      </c>
      <c r="T21" s="246">
        <f ca="1">'Corporation tax'!T$48</f>
        <v>-22142.797026932803</v>
      </c>
      <c r="U21" s="246">
        <f ca="1">'Corporation tax'!U$48</f>
        <v>-21690.290761099473</v>
      </c>
      <c r="V21" s="246">
        <f ca="1">'Corporation tax'!V$48</f>
        <v>-21100</v>
      </c>
      <c r="W21" s="246">
        <f ca="1">'Corporation tax'!W$48</f>
        <v>-51547.552098978776</v>
      </c>
      <c r="X21" s="246">
        <f ca="1">'Corporation tax'!X$48</f>
        <v>-55060.882505901092</v>
      </c>
      <c r="Y21" s="246">
        <f ca="1">'Corporation tax'!Y$48</f>
        <v>-54355.047394366986</v>
      </c>
      <c r="Z21" s="246">
        <f ca="1">'Corporation tax'!Z$48</f>
        <v>-53748.881301274989</v>
      </c>
      <c r="AA21" s="246">
        <f ca="1">'Corporation tax'!AA$48</f>
        <v>-53127.34373765374</v>
      </c>
      <c r="AB21" s="246">
        <f ca="1">'Corporation tax'!AB$48</f>
        <v>-52310.03405168483</v>
      </c>
      <c r="AC21" s="246">
        <f ca="1">'Corporation tax'!AC$48</f>
        <v>-86612.271461821292</v>
      </c>
      <c r="AD21" s="246">
        <f ca="1">'Corporation tax'!AD$48</f>
        <v>-85841.233563097485</v>
      </c>
      <c r="AE21" s="246">
        <f ca="1">'Corporation tax'!AE$48</f>
        <v>-84889.625169046136</v>
      </c>
      <c r="AF21" s="246">
        <f ca="1">'Corporation tax'!AF$48</f>
        <v>-84114.931219138438</v>
      </c>
      <c r="AG21" s="246">
        <f ca="1">'Corporation tax'!AG$48</f>
        <v>-118207.83578961261</v>
      </c>
      <c r="AH21" s="246">
        <f ca="1">'Corporation tax'!AH$48</f>
        <v>-109858.84561370921</v>
      </c>
      <c r="AI21" s="246">
        <f ca="1">'Corporation tax'!AI$48</f>
        <v>-111899.01058682596</v>
      </c>
      <c r="AJ21" s="246">
        <f ca="1">'Corporation tax'!AJ$48</f>
        <v>-114114.32376396999</v>
      </c>
      <c r="AK21" s="246">
        <f ca="1">'Corporation tax'!AK$48</f>
        <v>-151258.19898032941</v>
      </c>
      <c r="AL21" s="246">
        <f ca="1">'Corporation tax'!AL$48</f>
        <v>-153688.02900574121</v>
      </c>
      <c r="AM21" s="246">
        <f ca="1">'Corporation tax'!AM$48</f>
        <v>-156326.44829902746</v>
      </c>
      <c r="AN21" s="246">
        <f ca="1">'Corporation tax'!AN$48</f>
        <v>-193904.2988817126</v>
      </c>
      <c r="AO21" s="246">
        <f ca="1">'Corporation tax'!AO$48</f>
        <v>-196866.90944668255</v>
      </c>
      <c r="AP21" s="246">
        <f ca="1">'Corporation tax'!AP$48</f>
        <v>-234919.25757105602</v>
      </c>
      <c r="AQ21" s="246">
        <f ca="1">'Corporation tax'!AQ$48</f>
        <v>-238013.11081559386</v>
      </c>
      <c r="AR21" s="246">
        <f ca="1">'Corporation tax'!AR$48</f>
        <v>-241699.53673942672</v>
      </c>
      <c r="AS21" s="246">
        <f ca="1">'Corporation tax'!AS$48</f>
        <v>-280337.20109809923</v>
      </c>
      <c r="AT21" s="246">
        <f ca="1">'Corporation tax'!AT$48</f>
        <v>-284133.26109248208</v>
      </c>
      <c r="AU21" s="246">
        <f ca="1">'Corporation tax'!AU$48</f>
        <v>-288200.0290384682</v>
      </c>
      <c r="AV21" s="246">
        <f ca="1">'Corporation tax'!AV$48</f>
        <v>-327637.40136631206</v>
      </c>
      <c r="AW21" s="246">
        <f ca="1">'Corporation tax'!AW$48</f>
        <v>-332063.98612553463</v>
      </c>
      <c r="AX21" s="246">
        <f ca="1">'Corporation tax'!AX$48</f>
        <v>-371930.01353339024</v>
      </c>
      <c r="AY21" s="246">
        <f ca="1">'Corporation tax'!AY$48</f>
        <v>-377212.9296203733</v>
      </c>
      <c r="AZ21" s="246">
        <f ca="1">'Corporation tax'!AZ$48</f>
        <v>-417509.8692576529</v>
      </c>
      <c r="BA21" s="246">
        <f ca="1">'Corporation tax'!BA$48</f>
        <v>-458440.45818747283</v>
      </c>
      <c r="BB21" s="246">
        <f ca="1">'Corporation tax'!BB$48</f>
        <v>-464541.81044291856</v>
      </c>
      <c r="BC21" s="246">
        <f ca="1">'Corporation tax'!BC$48</f>
        <v>-505878.15660602367</v>
      </c>
      <c r="BD21" s="246">
        <f ca="1">'Corporation tax'!BD$48</f>
        <v>-548268.65459977917</v>
      </c>
      <c r="BE21" s="246">
        <f ca="1">'Corporation tax'!BE$48</f>
        <v>-555545.52289711719</v>
      </c>
      <c r="BF21" s="246">
        <f ca="1">'Corporation tax'!BF$48</f>
        <v>-595128.1112198612</v>
      </c>
      <c r="BG21" s="246">
        <f ca="1">'Corporation tax'!BG$48</f>
        <v>-641256.66189382691</v>
      </c>
      <c r="BH21" s="246">
        <f ca="1">'Corporation tax'!BH$48</f>
        <v>-688271.70142991049</v>
      </c>
      <c r="BI21" s="246">
        <f ca="1">'Corporation tax'!BI$48</f>
        <v>-735587.96540246147</v>
      </c>
      <c r="BJ21" s="246">
        <f ca="1">'Corporation tax'!BJ$48</f>
        <v>-783839.11960664042</v>
      </c>
      <c r="BK21" s="246">
        <f ca="1">'Corporation tax'!BK$48</f>
        <v>-833145.85444407281</v>
      </c>
      <c r="BL21" s="246">
        <f ca="1">'Corporation tax'!BL$48</f>
        <v>-882840.86960972706</v>
      </c>
      <c r="BM21" s="246">
        <f ca="1">'Corporation tax'!BM$48</f>
        <v>-933903.23070934741</v>
      </c>
      <c r="BN21" s="246">
        <f ca="1">'Corporation tax'!BN$48</f>
        <v>-985712.90323213942</v>
      </c>
      <c r="BO21" s="246">
        <f ca="1">'Corporation tax'!BO$48</f>
        <v>-1038260.0718562248</v>
      </c>
      <c r="BP21" s="246">
        <f ca="1">'Corporation tax'!BP$48</f>
        <v>-1092849.3822622048</v>
      </c>
      <c r="BQ21" s="246">
        <f ca="1">'Corporation tax'!BQ$48</f>
        <v>-1147672.2269815018</v>
      </c>
    </row>
    <row r="22" spans="5:69">
      <c r="E22" s="12" t="s">
        <v>38</v>
      </c>
      <c r="F22" s="28"/>
      <c r="G22" s="12" t="s">
        <v>252</v>
      </c>
      <c r="H22" s="12">
        <f ca="1">SUM(J22:BQ22)</f>
        <v>69510763.829430103</v>
      </c>
      <c r="I22" s="28"/>
      <c r="J22" s="247">
        <f t="shared" ref="J22:AO22" ca="1" si="6">J19+J21</f>
        <v>-46000</v>
      </c>
      <c r="K22" s="247">
        <f t="shared" ca="1" si="6"/>
        <v>-54565.051762757437</v>
      </c>
      <c r="L22" s="247">
        <f t="shared" ca="1" si="6"/>
        <v>-55870.831437052359</v>
      </c>
      <c r="M22" s="247">
        <f t="shared" ca="1" si="6"/>
        <v>-57908.4671930111</v>
      </c>
      <c r="N22" s="247">
        <f t="shared" ca="1" si="6"/>
        <v>-59424.944152283344</v>
      </c>
      <c r="O22" s="247">
        <f t="shared" ca="1" si="6"/>
        <v>-60979.999882111922</v>
      </c>
      <c r="P22" s="247">
        <f t="shared" ca="1" si="6"/>
        <v>-63305.36300263006</v>
      </c>
      <c r="Q22" s="247">
        <f t="shared" ca="1" si="6"/>
        <v>74532.421391779746</v>
      </c>
      <c r="R22" s="247">
        <f t="shared" ca="1" si="6"/>
        <v>98894.942492405637</v>
      </c>
      <c r="S22" s="247">
        <f t="shared" ca="1" si="6"/>
        <v>96689.074330437637</v>
      </c>
      <c r="T22" s="247">
        <f t="shared" ca="1" si="6"/>
        <v>73987.854774397871</v>
      </c>
      <c r="U22" s="247">
        <f t="shared" ca="1" si="6"/>
        <v>72177.829711064565</v>
      </c>
      <c r="V22" s="247">
        <f t="shared" ca="1" si="6"/>
        <v>69816.666666666672</v>
      </c>
      <c r="W22" s="247">
        <f t="shared" ca="1" si="6"/>
        <v>184315.20839591511</v>
      </c>
      <c r="X22" s="247">
        <f t="shared" ca="1" si="6"/>
        <v>198368.53002360434</v>
      </c>
      <c r="Y22" s="247">
        <f t="shared" ca="1" si="6"/>
        <v>195545.18957746791</v>
      </c>
      <c r="Z22" s="247">
        <f t="shared" ca="1" si="6"/>
        <v>193120.52520509996</v>
      </c>
      <c r="AA22" s="247">
        <f t="shared" ca="1" si="6"/>
        <v>183342.70828394828</v>
      </c>
      <c r="AB22" s="247">
        <f t="shared" ca="1" si="6"/>
        <v>180073.46954007263</v>
      </c>
      <c r="AC22" s="247">
        <f t="shared" ca="1" si="6"/>
        <v>317282.41918061848</v>
      </c>
      <c r="AD22" s="247">
        <f t="shared" ca="1" si="6"/>
        <v>314198.2675857232</v>
      </c>
      <c r="AE22" s="247">
        <f t="shared" ca="1" si="6"/>
        <v>303100.16734285117</v>
      </c>
      <c r="AF22" s="247">
        <f t="shared" ca="1" si="6"/>
        <v>300001.39154322044</v>
      </c>
      <c r="AG22" s="247">
        <f t="shared" ca="1" si="6"/>
        <v>436373.00982511707</v>
      </c>
      <c r="AH22" s="247">
        <f t="shared" ca="1" si="6"/>
        <v>395685.38245483686</v>
      </c>
      <c r="AI22" s="247">
        <f t="shared" ca="1" si="6"/>
        <v>404575.20901397045</v>
      </c>
      <c r="AJ22" s="247">
        <f t="shared" ca="1" si="6"/>
        <v>406918.17648282752</v>
      </c>
      <c r="AK22" s="247">
        <f t="shared" ca="1" si="6"/>
        <v>556312.3983472368</v>
      </c>
      <c r="AL22" s="247">
        <f t="shared" ca="1" si="6"/>
        <v>566900.08454871038</v>
      </c>
      <c r="AM22" s="247">
        <f t="shared" ca="1" si="6"/>
        <v>571083.11660498986</v>
      </c>
      <c r="AN22" s="247">
        <f t="shared" ca="1" si="6"/>
        <v>722369.53547615046</v>
      </c>
      <c r="AO22" s="247">
        <f t="shared" ca="1" si="6"/>
        <v>735254.11673030816</v>
      </c>
      <c r="AP22" s="247">
        <f t="shared" ref="AP22:BU22" ca="1" si="7">AP19+AP21</f>
        <v>881266.60806877445</v>
      </c>
      <c r="AQ22" s="247">
        <f t="shared" ca="1" si="7"/>
        <v>894803.17027271411</v>
      </c>
      <c r="AR22" s="247">
        <f t="shared" ca="1" si="7"/>
        <v>903488.7655804276</v>
      </c>
      <c r="AS22" s="247">
        <f t="shared" ca="1" si="7"/>
        <v>1059338.6503124055</v>
      </c>
      <c r="AT22" s="247">
        <f t="shared" ca="1" si="7"/>
        <v>1068609.0110361543</v>
      </c>
      <c r="AU22" s="247">
        <f t="shared" ca="1" si="7"/>
        <v>1079042.7494867656</v>
      </c>
      <c r="AV22" s="247">
        <f t="shared" ca="1" si="7"/>
        <v>1238340.3443361453</v>
      </c>
      <c r="AW22" s="247">
        <f t="shared" ca="1" si="7"/>
        <v>1250393.7523824277</v>
      </c>
      <c r="AX22" s="247">
        <f t="shared" ca="1" si="7"/>
        <v>1404304.1597001124</v>
      </c>
      <c r="AY22" s="247">
        <f t="shared" ca="1" si="7"/>
        <v>1427279.0255699134</v>
      </c>
      <c r="AZ22" s="247">
        <f t="shared" ca="1" si="7"/>
        <v>1583126.2248012514</v>
      </c>
      <c r="BA22" s="247">
        <f t="shared" ca="1" si="7"/>
        <v>1741626.1646004261</v>
      </c>
      <c r="BB22" s="247">
        <f t="shared" ca="1" si="7"/>
        <v>1760930.2970406222</v>
      </c>
      <c r="BC22" s="247">
        <f t="shared" ca="1" si="7"/>
        <v>1921308.2658577617</v>
      </c>
      <c r="BD22" s="247">
        <f t="shared" ca="1" si="7"/>
        <v>2086043.6460808595</v>
      </c>
      <c r="BE22" s="247">
        <f t="shared" ca="1" si="7"/>
        <v>2110459.0029957029</v>
      </c>
      <c r="BF22" s="247">
        <f t="shared" ca="1" si="7"/>
        <v>2264254.7218575734</v>
      </c>
      <c r="BG22" s="247">
        <f t="shared" ca="1" si="7"/>
        <v>2445052.0197347319</v>
      </c>
      <c r="BH22" s="247">
        <f t="shared" ca="1" si="7"/>
        <v>2629611.8710078513</v>
      </c>
      <c r="BI22" s="247">
        <f t="shared" ca="1" si="7"/>
        <v>2815598.7185904658</v>
      </c>
      <c r="BJ22" s="247">
        <f t="shared" ca="1" si="7"/>
        <v>3005568.3060560739</v>
      </c>
      <c r="BK22" s="247">
        <f t="shared" ca="1" si="7"/>
        <v>3200018.1294390494</v>
      </c>
      <c r="BL22" s="247">
        <f t="shared" ca="1" si="7"/>
        <v>3396285.5373624782</v>
      </c>
      <c r="BM22" s="247">
        <f t="shared" ca="1" si="7"/>
        <v>3598311.8936670306</v>
      </c>
      <c r="BN22" s="247">
        <f t="shared" ca="1" si="7"/>
        <v>3803624.4139530584</v>
      </c>
      <c r="BO22" s="247">
        <f t="shared" ca="1" si="7"/>
        <v>4012213.9819194647</v>
      </c>
      <c r="BP22" s="247">
        <f t="shared" ca="1" si="7"/>
        <v>4229317.100356604</v>
      </c>
      <c r="BQ22" s="247">
        <f t="shared" ca="1" si="7"/>
        <v>4447684.2592636859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AC22"/>
  <sheetViews>
    <sheetView topLeftCell="J6" workbookViewId="0">
      <selection activeCell="J6" sqref="J6"/>
    </sheetView>
  </sheetViews>
  <sheetFormatPr defaultColWidth="0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31.7265625" customWidth="1"/>
    <col min="6" max="6" width="20.7265625" customWidth="1"/>
    <col min="7" max="7" width="13.7265625" customWidth="1"/>
    <col min="8" max="8" width="13.7265625" style="2" customWidth="1"/>
    <col min="9" max="9" width="3.7265625" customWidth="1"/>
    <col min="10" max="28" width="11.7265625" customWidth="1"/>
    <col min="29" max="29" width="12.7265625" customWidth="1"/>
    <col min="30" max="30" width="15.7265625" customWidth="1"/>
  </cols>
  <sheetData>
    <row r="1" spans="1:29" s="53" customFormat="1" ht="25">
      <c r="A1" s="37" t="str">
        <f ca="1">RIGHT(CELL("filename",A1),LEN(CELL("filename",A1))-SEARCH("]",CELL("filename",A1)))</f>
        <v>Income Statement Qly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29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Time!J$75</f>
        <v>45138</v>
      </c>
      <c r="K2" s="6">
        <f>Time!K$75</f>
        <v>45230</v>
      </c>
      <c r="L2" s="6">
        <f>Time!L$75</f>
        <v>45322</v>
      </c>
      <c r="M2" s="6">
        <f>Time!M$75</f>
        <v>45412</v>
      </c>
      <c r="N2" s="6">
        <f>Time!N$75</f>
        <v>45504</v>
      </c>
      <c r="O2" s="6">
        <f>Time!O$75</f>
        <v>45596</v>
      </c>
      <c r="P2" s="6">
        <f>Time!P$75</f>
        <v>45688</v>
      </c>
      <c r="Q2" s="6">
        <f>Time!Q$75</f>
        <v>45777</v>
      </c>
      <c r="R2" s="6">
        <f>Time!R$75</f>
        <v>45869</v>
      </c>
      <c r="S2" s="6">
        <f>Time!S$75</f>
        <v>45961</v>
      </c>
      <c r="T2" s="6">
        <f>Time!T$75</f>
        <v>46053</v>
      </c>
      <c r="U2" s="6">
        <f>Time!U$75</f>
        <v>46142</v>
      </c>
      <c r="V2" s="6">
        <f>Time!V$75</f>
        <v>46234</v>
      </c>
      <c r="W2" s="6">
        <f>Time!W$75</f>
        <v>46326</v>
      </c>
      <c r="X2" s="6">
        <f>Time!X$75</f>
        <v>46418</v>
      </c>
      <c r="Y2" s="6">
        <f>Time!Y$75</f>
        <v>46507</v>
      </c>
      <c r="Z2" s="6">
        <f>Time!Z$75</f>
        <v>46599</v>
      </c>
      <c r="AA2" s="6">
        <f>Time!AA$75</f>
        <v>46691</v>
      </c>
      <c r="AB2" s="6">
        <f>Time!AB$75</f>
        <v>46783</v>
      </c>
      <c r="AC2" s="6">
        <f>Time!AC$75</f>
        <v>46873</v>
      </c>
    </row>
    <row r="3" spans="1:29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Time!J$82</f>
        <v>Month3</v>
      </c>
      <c r="K3" s="7" t="str">
        <f>Time!K$82</f>
        <v>Month6</v>
      </c>
      <c r="L3" s="7" t="str">
        <f>Time!L$82</f>
        <v>Month9</v>
      </c>
      <c r="M3" s="7" t="str">
        <f>Time!M$82</f>
        <v>Month12</v>
      </c>
      <c r="N3" s="7" t="str">
        <f>Time!N$82</f>
        <v>Month15</v>
      </c>
      <c r="O3" s="7" t="str">
        <f>Time!O$82</f>
        <v>Month18</v>
      </c>
      <c r="P3" s="7" t="str">
        <f>Time!P$82</f>
        <v>Month21</v>
      </c>
      <c r="Q3" s="7" t="str">
        <f>Time!Q$82</f>
        <v>Month24</v>
      </c>
      <c r="R3" s="7" t="str">
        <f>Time!R$82</f>
        <v>Month27</v>
      </c>
      <c r="S3" s="7" t="str">
        <f>Time!S$82</f>
        <v>Month30</v>
      </c>
      <c r="T3" s="7" t="str">
        <f>Time!T$82</f>
        <v>Month33</v>
      </c>
      <c r="U3" s="7" t="str">
        <f>Time!U$82</f>
        <v>Month36</v>
      </c>
      <c r="V3" s="7" t="str">
        <f>Time!V$82</f>
        <v>Month39</v>
      </c>
      <c r="W3" s="7" t="str">
        <f>Time!W$82</f>
        <v>Month42</v>
      </c>
      <c r="X3" s="7" t="str">
        <f>Time!X$82</f>
        <v>Month45</v>
      </c>
      <c r="Y3" s="7" t="str">
        <f>Time!Y$82</f>
        <v>Month48</v>
      </c>
      <c r="Z3" s="7" t="str">
        <f>Time!Z$82</f>
        <v>Month51</v>
      </c>
      <c r="AA3" s="7" t="str">
        <f>Time!AA$82</f>
        <v>Month54</v>
      </c>
      <c r="AB3" s="7" t="str">
        <f>Time!AB$82</f>
        <v>Month57</v>
      </c>
      <c r="AC3" s="7" t="str">
        <f>Time!AC$82</f>
        <v>Month60</v>
      </c>
    </row>
    <row r="4" spans="1:29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Time!J$88</f>
        <v>3</v>
      </c>
      <c r="K4" s="5">
        <f>Time!K$88</f>
        <v>6</v>
      </c>
      <c r="L4" s="5">
        <f>Time!L$88</f>
        <v>9</v>
      </c>
      <c r="M4" s="5">
        <f>Time!M$88</f>
        <v>12</v>
      </c>
      <c r="N4" s="5">
        <f>Time!N$88</f>
        <v>15</v>
      </c>
      <c r="O4" s="5">
        <f>Time!O$88</f>
        <v>18</v>
      </c>
      <c r="P4" s="5">
        <f>Time!P$88</f>
        <v>21</v>
      </c>
      <c r="Q4" s="5">
        <f>Time!Q$88</f>
        <v>24</v>
      </c>
      <c r="R4" s="5">
        <f>Time!R$88</f>
        <v>27</v>
      </c>
      <c r="S4" s="5">
        <f>Time!S$88</f>
        <v>30</v>
      </c>
      <c r="T4" s="5">
        <f>Time!T$88</f>
        <v>33</v>
      </c>
      <c r="U4" s="5">
        <f>Time!U$88</f>
        <v>36</v>
      </c>
      <c r="V4" s="5">
        <f>Time!V$88</f>
        <v>39</v>
      </c>
      <c r="W4" s="5">
        <f>Time!W$88</f>
        <v>42</v>
      </c>
      <c r="X4" s="5">
        <f>Time!X$88</f>
        <v>45</v>
      </c>
      <c r="Y4" s="5">
        <f>Time!Y$88</f>
        <v>48</v>
      </c>
      <c r="Z4" s="5">
        <f>Time!Z$88</f>
        <v>51</v>
      </c>
      <c r="AA4" s="5">
        <f>Time!AA$88</f>
        <v>54</v>
      </c>
      <c r="AB4" s="5">
        <f>Time!AB$88</f>
        <v>57</v>
      </c>
      <c r="AC4" s="5">
        <f>Time!AC$88</f>
        <v>60</v>
      </c>
    </row>
    <row r="5" spans="1:29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29" s="2" customFormat="1" ht="13">
      <c r="A6" s="22"/>
      <c r="B6" s="22"/>
      <c r="C6" s="40"/>
      <c r="D6" s="54"/>
      <c r="F6" s="22"/>
      <c r="G6" s="22"/>
      <c r="H6" s="22"/>
    </row>
    <row r="8" spans="1:29">
      <c r="A8"/>
      <c r="E8" s="15" t="str">
        <f>Income!E$18</f>
        <v>Income</v>
      </c>
      <c r="F8" s="15">
        <f>Income!F$18</f>
        <v>0</v>
      </c>
      <c r="G8" s="15" t="str">
        <f>Income!G$18</f>
        <v>GBP</v>
      </c>
      <c r="H8" s="9">
        <f ca="1">Income!H$18</f>
        <v>106647181.69069508</v>
      </c>
      <c r="I8" s="15">
        <f>Income!I$18</f>
        <v>0</v>
      </c>
      <c r="J8" s="9">
        <f ca="1">SUMIF(Time!$J326:$BQ326,Time!J$28,Income!$J18:$BQ18)</f>
        <v>0</v>
      </c>
      <c r="K8" s="9">
        <f ca="1">SUMIF(Time!$J326:$BQ326,Time!K$28,Income!$J18:$BQ18)</f>
        <v>0</v>
      </c>
      <c r="L8" s="9">
        <f ca="1">SUMIF(Time!$J326:$BQ326,Time!L$28,Income!$J18:$BQ18)</f>
        <v>320025.36147508363</v>
      </c>
      <c r="M8" s="9">
        <f ca="1">SUMIF(Time!$J326:$BQ326,Time!M$28,Income!$J18:$BQ18)</f>
        <v>525000</v>
      </c>
      <c r="N8" s="9">
        <f ca="1">SUMIF(Time!$J326:$BQ326,Time!N$28,Income!$J18:$BQ18)</f>
        <v>854823.19998942432</v>
      </c>
      <c r="O8" s="9">
        <f ca="1">SUMIF(Time!$J326:$BQ326,Time!O$28,Income!$J18:$BQ18)</f>
        <v>1050000</v>
      </c>
      <c r="P8" s="9">
        <f ca="1">SUMIF(Time!$J326:$BQ326,Time!P$28,Income!$J18:$BQ18)</f>
        <v>1400000</v>
      </c>
      <c r="Q8" s="9">
        <f ca="1">SUMIF(Time!$J326:$BQ326,Time!Q$28,Income!$J18:$BQ18)</f>
        <v>1750000</v>
      </c>
      <c r="R8" s="9">
        <f ca="1">SUMIF(Time!$J326:$BQ326,Time!R$28,Income!$J18:$BQ18)</f>
        <v>2097850.6960246786</v>
      </c>
      <c r="S8" s="9">
        <f ca="1">SUMIF(Time!$J326:$BQ326,Time!S$28,Income!$J18:$BQ18)</f>
        <v>2789571.7640919406</v>
      </c>
      <c r="T8" s="9">
        <f ca="1">SUMIF(Time!$J326:$BQ326,Time!T$28,Income!$J18:$BQ18)</f>
        <v>3688120.2307933597</v>
      </c>
      <c r="U8" s="9">
        <f ca="1">SUMIF(Time!$J326:$BQ326,Time!U$28,Income!$J18:$BQ18)</f>
        <v>4449542.8455323447</v>
      </c>
      <c r="V8" s="9">
        <f ca="1">SUMIF(Time!$J326:$BQ326,Time!V$28,Income!$J18:$BQ18)</f>
        <v>5255139.9437428601</v>
      </c>
      <c r="W8" s="9">
        <f ca="1">SUMIF(Time!$J326:$BQ326,Time!W$28,Income!$J18:$BQ18)</f>
        <v>6288806.7354778629</v>
      </c>
      <c r="X8" s="9">
        <f ca="1">SUMIF(Time!$J326:$BQ326,Time!X$28,Income!$J18:$BQ18)</f>
        <v>7736125.8374502901</v>
      </c>
      <c r="Y8" s="9">
        <f ca="1">SUMIF(Time!$J326:$BQ326,Time!Y$28,Income!$J18:$BQ18)</f>
        <v>9259278.5834764</v>
      </c>
      <c r="Z8" s="9">
        <f ca="1">SUMIF(Time!$J326:$BQ326,Time!Z$28,Income!$J18:$BQ18)</f>
        <v>11043915.226158503</v>
      </c>
      <c r="AA8" s="9">
        <f ca="1">SUMIF(Time!$J326:$BQ326,Time!AA$28,Income!$J18:$BQ18)</f>
        <v>13436236.66391857</v>
      </c>
      <c r="AB8" s="9">
        <f ca="1">SUMIF(Time!$J326:$BQ326,Time!AB$28,Income!$J18:$BQ18)</f>
        <v>15984412.684961246</v>
      </c>
      <c r="AC8" s="9">
        <f ca="1">SUMIF(Time!$J326:$BQ326,Time!AC$28,Income!$J18:$BQ18)</f>
        <v>18718331.917602513</v>
      </c>
    </row>
    <row r="9" spans="1:29">
      <c r="E9" s="15" t="str">
        <f>Expense!E$27</f>
        <v xml:space="preserve">Variable Operating expense </v>
      </c>
      <c r="F9" s="15">
        <f>Expense!F$27</f>
        <v>0</v>
      </c>
      <c r="G9" s="15" t="str">
        <f>Expense!G$27</f>
        <v>GBP</v>
      </c>
      <c r="H9" s="9">
        <f ca="1">Expense!H$27</f>
        <v>-13199424.859496675</v>
      </c>
      <c r="I9" s="15">
        <f>Expense!I$27</f>
        <v>0</v>
      </c>
      <c r="J9" s="9">
        <f ca="1">SUMIF(Time!$J326:$BQ326,Time!J$28,Expense!$J27:$BQ27)</f>
        <v>-66852.549866476475</v>
      </c>
      <c r="K9" s="9">
        <f ca="1">SUMIF(Time!$J326:$BQ326,Time!K$28,Expense!$J27:$BQ27)</f>
        <v>-79614.840673369821</v>
      </c>
      <c r="L9" s="9">
        <f ca="1">SUMIF(Time!$J326:$BQ326,Time!L$28,Expense!$J27:$BQ27)</f>
        <v>-94753.547357914576</v>
      </c>
      <c r="M9" s="9">
        <f ca="1">SUMIF(Time!$J326:$BQ326,Time!M$28,Expense!$J27:$BQ27)</f>
        <v>-112566.90208954825</v>
      </c>
      <c r="N9" s="9">
        <f ca="1">SUMIF(Time!$J326:$BQ326,Time!N$28,Expense!$J27:$BQ27)</f>
        <v>-133781.02696502491</v>
      </c>
      <c r="O9" s="9">
        <f ca="1">SUMIF(Time!$J326:$BQ326,Time!O$28,Expense!$J27:$BQ27)</f>
        <v>-159329.46884209508</v>
      </c>
      <c r="P9" s="9">
        <f ca="1">SUMIF(Time!$J326:$BQ326,Time!P$28,Expense!$J27:$BQ27)</f>
        <v>-189616.07989518793</v>
      </c>
      <c r="Q9" s="9">
        <f ca="1">SUMIF(Time!$J326:$BQ326,Time!Q$28,Expense!$J27:$BQ27)</f>
        <v>-225263.16128049133</v>
      </c>
      <c r="R9" s="9">
        <f ca="1">SUMIF(Time!$J326:$BQ326,Time!R$28,Expense!$J27:$BQ27)</f>
        <v>-327731.90407175862</v>
      </c>
      <c r="S9" s="9">
        <f ca="1">SUMIF(Time!$J326:$BQ326,Time!S$28,Expense!$J27:$BQ27)</f>
        <v>-390245.81595697475</v>
      </c>
      <c r="T9" s="9">
        <f ca="1">SUMIF(Time!$J326:$BQ326,Time!T$28,Expense!$J27:$BQ27)</f>
        <v>-464447.10444465838</v>
      </c>
      <c r="U9" s="9">
        <f ca="1">SUMIF(Time!$J326:$BQ326,Time!U$28,Expense!$J27:$BQ27)</f>
        <v>-551753.87250982132</v>
      </c>
      <c r="V9" s="9">
        <f ca="1">SUMIF(Time!$J326:$BQ326,Time!V$28,Expense!$J27:$BQ27)</f>
        <v>-655454.97383420367</v>
      </c>
      <c r="W9" s="9">
        <f ca="1">SUMIF(Time!$J326:$BQ326,Time!W$28,Expense!$J27:$BQ27)</f>
        <v>-780514.92734665063</v>
      </c>
      <c r="X9" s="9">
        <f ca="1">SUMIF(Time!$J326:$BQ326,Time!X$28,Expense!$J27:$BQ27)</f>
        <v>-928923.39991550276</v>
      </c>
      <c r="Y9" s="9">
        <f ca="1">SUMIF(Time!$J326:$BQ326,Time!Y$28,Expense!$J27:$BQ27)</f>
        <v>-1103524.950492091</v>
      </c>
      <c r="Z9" s="9">
        <f ca="1">SUMIF(Time!$J326:$BQ326,Time!Z$28,Expense!$J27:$BQ27)</f>
        <v>-1310819.6217615916</v>
      </c>
      <c r="AA9" s="9">
        <f ca="1">SUMIF(Time!$J326:$BQ326,Time!AA$28,Expense!$J27:$BQ27)</f>
        <v>-1560890.1858167984</v>
      </c>
      <c r="AB9" s="9">
        <f ca="1">SUMIF(Time!$J326:$BQ326,Time!AB$28,Expense!$J27:$BQ27)</f>
        <v>-1856912.489338384</v>
      </c>
      <c r="AC9" s="9">
        <f ca="1">SUMIF(Time!$J326:$BQ326,Time!AC$28,Expense!$J27:$BQ27)</f>
        <v>-2206428.0370381298</v>
      </c>
    </row>
    <row r="10" spans="1:29">
      <c r="E10" s="15" t="str">
        <f>Expense!E$20</f>
        <v xml:space="preserve">Fixed operating expense </v>
      </c>
      <c r="F10" s="15">
        <f>Expense!F$20</f>
        <v>0</v>
      </c>
      <c r="G10" s="15" t="str">
        <f>Expense!G$20</f>
        <v>GBP</v>
      </c>
      <c r="H10" s="9">
        <f>Expense!H$20</f>
        <v>-1899484.1637263105</v>
      </c>
      <c r="I10" s="15">
        <f>Expense!I$20</f>
        <v>0</v>
      </c>
      <c r="J10" s="9">
        <f>SUMIF(Time!$J326:$BQ326,Time!J$28,Expense!$J20:$BQ20)</f>
        <v>-75000</v>
      </c>
      <c r="K10" s="9">
        <f>SUMIF(Time!$J326:$BQ326,Time!K$28,Expense!$J20:$BQ20)</f>
        <v>-76823.57055403656</v>
      </c>
      <c r="L10" s="9">
        <f>SUMIF(Time!$J326:$BQ326,Time!L$28,Expense!$J20:$BQ20)</f>
        <v>-78691.479902280436</v>
      </c>
      <c r="M10" s="9">
        <f>SUMIF(Time!$J326:$BQ326,Time!M$28,Expense!$J20:$BQ20)</f>
        <v>-80604.806110325197</v>
      </c>
      <c r="N10" s="9">
        <f>SUMIF(Time!$J326:$BQ326,Time!N$28,Expense!$J20:$BQ20)</f>
        <v>-82500.000000000015</v>
      </c>
      <c r="O10" s="9">
        <f>SUMIF(Time!$J326:$BQ326,Time!O$28,Expense!$J20:$BQ20)</f>
        <v>-84514.168991426326</v>
      </c>
      <c r="P10" s="9">
        <f>SUMIF(Time!$J326:$BQ326,Time!P$28,Expense!$J20:$BQ20)</f>
        <v>-86566.224721794133</v>
      </c>
      <c r="Q10" s="9">
        <f>SUMIF(Time!$J326:$BQ326,Time!Q$28,Expense!$J20:$BQ20)</f>
        <v>-88674.877830522921</v>
      </c>
      <c r="R10" s="9">
        <f>SUMIF(Time!$J326:$BQ326,Time!R$28,Expense!$J20:$BQ20)</f>
        <v>-90757.892130394146</v>
      </c>
      <c r="S10" s="9">
        <f>SUMIF(Time!$J326:$BQ326,Time!S$28,Expense!$J20:$BQ20)</f>
        <v>-92962.566709475563</v>
      </c>
      <c r="T10" s="9">
        <f>SUMIF(Time!$J326:$BQ326,Time!T$28,Expense!$J20:$BQ20)</f>
        <v>-95220.796851445819</v>
      </c>
      <c r="U10" s="9">
        <f>SUMIF(Time!$J326:$BQ326,Time!U$28,Expense!$J20:$BQ20)</f>
        <v>-97539.729756925284</v>
      </c>
      <c r="V10" s="9">
        <f>SUMIF(Time!$J326:$BQ326,Time!V$28,Expense!$J20:$BQ20)</f>
        <v>-99831.512422344764</v>
      </c>
      <c r="W10" s="9">
        <f>SUMIF(Time!$J326:$BQ326,Time!W$28,Expense!$J20:$BQ20)</f>
        <v>-102257.16173472107</v>
      </c>
      <c r="X10" s="9">
        <f>SUMIF(Time!$J326:$BQ326,Time!X$28,Expense!$J20:$BQ20)</f>
        <v>-104741.74809456727</v>
      </c>
      <c r="Y10" s="9">
        <f>SUMIF(Time!$J326:$BQ326,Time!Y$28,Expense!$J20:$BQ20)</f>
        <v>-107291.96246971004</v>
      </c>
      <c r="Z10" s="9">
        <f>SUMIF(Time!$J326:$BQ326,Time!Z$28,Expense!$J20:$BQ20)</f>
        <v>-109813.23167892126</v>
      </c>
      <c r="AA10" s="9">
        <f>SUMIF(Time!$J326:$BQ326,Time!AA$28,Expense!$J20:$BQ20)</f>
        <v>-112481.78083589685</v>
      </c>
      <c r="AB10" s="9">
        <f>SUMIF(Time!$J326:$BQ326,Time!AB$28,Expense!$J20:$BQ20)</f>
        <v>-115215.17786679722</v>
      </c>
      <c r="AC10" s="9">
        <f>SUMIF(Time!$J326:$BQ326,Time!AC$28,Expense!$J20:$BQ20)</f>
        <v>-117995.47506472461</v>
      </c>
    </row>
    <row r="11" spans="1:29">
      <c r="E11" s="12" t="s">
        <v>176</v>
      </c>
      <c r="F11" s="28"/>
      <c r="G11" s="12" t="s">
        <v>252</v>
      </c>
      <c r="H11" s="12">
        <f ca="1">SUM(J11:BQ11)</f>
        <v>91548272.667472094</v>
      </c>
      <c r="I11" s="28"/>
      <c r="J11" s="12">
        <f ca="1">SUMIF(Time!$J326:$BQ326,Time!J$28,'Income Statement'!$J11:$BQ11)</f>
        <v>-141852.54986647647</v>
      </c>
      <c r="K11" s="12">
        <f ca="1">SUMIF(Time!$J326:$BQ326,Time!K$28,'Income Statement'!$J11:$BQ11)</f>
        <v>-156438.41122740638</v>
      </c>
      <c r="L11" s="12">
        <f ca="1">SUMIF(Time!$J326:$BQ326,Time!L$28,'Income Statement'!$J11:$BQ11)</f>
        <v>146580.33421488863</v>
      </c>
      <c r="M11" s="12">
        <f ca="1">SUMIF(Time!$J326:$BQ326,Time!M$28,'Income Statement'!$J11:$BQ11)</f>
        <v>331828.29180012655</v>
      </c>
      <c r="N11" s="12">
        <f ca="1">SUMIF(Time!$J326:$BQ326,Time!N$28,'Income Statement'!$J11:$BQ11)</f>
        <v>638542.17302439932</v>
      </c>
      <c r="O11" s="12">
        <f ca="1">SUMIF(Time!$J326:$BQ326,Time!O$28,'Income Statement'!$J11:$BQ11)</f>
        <v>806156.36216647853</v>
      </c>
      <c r="P11" s="12">
        <f ca="1">SUMIF(Time!$J326:$BQ326,Time!P$28,'Income Statement'!$J11:$BQ11)</f>
        <v>1123817.6953830179</v>
      </c>
      <c r="Q11" s="12">
        <f ca="1">SUMIF(Time!$J326:$BQ326,Time!Q$28,'Income Statement'!$J11:$BQ11)</f>
        <v>1436061.960888986</v>
      </c>
      <c r="R11" s="12">
        <f ca="1">SUMIF(Time!$J326:$BQ326,Time!R$28,'Income Statement'!$J11:$BQ11)</f>
        <v>1679360.8998225257</v>
      </c>
      <c r="S11" s="12">
        <f ca="1">SUMIF(Time!$J326:$BQ326,Time!S$28,'Income Statement'!$J11:$BQ11)</f>
        <v>2306363.3814254901</v>
      </c>
      <c r="T11" s="12">
        <f ca="1">SUMIF(Time!$J326:$BQ326,Time!T$28,'Income Statement'!$J11:$BQ11)</f>
        <v>3128452.3294972554</v>
      </c>
      <c r="U11" s="12">
        <f ca="1">SUMIF(Time!$J326:$BQ326,Time!U$28,'Income Statement'!$J11:$BQ11)</f>
        <v>3800249.243265599</v>
      </c>
      <c r="V11" s="12">
        <f ca="1">SUMIF(Time!$J326:$BQ326,Time!V$28,'Income Statement'!$J11:$BQ11)</f>
        <v>4499853.4574863119</v>
      </c>
      <c r="W11" s="12">
        <f ca="1">SUMIF(Time!$J326:$BQ326,Time!W$28,'Income Statement'!$J11:$BQ11)</f>
        <v>5406034.6463964907</v>
      </c>
      <c r="X11" s="12">
        <f ca="1">SUMIF(Time!$J326:$BQ326,Time!X$28,'Income Statement'!$J11:$BQ11)</f>
        <v>6702460.6894402215</v>
      </c>
      <c r="Y11" s="12">
        <f ca="1">SUMIF(Time!$J326:$BQ326,Time!Y$28,'Income Statement'!$J11:$BQ11)</f>
        <v>8048461.6705146004</v>
      </c>
      <c r="Z11" s="12">
        <f ca="1">SUMIF(Time!$J326:$BQ326,Time!Z$28,'Income Statement'!$J11:$BQ11)</f>
        <v>9623282.3727179933</v>
      </c>
      <c r="AA11" s="12">
        <f ca="1">SUMIF(Time!$J326:$BQ326,Time!AA$28,'Income Statement'!$J11:$BQ11)</f>
        <v>11762864.697265873</v>
      </c>
      <c r="AB11" s="12">
        <f ca="1">SUMIF(Time!$J326:$BQ326,Time!AB$28,'Income Statement'!$J11:$BQ11)</f>
        <v>14012285.017756067</v>
      </c>
      <c r="AC11" s="12">
        <f ca="1">SUMIF(Time!$J326:$BQ326,Time!AC$28,'Income Statement'!$J11:$BQ11)</f>
        <v>16393908.405499656</v>
      </c>
    </row>
    <row r="13" spans="1:29">
      <c r="E13" s="15" t="str">
        <f>Assets!E$12</f>
        <v xml:space="preserve">Depreciation this period </v>
      </c>
      <c r="F13" s="15">
        <f>Assets!F$12</f>
        <v>0</v>
      </c>
      <c r="G13" s="15" t="str">
        <f>Assets!G$12</f>
        <v>GBP</v>
      </c>
      <c r="H13" s="9">
        <f ca="1">Assets!H$12</f>
        <v>-3718654.3045475697</v>
      </c>
      <c r="I13" s="15">
        <f>Assets!I$12</f>
        <v>0</v>
      </c>
      <c r="J13" s="9">
        <f ca="1">SUMIF(Time!$J326:$BQ326,Time!J$28,Assets!$J12:$BQ12)</f>
        <v>-14583.333333333334</v>
      </c>
      <c r="K13" s="9">
        <f ca="1">SUMIF(Time!$J326:$BQ326,Time!K$28,Assets!$J12:$BQ12)</f>
        <v>-21875</v>
      </c>
      <c r="L13" s="9">
        <f ca="1">SUMIF(Time!$J326:$BQ326,Time!L$28,Assets!$J12:$BQ12)</f>
        <v>-36458.333333333336</v>
      </c>
      <c r="M13" s="9">
        <f ca="1">SUMIF(Time!$J326:$BQ326,Time!M$28,Assets!$J12:$BQ12)</f>
        <v>-43750</v>
      </c>
      <c r="N13" s="9">
        <f ca="1">SUMIF(Time!$J326:$BQ326,Time!N$28,Assets!$J12:$BQ12)</f>
        <v>-58333.333333333336</v>
      </c>
      <c r="O13" s="9">
        <f ca="1">SUMIF(Time!$J326:$BQ326,Time!O$28,Assets!$J12:$BQ12)</f>
        <v>-72916.666666666672</v>
      </c>
      <c r="P13" s="9">
        <f ca="1">SUMIF(Time!$J326:$BQ326,Time!P$28,Assets!$J12:$BQ12)</f>
        <v>-87500</v>
      </c>
      <c r="Q13" s="9">
        <f ca="1">SUMIF(Time!$J326:$BQ326,Time!Q$28,Assets!$J12:$BQ12)</f>
        <v>-109375</v>
      </c>
      <c r="R13" s="9">
        <f ca="1">SUMIF(Time!$J326:$BQ326,Time!R$28,Assets!$J12:$BQ12)</f>
        <v>-136309.95190638574</v>
      </c>
      <c r="S13" s="9">
        <f ca="1">SUMIF(Time!$J326:$BQ326,Time!S$28,Assets!$J12:$BQ12)</f>
        <v>-150795.10563945491</v>
      </c>
      <c r="T13" s="9">
        <f ca="1">SUMIF(Time!$J326:$BQ326,Time!T$28,Assets!$J12:$BQ12)</f>
        <v>-163871.60332257132</v>
      </c>
      <c r="U13" s="9">
        <f ca="1">SUMIF(Time!$J326:$BQ326,Time!U$28,Assets!$J12:$BQ12)</f>
        <v>-182568.80844693186</v>
      </c>
      <c r="V13" s="9">
        <f ca="1">SUMIF(Time!$J326:$BQ326,Time!V$28,Assets!$J12:$BQ12)</f>
        <v>-213890.66112998413</v>
      </c>
      <c r="W13" s="9">
        <f ca="1">SUMIF(Time!$J326:$BQ326,Time!W$28,Assets!$J12:$BQ12)</f>
        <v>-242850.7794647385</v>
      </c>
      <c r="X13" s="9">
        <f ca="1">SUMIF(Time!$J326:$BQ326,Time!X$28,Assets!$J12:$BQ12)</f>
        <v>-276285.86510987714</v>
      </c>
      <c r="Y13" s="9">
        <f ca="1">SUMIF(Time!$J326:$BQ326,Time!Y$28,Assets!$J12:$BQ12)</f>
        <v>-320958.42147735506</v>
      </c>
      <c r="Z13" s="9">
        <f ca="1">SUMIF(Time!$J326:$BQ326,Time!Z$28,Assets!$J12:$BQ12)</f>
        <v>-359707.28557423723</v>
      </c>
      <c r="AA13" s="9">
        <f ca="1">SUMIF(Time!$J326:$BQ326,Time!AA$28,Assets!$J12:$BQ12)</f>
        <v>-389106.60372710909</v>
      </c>
      <c r="AB13" s="9">
        <f ca="1">SUMIF(Time!$J326:$BQ326,Time!AB$28,Assets!$J12:$BQ12)</f>
        <v>-411606.16922228632</v>
      </c>
      <c r="AC13" s="9">
        <f ca="1">SUMIF(Time!$J326:$BQ326,Time!AC$28,Assets!$J12:$BQ12)</f>
        <v>-425911.38285997103</v>
      </c>
    </row>
    <row r="14" spans="1:29">
      <c r="E14" s="12" t="s">
        <v>63</v>
      </c>
      <c r="F14" s="28"/>
      <c r="G14" s="12" t="s">
        <v>252</v>
      </c>
      <c r="H14" s="12">
        <f ca="1">SUM(J14:BQ14)</f>
        <v>87829618.362924531</v>
      </c>
      <c r="I14" s="28"/>
      <c r="J14" s="12">
        <f ca="1">SUMIF(Time!$J326:$BQ326,Time!J$28,'Income Statement'!$J14:$BQ14)</f>
        <v>-156435.88319980982</v>
      </c>
      <c r="K14" s="12">
        <f ca="1">SUMIF(Time!$J326:$BQ326,Time!K$28,'Income Statement'!$J14:$BQ14)</f>
        <v>-178313.41122740635</v>
      </c>
      <c r="L14" s="12">
        <f ca="1">SUMIF(Time!$J326:$BQ326,Time!L$28,'Income Statement'!$J14:$BQ14)</f>
        <v>110122.00088155532</v>
      </c>
      <c r="M14" s="12">
        <f ca="1">SUMIF(Time!$J326:$BQ326,Time!M$28,'Income Statement'!$J14:$BQ14)</f>
        <v>288078.29180012655</v>
      </c>
      <c r="N14" s="12">
        <f ca="1">SUMIF(Time!$J326:$BQ326,Time!N$28,'Income Statement'!$J14:$BQ14)</f>
        <v>580208.83969106595</v>
      </c>
      <c r="O14" s="12">
        <f ca="1">SUMIF(Time!$J326:$BQ326,Time!O$28,'Income Statement'!$J14:$BQ14)</f>
        <v>733239.6954998119</v>
      </c>
      <c r="P14" s="12">
        <f ca="1">SUMIF(Time!$J326:$BQ326,Time!P$28,'Income Statement'!$J14:$BQ14)</f>
        <v>1036317.6953830179</v>
      </c>
      <c r="Q14" s="12">
        <f ca="1">SUMIF(Time!$J326:$BQ326,Time!Q$28,'Income Statement'!$J14:$BQ14)</f>
        <v>1326686.960888986</v>
      </c>
      <c r="R14" s="12">
        <f ca="1">SUMIF(Time!$J326:$BQ326,Time!R$28,'Income Statement'!$J14:$BQ14)</f>
        <v>1543050.9479161398</v>
      </c>
      <c r="S14" s="12">
        <f ca="1">SUMIF(Time!$J326:$BQ326,Time!S$28,'Income Statement'!$J14:$BQ14)</f>
        <v>2155568.2757860352</v>
      </c>
      <c r="T14" s="12">
        <f ca="1">SUMIF(Time!$J326:$BQ326,Time!T$28,'Income Statement'!$J14:$BQ14)</f>
        <v>2964580.7261746842</v>
      </c>
      <c r="U14" s="12">
        <f ca="1">SUMIF(Time!$J326:$BQ326,Time!U$28,'Income Statement'!$J14:$BQ14)</f>
        <v>3617680.4348186664</v>
      </c>
      <c r="V14" s="12">
        <f ca="1">SUMIF(Time!$J326:$BQ326,Time!V$28,'Income Statement'!$J14:$BQ14)</f>
        <v>4285962.7963563278</v>
      </c>
      <c r="W14" s="12">
        <f ca="1">SUMIF(Time!$J326:$BQ326,Time!W$28,'Income Statement'!$J14:$BQ14)</f>
        <v>5163183.8669317523</v>
      </c>
      <c r="X14" s="12">
        <f ca="1">SUMIF(Time!$J326:$BQ326,Time!X$28,'Income Statement'!$J14:$BQ14)</f>
        <v>6426174.8243303439</v>
      </c>
      <c r="Y14" s="12">
        <f ca="1">SUMIF(Time!$J326:$BQ326,Time!Y$28,'Income Statement'!$J14:$BQ14)</f>
        <v>7727503.2490372444</v>
      </c>
      <c r="Z14" s="12">
        <f ca="1">SUMIF(Time!$J326:$BQ326,Time!Z$28,'Income Statement'!$J14:$BQ14)</f>
        <v>9263575.0871437546</v>
      </c>
      <c r="AA14" s="12">
        <f ca="1">SUMIF(Time!$J326:$BQ326,Time!AA$28,'Income Statement'!$J14:$BQ14)</f>
        <v>11373758.093538765</v>
      </c>
      <c r="AB14" s="12">
        <f ca="1">SUMIF(Time!$J326:$BQ326,Time!AB$28,'Income Statement'!$J14:$BQ14)</f>
        <v>13600678.848533779</v>
      </c>
      <c r="AC14" s="12">
        <f ca="1">SUMIF(Time!$J326:$BQ326,Time!AC$28,'Income Statement'!$J14:$BQ14)</f>
        <v>15967997.022639688</v>
      </c>
    </row>
    <row r="16" spans="1:29">
      <c r="E16" s="15" t="str">
        <f>'Supply Chain finance'!E$42</f>
        <v xml:space="preserve">Supply Chain Finance interest </v>
      </c>
      <c r="F16" s="15">
        <f>'Supply Chain finance'!F$42</f>
        <v>0</v>
      </c>
      <c r="G16" s="15" t="str">
        <f>'Supply Chain finance'!G$42</f>
        <v>GBP</v>
      </c>
      <c r="H16" s="9">
        <f ca="1">'Supply Chain finance'!H$42</f>
        <v>0</v>
      </c>
      <c r="I16" s="15">
        <f>'Supply Chain finance'!I$42</f>
        <v>0</v>
      </c>
      <c r="J16" s="9">
        <f ca="1">SUMIF(Time!$J326:$BQ326,Time!J$28,'Supply Chain finance'!$J42:$BQ42)</f>
        <v>0</v>
      </c>
      <c r="K16" s="9">
        <f ca="1">SUMIF(Time!$J326:$BQ326,Time!K$28,'Supply Chain finance'!$J42:$BQ42)</f>
        <v>0</v>
      </c>
      <c r="L16" s="9">
        <f ca="1">SUMIF(Time!$J326:$BQ326,Time!L$28,'Supply Chain finance'!$J42:$BQ42)</f>
        <v>0</v>
      </c>
      <c r="M16" s="9">
        <f ca="1">SUMIF(Time!$J326:$BQ326,Time!M$28,'Supply Chain finance'!$J42:$BQ42)</f>
        <v>0</v>
      </c>
      <c r="N16" s="9">
        <f ca="1">SUMIF(Time!$J326:$BQ326,Time!N$28,'Supply Chain finance'!$J42:$BQ42)</f>
        <v>0</v>
      </c>
      <c r="O16" s="9">
        <f ca="1">SUMIF(Time!$J326:$BQ326,Time!O$28,'Supply Chain finance'!$J42:$BQ42)</f>
        <v>0</v>
      </c>
      <c r="P16" s="9">
        <f ca="1">SUMIF(Time!$J326:$BQ326,Time!P$28,'Supply Chain finance'!$J42:$BQ42)</f>
        <v>0</v>
      </c>
      <c r="Q16" s="9">
        <f ca="1">SUMIF(Time!$J326:$BQ326,Time!Q$28,'Supply Chain finance'!$J42:$BQ42)</f>
        <v>0</v>
      </c>
      <c r="R16" s="9">
        <f ca="1">SUMIF(Time!$J326:$BQ326,Time!R$28,'Supply Chain finance'!$J42:$BQ42)</f>
        <v>0</v>
      </c>
      <c r="S16" s="9">
        <f ca="1">SUMIF(Time!$J326:$BQ326,Time!S$28,'Supply Chain finance'!$J42:$BQ42)</f>
        <v>0</v>
      </c>
      <c r="T16" s="9">
        <f ca="1">SUMIF(Time!$J326:$BQ326,Time!T$28,'Supply Chain finance'!$J42:$BQ42)</f>
        <v>0</v>
      </c>
      <c r="U16" s="9">
        <f ca="1">SUMIF(Time!$J326:$BQ326,Time!U$28,'Supply Chain finance'!$J42:$BQ42)</f>
        <v>0</v>
      </c>
      <c r="V16" s="9">
        <f ca="1">SUMIF(Time!$J326:$BQ326,Time!V$28,'Supply Chain finance'!$J42:$BQ42)</f>
        <v>0</v>
      </c>
      <c r="W16" s="9">
        <f ca="1">SUMIF(Time!$J326:$BQ326,Time!W$28,'Supply Chain finance'!$J42:$BQ42)</f>
        <v>0</v>
      </c>
      <c r="X16" s="9">
        <f ca="1">SUMIF(Time!$J326:$BQ326,Time!X$28,'Supply Chain finance'!$J42:$BQ42)</f>
        <v>0</v>
      </c>
      <c r="Y16" s="9">
        <f ca="1">SUMIF(Time!$J326:$BQ326,Time!Y$28,'Supply Chain finance'!$J42:$BQ42)</f>
        <v>0</v>
      </c>
      <c r="Z16" s="9">
        <f ca="1">SUMIF(Time!$J326:$BQ326,Time!Z$28,'Supply Chain finance'!$J42:$BQ42)</f>
        <v>0</v>
      </c>
      <c r="AA16" s="9">
        <f ca="1">SUMIF(Time!$J326:$BQ326,Time!AA$28,'Supply Chain finance'!$J42:$BQ42)</f>
        <v>0</v>
      </c>
      <c r="AB16" s="9">
        <f ca="1">SUMIF(Time!$J326:$BQ326,Time!AB$28,'Supply Chain finance'!$J42:$BQ42)</f>
        <v>0</v>
      </c>
      <c r="AC16" s="9">
        <f ca="1">SUMIF(Time!$J326:$BQ326,Time!AC$28,'Supply Chain finance'!$J42:$BQ42)</f>
        <v>0</v>
      </c>
    </row>
    <row r="17" spans="5:29">
      <c r="E17" s="15" t="str">
        <f>'Invoice finance'!E$41</f>
        <v xml:space="preserve">Invoice finance interest </v>
      </c>
      <c r="F17" s="15">
        <f>'Invoice finance'!F$41</f>
        <v>0</v>
      </c>
      <c r="G17" s="15" t="str">
        <f>'Invoice finance'!G$41</f>
        <v>GBP</v>
      </c>
      <c r="H17" s="9">
        <f ca="1">'Invoice finance'!H$41</f>
        <v>0</v>
      </c>
      <c r="I17" s="15">
        <f>'Invoice finance'!I$41</f>
        <v>0</v>
      </c>
      <c r="J17" s="9">
        <f ca="1">SUMIF(Time!$J326:$BQ326,Time!J$28,'Invoice finance'!$J41:$BQ41)</f>
        <v>0</v>
      </c>
      <c r="K17" s="9">
        <f ca="1">SUMIF(Time!$J326:$BQ326,Time!K$28,'Invoice finance'!$J41:$BQ41)</f>
        <v>0</v>
      </c>
      <c r="L17" s="9">
        <f ca="1">SUMIF(Time!$J326:$BQ326,Time!L$28,'Invoice finance'!$J41:$BQ41)</f>
        <v>0</v>
      </c>
      <c r="M17" s="9">
        <f ca="1">SUMIF(Time!$J326:$BQ326,Time!M$28,'Invoice finance'!$J41:$BQ41)</f>
        <v>0</v>
      </c>
      <c r="N17" s="9">
        <f ca="1">SUMIF(Time!$J326:$BQ326,Time!N$28,'Invoice finance'!$J41:$BQ41)</f>
        <v>0</v>
      </c>
      <c r="O17" s="9">
        <f ca="1">SUMIF(Time!$J326:$BQ326,Time!O$28,'Invoice finance'!$J41:$BQ41)</f>
        <v>0</v>
      </c>
      <c r="P17" s="9">
        <f ca="1">SUMIF(Time!$J326:$BQ326,Time!P$28,'Invoice finance'!$J41:$BQ41)</f>
        <v>0</v>
      </c>
      <c r="Q17" s="9">
        <f ca="1">SUMIF(Time!$J326:$BQ326,Time!Q$28,'Invoice finance'!$J41:$BQ41)</f>
        <v>0</v>
      </c>
      <c r="R17" s="9">
        <f ca="1">SUMIF(Time!$J326:$BQ326,Time!R$28,'Invoice finance'!$J41:$BQ41)</f>
        <v>0</v>
      </c>
      <c r="S17" s="9">
        <f ca="1">SUMIF(Time!$J326:$BQ326,Time!S$28,'Invoice finance'!$J41:$BQ41)</f>
        <v>0</v>
      </c>
      <c r="T17" s="9">
        <f ca="1">SUMIF(Time!$J326:$BQ326,Time!T$28,'Invoice finance'!$J41:$BQ41)</f>
        <v>0</v>
      </c>
      <c r="U17" s="9">
        <f ca="1">SUMIF(Time!$J326:$BQ326,Time!U$28,'Invoice finance'!$J41:$BQ41)</f>
        <v>0</v>
      </c>
      <c r="V17" s="9">
        <f ca="1">SUMIF(Time!$J326:$BQ326,Time!V$28,'Invoice finance'!$J41:$BQ41)</f>
        <v>0</v>
      </c>
      <c r="W17" s="9">
        <f ca="1">SUMIF(Time!$J326:$BQ326,Time!W$28,'Invoice finance'!$J41:$BQ41)</f>
        <v>0</v>
      </c>
      <c r="X17" s="9">
        <f ca="1">SUMIF(Time!$J326:$BQ326,Time!X$28,'Invoice finance'!$J41:$BQ41)</f>
        <v>0</v>
      </c>
      <c r="Y17" s="9">
        <f ca="1">SUMIF(Time!$J326:$BQ326,Time!Y$28,'Invoice finance'!$J41:$BQ41)</f>
        <v>0</v>
      </c>
      <c r="Z17" s="9">
        <f ca="1">SUMIF(Time!$J326:$BQ326,Time!Z$28,'Invoice finance'!$J41:$BQ41)</f>
        <v>0</v>
      </c>
      <c r="AA17" s="9">
        <f ca="1">SUMIF(Time!$J326:$BQ326,Time!AA$28,'Invoice finance'!$J41:$BQ41)</f>
        <v>0</v>
      </c>
      <c r="AB17" s="9">
        <f ca="1">SUMIF(Time!$J326:$BQ326,Time!AB$28,'Invoice finance'!$J41:$BQ41)</f>
        <v>0</v>
      </c>
      <c r="AC17" s="9">
        <f ca="1">SUMIF(Time!$J326:$BQ326,Time!AC$28,'Invoice finance'!$J41:$BQ41)</f>
        <v>0</v>
      </c>
    </row>
    <row r="18" spans="5:29">
      <c r="E18" s="15" t="str">
        <f>'Asset Finance'!E$42</f>
        <v xml:space="preserve">Asset Finance interest </v>
      </c>
      <c r="F18" s="15">
        <f>'Asset Finance'!F$42</f>
        <v>0</v>
      </c>
      <c r="G18" s="15" t="str">
        <f>'Asset Finance'!G$42</f>
        <v>GBP</v>
      </c>
      <c r="H18" s="9">
        <f ca="1">'Asset Finance'!H$42</f>
        <v>0</v>
      </c>
      <c r="I18" s="15">
        <f>'Asset Finance'!I$42</f>
        <v>0</v>
      </c>
      <c r="J18" s="9">
        <f ca="1">SUMIF(Time!$J326:$BQ326,Time!J$28,'Asset Finance'!$J42:$BQ42)</f>
        <v>0</v>
      </c>
      <c r="K18" s="9">
        <f ca="1">SUMIF(Time!$J326:$BQ326,Time!K$28,'Asset Finance'!$J42:$BQ42)</f>
        <v>0</v>
      </c>
      <c r="L18" s="9">
        <f ca="1">SUMIF(Time!$J326:$BQ326,Time!L$28,'Asset Finance'!$J42:$BQ42)</f>
        <v>0</v>
      </c>
      <c r="M18" s="9">
        <f ca="1">SUMIF(Time!$J326:$BQ326,Time!M$28,'Asset Finance'!$J42:$BQ42)</f>
        <v>0</v>
      </c>
      <c r="N18" s="9">
        <f ca="1">SUMIF(Time!$J326:$BQ326,Time!N$28,'Asset Finance'!$J42:$BQ42)</f>
        <v>0</v>
      </c>
      <c r="O18" s="9">
        <f ca="1">SUMIF(Time!$J326:$BQ326,Time!O$28,'Asset Finance'!$J42:$BQ42)</f>
        <v>0</v>
      </c>
      <c r="P18" s="9">
        <f ca="1">SUMIF(Time!$J326:$BQ326,Time!P$28,'Asset Finance'!$J42:$BQ42)</f>
        <v>0</v>
      </c>
      <c r="Q18" s="9">
        <f ca="1">SUMIF(Time!$J326:$BQ326,Time!Q$28,'Asset Finance'!$J42:$BQ42)</f>
        <v>0</v>
      </c>
      <c r="R18" s="9">
        <f ca="1">SUMIF(Time!$J326:$BQ326,Time!R$28,'Asset Finance'!$J42:$BQ42)</f>
        <v>0</v>
      </c>
      <c r="S18" s="9">
        <f ca="1">SUMIF(Time!$J326:$BQ326,Time!S$28,'Asset Finance'!$J42:$BQ42)</f>
        <v>0</v>
      </c>
      <c r="T18" s="9">
        <f ca="1">SUMIF(Time!$J326:$BQ326,Time!T$28,'Asset Finance'!$J42:$BQ42)</f>
        <v>0</v>
      </c>
      <c r="U18" s="9">
        <f ca="1">SUMIF(Time!$J326:$BQ326,Time!U$28,'Asset Finance'!$J42:$BQ42)</f>
        <v>0</v>
      </c>
      <c r="V18" s="9">
        <f ca="1">SUMIF(Time!$J326:$BQ326,Time!V$28,'Asset Finance'!$J42:$BQ42)</f>
        <v>0</v>
      </c>
      <c r="W18" s="9">
        <f ca="1">SUMIF(Time!$J326:$BQ326,Time!W$28,'Asset Finance'!$J42:$BQ42)</f>
        <v>0</v>
      </c>
      <c r="X18" s="9">
        <f ca="1">SUMIF(Time!$J326:$BQ326,Time!X$28,'Asset Finance'!$J42:$BQ42)</f>
        <v>0</v>
      </c>
      <c r="Y18" s="9">
        <f ca="1">SUMIF(Time!$J326:$BQ326,Time!Y$28,'Asset Finance'!$J42:$BQ42)</f>
        <v>0</v>
      </c>
      <c r="Z18" s="9">
        <f ca="1">SUMIF(Time!$J326:$BQ326,Time!Z$28,'Asset Finance'!$J42:$BQ42)</f>
        <v>0</v>
      </c>
      <c r="AA18" s="9">
        <f ca="1">SUMIF(Time!$J326:$BQ326,Time!AA$28,'Asset Finance'!$J42:$BQ42)</f>
        <v>0</v>
      </c>
      <c r="AB18" s="9">
        <f ca="1">SUMIF(Time!$J326:$BQ326,Time!AB$28,'Asset Finance'!$J42:$BQ42)</f>
        <v>0</v>
      </c>
      <c r="AC18" s="9">
        <f ca="1">SUMIF(Time!$J326:$BQ326,Time!AC$28,'Asset Finance'!$J42:$BQ42)</f>
        <v>0</v>
      </c>
    </row>
    <row r="19" spans="5:29">
      <c r="E19" s="12" t="s">
        <v>177</v>
      </c>
      <c r="F19" s="28"/>
      <c r="G19" s="12" t="s">
        <v>252</v>
      </c>
      <c r="H19" s="12">
        <f ca="1">SUM(J19:BQ19)</f>
        <v>87829618.362924531</v>
      </c>
      <c r="I19" s="28"/>
      <c r="J19" s="12">
        <f ca="1">SUMIF(Time!$J326:$BQ326,Time!J$28,'Income Statement'!$J19:$BQ19)</f>
        <v>-156435.88319980982</v>
      </c>
      <c r="K19" s="12">
        <f ca="1">SUMIF(Time!$J326:$BQ326,Time!K$28,'Income Statement'!$J19:$BQ19)</f>
        <v>-178313.41122740635</v>
      </c>
      <c r="L19" s="12">
        <f ca="1">SUMIF(Time!$J326:$BQ326,Time!L$28,'Income Statement'!$J19:$BQ19)</f>
        <v>110122.00088155532</v>
      </c>
      <c r="M19" s="12">
        <f ca="1">SUMIF(Time!$J326:$BQ326,Time!M$28,'Income Statement'!$J19:$BQ19)</f>
        <v>288078.29180012655</v>
      </c>
      <c r="N19" s="12">
        <f ca="1">SUMIF(Time!$J326:$BQ326,Time!N$28,'Income Statement'!$J19:$BQ19)</f>
        <v>580208.83969106595</v>
      </c>
      <c r="O19" s="12">
        <f ca="1">SUMIF(Time!$J326:$BQ326,Time!O$28,'Income Statement'!$J19:$BQ19)</f>
        <v>733239.6954998119</v>
      </c>
      <c r="P19" s="12">
        <f ca="1">SUMIF(Time!$J326:$BQ326,Time!P$28,'Income Statement'!$J19:$BQ19)</f>
        <v>1036317.6953830179</v>
      </c>
      <c r="Q19" s="12">
        <f ca="1">SUMIF(Time!$J326:$BQ326,Time!Q$28,'Income Statement'!$J19:$BQ19)</f>
        <v>1326686.960888986</v>
      </c>
      <c r="R19" s="12">
        <f ca="1">SUMIF(Time!$J326:$BQ326,Time!R$28,'Income Statement'!$J19:$BQ19)</f>
        <v>1543050.9479161398</v>
      </c>
      <c r="S19" s="12">
        <f ca="1">SUMIF(Time!$J326:$BQ326,Time!S$28,'Income Statement'!$J19:$BQ19)</f>
        <v>2155568.2757860352</v>
      </c>
      <c r="T19" s="12">
        <f ca="1">SUMIF(Time!$J326:$BQ326,Time!T$28,'Income Statement'!$J19:$BQ19)</f>
        <v>2964580.7261746842</v>
      </c>
      <c r="U19" s="12">
        <f ca="1">SUMIF(Time!$J326:$BQ326,Time!U$28,'Income Statement'!$J19:$BQ19)</f>
        <v>3617680.4348186664</v>
      </c>
      <c r="V19" s="12">
        <f ca="1">SUMIF(Time!$J326:$BQ326,Time!V$28,'Income Statement'!$J19:$BQ19)</f>
        <v>4285962.7963563278</v>
      </c>
      <c r="W19" s="12">
        <f ca="1">SUMIF(Time!$J326:$BQ326,Time!W$28,'Income Statement'!$J19:$BQ19)</f>
        <v>5163183.8669317523</v>
      </c>
      <c r="X19" s="12">
        <f ca="1">SUMIF(Time!$J326:$BQ326,Time!X$28,'Income Statement'!$J19:$BQ19)</f>
        <v>6426174.8243303439</v>
      </c>
      <c r="Y19" s="12">
        <f ca="1">SUMIF(Time!$J326:$BQ326,Time!Y$28,'Income Statement'!$J19:$BQ19)</f>
        <v>7727503.2490372444</v>
      </c>
      <c r="Z19" s="12">
        <f ca="1">SUMIF(Time!$J326:$BQ326,Time!Z$28,'Income Statement'!$J19:$BQ19)</f>
        <v>9263575.0871437546</v>
      </c>
      <c r="AA19" s="12">
        <f ca="1">SUMIF(Time!$J326:$BQ326,Time!AA$28,'Income Statement'!$J19:$BQ19)</f>
        <v>11373758.093538765</v>
      </c>
      <c r="AB19" s="12">
        <f ca="1">SUMIF(Time!$J326:$BQ326,Time!AB$28,'Income Statement'!$J19:$BQ19)</f>
        <v>13600678.848533779</v>
      </c>
      <c r="AC19" s="12">
        <f ca="1">SUMIF(Time!$J326:$BQ326,Time!AC$28,'Income Statement'!$J19:$BQ19)</f>
        <v>15967997.022639688</v>
      </c>
    </row>
    <row r="21" spans="5:29">
      <c r="E21" s="15" t="str">
        <f>'Corporation tax'!E$48</f>
        <v xml:space="preserve">Corporation tax </v>
      </c>
      <c r="F21" s="15">
        <f>'Corporation tax'!F$48</f>
        <v>0</v>
      </c>
      <c r="G21" s="15" t="str">
        <f>'Corporation tax'!G$48</f>
        <v>GBP</v>
      </c>
      <c r="H21" s="9">
        <f ca="1">'Corporation tax'!H$48</f>
        <v>-18318854.533494424</v>
      </c>
      <c r="I21" s="15">
        <f>'Corporation tax'!I$48</f>
        <v>0</v>
      </c>
      <c r="J21" s="9">
        <f ca="1">SUMIF(Time!$J326:$BQ326,Time!J$28,'Corporation tax'!$J48:$BQ48)</f>
        <v>0</v>
      </c>
      <c r="K21" s="9">
        <f ca="1">SUMIF(Time!$J326:$BQ326,Time!K$28,'Corporation tax'!$J48:$BQ48)</f>
        <v>0</v>
      </c>
      <c r="L21" s="9">
        <f ca="1">SUMIF(Time!$J326:$BQ326,Time!L$28,'Corporation tax'!$J48:$BQ48)</f>
        <v>0</v>
      </c>
      <c r="M21" s="9">
        <f ca="1">SUMIF(Time!$J326:$BQ326,Time!M$28,'Corporation tax'!$J48:$BQ48)</f>
        <v>-45223.532984226469</v>
      </c>
      <c r="N21" s="9">
        <f ca="1">SUMIF(Time!$J326:$BQ326,Time!N$28,'Corporation tax'!$J48:$BQ48)</f>
        <v>-127708.43460487988</v>
      </c>
      <c r="O21" s="9">
        <f ca="1">SUMIF(Time!$J326:$BQ326,Time!O$28,'Corporation tax'!$J48:$BQ48)</f>
        <v>-161231.27243329573</v>
      </c>
      <c r="P21" s="9">
        <f ca="1">SUMIF(Time!$J326:$BQ326,Time!P$28,'Corporation tax'!$J48:$BQ48)</f>
        <v>-224763.5390766036</v>
      </c>
      <c r="Q21" s="9">
        <f ca="1">SUMIF(Time!$J326:$BQ326,Time!Q$28,'Corporation tax'!$J48:$BQ48)</f>
        <v>-287212.39217779716</v>
      </c>
      <c r="R21" s="9">
        <f ca="1">SUMIF(Time!$J326:$BQ326,Time!R$28,'Corporation tax'!$J48:$BQ48)</f>
        <v>-335872.17996450514</v>
      </c>
      <c r="S21" s="9">
        <f ca="1">SUMIF(Time!$J326:$BQ326,Time!S$28,'Corporation tax'!$J48:$BQ48)</f>
        <v>-461272.67628509807</v>
      </c>
      <c r="T21" s="9">
        <f ca="1">SUMIF(Time!$J326:$BQ326,Time!T$28,'Corporation tax'!$J48:$BQ48)</f>
        <v>-625690.46589945117</v>
      </c>
      <c r="U21" s="9">
        <f ca="1">SUMIF(Time!$J326:$BQ326,Time!U$28,'Corporation tax'!$J48:$BQ48)</f>
        <v>-760049.84865311976</v>
      </c>
      <c r="V21" s="9">
        <f ca="1">SUMIF(Time!$J326:$BQ326,Time!V$28,'Corporation tax'!$J48:$BQ48)</f>
        <v>-899970.69149726233</v>
      </c>
      <c r="W21" s="9">
        <f ca="1">SUMIF(Time!$J326:$BQ326,Time!W$28,'Corporation tax'!$J48:$BQ48)</f>
        <v>-1081206.9292792981</v>
      </c>
      <c r="X21" s="9">
        <f ca="1">SUMIF(Time!$J326:$BQ326,Time!X$28,'Corporation tax'!$J48:$BQ48)</f>
        <v>-1340492.1378880441</v>
      </c>
      <c r="Y21" s="9">
        <f ca="1">SUMIF(Time!$J326:$BQ326,Time!Y$28,'Corporation tax'!$J48:$BQ48)</f>
        <v>-1609692.3341029203</v>
      </c>
      <c r="Z21" s="9">
        <f ca="1">SUMIF(Time!$J326:$BQ326,Time!Z$28,'Corporation tax'!$J48:$BQ48)</f>
        <v>-1924656.4745435985</v>
      </c>
      <c r="AA21" s="9">
        <f ca="1">SUMIF(Time!$J326:$BQ326,Time!AA$28,'Corporation tax'!$J48:$BQ48)</f>
        <v>-2352572.9394531744</v>
      </c>
      <c r="AB21" s="9">
        <f ca="1">SUMIF(Time!$J326:$BQ326,Time!AB$28,'Corporation tax'!$J48:$BQ48)</f>
        <v>-2802457.003551214</v>
      </c>
      <c r="AC21" s="9">
        <f ca="1">SUMIF(Time!$J326:$BQ326,Time!AC$28,'Corporation tax'!$J48:$BQ48)</f>
        <v>-3278781.6810999317</v>
      </c>
    </row>
    <row r="22" spans="5:29">
      <c r="E22" s="12" t="s">
        <v>38</v>
      </c>
      <c r="F22" s="28"/>
      <c r="G22" s="12" t="s">
        <v>252</v>
      </c>
      <c r="H22" s="12">
        <f ca="1">SUM(J22:BQ22)</f>
        <v>69510763.829430103</v>
      </c>
      <c r="I22" s="28"/>
      <c r="J22" s="12">
        <f ca="1">SUMIF(Time!$J326:$BQ326,Time!J$28,'Income Statement'!$J22:$BQ22)</f>
        <v>-156435.88319980982</v>
      </c>
      <c r="K22" s="12">
        <f ca="1">SUMIF(Time!$J326:$BQ326,Time!K$28,'Income Statement'!$J22:$BQ22)</f>
        <v>-178313.41122740635</v>
      </c>
      <c r="L22" s="12">
        <f ca="1">SUMIF(Time!$J326:$BQ326,Time!L$28,'Income Statement'!$J22:$BQ22)</f>
        <v>110122.00088155532</v>
      </c>
      <c r="M22" s="12">
        <f ca="1">SUMIF(Time!$J326:$BQ326,Time!M$28,'Income Statement'!$J22:$BQ22)</f>
        <v>242854.75881590007</v>
      </c>
      <c r="N22" s="12">
        <f ca="1">SUMIF(Time!$J326:$BQ326,Time!N$28,'Income Statement'!$J22:$BQ22)</f>
        <v>452500.40508618613</v>
      </c>
      <c r="O22" s="12">
        <f ca="1">SUMIF(Time!$J326:$BQ326,Time!O$28,'Income Statement'!$J22:$BQ22)</f>
        <v>572008.42306651617</v>
      </c>
      <c r="P22" s="12">
        <f ca="1">SUMIF(Time!$J326:$BQ326,Time!P$28,'Income Statement'!$J22:$BQ22)</f>
        <v>811554.15630641428</v>
      </c>
      <c r="Q22" s="12">
        <f ca="1">SUMIF(Time!$J326:$BQ326,Time!Q$28,'Income Statement'!$J22:$BQ22)</f>
        <v>1039474.5687111887</v>
      </c>
      <c r="R22" s="12">
        <f ca="1">SUMIF(Time!$J326:$BQ326,Time!R$28,'Income Statement'!$J22:$BQ22)</f>
        <v>1207178.7679516347</v>
      </c>
      <c r="S22" s="12">
        <f ca="1">SUMIF(Time!$J326:$BQ326,Time!S$28,'Income Statement'!$J22:$BQ22)</f>
        <v>1694295.5995009369</v>
      </c>
      <c r="T22" s="12">
        <f ca="1">SUMIF(Time!$J326:$BQ326,Time!T$28,'Income Statement'!$J22:$BQ22)</f>
        <v>2338890.2602752331</v>
      </c>
      <c r="U22" s="12">
        <f ca="1">SUMIF(Time!$J326:$BQ326,Time!U$28,'Income Statement'!$J22:$BQ22)</f>
        <v>2857630.5861655474</v>
      </c>
      <c r="V22" s="12">
        <f ca="1">SUMIF(Time!$J326:$BQ326,Time!V$28,'Income Statement'!$J22:$BQ22)</f>
        <v>3385992.1048590653</v>
      </c>
      <c r="W22" s="12">
        <f ca="1">SUMIF(Time!$J326:$BQ326,Time!W$28,'Income Statement'!$J22:$BQ22)</f>
        <v>4081976.9376524533</v>
      </c>
      <c r="X22" s="12">
        <f ca="1">SUMIF(Time!$J326:$BQ326,Time!X$28,'Income Statement'!$J22:$BQ22)</f>
        <v>5085682.6864422997</v>
      </c>
      <c r="Y22" s="12">
        <f ca="1">SUMIF(Time!$J326:$BQ326,Time!Y$28,'Income Statement'!$J22:$BQ22)</f>
        <v>6117810.9149343241</v>
      </c>
      <c r="Z22" s="12">
        <f ca="1">SUMIF(Time!$J326:$BQ326,Time!Z$28,'Income Statement'!$J22:$BQ22)</f>
        <v>7338918.6126001561</v>
      </c>
      <c r="AA22" s="12">
        <f ca="1">SUMIF(Time!$J326:$BQ326,Time!AA$28,'Income Statement'!$J22:$BQ22)</f>
        <v>9021185.1540855877</v>
      </c>
      <c r="AB22" s="12">
        <f ca="1">SUMIF(Time!$J326:$BQ326,Time!AB$28,'Income Statement'!$J22:$BQ22)</f>
        <v>10798221.844982568</v>
      </c>
      <c r="AC22" s="12">
        <f ca="1">SUMIF(Time!$J326:$BQ326,Time!AC$28,'Income Statement'!$J22:$BQ22)</f>
        <v>12689215.341539755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S22"/>
  <sheetViews>
    <sheetView topLeftCell="J6" workbookViewId="0">
      <selection activeCell="J6" sqref="J6"/>
    </sheetView>
  </sheetViews>
  <sheetFormatPr defaultColWidth="0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31.7265625" customWidth="1"/>
    <col min="6" max="6" width="20.7265625" customWidth="1"/>
    <col min="7" max="7" width="13.7265625" customWidth="1"/>
    <col min="8" max="8" width="13.7265625" style="2" customWidth="1"/>
    <col min="9" max="9" width="3.7265625" customWidth="1"/>
    <col min="10" max="17" width="11.7265625" customWidth="1"/>
    <col min="18" max="18" width="12.7265625" customWidth="1"/>
    <col min="19" max="19" width="13.7265625" customWidth="1"/>
    <col min="20" max="20" width="15.7265625" customWidth="1"/>
  </cols>
  <sheetData>
    <row r="1" spans="1:19" s="53" customFormat="1" ht="25">
      <c r="A1" s="37" t="str">
        <f ca="1">RIGHT(CELL("filename",A1),LEN(CELL("filename",A1))-SEARCH("]",CELL("filename",A1)))</f>
        <v>Income Statement SemiAnnually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19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Time!J$95</f>
        <v>45230</v>
      </c>
      <c r="K2" s="6">
        <f>Time!K$95</f>
        <v>45412</v>
      </c>
      <c r="L2" s="6">
        <f>Time!L$95</f>
        <v>45596</v>
      </c>
      <c r="M2" s="6">
        <f>Time!M$95</f>
        <v>45777</v>
      </c>
      <c r="N2" s="6">
        <f>Time!N$95</f>
        <v>45961</v>
      </c>
      <c r="O2" s="6">
        <f>Time!O$95</f>
        <v>46142</v>
      </c>
      <c r="P2" s="6">
        <f>Time!P$95</f>
        <v>46326</v>
      </c>
      <c r="Q2" s="6">
        <f>Time!Q$95</f>
        <v>46507</v>
      </c>
      <c r="R2" s="6">
        <f>Time!R$95</f>
        <v>46691</v>
      </c>
      <c r="S2" s="6">
        <f>Time!S$95</f>
        <v>46873</v>
      </c>
    </row>
    <row r="3" spans="1:19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Time!J$102</f>
        <v>Month6</v>
      </c>
      <c r="K3" s="7" t="str">
        <f>Time!K$102</f>
        <v>Month12</v>
      </c>
      <c r="L3" s="7" t="str">
        <f>Time!L$102</f>
        <v>Month18</v>
      </c>
      <c r="M3" s="7" t="str">
        <f>Time!M$102</f>
        <v>Month24</v>
      </c>
      <c r="N3" s="7" t="str">
        <f>Time!N$102</f>
        <v>Month30</v>
      </c>
      <c r="O3" s="7" t="str">
        <f>Time!O$102</f>
        <v>Month36</v>
      </c>
      <c r="P3" s="7" t="str">
        <f>Time!P$102</f>
        <v>Month42</v>
      </c>
      <c r="Q3" s="7" t="str">
        <f>Time!Q$102</f>
        <v>Month48</v>
      </c>
      <c r="R3" s="7" t="str">
        <f>Time!R$102</f>
        <v>Month54</v>
      </c>
      <c r="S3" s="7" t="str">
        <f>Time!S$102</f>
        <v>Month60</v>
      </c>
    </row>
    <row r="4" spans="1:19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Time!J$108</f>
        <v>6</v>
      </c>
      <c r="K4" s="5">
        <f>Time!K$108</f>
        <v>12</v>
      </c>
      <c r="L4" s="5">
        <f>Time!L$108</f>
        <v>18</v>
      </c>
      <c r="M4" s="5">
        <f>Time!M$108</f>
        <v>24</v>
      </c>
      <c r="N4" s="5">
        <f>Time!N$108</f>
        <v>30</v>
      </c>
      <c r="O4" s="5">
        <f>Time!O$108</f>
        <v>36</v>
      </c>
      <c r="P4" s="5">
        <f>Time!P$108</f>
        <v>42</v>
      </c>
      <c r="Q4" s="5">
        <f>Time!Q$108</f>
        <v>48</v>
      </c>
      <c r="R4" s="5">
        <f>Time!R$108</f>
        <v>54</v>
      </c>
      <c r="S4" s="5">
        <f>Time!S$108</f>
        <v>60</v>
      </c>
    </row>
    <row r="5" spans="1:19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19" s="2" customFormat="1" ht="13">
      <c r="A6" s="22"/>
      <c r="B6" s="22"/>
      <c r="C6" s="40"/>
      <c r="D6" s="54"/>
      <c r="F6" s="22"/>
      <c r="G6" s="22"/>
      <c r="H6" s="22"/>
    </row>
    <row r="8" spans="1:19">
      <c r="A8"/>
      <c r="E8" s="15" t="str">
        <f>Income!E$18</f>
        <v>Income</v>
      </c>
      <c r="F8" s="15">
        <f>Income!F$18</f>
        <v>0</v>
      </c>
      <c r="G8" s="15" t="str">
        <f>Income!G$18</f>
        <v>GBP</v>
      </c>
      <c r="H8" s="9">
        <f ca="1">Income!H$18</f>
        <v>106647181.69069508</v>
      </c>
      <c r="I8" s="15">
        <f>Income!I$18</f>
        <v>0</v>
      </c>
      <c r="J8" s="9">
        <f ca="1">SUMIF(Time!$J341:$BQ341,Time!J$28,Income!$J18:$BQ18)</f>
        <v>0</v>
      </c>
      <c r="K8" s="9">
        <f ca="1">SUMIF(Time!$J341:$BQ341,Time!K$28,Income!$J18:$BQ18)</f>
        <v>845025.36147508363</v>
      </c>
      <c r="L8" s="9">
        <f ca="1">SUMIF(Time!$J341:$BQ341,Time!L$28,Income!$J18:$BQ18)</f>
        <v>1904823.1999894243</v>
      </c>
      <c r="M8" s="9">
        <f ca="1">SUMIF(Time!$J341:$BQ341,Time!M$28,Income!$J18:$BQ18)</f>
        <v>3150000</v>
      </c>
      <c r="N8" s="9">
        <f ca="1">SUMIF(Time!$J341:$BQ341,Time!N$28,Income!$J18:$BQ18)</f>
        <v>4887422.4601166192</v>
      </c>
      <c r="O8" s="9">
        <f ca="1">SUMIF(Time!$J341:$BQ341,Time!O$28,Income!$J18:$BQ18)</f>
        <v>8137663.0763257043</v>
      </c>
      <c r="P8" s="9">
        <f ca="1">SUMIF(Time!$J341:$BQ341,Time!P$28,Income!$J18:$BQ18)</f>
        <v>11543946.679220723</v>
      </c>
      <c r="Q8" s="9">
        <f ca="1">SUMIF(Time!$J341:$BQ341,Time!Q$28,Income!$J18:$BQ18)</f>
        <v>16995404.42092669</v>
      </c>
      <c r="R8" s="9">
        <f ca="1">SUMIF(Time!$J341:$BQ341,Time!R$28,Income!$J18:$BQ18)</f>
        <v>24480151.890077069</v>
      </c>
      <c r="S8" s="9">
        <f ca="1">SUMIF(Time!$J341:$BQ341,Time!S$28,Income!$J18:$BQ18)</f>
        <v>34702744.602563761</v>
      </c>
    </row>
    <row r="9" spans="1:19">
      <c r="E9" s="15" t="str">
        <f>Expense!E$27</f>
        <v xml:space="preserve">Variable Operating expense </v>
      </c>
      <c r="F9" s="15">
        <f>Expense!F$27</f>
        <v>0</v>
      </c>
      <c r="G9" s="15" t="str">
        <f>Expense!G$27</f>
        <v>GBP</v>
      </c>
      <c r="H9" s="9">
        <f ca="1">Expense!H$27</f>
        <v>-13199424.859496675</v>
      </c>
      <c r="I9" s="15">
        <f>Expense!I$27</f>
        <v>0</v>
      </c>
      <c r="J9" s="9">
        <f ca="1">SUMIF(Time!$J341:$BQ341,Time!J$28,Expense!$J27:$BQ27)</f>
        <v>-146467.39053984627</v>
      </c>
      <c r="K9" s="9">
        <f ca="1">SUMIF(Time!$J341:$BQ341,Time!K$28,Expense!$J27:$BQ27)</f>
        <v>-207320.44944746283</v>
      </c>
      <c r="L9" s="9">
        <f ca="1">SUMIF(Time!$J341:$BQ341,Time!L$28,Expense!$J27:$BQ27)</f>
        <v>-293110.49580711999</v>
      </c>
      <c r="M9" s="9">
        <f ca="1">SUMIF(Time!$J341:$BQ341,Time!M$28,Expense!$J27:$BQ27)</f>
        <v>-414879.24117567926</v>
      </c>
      <c r="N9" s="9">
        <f ca="1">SUMIF(Time!$J341:$BQ341,Time!N$28,Expense!$J27:$BQ27)</f>
        <v>-717977.72002873337</v>
      </c>
      <c r="O9" s="9">
        <f ca="1">SUMIF(Time!$J341:$BQ341,Time!O$28,Expense!$J27:$BQ27)</f>
        <v>-1016200.9769544797</v>
      </c>
      <c r="P9" s="9">
        <f ca="1">SUMIF(Time!$J341:$BQ341,Time!P$28,Expense!$J27:$BQ27)</f>
        <v>-1435969.9011808543</v>
      </c>
      <c r="Q9" s="9">
        <f ca="1">SUMIF(Time!$J341:$BQ341,Time!Q$28,Expense!$J27:$BQ27)</f>
        <v>-2032448.3504075939</v>
      </c>
      <c r="R9" s="9">
        <f ca="1">SUMIF(Time!$J341:$BQ341,Time!R$28,Expense!$J27:$BQ27)</f>
        <v>-2871709.80757839</v>
      </c>
      <c r="S9" s="9">
        <f ca="1">SUMIF(Time!$J341:$BQ341,Time!S$28,Expense!$J27:$BQ27)</f>
        <v>-4063340.5263765138</v>
      </c>
    </row>
    <row r="10" spans="1:19">
      <c r="E10" s="15" t="str">
        <f>Expense!E$20</f>
        <v xml:space="preserve">Fixed operating expense </v>
      </c>
      <c r="F10" s="15">
        <f>Expense!F$20</f>
        <v>0</v>
      </c>
      <c r="G10" s="15" t="str">
        <f>Expense!G$20</f>
        <v>GBP</v>
      </c>
      <c r="H10" s="9">
        <f>Expense!H$20</f>
        <v>-1899484.1637263105</v>
      </c>
      <c r="I10" s="15">
        <f>Expense!I$20</f>
        <v>0</v>
      </c>
      <c r="J10" s="9">
        <f>SUMIF(Time!$J341:$BQ341,Time!J$28,Expense!$J20:$BQ20)</f>
        <v>-151823.57055403653</v>
      </c>
      <c r="K10" s="9">
        <f>SUMIF(Time!$J341:$BQ341,Time!K$28,Expense!$J20:$BQ20)</f>
        <v>-159296.28601260565</v>
      </c>
      <c r="L10" s="9">
        <f>SUMIF(Time!$J341:$BQ341,Time!L$28,Expense!$J20:$BQ20)</f>
        <v>-167014.16899142633</v>
      </c>
      <c r="M10" s="9">
        <f>SUMIF(Time!$J341:$BQ341,Time!M$28,Expense!$J20:$BQ20)</f>
        <v>-175241.10255231705</v>
      </c>
      <c r="N10" s="9">
        <f>SUMIF(Time!$J341:$BQ341,Time!N$28,Expense!$J20:$BQ20)</f>
        <v>-183720.45883986971</v>
      </c>
      <c r="O10" s="9">
        <f>SUMIF(Time!$J341:$BQ341,Time!O$28,Expense!$J20:$BQ20)</f>
        <v>-192760.52660837109</v>
      </c>
      <c r="P10" s="9">
        <f>SUMIF(Time!$J341:$BQ341,Time!P$28,Expense!$J20:$BQ20)</f>
        <v>-202088.67415706581</v>
      </c>
      <c r="Q10" s="9">
        <f>SUMIF(Time!$J341:$BQ341,Time!Q$28,Expense!$J20:$BQ20)</f>
        <v>-212033.71056427731</v>
      </c>
      <c r="R10" s="9">
        <f>SUMIF(Time!$J341:$BQ341,Time!R$28,Expense!$J20:$BQ20)</f>
        <v>-222295.01251481808</v>
      </c>
      <c r="S10" s="9">
        <f>SUMIF(Time!$J341:$BQ341,Time!S$28,Expense!$J20:$BQ20)</f>
        <v>-233210.65293152182</v>
      </c>
    </row>
    <row r="11" spans="1:19">
      <c r="E11" s="12" t="s">
        <v>176</v>
      </c>
      <c r="F11" s="28"/>
      <c r="G11" s="12" t="s">
        <v>252</v>
      </c>
      <c r="H11" s="12">
        <f ca="1">SUM(J11:BQ11)</f>
        <v>91548272.667472094</v>
      </c>
      <c r="I11" s="28"/>
      <c r="J11" s="12">
        <f ca="1">SUMIF(Time!$J341:$BQ341,Time!J$28,'Income Statement'!$J11:$BQ11)</f>
        <v>-298290.96109388286</v>
      </c>
      <c r="K11" s="12">
        <f ca="1">SUMIF(Time!$J341:$BQ341,Time!K$28,'Income Statement'!$J11:$BQ11)</f>
        <v>478408.62601501518</v>
      </c>
      <c r="L11" s="12">
        <f ca="1">SUMIF(Time!$J341:$BQ341,Time!L$28,'Income Statement'!$J11:$BQ11)</f>
        <v>1444698.535190878</v>
      </c>
      <c r="M11" s="12">
        <f ca="1">SUMIF(Time!$J341:$BQ341,Time!M$28,'Income Statement'!$J11:$BQ11)</f>
        <v>2559879.6562720039</v>
      </c>
      <c r="N11" s="12">
        <f ca="1">SUMIF(Time!$J341:$BQ341,Time!N$28,'Income Statement'!$J11:$BQ11)</f>
        <v>3985724.2812480154</v>
      </c>
      <c r="O11" s="12">
        <f ca="1">SUMIF(Time!$J341:$BQ341,Time!O$28,'Income Statement'!$J11:$BQ11)</f>
        <v>6928701.5727628535</v>
      </c>
      <c r="P11" s="12">
        <f ca="1">SUMIF(Time!$J341:$BQ341,Time!P$28,'Income Statement'!$J11:$BQ11)</f>
        <v>9905888.1038828027</v>
      </c>
      <c r="Q11" s="12">
        <f ca="1">SUMIF(Time!$J341:$BQ341,Time!Q$28,'Income Statement'!$J11:$BQ11)</f>
        <v>14750922.359954821</v>
      </c>
      <c r="R11" s="12">
        <f ca="1">SUMIF(Time!$J341:$BQ341,Time!R$28,'Income Statement'!$J11:$BQ11)</f>
        <v>21386147.069983862</v>
      </c>
      <c r="S11" s="12">
        <f ca="1">SUMIF(Time!$J341:$BQ341,Time!S$28,'Income Statement'!$J11:$BQ11)</f>
        <v>30406193.423255723</v>
      </c>
    </row>
    <row r="13" spans="1:19">
      <c r="E13" s="15" t="str">
        <f>Assets!E$12</f>
        <v xml:space="preserve">Depreciation this period </v>
      </c>
      <c r="F13" s="15">
        <f>Assets!F$12</f>
        <v>0</v>
      </c>
      <c r="G13" s="15" t="str">
        <f>Assets!G$12</f>
        <v>GBP</v>
      </c>
      <c r="H13" s="9">
        <f ca="1">Assets!H$12</f>
        <v>-3718654.3045475697</v>
      </c>
      <c r="I13" s="15">
        <f>Assets!I$12</f>
        <v>0</v>
      </c>
      <c r="J13" s="9">
        <f ca="1">SUMIF(Time!$J341:$BQ341,Time!J$28,Assets!$J12:$BQ12)</f>
        <v>-36458.333333333336</v>
      </c>
      <c r="K13" s="9">
        <f ca="1">SUMIF(Time!$J341:$BQ341,Time!K$28,Assets!$J12:$BQ12)</f>
        <v>-80208.333333333328</v>
      </c>
      <c r="L13" s="9">
        <f ca="1">SUMIF(Time!$J341:$BQ341,Time!L$28,Assets!$J12:$BQ12)</f>
        <v>-131250</v>
      </c>
      <c r="M13" s="9">
        <f ca="1">SUMIF(Time!$J341:$BQ341,Time!M$28,Assets!$J12:$BQ12)</f>
        <v>-196875.00000000003</v>
      </c>
      <c r="N13" s="9">
        <f ca="1">SUMIF(Time!$J341:$BQ341,Time!N$28,Assets!$J12:$BQ12)</f>
        <v>-287105.05754584068</v>
      </c>
      <c r="O13" s="9">
        <f ca="1">SUMIF(Time!$J341:$BQ341,Time!O$28,Assets!$J12:$BQ12)</f>
        <v>-346440.41176950315</v>
      </c>
      <c r="P13" s="9">
        <f ca="1">SUMIF(Time!$J341:$BQ341,Time!P$28,Assets!$J12:$BQ12)</f>
        <v>-456741.44059472263</v>
      </c>
      <c r="Q13" s="9">
        <f ca="1">SUMIF(Time!$J341:$BQ341,Time!Q$28,Assets!$J12:$BQ12)</f>
        <v>-597244.28658723214</v>
      </c>
      <c r="R13" s="9">
        <f ca="1">SUMIF(Time!$J341:$BQ341,Time!R$28,Assets!$J12:$BQ12)</f>
        <v>-748813.88930134638</v>
      </c>
      <c r="S13" s="9">
        <f ca="1">SUMIF(Time!$J341:$BQ341,Time!S$28,Assets!$J12:$BQ12)</f>
        <v>-837517.55208225723</v>
      </c>
    </row>
    <row r="14" spans="1:19">
      <c r="E14" s="12" t="s">
        <v>63</v>
      </c>
      <c r="F14" s="28"/>
      <c r="G14" s="12" t="s">
        <v>252</v>
      </c>
      <c r="H14" s="12">
        <f ca="1">SUM(J14:BQ14)</f>
        <v>87829618.362924531</v>
      </c>
      <c r="I14" s="28"/>
      <c r="J14" s="12">
        <f ca="1">SUMIF(Time!$J341:$BQ341,Time!J$28,'Income Statement'!$J14:$BQ14)</f>
        <v>-334749.29442721617</v>
      </c>
      <c r="K14" s="12">
        <f ca="1">SUMIF(Time!$J341:$BQ341,Time!K$28,'Income Statement'!$J14:$BQ14)</f>
        <v>398200.29268168181</v>
      </c>
      <c r="L14" s="12">
        <f ca="1">SUMIF(Time!$J341:$BQ341,Time!L$28,'Income Statement'!$J14:$BQ14)</f>
        <v>1313448.5351908777</v>
      </c>
      <c r="M14" s="12">
        <f ca="1">SUMIF(Time!$J341:$BQ341,Time!M$28,'Income Statement'!$J14:$BQ14)</f>
        <v>2363004.6562720039</v>
      </c>
      <c r="N14" s="12">
        <f ca="1">SUMIF(Time!$J341:$BQ341,Time!N$28,'Income Statement'!$J14:$BQ14)</f>
        <v>3698619.2237021751</v>
      </c>
      <c r="O14" s="12">
        <f ca="1">SUMIF(Time!$J341:$BQ341,Time!O$28,'Income Statement'!$J14:$BQ14)</f>
        <v>6582261.1609933507</v>
      </c>
      <c r="P14" s="12">
        <f ca="1">SUMIF(Time!$J341:$BQ341,Time!P$28,'Income Statement'!$J14:$BQ14)</f>
        <v>9449146.6632880792</v>
      </c>
      <c r="Q14" s="12">
        <f ca="1">SUMIF(Time!$J341:$BQ341,Time!Q$28,'Income Statement'!$J14:$BQ14)</f>
        <v>14153678.073367588</v>
      </c>
      <c r="R14" s="12">
        <f ca="1">SUMIF(Time!$J341:$BQ341,Time!R$28,'Income Statement'!$J14:$BQ14)</f>
        <v>20637333.180682518</v>
      </c>
      <c r="S14" s="12">
        <f ca="1">SUMIF(Time!$J341:$BQ341,Time!S$28,'Income Statement'!$J14:$BQ14)</f>
        <v>29568675.871173467</v>
      </c>
    </row>
    <row r="16" spans="1:19">
      <c r="E16" s="15" t="str">
        <f>'Supply Chain finance'!E$42</f>
        <v xml:space="preserve">Supply Chain Finance interest </v>
      </c>
      <c r="F16" s="15">
        <f>'Supply Chain finance'!F$42</f>
        <v>0</v>
      </c>
      <c r="G16" s="15" t="str">
        <f>'Supply Chain finance'!G$42</f>
        <v>GBP</v>
      </c>
      <c r="H16" s="9">
        <f ca="1">'Supply Chain finance'!H$42</f>
        <v>0</v>
      </c>
      <c r="I16" s="15">
        <f>'Supply Chain finance'!I$42</f>
        <v>0</v>
      </c>
      <c r="J16" s="9">
        <f ca="1">SUMIF(Time!$J341:$BQ341,Time!J$28,'Supply Chain finance'!$J42:$BQ42)</f>
        <v>0</v>
      </c>
      <c r="K16" s="9">
        <f ca="1">SUMIF(Time!$J341:$BQ341,Time!K$28,'Supply Chain finance'!$J42:$BQ42)</f>
        <v>0</v>
      </c>
      <c r="L16" s="9">
        <f ca="1">SUMIF(Time!$J341:$BQ341,Time!L$28,'Supply Chain finance'!$J42:$BQ42)</f>
        <v>0</v>
      </c>
      <c r="M16" s="9">
        <f ca="1">SUMIF(Time!$J341:$BQ341,Time!M$28,'Supply Chain finance'!$J42:$BQ42)</f>
        <v>0</v>
      </c>
      <c r="N16" s="9">
        <f ca="1">SUMIF(Time!$J341:$BQ341,Time!N$28,'Supply Chain finance'!$J42:$BQ42)</f>
        <v>0</v>
      </c>
      <c r="O16" s="9">
        <f ca="1">SUMIF(Time!$J341:$BQ341,Time!O$28,'Supply Chain finance'!$J42:$BQ42)</f>
        <v>0</v>
      </c>
      <c r="P16" s="9">
        <f ca="1">SUMIF(Time!$J341:$BQ341,Time!P$28,'Supply Chain finance'!$J42:$BQ42)</f>
        <v>0</v>
      </c>
      <c r="Q16" s="9">
        <f ca="1">SUMIF(Time!$J341:$BQ341,Time!Q$28,'Supply Chain finance'!$J42:$BQ42)</f>
        <v>0</v>
      </c>
      <c r="R16" s="9">
        <f ca="1">SUMIF(Time!$J341:$BQ341,Time!R$28,'Supply Chain finance'!$J42:$BQ42)</f>
        <v>0</v>
      </c>
      <c r="S16" s="9">
        <f ca="1">SUMIF(Time!$J341:$BQ341,Time!S$28,'Supply Chain finance'!$J42:$BQ42)</f>
        <v>0</v>
      </c>
    </row>
    <row r="17" spans="5:19">
      <c r="E17" s="15" t="str">
        <f>'Invoice finance'!E$41</f>
        <v xml:space="preserve">Invoice finance interest </v>
      </c>
      <c r="F17" s="15">
        <f>'Invoice finance'!F$41</f>
        <v>0</v>
      </c>
      <c r="G17" s="15" t="str">
        <f>'Invoice finance'!G$41</f>
        <v>GBP</v>
      </c>
      <c r="H17" s="9">
        <f ca="1">'Invoice finance'!H$41</f>
        <v>0</v>
      </c>
      <c r="I17" s="15">
        <f>'Invoice finance'!I$41</f>
        <v>0</v>
      </c>
      <c r="J17" s="9">
        <f ca="1">SUMIF(Time!$J341:$BQ341,Time!J$28,'Invoice finance'!$J41:$BQ41)</f>
        <v>0</v>
      </c>
      <c r="K17" s="9">
        <f ca="1">SUMIF(Time!$J341:$BQ341,Time!K$28,'Invoice finance'!$J41:$BQ41)</f>
        <v>0</v>
      </c>
      <c r="L17" s="9">
        <f ca="1">SUMIF(Time!$J341:$BQ341,Time!L$28,'Invoice finance'!$J41:$BQ41)</f>
        <v>0</v>
      </c>
      <c r="M17" s="9">
        <f ca="1">SUMIF(Time!$J341:$BQ341,Time!M$28,'Invoice finance'!$J41:$BQ41)</f>
        <v>0</v>
      </c>
      <c r="N17" s="9">
        <f ca="1">SUMIF(Time!$J341:$BQ341,Time!N$28,'Invoice finance'!$J41:$BQ41)</f>
        <v>0</v>
      </c>
      <c r="O17" s="9">
        <f ca="1">SUMIF(Time!$J341:$BQ341,Time!O$28,'Invoice finance'!$J41:$BQ41)</f>
        <v>0</v>
      </c>
      <c r="P17" s="9">
        <f ca="1">SUMIF(Time!$J341:$BQ341,Time!P$28,'Invoice finance'!$J41:$BQ41)</f>
        <v>0</v>
      </c>
      <c r="Q17" s="9">
        <f ca="1">SUMIF(Time!$J341:$BQ341,Time!Q$28,'Invoice finance'!$J41:$BQ41)</f>
        <v>0</v>
      </c>
      <c r="R17" s="9">
        <f ca="1">SUMIF(Time!$J341:$BQ341,Time!R$28,'Invoice finance'!$J41:$BQ41)</f>
        <v>0</v>
      </c>
      <c r="S17" s="9">
        <f ca="1">SUMIF(Time!$J341:$BQ341,Time!S$28,'Invoice finance'!$J41:$BQ41)</f>
        <v>0</v>
      </c>
    </row>
    <row r="18" spans="5:19">
      <c r="E18" s="15" t="str">
        <f>'Asset Finance'!E$42</f>
        <v xml:space="preserve">Asset Finance interest </v>
      </c>
      <c r="F18" s="15">
        <f>'Asset Finance'!F$42</f>
        <v>0</v>
      </c>
      <c r="G18" s="15" t="str">
        <f>'Asset Finance'!G$42</f>
        <v>GBP</v>
      </c>
      <c r="H18" s="9">
        <f ca="1">'Asset Finance'!H$42</f>
        <v>0</v>
      </c>
      <c r="I18" s="15">
        <f>'Asset Finance'!I$42</f>
        <v>0</v>
      </c>
      <c r="J18" s="9">
        <f ca="1">SUMIF(Time!$J341:$BQ341,Time!J$28,'Asset Finance'!$J42:$BQ42)</f>
        <v>0</v>
      </c>
      <c r="K18" s="9">
        <f ca="1">SUMIF(Time!$J341:$BQ341,Time!K$28,'Asset Finance'!$J42:$BQ42)</f>
        <v>0</v>
      </c>
      <c r="L18" s="9">
        <f ca="1">SUMIF(Time!$J341:$BQ341,Time!L$28,'Asset Finance'!$J42:$BQ42)</f>
        <v>0</v>
      </c>
      <c r="M18" s="9">
        <f ca="1">SUMIF(Time!$J341:$BQ341,Time!M$28,'Asset Finance'!$J42:$BQ42)</f>
        <v>0</v>
      </c>
      <c r="N18" s="9">
        <f ca="1">SUMIF(Time!$J341:$BQ341,Time!N$28,'Asset Finance'!$J42:$BQ42)</f>
        <v>0</v>
      </c>
      <c r="O18" s="9">
        <f ca="1">SUMIF(Time!$J341:$BQ341,Time!O$28,'Asset Finance'!$J42:$BQ42)</f>
        <v>0</v>
      </c>
      <c r="P18" s="9">
        <f ca="1">SUMIF(Time!$J341:$BQ341,Time!P$28,'Asset Finance'!$J42:$BQ42)</f>
        <v>0</v>
      </c>
      <c r="Q18" s="9">
        <f ca="1">SUMIF(Time!$J341:$BQ341,Time!Q$28,'Asset Finance'!$J42:$BQ42)</f>
        <v>0</v>
      </c>
      <c r="R18" s="9">
        <f ca="1">SUMIF(Time!$J341:$BQ341,Time!R$28,'Asset Finance'!$J42:$BQ42)</f>
        <v>0</v>
      </c>
      <c r="S18" s="9">
        <f ca="1">SUMIF(Time!$J341:$BQ341,Time!S$28,'Asset Finance'!$J42:$BQ42)</f>
        <v>0</v>
      </c>
    </row>
    <row r="19" spans="5:19">
      <c r="E19" s="12" t="s">
        <v>177</v>
      </c>
      <c r="F19" s="28"/>
      <c r="G19" s="12" t="s">
        <v>252</v>
      </c>
      <c r="H19" s="12">
        <f ca="1">SUM(J19:BQ19)</f>
        <v>87829618.362924531</v>
      </c>
      <c r="I19" s="28"/>
      <c r="J19" s="12">
        <f ca="1">SUMIF(Time!$J341:$BQ341,Time!J$28,'Income Statement'!$J19:$BQ19)</f>
        <v>-334749.29442721617</v>
      </c>
      <c r="K19" s="12">
        <f ca="1">SUMIF(Time!$J341:$BQ341,Time!K$28,'Income Statement'!$J19:$BQ19)</f>
        <v>398200.29268168181</v>
      </c>
      <c r="L19" s="12">
        <f ca="1">SUMIF(Time!$J341:$BQ341,Time!L$28,'Income Statement'!$J19:$BQ19)</f>
        <v>1313448.5351908777</v>
      </c>
      <c r="M19" s="12">
        <f ca="1">SUMIF(Time!$J341:$BQ341,Time!M$28,'Income Statement'!$J19:$BQ19)</f>
        <v>2363004.6562720039</v>
      </c>
      <c r="N19" s="12">
        <f ca="1">SUMIF(Time!$J341:$BQ341,Time!N$28,'Income Statement'!$J19:$BQ19)</f>
        <v>3698619.2237021751</v>
      </c>
      <c r="O19" s="12">
        <f ca="1">SUMIF(Time!$J341:$BQ341,Time!O$28,'Income Statement'!$J19:$BQ19)</f>
        <v>6582261.1609933507</v>
      </c>
      <c r="P19" s="12">
        <f ca="1">SUMIF(Time!$J341:$BQ341,Time!P$28,'Income Statement'!$J19:$BQ19)</f>
        <v>9449146.6632880792</v>
      </c>
      <c r="Q19" s="12">
        <f ca="1">SUMIF(Time!$J341:$BQ341,Time!Q$28,'Income Statement'!$J19:$BQ19)</f>
        <v>14153678.073367588</v>
      </c>
      <c r="R19" s="12">
        <f ca="1">SUMIF(Time!$J341:$BQ341,Time!R$28,'Income Statement'!$J19:$BQ19)</f>
        <v>20637333.180682518</v>
      </c>
      <c r="S19" s="12">
        <f ca="1">SUMIF(Time!$J341:$BQ341,Time!S$28,'Income Statement'!$J19:$BQ19)</f>
        <v>29568675.871173467</v>
      </c>
    </row>
    <row r="21" spans="5:19">
      <c r="E21" s="15" t="str">
        <f>'Corporation tax'!E$48</f>
        <v xml:space="preserve">Corporation tax </v>
      </c>
      <c r="F21" s="15">
        <f>'Corporation tax'!F$48</f>
        <v>0</v>
      </c>
      <c r="G21" s="15" t="str">
        <f>'Corporation tax'!G$48</f>
        <v>GBP</v>
      </c>
      <c r="H21" s="9">
        <f ca="1">'Corporation tax'!H$48</f>
        <v>-18318854.533494424</v>
      </c>
      <c r="I21" s="15">
        <f>'Corporation tax'!I$48</f>
        <v>0</v>
      </c>
      <c r="J21" s="9">
        <f ca="1">SUMIF(Time!$J341:$BQ341,Time!J$28,'Corporation tax'!$J48:$BQ48)</f>
        <v>0</v>
      </c>
      <c r="K21" s="9">
        <f ca="1">SUMIF(Time!$J341:$BQ341,Time!K$28,'Corporation tax'!$J48:$BQ48)</f>
        <v>-45223.532984226469</v>
      </c>
      <c r="L21" s="9">
        <f ca="1">SUMIF(Time!$J341:$BQ341,Time!L$28,'Corporation tax'!$J48:$BQ48)</f>
        <v>-288939.70703817561</v>
      </c>
      <c r="M21" s="9">
        <f ca="1">SUMIF(Time!$J341:$BQ341,Time!M$28,'Corporation tax'!$J48:$BQ48)</f>
        <v>-511975.93125440076</v>
      </c>
      <c r="N21" s="9">
        <f ca="1">SUMIF(Time!$J341:$BQ341,Time!N$28,'Corporation tax'!$J48:$BQ48)</f>
        <v>-797144.85624960321</v>
      </c>
      <c r="O21" s="9">
        <f ca="1">SUMIF(Time!$J341:$BQ341,Time!O$28,'Corporation tax'!$J48:$BQ48)</f>
        <v>-1385740.3145525712</v>
      </c>
      <c r="P21" s="9">
        <f ca="1">SUMIF(Time!$J341:$BQ341,Time!P$28,'Corporation tax'!$J48:$BQ48)</f>
        <v>-1981177.6207765604</v>
      </c>
      <c r="Q21" s="9">
        <f ca="1">SUMIF(Time!$J341:$BQ341,Time!Q$28,'Corporation tax'!$J48:$BQ48)</f>
        <v>-2950184.4719909644</v>
      </c>
      <c r="R21" s="9">
        <f ca="1">SUMIF(Time!$J341:$BQ341,Time!R$28,'Corporation tax'!$J48:$BQ48)</f>
        <v>-4277229.4139967728</v>
      </c>
      <c r="S21" s="9">
        <f ca="1">SUMIF(Time!$J341:$BQ341,Time!S$28,'Corporation tax'!$J48:$BQ48)</f>
        <v>-6081238.6846511457</v>
      </c>
    </row>
    <row r="22" spans="5:19">
      <c r="E22" s="12" t="s">
        <v>38</v>
      </c>
      <c r="F22" s="28"/>
      <c r="G22" s="12" t="s">
        <v>252</v>
      </c>
      <c r="H22" s="12">
        <f ca="1">SUM(J22:BQ22)</f>
        <v>69510763.829430103</v>
      </c>
      <c r="I22" s="28"/>
      <c r="J22" s="12">
        <f ca="1">SUMIF(Time!$J341:$BQ341,Time!J$28,'Income Statement'!$J22:$BQ22)</f>
        <v>-334749.29442721617</v>
      </c>
      <c r="K22" s="12">
        <f ca="1">SUMIF(Time!$J341:$BQ341,Time!K$28,'Income Statement'!$J22:$BQ22)</f>
        <v>352976.75969745539</v>
      </c>
      <c r="L22" s="12">
        <f ca="1">SUMIF(Time!$J341:$BQ341,Time!L$28,'Income Statement'!$J22:$BQ22)</f>
        <v>1024508.8281527022</v>
      </c>
      <c r="M22" s="12">
        <f ca="1">SUMIF(Time!$J341:$BQ341,Time!M$28,'Income Statement'!$J22:$BQ22)</f>
        <v>1851028.725017603</v>
      </c>
      <c r="N22" s="12">
        <f ca="1">SUMIF(Time!$J341:$BQ341,Time!N$28,'Income Statement'!$J22:$BQ22)</f>
        <v>2901474.3674525716</v>
      </c>
      <c r="O22" s="12">
        <f ca="1">SUMIF(Time!$J341:$BQ341,Time!O$28,'Income Statement'!$J22:$BQ22)</f>
        <v>5196520.8464407809</v>
      </c>
      <c r="P22" s="12">
        <f ca="1">SUMIF(Time!$J341:$BQ341,Time!P$28,'Income Statement'!$J22:$BQ22)</f>
        <v>7467969.042511519</v>
      </c>
      <c r="Q22" s="12">
        <f ca="1">SUMIF(Time!$J341:$BQ341,Time!Q$28,'Income Statement'!$J22:$BQ22)</f>
        <v>11203493.601376625</v>
      </c>
      <c r="R22" s="12">
        <f ca="1">SUMIF(Time!$J341:$BQ341,Time!R$28,'Income Statement'!$J22:$BQ22)</f>
        <v>16360103.766685743</v>
      </c>
      <c r="S22" s="12">
        <f ca="1">SUMIF(Time!$J341:$BQ341,Time!S$28,'Income Statement'!$J22:$BQ22)</f>
        <v>23487437.186522324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:XFD27"/>
  <sheetViews>
    <sheetView workbookViewId="0">
      <selection activeCell="J11" sqref="J11"/>
    </sheetView>
  </sheetViews>
  <sheetFormatPr defaultColWidth="15.08984375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31.7265625" customWidth="1"/>
    <col min="6" max="6" width="20.7265625" customWidth="1"/>
    <col min="7" max="7" width="13.7265625" customWidth="1"/>
    <col min="8" max="8" width="7.7265625" style="2" customWidth="1"/>
    <col min="9" max="9" width="3.7265625" customWidth="1"/>
    <col min="10" max="11" width="12.7265625" customWidth="1"/>
    <col min="12" max="12" width="11.7265625" customWidth="1"/>
    <col min="13" max="14" width="12.7265625" customWidth="1"/>
    <col min="15" max="15" width="11.7265625" customWidth="1"/>
    <col min="16" max="17" width="12.7265625" customWidth="1"/>
    <col min="18" max="18" width="11.7265625" customWidth="1"/>
    <col min="19" max="19" width="12.7265625" customWidth="1"/>
    <col min="20" max="21" width="11.7265625" customWidth="1"/>
    <col min="22" max="23" width="12.7265625" customWidth="1"/>
    <col min="24" max="24" width="11.7265625" customWidth="1"/>
    <col min="25" max="26" width="12.7265625" customWidth="1"/>
    <col min="27" max="27" width="11.7265625" customWidth="1"/>
    <col min="28" max="29" width="12.7265625" customWidth="1"/>
    <col min="30" max="30" width="11.7265625" customWidth="1"/>
    <col min="31" max="31" width="12.7265625" customWidth="1"/>
    <col min="32" max="33" width="11.7265625" customWidth="1"/>
    <col min="34" max="35" width="12.7265625" customWidth="1"/>
    <col min="36" max="36" width="11.7265625" customWidth="1"/>
    <col min="37" max="38" width="12.7265625" customWidth="1"/>
    <col min="39" max="39" width="11.7265625" customWidth="1"/>
    <col min="40" max="41" width="12.7265625" customWidth="1"/>
    <col min="42" max="42" width="11.7265625" customWidth="1"/>
    <col min="43" max="43" width="12.7265625" customWidth="1"/>
    <col min="44" max="45" width="11.7265625" customWidth="1"/>
    <col min="46" max="47" width="12.7265625" customWidth="1"/>
    <col min="48" max="69" width="13.7265625" customWidth="1"/>
  </cols>
  <sheetData>
    <row r="1" spans="1:69" s="53" customFormat="1" ht="25">
      <c r="A1" s="37" t="str">
        <f ca="1">RIGHT(CELL("filename",A1),LEN(CELL("filename",A1))-SEARCH("]",CELL("filename",A1)))</f>
        <v>Balance Sheet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69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69" s="2" customFormat="1" ht="13">
      <c r="A6" s="22"/>
      <c r="B6" s="22"/>
      <c r="C6" s="40"/>
      <c r="D6" s="54"/>
      <c r="F6" s="22"/>
      <c r="G6" s="22"/>
      <c r="H6" s="22"/>
    </row>
    <row r="8" spans="1:69">
      <c r="A8"/>
      <c r="E8" s="15" t="str">
        <f>Assets!E$21</f>
        <v>Inventory</v>
      </c>
      <c r="F8" s="15">
        <f>Assets!F$21</f>
        <v>0</v>
      </c>
      <c r="G8" s="15" t="str">
        <f>Assets!G$21</f>
        <v>GBP</v>
      </c>
      <c r="H8" s="9">
        <f>Assets!H$21</f>
        <v>0</v>
      </c>
      <c r="I8" s="15">
        <f>Assets!I$21</f>
        <v>0</v>
      </c>
      <c r="J8" s="9">
        <f ca="1">Assets!J$21</f>
        <v>175000</v>
      </c>
      <c r="K8" s="9">
        <f ca="1">Assets!K$21</f>
        <v>175000</v>
      </c>
      <c r="L8" s="9">
        <f ca="1">Assets!L$21</f>
        <v>175000</v>
      </c>
      <c r="M8" s="9">
        <f ca="1">Assets!M$21</f>
        <v>175000</v>
      </c>
      <c r="N8" s="9">
        <f ca="1">Assets!N$21</f>
        <v>175000</v>
      </c>
      <c r="O8" s="9">
        <f ca="1">Assets!O$21</f>
        <v>175000</v>
      </c>
      <c r="P8" s="9">
        <f ca="1">Assets!P$21</f>
        <v>350000</v>
      </c>
      <c r="Q8" s="9">
        <f ca="1">Assets!Q$21</f>
        <v>350000</v>
      </c>
      <c r="R8" s="9">
        <f ca="1">Assets!R$21</f>
        <v>350000</v>
      </c>
      <c r="S8" s="9">
        <f ca="1">Assets!S$21</f>
        <v>350000</v>
      </c>
      <c r="T8" s="9">
        <f ca="1">Assets!T$21</f>
        <v>350000</v>
      </c>
      <c r="U8" s="9">
        <f ca="1">Assets!U$21</f>
        <v>350000</v>
      </c>
      <c r="V8" s="9">
        <f ca="1">Assets!V$21</f>
        <v>525000</v>
      </c>
      <c r="W8" s="9">
        <f ca="1">Assets!W$21</f>
        <v>525000</v>
      </c>
      <c r="X8" s="9">
        <f ca="1">Assets!X$21</f>
        <v>525000</v>
      </c>
      <c r="Y8" s="9">
        <f ca="1">Assets!Y$21</f>
        <v>525000</v>
      </c>
      <c r="Z8" s="9">
        <f ca="1">Assets!Z$21</f>
        <v>700000</v>
      </c>
      <c r="AA8" s="9">
        <f ca="1">Assets!AA$21</f>
        <v>700000</v>
      </c>
      <c r="AB8" s="9">
        <f ca="1">Assets!AB$21</f>
        <v>700000</v>
      </c>
      <c r="AC8" s="9">
        <f ca="1">Assets!AC$21</f>
        <v>700000</v>
      </c>
      <c r="AD8" s="9">
        <f ca="1">Assets!AD$21</f>
        <v>875000</v>
      </c>
      <c r="AE8" s="9">
        <f ca="1">Assets!AE$21</f>
        <v>875000</v>
      </c>
      <c r="AF8" s="9">
        <f ca="1">Assets!AF$21</f>
        <v>875000</v>
      </c>
      <c r="AG8" s="9">
        <f ca="1">Assets!AG$21</f>
        <v>1050000</v>
      </c>
      <c r="AH8" s="9">
        <f ca="1">Assets!AH$21</f>
        <v>1032500</v>
      </c>
      <c r="AI8" s="9">
        <f ca="1">Assets!AI$21</f>
        <v>1188938.8457532576</v>
      </c>
      <c r="AJ8" s="9">
        <f ca="1">Assets!AJ$21</f>
        <v>1169289.5417779363</v>
      </c>
      <c r="AK8" s="9">
        <f ca="1">Assets!AK$21</f>
        <v>1148448.7553821038</v>
      </c>
      <c r="AL8" s="9">
        <f ca="1">Assets!AL$21</f>
        <v>1301344.2381868779</v>
      </c>
      <c r="AM8" s="9">
        <f ca="1">Assets!AM$21</f>
        <v>1277943.8412167949</v>
      </c>
      <c r="AN8" s="9">
        <f ca="1">Assets!AN$21</f>
        <v>1253124.5053541255</v>
      </c>
      <c r="AO8" s="9">
        <f ca="1">Assets!AO$21</f>
        <v>1401850.133170791</v>
      </c>
      <c r="AP8" s="9">
        <f ca="1">Assets!AP$21</f>
        <v>1373982.551751866</v>
      </c>
      <c r="AQ8" s="9">
        <f ca="1">Assets!AQ$21</f>
        <v>1519425.1530547051</v>
      </c>
      <c r="AR8" s="9">
        <f ca="1">Assets!AR$21</f>
        <v>1488243.6979197932</v>
      </c>
      <c r="AS8" s="9">
        <f ca="1">Assets!AS$21</f>
        <v>1630176.8000105759</v>
      </c>
      <c r="AT8" s="9">
        <f ca="1">Assets!AT$21</f>
        <v>1770176.8000105759</v>
      </c>
      <c r="AU8" s="9">
        <f ca="1">Assets!AU$21</f>
        <v>1733022.2670984673</v>
      </c>
      <c r="AV8" s="9">
        <f ca="1">Assets!AV$21</f>
        <v>1868692.6108730552</v>
      </c>
      <c r="AW8" s="9">
        <f ca="1">Assets!AW$21</f>
        <v>2001981.4664027584</v>
      </c>
      <c r="AX8" s="9">
        <f ca="1">Assets!AX$21</f>
        <v>1957744.6298779114</v>
      </c>
      <c r="AY8" s="9">
        <f ca="1">Assets!AY$21</f>
        <v>2085918.0535046426</v>
      </c>
      <c r="AZ8" s="9">
        <f ca="1">Assets!AZ$21</f>
        <v>2211256.0355871608</v>
      </c>
      <c r="BA8" s="9">
        <f ca="1">Assets!BA$21</f>
        <v>2333686.6735452479</v>
      </c>
      <c r="BB8" s="9">
        <f ca="1">Assets!BB$21</f>
        <v>2452904.6535919858</v>
      </c>
      <c r="BC8" s="9">
        <f ca="1">Assets!BC$21</f>
        <v>2568743.3356381566</v>
      </c>
      <c r="BD8" s="9">
        <f ca="1">Assets!BD$21</f>
        <v>2681354.1262263786</v>
      </c>
      <c r="BE8" s="9">
        <f ca="1">Assets!BE$21</f>
        <v>2790185.3525249097</v>
      </c>
      <c r="BF8" s="9">
        <f ca="1">Assets!BF$21</f>
        <v>2879391.0681738076</v>
      </c>
      <c r="BG8" s="9">
        <f ca="1">Assets!BG$21</f>
        <v>2963398.4330829773</v>
      </c>
      <c r="BH8" s="9">
        <f ca="1">Assets!BH$21</f>
        <v>3042075.4324651109</v>
      </c>
      <c r="BI8" s="9">
        <f ca="1">Assets!BI$21</f>
        <v>3114916.1368917003</v>
      </c>
      <c r="BJ8" s="9">
        <f ca="1">Assets!BJ$21</f>
        <v>3181566.9200938065</v>
      </c>
      <c r="BK8" s="9">
        <f ca="1">Assets!BK$21</f>
        <v>3241870.5858342983</v>
      </c>
      <c r="BL8" s="9">
        <f ca="1">Assets!BL$21</f>
        <v>3295224.7000886113</v>
      </c>
      <c r="BM8" s="9">
        <f ca="1">Assets!BM$21</f>
        <v>3341452.7754119621</v>
      </c>
      <c r="BN8" s="9">
        <f ca="1">Assets!BN$21</f>
        <v>3379831.3321304158</v>
      </c>
      <c r="BO8" s="9">
        <f ca="1">Assets!BO$21</f>
        <v>3409930.2886131695</v>
      </c>
      <c r="BP8" s="9">
        <f ca="1">Assets!BP$21</f>
        <v>3432111.5678957189</v>
      </c>
      <c r="BQ8" s="9">
        <f ca="1">Assets!BQ$21</f>
        <v>3445036.4383722316</v>
      </c>
    </row>
    <row r="9" spans="1:69">
      <c r="E9" s="15" t="str">
        <f>Assets!E$30</f>
        <v xml:space="preserve">Depreciation </v>
      </c>
      <c r="F9" s="15">
        <f>Assets!F$30</f>
        <v>0</v>
      </c>
      <c r="G9" s="15" t="str">
        <f>Assets!G$30</f>
        <v>GBP</v>
      </c>
      <c r="H9" s="9">
        <f>Assets!H$30</f>
        <v>0</v>
      </c>
      <c r="I9" s="15">
        <f>Assets!I$30</f>
        <v>0</v>
      </c>
      <c r="J9" s="9">
        <f ca="1">Assets!J$30</f>
        <v>0</v>
      </c>
      <c r="K9" s="9">
        <f ca="1">Assets!K$30</f>
        <v>-7291.666666666667</v>
      </c>
      <c r="L9" s="9">
        <f ca="1">Assets!L$30</f>
        <v>-14583.333333333334</v>
      </c>
      <c r="M9" s="9">
        <f ca="1">Assets!M$30</f>
        <v>-21875</v>
      </c>
      <c r="N9" s="9">
        <f ca="1">Assets!N$30</f>
        <v>-29166.666666666668</v>
      </c>
      <c r="O9" s="9">
        <f ca="1">Assets!O$30</f>
        <v>-36458.333333333336</v>
      </c>
      <c r="P9" s="9">
        <f ca="1">Assets!P$30</f>
        <v>-43750</v>
      </c>
      <c r="Q9" s="9">
        <f ca="1">Assets!Q$30</f>
        <v>-58333.333333333336</v>
      </c>
      <c r="R9" s="9">
        <f ca="1">Assets!R$30</f>
        <v>-72916.666666666672</v>
      </c>
      <c r="S9" s="9">
        <f ca="1">Assets!S$30</f>
        <v>-87500</v>
      </c>
      <c r="T9" s="9">
        <f ca="1">Assets!T$30</f>
        <v>-102083.33333333333</v>
      </c>
      <c r="U9" s="9">
        <f ca="1">Assets!U$30</f>
        <v>-116666.66666666666</v>
      </c>
      <c r="V9" s="9">
        <f ca="1">Assets!V$30</f>
        <v>-131250</v>
      </c>
      <c r="W9" s="9">
        <f ca="1">Assets!W$30</f>
        <v>-153125</v>
      </c>
      <c r="X9" s="9">
        <f ca="1">Assets!X$30</f>
        <v>-175000</v>
      </c>
      <c r="Y9" s="9">
        <f ca="1">Assets!Y$30</f>
        <v>-196875</v>
      </c>
      <c r="Z9" s="9">
        <f ca="1">Assets!Z$30</f>
        <v>-218750</v>
      </c>
      <c r="AA9" s="9">
        <f ca="1">Assets!AA$30</f>
        <v>-247916.66666666666</v>
      </c>
      <c r="AB9" s="9">
        <f ca="1">Assets!AB$30</f>
        <v>-277083.33333333331</v>
      </c>
      <c r="AC9" s="9">
        <f ca="1">Assets!AC$30</f>
        <v>-306250</v>
      </c>
      <c r="AD9" s="9">
        <f ca="1">Assets!AD$30</f>
        <v>-335416.66666666669</v>
      </c>
      <c r="AE9" s="9">
        <f ca="1">Assets!AE$30</f>
        <v>-371875</v>
      </c>
      <c r="AF9" s="9">
        <f ca="1">Assets!AF$30</f>
        <v>-408333.33333333331</v>
      </c>
      <c r="AG9" s="9">
        <f ca="1">Assets!AG$30</f>
        <v>-444791.66666666663</v>
      </c>
      <c r="AH9" s="9">
        <f ca="1">Assets!AH$30</f>
        <v>-471041.66666666663</v>
      </c>
      <c r="AI9" s="9">
        <f ca="1">Assets!AI$30</f>
        <v>-495501.34575325763</v>
      </c>
      <c r="AJ9" s="9">
        <f ca="1">Assets!AJ$30</f>
        <v>-525391.16035098862</v>
      </c>
      <c r="AK9" s="9">
        <f ca="1">Assets!AK$30</f>
        <v>-553270.77152923681</v>
      </c>
      <c r="AL9" s="9">
        <f ca="1">Assets!AL$30</f>
        <v>-579018.28580826521</v>
      </c>
      <c r="AM9" s="9">
        <f ca="1">Assets!AM$30</f>
        <v>-609840.56542930205</v>
      </c>
      <c r="AN9" s="9">
        <f ca="1">Assets!AN$30</f>
        <v>-638268.88961733249</v>
      </c>
      <c r="AO9" s="9">
        <f ca="1">Assets!AO$30</f>
        <v>-664208.03849041997</v>
      </c>
      <c r="AP9" s="9">
        <f ca="1">Assets!AP$30</f>
        <v>-694750.87928694463</v>
      </c>
      <c r="AQ9" s="9">
        <f ca="1">Assets!AQ$30</f>
        <v>-722442.75357944483</v>
      </c>
      <c r="AR9" s="9">
        <f ca="1">Assets!AR$30</f>
        <v>-754570.67982181231</v>
      </c>
      <c r="AS9" s="9">
        <f ca="1">Assets!AS$30</f>
        <v>-783513.93599258631</v>
      </c>
      <c r="AT9" s="9">
        <f ca="1">Assets!AT$30</f>
        <v>-816437.96932636027</v>
      </c>
      <c r="AU9" s="9">
        <f ca="1">Assets!AU$30</f>
        <v>-853040.80308135902</v>
      </c>
      <c r="AV9" s="9">
        <f ca="1">Assets!AV$30</f>
        <v>-885920.40798504965</v>
      </c>
      <c r="AW9" s="9">
        <f ca="1">Assets!AW$30</f>
        <v>-922071.45563446335</v>
      </c>
      <c r="AX9" s="9">
        <f ca="1">Assets!AX$30</f>
        <v>-961250.51354306482</v>
      </c>
      <c r="AY9" s="9">
        <f ca="1">Assets!AY$30</f>
        <v>-995996.63008137571</v>
      </c>
      <c r="AZ9" s="9">
        <f ca="1">Assets!AZ$30</f>
        <v>-1033247.8643932543</v>
      </c>
      <c r="BA9" s="9">
        <f ca="1">Assets!BA$30</f>
        <v>-1072814.1705008063</v>
      </c>
      <c r="BB9" s="9">
        <f ca="1">Assets!BB$30</f>
        <v>-1114269.0952785963</v>
      </c>
      <c r="BC9" s="9">
        <f ca="1">Assets!BC$30</f>
        <v>-1157312.1378910998</v>
      </c>
      <c r="BD9" s="9">
        <f ca="1">Assets!BD$30</f>
        <v>-1201953.9007975785</v>
      </c>
      <c r="BE9" s="9">
        <f ca="1">Assets!BE$30</f>
        <v>-1247508.2156888754</v>
      </c>
      <c r="BF9" s="9">
        <f ca="1">Assets!BF$30</f>
        <v>-1277971.6543596443</v>
      </c>
      <c r="BG9" s="9">
        <f ca="1">Assets!BG$30</f>
        <v>-1306953.6471093891</v>
      </c>
      <c r="BH9" s="9">
        <f ca="1">Assets!BH$30</f>
        <v>-1334105.5812033135</v>
      </c>
      <c r="BI9" s="9">
        <f ca="1">Assets!BI$30</f>
        <v>-1358699.4286492828</v>
      </c>
      <c r="BJ9" s="9">
        <f ca="1">Assets!BJ$30</f>
        <v>-1380138.3842218767</v>
      </c>
      <c r="BK9" s="9">
        <f ca="1">Assets!BK$30</f>
        <v>-1398007.3382996104</v>
      </c>
      <c r="BL9" s="9">
        <f ca="1">Assets!BL$30</f>
        <v>-1411439.3936303528</v>
      </c>
      <c r="BM9" s="9">
        <f ca="1">Assets!BM$30</f>
        <v>-1419968.4981240625</v>
      </c>
      <c r="BN9" s="9">
        <f ca="1">Assets!BN$30</f>
        <v>-1422574.2538180149</v>
      </c>
      <c r="BO9" s="9">
        <f ca="1">Assets!BO$30</f>
        <v>-1418499.5158062028</v>
      </c>
      <c r="BP9" s="9">
        <f ca="1">Assets!BP$30</f>
        <v>-1407761.2237809673</v>
      </c>
      <c r="BQ9" s="9">
        <f ca="1">Assets!BQ$30</f>
        <v>-1388690.7429198015</v>
      </c>
    </row>
    <row r="10" spans="1:69">
      <c r="E10" s="15" t="str">
        <f>'Working Capital'!E$45</f>
        <v>Debtors</v>
      </c>
      <c r="F10" s="15">
        <f>'Working Capital'!F$45</f>
        <v>0</v>
      </c>
      <c r="G10" s="15" t="str">
        <f>'Working Capital'!G$45</f>
        <v>GBP</v>
      </c>
      <c r="H10" s="9">
        <f>'Working Capital'!H$45</f>
        <v>0</v>
      </c>
      <c r="I10" s="15">
        <f>'Working Capital'!I$45</f>
        <v>0</v>
      </c>
      <c r="J10" s="9">
        <f ca="1">'Working Capital'!J$45</f>
        <v>0</v>
      </c>
      <c r="K10" s="9">
        <f ca="1">'Working Capital'!K$45</f>
        <v>0</v>
      </c>
      <c r="L10" s="9">
        <f ca="1">'Working Capital'!L$45</f>
        <v>0</v>
      </c>
      <c r="M10" s="9">
        <f ca="1">'Working Capital'!M$45</f>
        <v>0</v>
      </c>
      <c r="N10" s="9">
        <f ca="1">'Working Capital'!N$45</f>
        <v>0</v>
      </c>
      <c r="O10" s="9">
        <f ca="1">'Working Capital'!O$45</f>
        <v>0</v>
      </c>
      <c r="P10" s="9">
        <f ca="1">'Working Capital'!P$45</f>
        <v>0</v>
      </c>
      <c r="Q10" s="9">
        <f ca="1">'Working Capital'!Q$45</f>
        <v>2115007.122900594</v>
      </c>
      <c r="R10" s="9">
        <f ca="1">'Working Capital'!R$45</f>
        <v>2493358.0823406102</v>
      </c>
      <c r="S10" s="9">
        <f ca="1">'Working Capital'!S$45</f>
        <v>404992.87709940551</v>
      </c>
      <c r="T10" s="9">
        <f ca="1">'Working Capital'!T$45</f>
        <v>26641.917659388972</v>
      </c>
      <c r="U10" s="9">
        <f ca="1">'Working Capital'!U$45</f>
        <v>-3.8562575355172157E-10</v>
      </c>
      <c r="V10" s="9">
        <f ca="1">'Working Capital'!V$45</f>
        <v>-3.8562575355172157E-10</v>
      </c>
      <c r="W10" s="9">
        <f ca="1">'Working Capital'!W$45</f>
        <v>2229454.0798477088</v>
      </c>
      <c r="X10" s="9">
        <f ca="1">'Working Capital'!X$45</f>
        <v>2519999.9999999995</v>
      </c>
      <c r="Y10" s="9">
        <f ca="1">'Working Capital'!Y$45</f>
        <v>290545.92015229026</v>
      </c>
      <c r="Z10" s="9">
        <f ca="1">'Working Capital'!Z$45</f>
        <v>-6.9849193096160889E-10</v>
      </c>
      <c r="AA10" s="9">
        <f ca="1">'Working Capital'!AA$45</f>
        <v>-6.9849193096160889E-10</v>
      </c>
      <c r="AB10" s="9">
        <f ca="1">'Working Capital'!AB$45</f>
        <v>-6.9849193096160889E-10</v>
      </c>
      <c r="AC10" s="9">
        <f ca="1">'Working Capital'!AC$45</f>
        <v>4635007.1229005931</v>
      </c>
      <c r="AD10" s="9">
        <f ca="1">'Working Capital'!AD$45</f>
        <v>5013358.0823406093</v>
      </c>
      <c r="AE10" s="9">
        <f ca="1">'Working Capital'!AE$45</f>
        <v>404992.87709940411</v>
      </c>
      <c r="AF10" s="9">
        <f ca="1">'Working Capital'!AF$45</f>
        <v>26641.917659387575</v>
      </c>
      <c r="AG10" s="9">
        <f ca="1">'Working Capital'!AG$45</f>
        <v>2519999.9999999981</v>
      </c>
      <c r="AH10" s="9">
        <f ca="1">'Working Capital'!AH$45</f>
        <v>2519999.9999999981</v>
      </c>
      <c r="AI10" s="9">
        <f ca="1">'Working Capital'!AI$45</f>
        <v>2733454.0798477074</v>
      </c>
      <c r="AJ10" s="9">
        <f ca="1">'Working Capital'!AJ$45</f>
        <v>3558561.242306177</v>
      </c>
      <c r="AK10" s="9">
        <f ca="1">'Working Capital'!AK$45</f>
        <v>3911007.1169477245</v>
      </c>
      <c r="AL10" s="9">
        <f ca="1">'Working Capital'!AL$45</f>
        <v>3686114.6026892285</v>
      </c>
      <c r="AM10" s="9">
        <f ca="1">'Working Capital'!AM$45</f>
        <v>1236824.7434224789</v>
      </c>
      <c r="AN10" s="9">
        <f ca="1">'Working Capital'!AN$45</f>
        <v>3830541.5279608979</v>
      </c>
      <c r="AO10" s="9">
        <f ca="1">'Working Capital'!AO$45</f>
        <v>6428728.3055832684</v>
      </c>
      <c r="AP10" s="9">
        <f ca="1">'Working Capital'!AP$45</f>
        <v>6511498.7917249072</v>
      </c>
      <c r="AQ10" s="9">
        <f ca="1">'Working Capital'!AQ$45</f>
        <v>4079288.2637450681</v>
      </c>
      <c r="AR10" s="9">
        <f ca="1">'Working Capital'!AR$45</f>
        <v>1653839.4273432689</v>
      </c>
      <c r="AS10" s="9">
        <f ca="1">'Working Capital'!AS$45</f>
        <v>6789278.990363691</v>
      </c>
      <c r="AT10" s="9">
        <f ca="1">'Working Capital'!AT$45</f>
        <v>6890352.5676709171</v>
      </c>
      <c r="AU10" s="9">
        <f ca="1">'Working Capital'!AU$45</f>
        <v>2464326.659785456</v>
      </c>
      <c r="AV10" s="9">
        <f ca="1">'Working Capital'!AV$45</f>
        <v>5636611.7901749006</v>
      </c>
      <c r="AW10" s="9">
        <f ca="1">'Working Capital'!AW$45</f>
        <v>8343205.8439560272</v>
      </c>
      <c r="AX10" s="9">
        <f ca="1">'Working Capital'!AX$45</f>
        <v>8540089.662725646</v>
      </c>
      <c r="AY10" s="9">
        <f ca="1">'Working Capital'!AY$45</f>
        <v>6232126.5960826166</v>
      </c>
      <c r="AZ10" s="9">
        <f ca="1">'Working Capital'!AZ$45</f>
        <v>8973167.8194266241</v>
      </c>
      <c r="BA10" s="9">
        <f ca="1">'Working Capital'!BA$45</f>
        <v>11727599.821156874</v>
      </c>
      <c r="BB10" s="9">
        <f ca="1">'Working Capital'!BB$45</f>
        <v>9455762.534555465</v>
      </c>
      <c r="BC10" s="9">
        <f ca="1">'Working Capital'!BC$45</f>
        <v>9719808.0652061068</v>
      </c>
      <c r="BD10" s="9">
        <f ca="1">'Working Capital'!BD$45</f>
        <v>10004207.559067499</v>
      </c>
      <c r="BE10" s="9">
        <f ca="1">'Working Capital'!BE$45</f>
        <v>10289934.178493176</v>
      </c>
      <c r="BF10" s="9">
        <f ca="1">'Working Capital'!BF$45</f>
        <v>10592822.481332425</v>
      </c>
      <c r="BG10" s="9">
        <f ca="1">'Working Capital'!BG$45</f>
        <v>11376862.731699504</v>
      </c>
      <c r="BH10" s="9">
        <f ca="1">'Working Capital'!BH$45</f>
        <v>14729513.827796381</v>
      </c>
      <c r="BI10" s="9">
        <f ca="1">'Working Capital'!BI$45</f>
        <v>15157434.955571054</v>
      </c>
      <c r="BJ10" s="9">
        <f ca="1">'Working Capital'!BJ$45</f>
        <v>15610265.190345185</v>
      </c>
      <c r="BK10" s="9">
        <f ca="1">'Working Capital'!BK$45</f>
        <v>16097947.008953694</v>
      </c>
      <c r="BL10" s="9">
        <f ca="1">'Working Capital'!BL$45</f>
        <v>16606338.161918899</v>
      </c>
      <c r="BM10" s="9">
        <f ca="1">'Working Capital'!BM$45</f>
        <v>19665527.451723222</v>
      </c>
      <c r="BN10" s="9">
        <f ca="1">'Working Capital'!BN$45</f>
        <v>17716296.682993829</v>
      </c>
      <c r="BO10" s="9">
        <f ca="1">'Working Capital'!BO$45</f>
        <v>18323848.798657052</v>
      </c>
      <c r="BP10" s="9">
        <f ca="1">'Working Capital'!BP$45</f>
        <v>21498215.75152944</v>
      </c>
      <c r="BQ10" s="9">
        <f ca="1">'Working Capital'!BQ$45</f>
        <v>19634984.398088749</v>
      </c>
    </row>
    <row r="11" spans="1:69">
      <c r="E11" s="15" t="str">
        <f>Financials!E$13</f>
        <v>Cash</v>
      </c>
      <c r="F11" s="15">
        <f>Financials!F$13</f>
        <v>0</v>
      </c>
      <c r="G11" s="15" t="str">
        <f>Financials!G$13</f>
        <v>GBP</v>
      </c>
      <c r="H11" s="9">
        <f>Financials!H$13</f>
        <v>0</v>
      </c>
      <c r="I11" s="15">
        <f>Financials!I$13</f>
        <v>0</v>
      </c>
      <c r="J11" s="9">
        <f ca="1">Financials!J$13</f>
        <v>-103100</v>
      </c>
      <c r="K11" s="9">
        <f ca="1">Financials!K$13</f>
        <v>-155100.72360569984</v>
      </c>
      <c r="L11" s="9">
        <f ca="1">Financials!L$13</f>
        <v>-164210.46634351503</v>
      </c>
      <c r="M11" s="9">
        <f ca="1">Financials!M$13</f>
        <v>-219888.94692249392</v>
      </c>
      <c r="N11" s="9">
        <f ca="1">Financials!N$13</f>
        <v>-277235.55215667229</v>
      </c>
      <c r="O11" s="9">
        <f ca="1">Financials!O$13</f>
        <v>-321159.79441542737</v>
      </c>
      <c r="P11" s="9">
        <f ca="1">Financials!P$13</f>
        <v>-582274.86038498709</v>
      </c>
      <c r="Q11" s="9">
        <f ca="1">Financials!Q$13</f>
        <v>-645810.57429782476</v>
      </c>
      <c r="R11" s="9">
        <f ca="1">Financials!R$13</f>
        <v>-1012204.3346045238</v>
      </c>
      <c r="S11" s="9">
        <f ca="1">Financials!S$13</f>
        <v>1034231.926442032</v>
      </c>
      <c r="T11" s="9">
        <f ca="1">Financials!T$13</f>
        <v>1341868.269530179</v>
      </c>
      <c r="U11" s="9">
        <f ca="1">Financials!U$13</f>
        <v>1246437.4488265985</v>
      </c>
      <c r="V11" s="9">
        <f ca="1">Financials!V$13</f>
        <v>970487.44882659847</v>
      </c>
      <c r="W11" s="9">
        <f ca="1">Financials!W$13</f>
        <v>891193.4653826151</v>
      </c>
      <c r="X11" s="9">
        <f ca="1">Financials!X$13</f>
        <v>493266.0377593562</v>
      </c>
      <c r="Y11" s="9">
        <f ca="1">Financials!Y$13</f>
        <v>2463740.9106869777</v>
      </c>
      <c r="Z11" s="9">
        <f ca="1">Financials!Z$13</f>
        <v>2612405.6779962811</v>
      </c>
      <c r="AA11" s="9">
        <f ca="1">Financials!AA$13</f>
        <v>2529599.3429272231</v>
      </c>
      <c r="AB11" s="9">
        <f ca="1">Financials!AB$13</f>
        <v>2285304.5302114896</v>
      </c>
      <c r="AC11" s="9">
        <f ca="1">Financials!AC$13</f>
        <v>2184172.023251507</v>
      </c>
      <c r="AD11" s="9">
        <f ca="1">Financials!AD$13</f>
        <v>1280272.796072864</v>
      </c>
      <c r="AE11" s="9">
        <f ca="1">Financials!AE$13</f>
        <v>5804672.8574032113</v>
      </c>
      <c r="AF11" s="9">
        <f ca="1">Financials!AF$13</f>
        <v>5921155.9385484895</v>
      </c>
      <c r="AG11" s="9">
        <f ca="1">Financials!AG$13</f>
        <v>5773019.245225206</v>
      </c>
      <c r="AH11" s="9">
        <f ca="1">Financials!AH$13</f>
        <v>5626492.8961006068</v>
      </c>
      <c r="AI11" s="9">
        <f ca="1">Financials!AI$13</f>
        <v>7940604.7239995655</v>
      </c>
      <c r="AJ11" s="9">
        <f ca="1">Financials!AJ$13</f>
        <v>6865765.8280084711</v>
      </c>
      <c r="AK11" s="9">
        <f ca="1">Financials!AK$13</f>
        <v>8421203.9795869365</v>
      </c>
      <c r="AL11" s="9">
        <f ca="1">Financials!AL$13</f>
        <v>9016703.9014120456</v>
      </c>
      <c r="AM11" s="9">
        <f ca="1">Financials!AM$13</f>
        <v>11099290.675104339</v>
      </c>
      <c r="AN11" s="9">
        <f ca="1">Financials!AN$13</f>
        <v>11504018.461941142</v>
      </c>
      <c r="AO11" s="9">
        <f ca="1">Financials!AO$13</f>
        <v>11736235.32441161</v>
      </c>
      <c r="AP11" s="9">
        <f ca="1">Financials!AP$13</f>
        <v>13625616.262414103</v>
      </c>
      <c r="AQ11" s="9">
        <f ca="1">Financials!AQ$13</f>
        <v>16580879.190238677</v>
      </c>
      <c r="AR11" s="9">
        <f ca="1">Financials!AR$13</f>
        <v>19473095.830194138</v>
      </c>
      <c r="AS11" s="9">
        <f ca="1">Financials!AS$13</f>
        <v>19248519.165587541</v>
      </c>
      <c r="AT11" s="9">
        <f ca="1">Financials!AT$13</f>
        <v>19784199.664086059</v>
      </c>
      <c r="AU11" s="9">
        <f ca="1">Financials!AU$13</f>
        <v>25298390.197898049</v>
      </c>
      <c r="AV11" s="9">
        <f ca="1">Financials!AV$13</f>
        <v>24648700.46775192</v>
      </c>
      <c r="AW11" s="9">
        <f ca="1">Financials!AW$13</f>
        <v>22907012.839985117</v>
      </c>
      <c r="AX11" s="9">
        <f ca="1">Financials!AX$13</f>
        <v>26708079.837814037</v>
      </c>
      <c r="AY11" s="9">
        <f ca="1">Financials!AY$13</f>
        <v>28429876.657227986</v>
      </c>
      <c r="AZ11" s="9">
        <f ca="1">Financials!AZ$13</f>
        <v>32192314.625653937</v>
      </c>
      <c r="BA11" s="9">
        <f ca="1">Financials!BA$13</f>
        <v>33672076.070215121</v>
      </c>
      <c r="BB11" s="9">
        <f ca="1">Financials!BB$13</f>
        <v>38065990.658675916</v>
      </c>
      <c r="BC11" s="9">
        <f ca="1">Financials!BC$13</f>
        <v>42109656.077577792</v>
      </c>
      <c r="BD11" s="9">
        <f ca="1">Financials!BD$13</f>
        <v>46405079.02311863</v>
      </c>
      <c r="BE11" s="9">
        <f ca="1">Financials!BE$13</f>
        <v>48421534.225866169</v>
      </c>
      <c r="BF11" s="9">
        <f ca="1">Financials!BF$13</f>
        <v>52803915.477687538</v>
      </c>
      <c r="BG11" s="9">
        <f ca="1">Financials!BG$13</f>
        <v>57298584.330639355</v>
      </c>
      <c r="BH11" s="9">
        <f ca="1">Financials!BH$13</f>
        <v>59402622.857509606</v>
      </c>
      <c r="BI11" s="9">
        <f ca="1">Financials!BI$13</f>
        <v>58665342.381563403</v>
      </c>
      <c r="BJ11" s="9">
        <f ca="1">Financials!BJ$13</f>
        <v>66583187.866943121</v>
      </c>
      <c r="BK11" s="9">
        <f ca="1">Financials!BK$13</f>
        <v>68370287.347026542</v>
      </c>
      <c r="BL11" s="9">
        <f ca="1">Financials!BL$13</f>
        <v>76669748.921876788</v>
      </c>
      <c r="BM11" s="9">
        <f ca="1">Financials!BM$13</f>
        <v>82662591.313714907</v>
      </c>
      <c r="BN11" s="9">
        <f ca="1">Financials!BN$13</f>
        <v>87253930.171257392</v>
      </c>
      <c r="BO11" s="9">
        <f ca="1">Financials!BO$13</f>
        <v>96220733.8051783</v>
      </c>
      <c r="BP11" s="9">
        <f ca="1">Financials!BP$13</f>
        <v>102913558.3753787</v>
      </c>
      <c r="BQ11" s="9">
        <f ca="1">Financials!BQ$13</f>
        <v>107847639.85822076</v>
      </c>
    </row>
    <row r="12" spans="1:69">
      <c r="E12" s="12" t="s">
        <v>85</v>
      </c>
      <c r="F12" s="28"/>
      <c r="G12" s="12" t="s">
        <v>252</v>
      </c>
      <c r="H12" s="12"/>
      <c r="I12" s="28"/>
      <c r="J12" s="12">
        <f t="shared" ref="J12:AO12" ca="1" si="0">SUM(J8:J11)</f>
        <v>71900</v>
      </c>
      <c r="K12" s="12">
        <f t="shared" ca="1" si="0"/>
        <v>12607.609727633506</v>
      </c>
      <c r="L12" s="12">
        <f t="shared" ca="1" si="0"/>
        <v>-3793.7996768483717</v>
      </c>
      <c r="M12" s="12">
        <f t="shared" ca="1" si="0"/>
        <v>-66763.946922493924</v>
      </c>
      <c r="N12" s="12">
        <f t="shared" ca="1" si="0"/>
        <v>-131402.21882333895</v>
      </c>
      <c r="O12" s="12">
        <f t="shared" ca="1" si="0"/>
        <v>-182618.12774876071</v>
      </c>
      <c r="P12" s="12">
        <f t="shared" ca="1" si="0"/>
        <v>-276024.86038498709</v>
      </c>
      <c r="Q12" s="12">
        <f t="shared" ca="1" si="0"/>
        <v>1760863.2152694357</v>
      </c>
      <c r="R12" s="12">
        <f t="shared" ca="1" si="0"/>
        <v>1758237.0810694199</v>
      </c>
      <c r="S12" s="12">
        <f t="shared" ca="1" si="0"/>
        <v>1701724.8035414375</v>
      </c>
      <c r="T12" s="12">
        <f t="shared" ca="1" si="0"/>
        <v>1616426.8538562346</v>
      </c>
      <c r="U12" s="12">
        <f t="shared" ca="1" si="0"/>
        <v>1479770.7821599315</v>
      </c>
      <c r="V12" s="12">
        <f t="shared" ca="1" si="0"/>
        <v>1364237.448826598</v>
      </c>
      <c r="W12" s="12">
        <f t="shared" ca="1" si="0"/>
        <v>3492522.5452303239</v>
      </c>
      <c r="X12" s="12">
        <f t="shared" ca="1" si="0"/>
        <v>3363266.0377593557</v>
      </c>
      <c r="Y12" s="12">
        <f t="shared" ca="1" si="0"/>
        <v>3082411.8308392679</v>
      </c>
      <c r="Z12" s="12">
        <f t="shared" ca="1" si="0"/>
        <v>3093655.6779962806</v>
      </c>
      <c r="AA12" s="12">
        <f t="shared" ca="1" si="0"/>
        <v>2981682.6762605556</v>
      </c>
      <c r="AB12" s="12">
        <f t="shared" ca="1" si="0"/>
        <v>2708221.1968781557</v>
      </c>
      <c r="AC12" s="12">
        <f t="shared" ca="1" si="0"/>
        <v>7212929.1461520996</v>
      </c>
      <c r="AD12" s="12">
        <f t="shared" ca="1" si="0"/>
        <v>6833214.2117468063</v>
      </c>
      <c r="AE12" s="12">
        <f t="shared" ca="1" si="0"/>
        <v>6712790.7345026154</v>
      </c>
      <c r="AF12" s="12">
        <f t="shared" ca="1" si="0"/>
        <v>6414464.5228745434</v>
      </c>
      <c r="AG12" s="12">
        <f t="shared" ca="1" si="0"/>
        <v>8898227.5785585381</v>
      </c>
      <c r="AH12" s="12">
        <f t="shared" ca="1" si="0"/>
        <v>8707951.2294339389</v>
      </c>
      <c r="AI12" s="12">
        <f t="shared" ca="1" si="0"/>
        <v>11367496.303847272</v>
      </c>
      <c r="AJ12" s="12">
        <f t="shared" ca="1" si="0"/>
        <v>11068225.451741595</v>
      </c>
      <c r="AK12" s="12">
        <f t="shared" ca="1" si="0"/>
        <v>12927389.080387529</v>
      </c>
      <c r="AL12" s="12">
        <f t="shared" ca="1" si="0"/>
        <v>13425144.456479887</v>
      </c>
      <c r="AM12" s="12">
        <f t="shared" ca="1" si="0"/>
        <v>13004218.69431431</v>
      </c>
      <c r="AN12" s="12">
        <f t="shared" ca="1" si="0"/>
        <v>15949415.605638832</v>
      </c>
      <c r="AO12" s="12">
        <f t="shared" ca="1" si="0"/>
        <v>18902605.724675249</v>
      </c>
      <c r="AP12" s="12">
        <f t="shared" ref="AP12:BU12" ca="1" si="1">SUM(AP8:AP11)</f>
        <v>20816346.726603933</v>
      </c>
      <c r="AQ12" s="12">
        <f t="shared" ca="1" si="1"/>
        <v>21457149.853459004</v>
      </c>
      <c r="AR12" s="12">
        <f t="shared" ca="1" si="1"/>
        <v>21860608.275635388</v>
      </c>
      <c r="AS12" s="12">
        <f t="shared" ca="1" si="1"/>
        <v>26884461.019969221</v>
      </c>
      <c r="AT12" s="12">
        <f t="shared" ca="1" si="1"/>
        <v>27628291.062441193</v>
      </c>
      <c r="AU12" s="12">
        <f t="shared" ca="1" si="1"/>
        <v>28642698.321700614</v>
      </c>
      <c r="AV12" s="12">
        <f t="shared" ca="1" si="1"/>
        <v>31268084.460814826</v>
      </c>
      <c r="AW12" s="12">
        <f t="shared" ca="1" si="1"/>
        <v>32330128.694709439</v>
      </c>
      <c r="AX12" s="12">
        <f t="shared" ca="1" si="1"/>
        <v>36244663.616874531</v>
      </c>
      <c r="AY12" s="12">
        <f t="shared" ca="1" si="1"/>
        <v>35751924.676733866</v>
      </c>
      <c r="AZ12" s="12">
        <f t="shared" ca="1" si="1"/>
        <v>42343490.616274469</v>
      </c>
      <c r="BA12" s="12">
        <f t="shared" ca="1" si="1"/>
        <v>46660548.394416437</v>
      </c>
      <c r="BB12" s="12">
        <f t="shared" ca="1" si="1"/>
        <v>48860388.751544774</v>
      </c>
      <c r="BC12" s="12">
        <f t="shared" ca="1" si="1"/>
        <v>53240895.340530954</v>
      </c>
      <c r="BD12" s="12">
        <f t="shared" ca="1" si="1"/>
        <v>57888686.80761493</v>
      </c>
      <c r="BE12" s="12">
        <f t="shared" ca="1" si="1"/>
        <v>60254145.541195378</v>
      </c>
      <c r="BF12" s="12">
        <f t="shared" ca="1" si="1"/>
        <v>64998157.372834124</v>
      </c>
      <c r="BG12" s="12">
        <f t="shared" ca="1" si="1"/>
        <v>70331891.848312452</v>
      </c>
      <c r="BH12" s="12">
        <f t="shared" ca="1" si="1"/>
        <v>75840106.536567777</v>
      </c>
      <c r="BI12" s="12">
        <f t="shared" ca="1" si="1"/>
        <v>75578994.045376867</v>
      </c>
      <c r="BJ12" s="12">
        <f t="shared" ca="1" si="1"/>
        <v>83994881.593160242</v>
      </c>
      <c r="BK12" s="12">
        <f t="shared" ca="1" si="1"/>
        <v>86312097.603514925</v>
      </c>
      <c r="BL12" s="12">
        <f t="shared" ca="1" si="1"/>
        <v>95159872.390253946</v>
      </c>
      <c r="BM12" s="12">
        <f t="shared" ca="1" si="1"/>
        <v>104249603.04272602</v>
      </c>
      <c r="BN12" s="12">
        <f t="shared" ca="1" si="1"/>
        <v>106927483.93256362</v>
      </c>
      <c r="BO12" s="12">
        <f t="shared" ca="1" si="1"/>
        <v>116536013.37664232</v>
      </c>
      <c r="BP12" s="12">
        <f t="shared" ca="1" si="1"/>
        <v>126436124.47102289</v>
      </c>
      <c r="BQ12" s="12">
        <f t="shared" ca="1" si="1"/>
        <v>129538969.95176193</v>
      </c>
    </row>
    <row r="14" spans="1:69">
      <c r="E14" s="15" t="str">
        <f>Income!E$27</f>
        <v>Deferred Income</v>
      </c>
      <c r="F14" s="15">
        <f>Income!F$27</f>
        <v>0</v>
      </c>
      <c r="G14" s="15" t="str">
        <f>Income!G$27</f>
        <v>GBP</v>
      </c>
      <c r="H14" s="9">
        <f>Income!H$27</f>
        <v>0</v>
      </c>
      <c r="I14" s="15">
        <f>Income!I$27</f>
        <v>0</v>
      </c>
      <c r="J14" s="9">
        <f ca="1">Income!J$27</f>
        <v>0</v>
      </c>
      <c r="K14" s="9">
        <f ca="1">Income!K$27</f>
        <v>0</v>
      </c>
      <c r="L14" s="9">
        <f ca="1">Income!L$27</f>
        <v>0</v>
      </c>
      <c r="M14" s="9">
        <f ca="1">Income!M$27</f>
        <v>0</v>
      </c>
      <c r="N14" s="9">
        <f ca="1">Income!N$27</f>
        <v>0</v>
      </c>
      <c r="O14" s="9">
        <f ca="1">Income!O$27</f>
        <v>0</v>
      </c>
      <c r="P14" s="9">
        <f ca="1">Income!P$27</f>
        <v>0</v>
      </c>
      <c r="Q14" s="9">
        <f ca="1">Income!Q$27</f>
        <v>1615630.4411046202</v>
      </c>
      <c r="R14" s="9">
        <f ca="1">Income!R$27</f>
        <v>1757773.0404754248</v>
      </c>
      <c r="S14" s="9">
        <f ca="1">Income!S$27</f>
        <v>1604974.638524916</v>
      </c>
      <c r="T14" s="9">
        <f ca="1">Income!T$27</f>
        <v>1429974.638524916</v>
      </c>
      <c r="U14" s="9">
        <f ca="1">Income!U$27</f>
        <v>1254974.638524916</v>
      </c>
      <c r="V14" s="9">
        <f ca="1">Income!V$27</f>
        <v>1079974.638524916</v>
      </c>
      <c r="W14" s="9">
        <f ca="1">Income!W$27</f>
        <v>2608029.8384085828</v>
      </c>
      <c r="X14" s="9">
        <f ca="1">Income!X$27</f>
        <v>2500151.4385354919</v>
      </c>
      <c r="Y14" s="9">
        <f ca="1">Income!Y$27</f>
        <v>2150151.4385354919</v>
      </c>
      <c r="Z14" s="9">
        <f ca="1">Income!Z$27</f>
        <v>1800151.4385354919</v>
      </c>
      <c r="AA14" s="9">
        <f ca="1">Income!AA$27</f>
        <v>1450151.4385354919</v>
      </c>
      <c r="AB14" s="9">
        <f ca="1">Income!AB$27</f>
        <v>1100151.4385354919</v>
      </c>
      <c r="AC14" s="9">
        <f ca="1">Income!AC$27</f>
        <v>4437657.3742859866</v>
      </c>
      <c r="AD14" s="9">
        <f ca="1">Income!AD$27</f>
        <v>4227949.8404860003</v>
      </c>
      <c r="AE14" s="9">
        <f ca="1">Income!AE$27</f>
        <v>3725151.438535491</v>
      </c>
      <c r="AF14" s="9">
        <f ca="1">Income!AF$27</f>
        <v>3200151.438535491</v>
      </c>
      <c r="AG14" s="9">
        <f ca="1">Income!AG$27</f>
        <v>4600151.438535491</v>
      </c>
      <c r="AH14" s="9">
        <f ca="1">Income!AH$27</f>
        <v>3917651.438535491</v>
      </c>
      <c r="AI14" s="9">
        <f ca="1">Income!AI$27</f>
        <v>5496590.9926553238</v>
      </c>
      <c r="AJ14" s="9">
        <f ca="1">Income!AJ$27</f>
        <v>5467768.4444326274</v>
      </c>
      <c r="AK14" s="9">
        <f ca="1">Income!AK$27</f>
        <v>7129482.0680141104</v>
      </c>
      <c r="AL14" s="9">
        <f ca="1">Income!AL$27</f>
        <v>6700214.2140914183</v>
      </c>
      <c r="AM14" s="9">
        <f ca="1">Income!AM$27</f>
        <v>6280467.2619338026</v>
      </c>
      <c r="AN14" s="9">
        <f ca="1">Income!AN$27</f>
        <v>7794839.9662952619</v>
      </c>
      <c r="AO14" s="9">
        <f ca="1">Income!AO$27</f>
        <v>9319902.9045367856</v>
      </c>
      <c r="AP14" s="9">
        <f ca="1">Income!AP$27</f>
        <v>10680205.551526528</v>
      </c>
      <c r="AQ14" s="9">
        <f ca="1">Income!AQ$27</f>
        <v>9952567.4560297541</v>
      </c>
      <c r="AR14" s="9">
        <f ca="1">Income!AR$27</f>
        <v>9237551.6329512317</v>
      </c>
      <c r="AS14" s="9">
        <f ca="1">Income!AS$27</f>
        <v>12557217.152018126</v>
      </c>
      <c r="AT14" s="9">
        <f ca="1">Income!AT$27</f>
        <v>11690999.50184992</v>
      </c>
      <c r="AU14" s="9">
        <f ca="1">Income!AU$27</f>
        <v>11258330.834772604</v>
      </c>
      <c r="AV14" s="9">
        <f ca="1">Income!AV$27</f>
        <v>12792859.249908905</v>
      </c>
      <c r="AW14" s="9">
        <f ca="1">Income!AW$27</f>
        <v>14368758.050069861</v>
      </c>
      <c r="AX14" s="9">
        <f ca="1">Income!AX$27</f>
        <v>15816222.693784572</v>
      </c>
      <c r="AY14" s="9">
        <f ca="1">Income!AY$27</f>
        <v>15212986.389317499</v>
      </c>
      <c r="AZ14" s="9">
        <f ca="1">Income!AZ$27</f>
        <v>18684013.820980065</v>
      </c>
      <c r="BA14" s="9">
        <f ca="1">Income!BA$27</f>
        <v>19935391.70933276</v>
      </c>
      <c r="BB14" s="9">
        <f ca="1">Income!BB$27</f>
        <v>21242110.024237208</v>
      </c>
      <c r="BC14" s="9">
        <f ca="1">Income!BC$27</f>
        <v>22436766.428715516</v>
      </c>
      <c r="BD14" s="9">
        <f ca="1">Income!BD$27</f>
        <v>23522148.173389215</v>
      </c>
      <c r="BE14" s="9">
        <f ca="1">Income!BE$27</f>
        <v>24665367.022437617</v>
      </c>
      <c r="BF14" s="9">
        <f ca="1">Income!BF$27</f>
        <v>25723002.777970102</v>
      </c>
      <c r="BG14" s="9">
        <f ca="1">Income!BG$27</f>
        <v>27042449.305661194</v>
      </c>
      <c r="BH14" s="9">
        <f ca="1">Income!BH$27</f>
        <v>30377702.771432579</v>
      </c>
      <c r="BI14" s="9">
        <f ca="1">Income!BI$27</f>
        <v>31527601.26370978</v>
      </c>
      <c r="BJ14" s="9">
        <f ca="1">Income!BJ$27</f>
        <v>34703757.178448349</v>
      </c>
      <c r="BK14" s="9">
        <f ca="1">Income!BK$27</f>
        <v>35712085.712547436</v>
      </c>
      <c r="BL14" s="9">
        <f ca="1">Income!BL$27</f>
        <v>38752152.039314069</v>
      </c>
      <c r="BM14" s="9">
        <f ca="1">Income!BM$27</f>
        <v>41737538.351995371</v>
      </c>
      <c r="BN14" s="9">
        <f ca="1">Income!BN$27</f>
        <v>42567803.451934367</v>
      </c>
      <c r="BO14" s="9">
        <f ca="1">Income!BO$27</f>
        <v>45460218.945217431</v>
      </c>
      <c r="BP14" s="9">
        <f ca="1">Income!BP$27</f>
        <v>48320464.629853867</v>
      </c>
      <c r="BQ14" s="9">
        <f ca="1">Income!BQ$27</f>
        <v>49029641.650374562</v>
      </c>
    </row>
    <row r="15" spans="1:69">
      <c r="E15" s="15" t="str">
        <f>'Working Capital'!E$36</f>
        <v>Creditors</v>
      </c>
      <c r="F15" s="15">
        <f>'Working Capital'!F$36</f>
        <v>0</v>
      </c>
      <c r="G15" s="15" t="str">
        <f>'Working Capital'!G$36</f>
        <v>GBP</v>
      </c>
      <c r="H15" s="9">
        <f>'Working Capital'!H$36</f>
        <v>0</v>
      </c>
      <c r="I15" s="15">
        <f>'Working Capital'!I$36</f>
        <v>0</v>
      </c>
      <c r="J15" s="9">
        <f ca="1">'Working Capital'!J$36</f>
        <v>157500</v>
      </c>
      <c r="K15" s="9">
        <f ca="1">'Working Capital'!K$36</f>
        <v>157500</v>
      </c>
      <c r="L15" s="9">
        <f ca="1">'Working Capital'!L$36</f>
        <v>157500</v>
      </c>
      <c r="M15" s="9">
        <f ca="1">'Working Capital'!M$36</f>
        <v>157500</v>
      </c>
      <c r="N15" s="9">
        <f ca="1">'Working Capital'!N$36</f>
        <v>157500</v>
      </c>
      <c r="O15" s="9">
        <f ca="1">'Working Capital'!O$36</f>
        <v>157500</v>
      </c>
      <c r="P15" s="9">
        <f ca="1">'Working Capital'!P$36</f>
        <v>168000</v>
      </c>
      <c r="Q15" s="9">
        <f ca="1">'Working Capital'!Q$36</f>
        <v>167999.99999999997</v>
      </c>
      <c r="R15" s="9">
        <f ca="1">'Working Capital'!R$36</f>
        <v>168000</v>
      </c>
      <c r="S15" s="9">
        <f ca="1">'Working Capital'!S$36</f>
        <v>168000</v>
      </c>
      <c r="T15" s="9">
        <f ca="1">'Working Capital'!T$36</f>
        <v>168000</v>
      </c>
      <c r="U15" s="9">
        <f ca="1">'Working Capital'!U$36</f>
        <v>167999.99999999997</v>
      </c>
      <c r="V15" s="9">
        <f ca="1">'Working Capital'!V$36</f>
        <v>178500.00000000003</v>
      </c>
      <c r="W15" s="9">
        <f ca="1">'Working Capital'!W$36</f>
        <v>178500.00000000006</v>
      </c>
      <c r="X15" s="9">
        <f ca="1">'Working Capital'!X$36</f>
        <v>178500.00000000003</v>
      </c>
      <c r="Y15" s="9">
        <f ca="1">'Working Capital'!Y$36</f>
        <v>178500.00000000003</v>
      </c>
      <c r="Z15" s="9">
        <f ca="1">'Working Capital'!Z$36</f>
        <v>336000</v>
      </c>
      <c r="AA15" s="9">
        <f ca="1">'Working Capital'!AA$36</f>
        <v>336000</v>
      </c>
      <c r="AB15" s="9">
        <f ca="1">'Working Capital'!AB$36</f>
        <v>189000.00000000006</v>
      </c>
      <c r="AC15" s="9">
        <f ca="1">'Working Capital'!AC$36</f>
        <v>189000.00000000012</v>
      </c>
      <c r="AD15" s="9">
        <f ca="1">'Working Capital'!AD$36</f>
        <v>346500.00000000012</v>
      </c>
      <c r="AE15" s="9">
        <f ca="1">'Working Capital'!AE$36</f>
        <v>346500.00000000006</v>
      </c>
      <c r="AF15" s="9">
        <f ca="1">'Working Capital'!AF$36</f>
        <v>199500.00000000006</v>
      </c>
      <c r="AG15" s="9">
        <f ca="1">'Working Capital'!AG$36</f>
        <v>357000.00000000012</v>
      </c>
      <c r="AH15" s="9">
        <f ca="1">'Working Capital'!AH$36</f>
        <v>357000.00000000012</v>
      </c>
      <c r="AI15" s="9">
        <f ca="1">'Working Capital'!AI$36</f>
        <v>514500.00000000012</v>
      </c>
      <c r="AJ15" s="9">
        <f ca="1">'Working Capital'!AJ$36</f>
        <v>367500.00000000012</v>
      </c>
      <c r="AK15" s="9">
        <f ca="1">'Working Capital'!AK$36</f>
        <v>367500.00000000012</v>
      </c>
      <c r="AL15" s="9">
        <f ca="1">'Working Capital'!AL$36</f>
        <v>525000.00000000012</v>
      </c>
      <c r="AM15" s="9">
        <f ca="1">'Working Capital'!AM$36</f>
        <v>378000.00000000006</v>
      </c>
      <c r="AN15" s="9">
        <f ca="1">'Working Capital'!AN$36</f>
        <v>378000.00000000012</v>
      </c>
      <c r="AO15" s="9">
        <f ca="1">'Working Capital'!AO$36</f>
        <v>388500.00000000012</v>
      </c>
      <c r="AP15" s="9">
        <f ca="1">'Working Capital'!AP$36</f>
        <v>388500.00000000012</v>
      </c>
      <c r="AQ15" s="9">
        <f ca="1">'Working Capital'!AQ$36</f>
        <v>546000.00000000012</v>
      </c>
      <c r="AR15" s="9">
        <f ca="1">'Working Capital'!AR$36</f>
        <v>399000.00000000017</v>
      </c>
      <c r="AS15" s="9">
        <f ca="1">'Working Capital'!AS$36</f>
        <v>556500.00000000023</v>
      </c>
      <c r="AT15" s="9">
        <f ca="1">'Working Capital'!AT$36</f>
        <v>714000.00000000023</v>
      </c>
      <c r="AU15" s="9">
        <f ca="1">'Working Capital'!AU$36</f>
        <v>567000.00000000023</v>
      </c>
      <c r="AV15" s="9">
        <f ca="1">'Working Capital'!AV$36</f>
        <v>724500.00000000023</v>
      </c>
      <c r="AW15" s="9">
        <f ca="1">'Working Capital'!AW$36</f>
        <v>735000.00000000035</v>
      </c>
      <c r="AX15" s="9">
        <f ca="1">'Working Capital'!AX$36</f>
        <v>735000.00000000023</v>
      </c>
      <c r="AY15" s="9">
        <f ca="1">'Working Capital'!AY$36</f>
        <v>745500.00000000023</v>
      </c>
      <c r="AZ15" s="9">
        <f ca="1">'Working Capital'!AZ$36</f>
        <v>756000.00000000035</v>
      </c>
      <c r="BA15" s="9">
        <f ca="1">'Working Capital'!BA$36</f>
        <v>913500.00000000023</v>
      </c>
      <c r="BB15" s="9">
        <f ca="1">'Working Capital'!BB$36</f>
        <v>924000.00000000012</v>
      </c>
      <c r="BC15" s="9">
        <f ca="1">'Working Capital'!BC$36</f>
        <v>934500</v>
      </c>
      <c r="BD15" s="9">
        <f ca="1">'Working Capital'!BD$36</f>
        <v>1092000</v>
      </c>
      <c r="BE15" s="9">
        <f ca="1">'Working Capital'!BE$36</f>
        <v>1102500</v>
      </c>
      <c r="BF15" s="9">
        <f ca="1">'Working Capital'!BF$36</f>
        <v>1113000</v>
      </c>
      <c r="BG15" s="9">
        <f ca="1">'Working Capital'!BG$36</f>
        <v>1123500</v>
      </c>
      <c r="BH15" s="9">
        <f ca="1">'Working Capital'!BH$36</f>
        <v>1134000</v>
      </c>
      <c r="BI15" s="9">
        <f ca="1">'Working Capital'!BI$36</f>
        <v>1144500</v>
      </c>
      <c r="BJ15" s="9">
        <f ca="1">'Working Capital'!BJ$36</f>
        <v>1155000</v>
      </c>
      <c r="BK15" s="9">
        <f ca="1">'Working Capital'!BK$36</f>
        <v>1165500.0000000002</v>
      </c>
      <c r="BL15" s="9">
        <f ca="1">'Working Capital'!BL$36</f>
        <v>1176000.0000000005</v>
      </c>
      <c r="BM15" s="9">
        <f ca="1">'Working Capital'!BM$36</f>
        <v>1186500.0000000007</v>
      </c>
      <c r="BN15" s="9">
        <f ca="1">'Working Capital'!BN$36</f>
        <v>1197000.0000000009</v>
      </c>
      <c r="BO15" s="9">
        <f ca="1">'Working Capital'!BO$36</f>
        <v>1207500.0000000009</v>
      </c>
      <c r="BP15" s="9">
        <f ca="1">'Working Capital'!BP$36</f>
        <v>1218000.0000000009</v>
      </c>
      <c r="BQ15" s="9">
        <f ca="1">'Working Capital'!BQ$36</f>
        <v>1228500.0000000012</v>
      </c>
    </row>
    <row r="16" spans="1:69">
      <c r="E16" s="15" t="str">
        <f>'Supply Chain finance'!E$15</f>
        <v>Supply Chain Finance balance</v>
      </c>
      <c r="F16" s="15">
        <f>'Supply Chain finance'!F$15</f>
        <v>0</v>
      </c>
      <c r="G16" s="15" t="str">
        <f>'Supply Chain finance'!G$15</f>
        <v>GBP</v>
      </c>
      <c r="H16" s="9">
        <f>'Supply Chain finance'!H$15</f>
        <v>0</v>
      </c>
      <c r="I16" s="15">
        <f>'Supply Chain finance'!I$15</f>
        <v>0</v>
      </c>
      <c r="J16" s="9">
        <f ca="1">'Supply Chain finance'!J$15</f>
        <v>0</v>
      </c>
      <c r="K16" s="9">
        <f ca="1">'Supply Chain finance'!K$15</f>
        <v>0</v>
      </c>
      <c r="L16" s="9">
        <f ca="1">'Supply Chain finance'!L$15</f>
        <v>0</v>
      </c>
      <c r="M16" s="9">
        <f ca="1">'Supply Chain finance'!M$15</f>
        <v>0</v>
      </c>
      <c r="N16" s="9">
        <f ca="1">'Supply Chain finance'!N$15</f>
        <v>0</v>
      </c>
      <c r="O16" s="9">
        <f ca="1">'Supply Chain finance'!O$15</f>
        <v>0</v>
      </c>
      <c r="P16" s="9">
        <f ca="1">'Supply Chain finance'!P$15</f>
        <v>0</v>
      </c>
      <c r="Q16" s="9">
        <f ca="1">'Supply Chain finance'!Q$15</f>
        <v>0</v>
      </c>
      <c r="R16" s="9">
        <f ca="1">'Supply Chain finance'!R$15</f>
        <v>0</v>
      </c>
      <c r="S16" s="9">
        <f ca="1">'Supply Chain finance'!S$15</f>
        <v>0</v>
      </c>
      <c r="T16" s="9">
        <f ca="1">'Supply Chain finance'!T$15</f>
        <v>0</v>
      </c>
      <c r="U16" s="9">
        <f ca="1">'Supply Chain finance'!U$15</f>
        <v>0</v>
      </c>
      <c r="V16" s="9">
        <f ca="1">'Supply Chain finance'!V$15</f>
        <v>0</v>
      </c>
      <c r="W16" s="9">
        <f ca="1">'Supply Chain finance'!W$15</f>
        <v>0</v>
      </c>
      <c r="X16" s="9">
        <f ca="1">'Supply Chain finance'!X$15</f>
        <v>0</v>
      </c>
      <c r="Y16" s="9">
        <f ca="1">'Supply Chain finance'!Y$15</f>
        <v>0</v>
      </c>
      <c r="Z16" s="9">
        <f ca="1">'Supply Chain finance'!Z$15</f>
        <v>0</v>
      </c>
      <c r="AA16" s="9">
        <f ca="1">'Supply Chain finance'!AA$15</f>
        <v>0</v>
      </c>
      <c r="AB16" s="9">
        <f ca="1">'Supply Chain finance'!AB$15</f>
        <v>0</v>
      </c>
      <c r="AC16" s="9">
        <f ca="1">'Supply Chain finance'!AC$15</f>
        <v>0</v>
      </c>
      <c r="AD16" s="9">
        <f ca="1">'Supply Chain finance'!AD$15</f>
        <v>0</v>
      </c>
      <c r="AE16" s="9">
        <f ca="1">'Supply Chain finance'!AE$15</f>
        <v>0</v>
      </c>
      <c r="AF16" s="9">
        <f ca="1">'Supply Chain finance'!AF$15</f>
        <v>0</v>
      </c>
      <c r="AG16" s="9">
        <f ca="1">'Supply Chain finance'!AG$15</f>
        <v>0</v>
      </c>
      <c r="AH16" s="9">
        <f ca="1">'Supply Chain finance'!AH$15</f>
        <v>0</v>
      </c>
      <c r="AI16" s="9">
        <f ca="1">'Supply Chain finance'!AI$15</f>
        <v>0</v>
      </c>
      <c r="AJ16" s="9">
        <f ca="1">'Supply Chain finance'!AJ$15</f>
        <v>0</v>
      </c>
      <c r="AK16" s="9">
        <f ca="1">'Supply Chain finance'!AK$15</f>
        <v>0</v>
      </c>
      <c r="AL16" s="9">
        <f ca="1">'Supply Chain finance'!AL$15</f>
        <v>0</v>
      </c>
      <c r="AM16" s="9">
        <f ca="1">'Supply Chain finance'!AM$15</f>
        <v>0</v>
      </c>
      <c r="AN16" s="9">
        <f ca="1">'Supply Chain finance'!AN$15</f>
        <v>0</v>
      </c>
      <c r="AO16" s="9">
        <f ca="1">'Supply Chain finance'!AO$15</f>
        <v>0</v>
      </c>
      <c r="AP16" s="9">
        <f ca="1">'Supply Chain finance'!AP$15</f>
        <v>0</v>
      </c>
      <c r="AQ16" s="9">
        <f ca="1">'Supply Chain finance'!AQ$15</f>
        <v>0</v>
      </c>
      <c r="AR16" s="9">
        <f ca="1">'Supply Chain finance'!AR$15</f>
        <v>0</v>
      </c>
      <c r="AS16" s="9">
        <f ca="1">'Supply Chain finance'!AS$15</f>
        <v>0</v>
      </c>
      <c r="AT16" s="9">
        <f ca="1">'Supply Chain finance'!AT$15</f>
        <v>0</v>
      </c>
      <c r="AU16" s="9">
        <f ca="1">'Supply Chain finance'!AU$15</f>
        <v>0</v>
      </c>
      <c r="AV16" s="9">
        <f ca="1">'Supply Chain finance'!AV$15</f>
        <v>0</v>
      </c>
      <c r="AW16" s="9">
        <f ca="1">'Supply Chain finance'!AW$15</f>
        <v>0</v>
      </c>
      <c r="AX16" s="9">
        <f ca="1">'Supply Chain finance'!AX$15</f>
        <v>0</v>
      </c>
      <c r="AY16" s="9">
        <f ca="1">'Supply Chain finance'!AY$15</f>
        <v>0</v>
      </c>
      <c r="AZ16" s="9">
        <f ca="1">'Supply Chain finance'!AZ$15</f>
        <v>0</v>
      </c>
      <c r="BA16" s="9">
        <f ca="1">'Supply Chain finance'!BA$15</f>
        <v>0</v>
      </c>
      <c r="BB16" s="9">
        <f ca="1">'Supply Chain finance'!BB$15</f>
        <v>0</v>
      </c>
      <c r="BC16" s="9">
        <f ca="1">'Supply Chain finance'!BC$15</f>
        <v>0</v>
      </c>
      <c r="BD16" s="9">
        <f ca="1">'Supply Chain finance'!BD$15</f>
        <v>0</v>
      </c>
      <c r="BE16" s="9">
        <f ca="1">'Supply Chain finance'!BE$15</f>
        <v>0</v>
      </c>
      <c r="BF16" s="9">
        <f ca="1">'Supply Chain finance'!BF$15</f>
        <v>0</v>
      </c>
      <c r="BG16" s="9">
        <f ca="1">'Supply Chain finance'!BG$15</f>
        <v>0</v>
      </c>
      <c r="BH16" s="9">
        <f ca="1">'Supply Chain finance'!BH$15</f>
        <v>0</v>
      </c>
      <c r="BI16" s="9">
        <f ca="1">'Supply Chain finance'!BI$15</f>
        <v>0</v>
      </c>
      <c r="BJ16" s="9">
        <f ca="1">'Supply Chain finance'!BJ$15</f>
        <v>0</v>
      </c>
      <c r="BK16" s="9">
        <f ca="1">'Supply Chain finance'!BK$15</f>
        <v>0</v>
      </c>
      <c r="BL16" s="9">
        <f ca="1">'Supply Chain finance'!BL$15</f>
        <v>0</v>
      </c>
      <c r="BM16" s="9">
        <f ca="1">'Supply Chain finance'!BM$15</f>
        <v>0</v>
      </c>
      <c r="BN16" s="9">
        <f ca="1">'Supply Chain finance'!BN$15</f>
        <v>0</v>
      </c>
      <c r="BO16" s="9">
        <f ca="1">'Supply Chain finance'!BO$15</f>
        <v>0</v>
      </c>
      <c r="BP16" s="9">
        <f ca="1">'Supply Chain finance'!BP$15</f>
        <v>0</v>
      </c>
      <c r="BQ16" s="9">
        <f ca="1">'Supply Chain finance'!BQ$15</f>
        <v>0</v>
      </c>
    </row>
    <row r="17" spans="5:16384">
      <c r="E17" s="15" t="str">
        <f>'Invoice finance'!E$15</f>
        <v>Invoice finance balance</v>
      </c>
      <c r="F17" s="15">
        <f>'Invoice finance'!F$15</f>
        <v>0</v>
      </c>
      <c r="G17" s="15" t="str">
        <f>'Invoice finance'!G$15</f>
        <v>GBP</v>
      </c>
      <c r="H17" s="9">
        <f>'Invoice finance'!H$15</f>
        <v>0</v>
      </c>
      <c r="I17" s="15">
        <f>'Invoice finance'!I$15</f>
        <v>0</v>
      </c>
      <c r="J17" s="9">
        <f ca="1">'Invoice finance'!J$15</f>
        <v>0</v>
      </c>
      <c r="K17" s="9">
        <f ca="1">'Invoice finance'!K$15</f>
        <v>0</v>
      </c>
      <c r="L17" s="9">
        <f ca="1">'Invoice finance'!L$15</f>
        <v>0</v>
      </c>
      <c r="M17" s="9">
        <f ca="1">'Invoice finance'!M$15</f>
        <v>0</v>
      </c>
      <c r="N17" s="9">
        <f ca="1">'Invoice finance'!N$15</f>
        <v>0</v>
      </c>
      <c r="O17" s="9">
        <f ca="1">'Invoice finance'!O$15</f>
        <v>0</v>
      </c>
      <c r="P17" s="9">
        <f ca="1">'Invoice finance'!P$15</f>
        <v>0</v>
      </c>
      <c r="Q17" s="9">
        <f ca="1">'Invoice finance'!Q$15</f>
        <v>0</v>
      </c>
      <c r="R17" s="9">
        <f ca="1">'Invoice finance'!R$15</f>
        <v>0</v>
      </c>
      <c r="S17" s="9">
        <f ca="1">'Invoice finance'!S$15</f>
        <v>0</v>
      </c>
      <c r="T17" s="9">
        <f ca="1">'Invoice finance'!T$15</f>
        <v>0</v>
      </c>
      <c r="U17" s="9">
        <f ca="1">'Invoice finance'!U$15</f>
        <v>0</v>
      </c>
      <c r="V17" s="9">
        <f ca="1">'Invoice finance'!V$15</f>
        <v>0</v>
      </c>
      <c r="W17" s="9">
        <f ca="1">'Invoice finance'!W$15</f>
        <v>0</v>
      </c>
      <c r="X17" s="9">
        <f ca="1">'Invoice finance'!X$15</f>
        <v>0</v>
      </c>
      <c r="Y17" s="9">
        <f ca="1">'Invoice finance'!Y$15</f>
        <v>0</v>
      </c>
      <c r="Z17" s="9">
        <f ca="1">'Invoice finance'!Z$15</f>
        <v>0</v>
      </c>
      <c r="AA17" s="9">
        <f ca="1">'Invoice finance'!AA$15</f>
        <v>0</v>
      </c>
      <c r="AB17" s="9">
        <f ca="1">'Invoice finance'!AB$15</f>
        <v>0</v>
      </c>
      <c r="AC17" s="9">
        <f ca="1">'Invoice finance'!AC$15</f>
        <v>0</v>
      </c>
      <c r="AD17" s="9">
        <f ca="1">'Invoice finance'!AD$15</f>
        <v>0</v>
      </c>
      <c r="AE17" s="9">
        <f ca="1">'Invoice finance'!AE$15</f>
        <v>0</v>
      </c>
      <c r="AF17" s="9">
        <f ca="1">'Invoice finance'!AF$15</f>
        <v>0</v>
      </c>
      <c r="AG17" s="9">
        <f ca="1">'Invoice finance'!AG$15</f>
        <v>0</v>
      </c>
      <c r="AH17" s="9">
        <f ca="1">'Invoice finance'!AH$15</f>
        <v>0</v>
      </c>
      <c r="AI17" s="9">
        <f ca="1">'Invoice finance'!AI$15</f>
        <v>0</v>
      </c>
      <c r="AJ17" s="9">
        <f ca="1">'Invoice finance'!AJ$15</f>
        <v>0</v>
      </c>
      <c r="AK17" s="9">
        <f ca="1">'Invoice finance'!AK$15</f>
        <v>0</v>
      </c>
      <c r="AL17" s="9">
        <f ca="1">'Invoice finance'!AL$15</f>
        <v>0</v>
      </c>
      <c r="AM17" s="9">
        <f ca="1">'Invoice finance'!AM$15</f>
        <v>0</v>
      </c>
      <c r="AN17" s="9">
        <f ca="1">'Invoice finance'!AN$15</f>
        <v>0</v>
      </c>
      <c r="AO17" s="9">
        <f ca="1">'Invoice finance'!AO$15</f>
        <v>0</v>
      </c>
      <c r="AP17" s="9">
        <f ca="1">'Invoice finance'!AP$15</f>
        <v>0</v>
      </c>
      <c r="AQ17" s="9">
        <f ca="1">'Invoice finance'!AQ$15</f>
        <v>0</v>
      </c>
      <c r="AR17" s="9">
        <f ca="1">'Invoice finance'!AR$15</f>
        <v>0</v>
      </c>
      <c r="AS17" s="9">
        <f ca="1">'Invoice finance'!AS$15</f>
        <v>0</v>
      </c>
      <c r="AT17" s="9">
        <f ca="1">'Invoice finance'!AT$15</f>
        <v>0</v>
      </c>
      <c r="AU17" s="9">
        <f ca="1">'Invoice finance'!AU$15</f>
        <v>0</v>
      </c>
      <c r="AV17" s="9">
        <f ca="1">'Invoice finance'!AV$15</f>
        <v>0</v>
      </c>
      <c r="AW17" s="9">
        <f ca="1">'Invoice finance'!AW$15</f>
        <v>0</v>
      </c>
      <c r="AX17" s="9">
        <f ca="1">'Invoice finance'!AX$15</f>
        <v>0</v>
      </c>
      <c r="AY17" s="9">
        <f ca="1">'Invoice finance'!AY$15</f>
        <v>0</v>
      </c>
      <c r="AZ17" s="9">
        <f ca="1">'Invoice finance'!AZ$15</f>
        <v>0</v>
      </c>
      <c r="BA17" s="9">
        <f ca="1">'Invoice finance'!BA$15</f>
        <v>0</v>
      </c>
      <c r="BB17" s="9">
        <f ca="1">'Invoice finance'!BB$15</f>
        <v>0</v>
      </c>
      <c r="BC17" s="9">
        <f ca="1">'Invoice finance'!BC$15</f>
        <v>0</v>
      </c>
      <c r="BD17" s="9">
        <f ca="1">'Invoice finance'!BD$15</f>
        <v>0</v>
      </c>
      <c r="BE17" s="9">
        <f ca="1">'Invoice finance'!BE$15</f>
        <v>0</v>
      </c>
      <c r="BF17" s="9">
        <f ca="1">'Invoice finance'!BF$15</f>
        <v>0</v>
      </c>
      <c r="BG17" s="9">
        <f ca="1">'Invoice finance'!BG$15</f>
        <v>0</v>
      </c>
      <c r="BH17" s="9">
        <f ca="1">'Invoice finance'!BH$15</f>
        <v>0</v>
      </c>
      <c r="BI17" s="9">
        <f ca="1">'Invoice finance'!BI$15</f>
        <v>0</v>
      </c>
      <c r="BJ17" s="9">
        <f ca="1">'Invoice finance'!BJ$15</f>
        <v>0</v>
      </c>
      <c r="BK17" s="9">
        <f ca="1">'Invoice finance'!BK$15</f>
        <v>0</v>
      </c>
      <c r="BL17" s="9">
        <f ca="1">'Invoice finance'!BL$15</f>
        <v>0</v>
      </c>
      <c r="BM17" s="9">
        <f ca="1">'Invoice finance'!BM$15</f>
        <v>0</v>
      </c>
      <c r="BN17" s="9">
        <f ca="1">'Invoice finance'!BN$15</f>
        <v>0</v>
      </c>
      <c r="BO17" s="9">
        <f ca="1">'Invoice finance'!BO$15</f>
        <v>0</v>
      </c>
      <c r="BP17" s="9">
        <f ca="1">'Invoice finance'!BP$15</f>
        <v>0</v>
      </c>
      <c r="BQ17" s="9">
        <f ca="1">'Invoice finance'!BQ$15</f>
        <v>0</v>
      </c>
    </row>
    <row r="18" spans="5:16384">
      <c r="E18" s="15" t="str">
        <f>'Asset Finance'!E$15</f>
        <v>Asset Finance balance</v>
      </c>
      <c r="F18" s="15">
        <f>'Asset Finance'!F$15</f>
        <v>0</v>
      </c>
      <c r="G18" s="15" t="str">
        <f>'Asset Finance'!G$15</f>
        <v>GBP</v>
      </c>
      <c r="H18" s="9">
        <f>'Asset Finance'!H$15</f>
        <v>0</v>
      </c>
      <c r="I18" s="15">
        <f>'Asset Finance'!I$15</f>
        <v>0</v>
      </c>
      <c r="J18" s="9">
        <f ca="1">'Asset Finance'!J$15</f>
        <v>0</v>
      </c>
      <c r="K18" s="9">
        <f ca="1">'Asset Finance'!K$15</f>
        <v>0</v>
      </c>
      <c r="L18" s="9">
        <f ca="1">'Asset Finance'!L$15</f>
        <v>0</v>
      </c>
      <c r="M18" s="9">
        <f ca="1">'Asset Finance'!M$15</f>
        <v>0</v>
      </c>
      <c r="N18" s="9">
        <f ca="1">'Asset Finance'!N$15</f>
        <v>0</v>
      </c>
      <c r="O18" s="9">
        <f ca="1">'Asset Finance'!O$15</f>
        <v>0</v>
      </c>
      <c r="P18" s="9">
        <f ca="1">'Asset Finance'!P$15</f>
        <v>0</v>
      </c>
      <c r="Q18" s="9">
        <f ca="1">'Asset Finance'!Q$15</f>
        <v>0</v>
      </c>
      <c r="R18" s="9">
        <f ca="1">'Asset Finance'!R$15</f>
        <v>0</v>
      </c>
      <c r="S18" s="9">
        <f ca="1">'Asset Finance'!S$15</f>
        <v>0</v>
      </c>
      <c r="T18" s="9">
        <f ca="1">'Asset Finance'!T$15</f>
        <v>0</v>
      </c>
      <c r="U18" s="9">
        <f ca="1">'Asset Finance'!U$15</f>
        <v>0</v>
      </c>
      <c r="V18" s="9">
        <f ca="1">'Asset Finance'!V$15</f>
        <v>0</v>
      </c>
      <c r="W18" s="9">
        <f ca="1">'Asset Finance'!W$15</f>
        <v>0</v>
      </c>
      <c r="X18" s="9">
        <f ca="1">'Asset Finance'!X$15</f>
        <v>0</v>
      </c>
      <c r="Y18" s="9">
        <f ca="1">'Asset Finance'!Y$15</f>
        <v>0</v>
      </c>
      <c r="Z18" s="9">
        <f ca="1">'Asset Finance'!Z$15</f>
        <v>0</v>
      </c>
      <c r="AA18" s="9">
        <f ca="1">'Asset Finance'!AA$15</f>
        <v>0</v>
      </c>
      <c r="AB18" s="9">
        <f ca="1">'Asset Finance'!AB$15</f>
        <v>0</v>
      </c>
      <c r="AC18" s="9">
        <f ca="1">'Asset Finance'!AC$15</f>
        <v>0</v>
      </c>
      <c r="AD18" s="9">
        <f ca="1">'Asset Finance'!AD$15</f>
        <v>0</v>
      </c>
      <c r="AE18" s="9">
        <f ca="1">'Asset Finance'!AE$15</f>
        <v>0</v>
      </c>
      <c r="AF18" s="9">
        <f ca="1">'Asset Finance'!AF$15</f>
        <v>0</v>
      </c>
      <c r="AG18" s="9">
        <f ca="1">'Asset Finance'!AG$15</f>
        <v>0</v>
      </c>
      <c r="AH18" s="9">
        <f ca="1">'Asset Finance'!AH$15</f>
        <v>0</v>
      </c>
      <c r="AI18" s="9">
        <f ca="1">'Asset Finance'!AI$15</f>
        <v>0</v>
      </c>
      <c r="AJ18" s="9">
        <f ca="1">'Asset Finance'!AJ$15</f>
        <v>0</v>
      </c>
      <c r="AK18" s="9">
        <f ca="1">'Asset Finance'!AK$15</f>
        <v>0</v>
      </c>
      <c r="AL18" s="9">
        <f ca="1">'Asset Finance'!AL$15</f>
        <v>0</v>
      </c>
      <c r="AM18" s="9">
        <f ca="1">'Asset Finance'!AM$15</f>
        <v>0</v>
      </c>
      <c r="AN18" s="9">
        <f ca="1">'Asset Finance'!AN$15</f>
        <v>0</v>
      </c>
      <c r="AO18" s="9">
        <f ca="1">'Asset Finance'!AO$15</f>
        <v>0</v>
      </c>
      <c r="AP18" s="9">
        <f ca="1">'Asset Finance'!AP$15</f>
        <v>0</v>
      </c>
      <c r="AQ18" s="9">
        <f ca="1">'Asset Finance'!AQ$15</f>
        <v>0</v>
      </c>
      <c r="AR18" s="9">
        <f ca="1">'Asset Finance'!AR$15</f>
        <v>0</v>
      </c>
      <c r="AS18" s="9">
        <f ca="1">'Asset Finance'!AS$15</f>
        <v>0</v>
      </c>
      <c r="AT18" s="9">
        <f ca="1">'Asset Finance'!AT$15</f>
        <v>0</v>
      </c>
      <c r="AU18" s="9">
        <f ca="1">'Asset Finance'!AU$15</f>
        <v>0</v>
      </c>
      <c r="AV18" s="9">
        <f ca="1">'Asset Finance'!AV$15</f>
        <v>0</v>
      </c>
      <c r="AW18" s="9">
        <f ca="1">'Asset Finance'!AW$15</f>
        <v>0</v>
      </c>
      <c r="AX18" s="9">
        <f ca="1">'Asset Finance'!AX$15</f>
        <v>0</v>
      </c>
      <c r="AY18" s="9">
        <f ca="1">'Asset Finance'!AY$15</f>
        <v>0</v>
      </c>
      <c r="AZ18" s="9">
        <f ca="1">'Asset Finance'!AZ$15</f>
        <v>0</v>
      </c>
      <c r="BA18" s="9">
        <f ca="1">'Asset Finance'!BA$15</f>
        <v>0</v>
      </c>
      <c r="BB18" s="9">
        <f ca="1">'Asset Finance'!BB$15</f>
        <v>0</v>
      </c>
      <c r="BC18" s="9">
        <f ca="1">'Asset Finance'!BC$15</f>
        <v>0</v>
      </c>
      <c r="BD18" s="9">
        <f ca="1">'Asset Finance'!BD$15</f>
        <v>0</v>
      </c>
      <c r="BE18" s="9">
        <f ca="1">'Asset Finance'!BE$15</f>
        <v>0</v>
      </c>
      <c r="BF18" s="9">
        <f ca="1">'Asset Finance'!BF$15</f>
        <v>0</v>
      </c>
      <c r="BG18" s="9">
        <f ca="1">'Asset Finance'!BG$15</f>
        <v>0</v>
      </c>
      <c r="BH18" s="9">
        <f ca="1">'Asset Finance'!BH$15</f>
        <v>0</v>
      </c>
      <c r="BI18" s="9">
        <f ca="1">'Asset Finance'!BI$15</f>
        <v>0</v>
      </c>
      <c r="BJ18" s="9">
        <f ca="1">'Asset Finance'!BJ$15</f>
        <v>0</v>
      </c>
      <c r="BK18" s="9">
        <f ca="1">'Asset Finance'!BK$15</f>
        <v>0</v>
      </c>
      <c r="BL18" s="9">
        <f ca="1">'Asset Finance'!BL$15</f>
        <v>0</v>
      </c>
      <c r="BM18" s="9">
        <f ca="1">'Asset Finance'!BM$15</f>
        <v>0</v>
      </c>
      <c r="BN18" s="9">
        <f ca="1">'Asset Finance'!BN$15</f>
        <v>0</v>
      </c>
      <c r="BO18" s="9">
        <f ca="1">'Asset Finance'!BO$15</f>
        <v>0</v>
      </c>
      <c r="BP18" s="9">
        <f ca="1">'Asset Finance'!BP$15</f>
        <v>0</v>
      </c>
      <c r="BQ18" s="9">
        <f ca="1">'Asset Finance'!BQ$15</f>
        <v>0</v>
      </c>
    </row>
    <row r="19" spans="5:16384">
      <c r="E19" s="15" t="str">
        <f>VAT!E$32</f>
        <v>VAT balance</v>
      </c>
      <c r="F19" s="15">
        <f>VAT!F$32</f>
        <v>0</v>
      </c>
      <c r="G19" s="15" t="str">
        <f>VAT!G$32</f>
        <v>GBP</v>
      </c>
      <c r="H19" s="9">
        <f>VAT!H$32</f>
        <v>0</v>
      </c>
      <c r="I19" s="15">
        <f>VAT!I$32</f>
        <v>0</v>
      </c>
      <c r="J19" s="9">
        <f ca="1">VAT!J$32</f>
        <v>-39600</v>
      </c>
      <c r="K19" s="9">
        <f ca="1">VAT!K$32</f>
        <v>-44327.338509609079</v>
      </c>
      <c r="L19" s="9">
        <f ca="1">VAT!L$32</f>
        <v>-4857.9164770385687</v>
      </c>
      <c r="M19" s="9">
        <f ca="1">VAT!M$32</f>
        <v>-9919.5965296730137</v>
      </c>
      <c r="N19" s="9">
        <f ca="1">VAT!N$32</f>
        <v>-15132.924278234681</v>
      </c>
      <c r="O19" s="9">
        <f ca="1">VAT!O$32</f>
        <v>-5368.8333215445273</v>
      </c>
      <c r="P19" s="9">
        <f ca="1">VAT!P$32</f>
        <v>-45970.202955140863</v>
      </c>
      <c r="Q19" s="9">
        <f ca="1">VAT!Q$32</f>
        <v>300755.010202882</v>
      </c>
      <c r="R19" s="9">
        <f ca="1">VAT!R$32</f>
        <v>57091.334139655752</v>
      </c>
      <c r="S19" s="9">
        <f ca="1">VAT!S$32</f>
        <v>55297.939035550495</v>
      </c>
      <c r="T19" s="9">
        <f ca="1">VAT!T$32</f>
        <v>48869.337549016898</v>
      </c>
      <c r="U19" s="9">
        <f ca="1">VAT!U$32</f>
        <v>-6654.8546194502633</v>
      </c>
      <c r="V19" s="9">
        <f ca="1">VAT!V$32</f>
        <v>-48604.854619450263</v>
      </c>
      <c r="W19" s="9">
        <f ca="1">VAT!W$32</f>
        <v>315762.28140571486</v>
      </c>
      <c r="X19" s="9">
        <f ca="1">VAT!X$32</f>
        <v>40954.761278332386</v>
      </c>
      <c r="Y19" s="9">
        <f ca="1">VAT!Y$32</f>
        <v>33132.284975515875</v>
      </c>
      <c r="Z19" s="9">
        <f ca="1">VAT!Z$32</f>
        <v>-9993.2743738466306</v>
      </c>
      <c r="AA19" s="9">
        <f ca="1">VAT!AA$32</f>
        <v>-8436.3281311731298</v>
      </c>
      <c r="AB19" s="9">
        <f ca="1">VAT!AB$32</f>
        <v>-17281.311105330718</v>
      </c>
      <c r="AC19" s="9">
        <f ca="1">VAT!AC$32</f>
        <v>746026.01177567896</v>
      </c>
      <c r="AD19" s="9">
        <f ca="1">VAT!AD$32</f>
        <v>18479.110021551489</v>
      </c>
      <c r="AE19" s="9">
        <f ca="1">VAT!AE$32</f>
        <v>12864.242215972774</v>
      </c>
      <c r="AF19" s="9">
        <f ca="1">VAT!AF$32</f>
        <v>2421.7078255419929</v>
      </c>
      <c r="AG19" s="9">
        <f ca="1">VAT!AG$32</f>
        <v>374103.91789480631</v>
      </c>
      <c r="AH19" s="9">
        <f ca="1">VAT!AH$32</f>
        <v>360783.3407016609</v>
      </c>
      <c r="AI19" s="9">
        <f ca="1">VAT!AI$32</f>
        <v>767414.64139436628</v>
      </c>
      <c r="AJ19" s="9">
        <f ca="1">VAT!AJ$32</f>
        <v>122933.83726458787</v>
      </c>
      <c r="AK19" s="9">
        <f ca="1">VAT!AK$32</f>
        <v>621892.62865367229</v>
      </c>
      <c r="AL19" s="9">
        <f ca="1">VAT!AL$32</f>
        <v>670827.74511427153</v>
      </c>
      <c r="AM19" s="9">
        <f ca="1">VAT!AM$32</f>
        <v>89239.370202294434</v>
      </c>
      <c r="AN19" s="9">
        <f ca="1">VAT!AN$32</f>
        <v>603789.74280749611</v>
      </c>
      <c r="AO19" s="9">
        <f ca="1">VAT!AO$32</f>
        <v>1089295.8974253964</v>
      </c>
      <c r="AP19" s="9">
        <f ca="1">VAT!AP$32</f>
        <v>526548.38672450511</v>
      </c>
      <c r="AQ19" s="9">
        <f ca="1">VAT!AQ$32</f>
        <v>604673.32798804459</v>
      </c>
      <c r="AR19" s="9">
        <f ca="1">VAT!AR$32</f>
        <v>724959.27092309203</v>
      </c>
      <c r="AS19" s="9">
        <f ca="1">VAT!AS$32</f>
        <v>931970.64477952756</v>
      </c>
      <c r="AT19" s="9">
        <f ca="1">VAT!AT$32</f>
        <v>1031776.0652910698</v>
      </c>
      <c r="AU19" s="9">
        <f ca="1">VAT!AU$32</f>
        <v>1258609.2131025724</v>
      </c>
      <c r="AV19" s="9">
        <f ca="1">VAT!AV$32</f>
        <v>625989.19137802836</v>
      </c>
      <c r="AW19" s="9">
        <f ca="1">VAT!AW$32</f>
        <v>1266160.5689386521</v>
      </c>
      <c r="AX19" s="9">
        <f ca="1">VAT!AX$32</f>
        <v>1956996.6741555287</v>
      </c>
      <c r="AY19" s="9">
        <f ca="1">VAT!AY$32</f>
        <v>252502.08329165448</v>
      </c>
      <c r="AZ19" s="9">
        <f ca="1">VAT!AZ$32</f>
        <v>1361904.4971107822</v>
      </c>
      <c r="BA19" s="9">
        <f ca="1">VAT!BA$32</f>
        <v>2070017.7641121505</v>
      </c>
      <c r="BB19" s="9">
        <f ca="1">VAT!BB$32</f>
        <v>727167.69885249785</v>
      </c>
      <c r="BC19" s="9">
        <f ca="1">VAT!BC$32</f>
        <v>1475331.4608965896</v>
      </c>
      <c r="BD19" s="9">
        <f ca="1">VAT!BD$32</f>
        <v>2245928.8826262252</v>
      </c>
      <c r="BE19" s="9">
        <f ca="1">VAT!BE$32</f>
        <v>791664.24126545433</v>
      </c>
      <c r="BF19" s="9">
        <f ca="1">VAT!BF$32</f>
        <v>1608157.4842942804</v>
      </c>
      <c r="BG19" s="9">
        <f ca="1">VAT!BG$32</f>
        <v>2525636.7504529487</v>
      </c>
      <c r="BH19" s="9">
        <f ca="1">VAT!BH$32</f>
        <v>1370214.4004991474</v>
      </c>
      <c r="BI19" s="9">
        <f ca="1">VAT!BI$32</f>
        <v>2353564.6088519664</v>
      </c>
      <c r="BJ19" s="9">
        <f ca="1">VAT!BJ$32</f>
        <v>3793388.8162340415</v>
      </c>
      <c r="BK19" s="9">
        <f ca="1">VAT!BK$32</f>
        <v>1058612.3086065226</v>
      </c>
      <c r="BL19" s="9">
        <f ca="1">VAT!BL$32</f>
        <v>2576694.3616067143</v>
      </c>
      <c r="BM19" s="9">
        <f ca="1">VAT!BM$32</f>
        <v>4138323.577021122</v>
      </c>
      <c r="BN19" s="9">
        <f ca="1">VAT!BN$32</f>
        <v>1186102.0497345179</v>
      </c>
      <c r="BO19" s="9">
        <f ca="1">VAT!BO$32</f>
        <v>2841241.9467544756</v>
      </c>
      <c r="BP19" s="9">
        <f ca="1">VAT!BP$32</f>
        <v>4548440.8738798015</v>
      </c>
      <c r="BQ19" s="9">
        <f ca="1">VAT!BQ$32</f>
        <v>1336252.8478529695</v>
      </c>
    </row>
    <row r="20" spans="5:16384">
      <c r="E20" s="15" t="str">
        <f>'Corporation tax'!E$78</f>
        <v>Corporation tax creditor</v>
      </c>
      <c r="F20" s="15">
        <f>'Corporation tax'!F$78</f>
        <v>0</v>
      </c>
      <c r="G20" s="15" t="str">
        <f>'Corporation tax'!G$78</f>
        <v>GBP</v>
      </c>
      <c r="H20" s="9">
        <f>'Corporation tax'!H$78</f>
        <v>0</v>
      </c>
      <c r="I20" s="15">
        <f>'Corporation tax'!I$78</f>
        <v>0</v>
      </c>
      <c r="J20" s="9">
        <f ca="1">'Corporation tax'!J$78</f>
        <v>0</v>
      </c>
      <c r="K20" s="9">
        <f ca="1">'Corporation tax'!K$78</f>
        <v>0</v>
      </c>
      <c r="L20" s="9">
        <f ca="1">'Corporation tax'!L$78</f>
        <v>0</v>
      </c>
      <c r="M20" s="9">
        <f ca="1">'Corporation tax'!M$78</f>
        <v>0</v>
      </c>
      <c r="N20" s="9">
        <f ca="1">'Corporation tax'!N$78</f>
        <v>0</v>
      </c>
      <c r="O20" s="9">
        <f ca="1">'Corporation tax'!O$78</f>
        <v>0</v>
      </c>
      <c r="P20" s="9">
        <f ca="1">'Corporation tax'!P$78</f>
        <v>0</v>
      </c>
      <c r="Q20" s="9">
        <f ca="1">'Corporation tax'!Q$78</f>
        <v>0</v>
      </c>
      <c r="R20" s="9">
        <f ca="1">'Corporation tax'!R$78</f>
        <v>0</v>
      </c>
      <c r="S20" s="9">
        <f ca="1">'Corporation tax'!S$78</f>
        <v>1390.4451961941932</v>
      </c>
      <c r="T20" s="9">
        <f ca="1">'Corporation tax'!T$78</f>
        <v>23533.242223126996</v>
      </c>
      <c r="U20" s="9">
        <f ca="1">'Corporation tax'!U$78</f>
        <v>45223.532984226469</v>
      </c>
      <c r="V20" s="9">
        <f ca="1">'Corporation tax'!V$78</f>
        <v>66323.532984226476</v>
      </c>
      <c r="W20" s="9">
        <f ca="1">'Corporation tax'!W$78</f>
        <v>117871.08508320525</v>
      </c>
      <c r="X20" s="9">
        <f ca="1">'Corporation tax'!X$78</f>
        <v>172931.96758910635</v>
      </c>
      <c r="Y20" s="9">
        <f ca="1">'Corporation tax'!Y$78</f>
        <v>54355.047394366993</v>
      </c>
      <c r="Z20" s="9">
        <f ca="1">'Corporation tax'!Z$78</f>
        <v>108103.92869564198</v>
      </c>
      <c r="AA20" s="9">
        <f ca="1">'Corporation tax'!AA$78</f>
        <v>161231.27243329573</v>
      </c>
      <c r="AB20" s="9">
        <f ca="1">'Corporation tax'!AB$78</f>
        <v>213541.30648498057</v>
      </c>
      <c r="AC20" s="9">
        <f ca="1">'Corporation tax'!AC$78</f>
        <v>300153.57794680184</v>
      </c>
      <c r="AD20" s="9">
        <f ca="1">'Corporation tax'!AD$78</f>
        <v>385994.81150989933</v>
      </c>
      <c r="AE20" s="9">
        <f ca="1">'Corporation tax'!AE$78</f>
        <v>470884.43667894544</v>
      </c>
      <c r="AF20" s="9">
        <f ca="1">'Corporation tax'!AF$78</f>
        <v>554999.36789808387</v>
      </c>
      <c r="AG20" s="9">
        <f ca="1">'Corporation tax'!AG$78</f>
        <v>673207.20368769648</v>
      </c>
      <c r="AH20" s="9">
        <f ca="1">'Corporation tax'!AH$78</f>
        <v>783066.04930140567</v>
      </c>
      <c r="AI20" s="9">
        <f ca="1">'Corporation tax'!AI$78</f>
        <v>894965.05988823157</v>
      </c>
      <c r="AJ20" s="9">
        <f ca="1">'Corporation tax'!AJ$78</f>
        <v>1009079.3836522016</v>
      </c>
      <c r="AK20" s="9">
        <f ca="1">'Corporation tax'!AK$78</f>
        <v>151258.19898032933</v>
      </c>
      <c r="AL20" s="9">
        <f ca="1">'Corporation tax'!AL$78</f>
        <v>304946.22798607056</v>
      </c>
      <c r="AM20" s="9">
        <f ca="1">'Corporation tax'!AM$78</f>
        <v>461272.67628509802</v>
      </c>
      <c r="AN20" s="9">
        <f ca="1">'Corporation tax'!AN$78</f>
        <v>655176.97516681068</v>
      </c>
      <c r="AO20" s="9">
        <f ca="1">'Corporation tax'!AO$78</f>
        <v>852043.88461349322</v>
      </c>
      <c r="AP20" s="9">
        <f ca="1">'Corporation tax'!AP$78</f>
        <v>1086963.1421845492</v>
      </c>
      <c r="AQ20" s="9">
        <f ca="1">'Corporation tax'!AQ$78</f>
        <v>1324976.253000143</v>
      </c>
      <c r="AR20" s="9">
        <f ca="1">'Corporation tax'!AR$78</f>
        <v>1566675.7897395696</v>
      </c>
      <c r="AS20" s="9">
        <f ca="1">'Corporation tax'!AS$78</f>
        <v>1847012.990837669</v>
      </c>
      <c r="AT20" s="9">
        <f ca="1">'Corporation tax'!AT$78</f>
        <v>2131146.2519301511</v>
      </c>
      <c r="AU20" s="9">
        <f ca="1">'Corporation tax'!AU$78</f>
        <v>2419346.2809686195</v>
      </c>
      <c r="AV20" s="9">
        <f ca="1">'Corporation tax'!AV$78</f>
        <v>2746983.6823349316</v>
      </c>
      <c r="AW20" s="9">
        <f ca="1">'Corporation tax'!AW$78</f>
        <v>332063.9861255344</v>
      </c>
      <c r="AX20" s="9">
        <f ca="1">'Corporation tax'!AX$78</f>
        <v>703993.99965892464</v>
      </c>
      <c r="AY20" s="9">
        <f ca="1">'Corporation tax'!AY$78</f>
        <v>1081206.9292792981</v>
      </c>
      <c r="AZ20" s="9">
        <f ca="1">'Corporation tax'!AZ$78</f>
        <v>1498716.798536951</v>
      </c>
      <c r="BA20" s="9">
        <f ca="1">'Corporation tax'!BA$78</f>
        <v>1957157.2567244237</v>
      </c>
      <c r="BB20" s="9">
        <f ca="1">'Corporation tax'!BB$78</f>
        <v>2421699.0671673422</v>
      </c>
      <c r="BC20" s="9">
        <f ca="1">'Corporation tax'!BC$78</f>
        <v>2927577.2237733658</v>
      </c>
      <c r="BD20" s="9">
        <f ca="1">'Corporation tax'!BD$78</f>
        <v>3475845.8783731451</v>
      </c>
      <c r="BE20" s="9">
        <f ca="1">'Corporation tax'!BE$78</f>
        <v>4031391.4012702624</v>
      </c>
      <c r="BF20" s="9">
        <f ca="1">'Corporation tax'!BF$78</f>
        <v>4626519.5124901235</v>
      </c>
      <c r="BG20" s="9">
        <f ca="1">'Corporation tax'!BG$78</f>
        <v>5267776.1743839504</v>
      </c>
      <c r="BH20" s="9">
        <f ca="1">'Corporation tax'!BH$78</f>
        <v>5956047.8758138604</v>
      </c>
      <c r="BI20" s="9">
        <f ca="1">'Corporation tax'!BI$78</f>
        <v>735587.96540246159</v>
      </c>
      <c r="BJ20" s="9">
        <f ca="1">'Corporation tax'!BJ$78</f>
        <v>1519427.085009102</v>
      </c>
      <c r="BK20" s="9">
        <f ca="1">'Corporation tax'!BK$78</f>
        <v>2352572.9394531748</v>
      </c>
      <c r="BL20" s="9">
        <f ca="1">'Corporation tax'!BL$78</f>
        <v>3235413.8090629019</v>
      </c>
      <c r="BM20" s="9">
        <f ca="1">'Corporation tax'!BM$78</f>
        <v>4169317.0397722493</v>
      </c>
      <c r="BN20" s="9">
        <f ca="1">'Corporation tax'!BN$78</f>
        <v>5155029.9430043884</v>
      </c>
      <c r="BO20" s="9">
        <f ca="1">'Corporation tax'!BO$78</f>
        <v>6193290.0148606133</v>
      </c>
      <c r="BP20" s="9">
        <f ca="1">'Corporation tax'!BP$78</f>
        <v>7286139.397122818</v>
      </c>
      <c r="BQ20" s="9">
        <f ca="1">'Corporation tax'!BQ$78</f>
        <v>8433811.6241043191</v>
      </c>
    </row>
    <row r="21" spans="5:16384">
      <c r="E21" s="12" t="s">
        <v>222</v>
      </c>
      <c r="F21" s="28"/>
      <c r="G21" s="12" t="s">
        <v>252</v>
      </c>
      <c r="H21" s="12"/>
      <c r="I21" s="28"/>
      <c r="J21" s="12">
        <f t="shared" ref="J21:AO21" ca="1" si="2">SUM(J14:J20)</f>
        <v>117900</v>
      </c>
      <c r="K21" s="12">
        <f t="shared" ca="1" si="2"/>
        <v>113172.66149039092</v>
      </c>
      <c r="L21" s="12">
        <f t="shared" ca="1" si="2"/>
        <v>152642.08352296142</v>
      </c>
      <c r="M21" s="12">
        <f t="shared" ca="1" si="2"/>
        <v>147580.40347032697</v>
      </c>
      <c r="N21" s="12">
        <f t="shared" ca="1" si="2"/>
        <v>142367.07572176532</v>
      </c>
      <c r="O21" s="12">
        <f t="shared" ca="1" si="2"/>
        <v>152131.16667845548</v>
      </c>
      <c r="P21" s="12">
        <f t="shared" ca="1" si="2"/>
        <v>122029.79704485914</v>
      </c>
      <c r="Q21" s="12">
        <f t="shared" ca="1" si="2"/>
        <v>2084385.4513075021</v>
      </c>
      <c r="R21" s="12">
        <f t="shared" ca="1" si="2"/>
        <v>1982864.3746150807</v>
      </c>
      <c r="S21" s="12">
        <f t="shared" ca="1" si="2"/>
        <v>1829663.0227566606</v>
      </c>
      <c r="T21" s="12">
        <f t="shared" ca="1" si="2"/>
        <v>1670377.2182970599</v>
      </c>
      <c r="U21" s="12">
        <f t="shared" ca="1" si="2"/>
        <v>1461543.3168896923</v>
      </c>
      <c r="V21" s="12">
        <f t="shared" ca="1" si="2"/>
        <v>1276193.3168896923</v>
      </c>
      <c r="W21" s="12">
        <f t="shared" ca="1" si="2"/>
        <v>3220163.2048975029</v>
      </c>
      <c r="X21" s="12">
        <f t="shared" ca="1" si="2"/>
        <v>2892538.1674029306</v>
      </c>
      <c r="Y21" s="12">
        <f t="shared" ca="1" si="2"/>
        <v>2416138.7709053745</v>
      </c>
      <c r="Z21" s="12">
        <f t="shared" ca="1" si="2"/>
        <v>2234262.0928572873</v>
      </c>
      <c r="AA21" s="12">
        <f t="shared" ca="1" si="2"/>
        <v>1938946.3828376145</v>
      </c>
      <c r="AB21" s="12">
        <f t="shared" ca="1" si="2"/>
        <v>1485411.4339151417</v>
      </c>
      <c r="AC21" s="12">
        <f t="shared" ca="1" si="2"/>
        <v>5672836.9640084673</v>
      </c>
      <c r="AD21" s="12">
        <f t="shared" ca="1" si="2"/>
        <v>4978923.7620174512</v>
      </c>
      <c r="AE21" s="12">
        <f t="shared" ca="1" si="2"/>
        <v>4555400.1174304094</v>
      </c>
      <c r="AF21" s="12">
        <f t="shared" ca="1" si="2"/>
        <v>3957072.5142591167</v>
      </c>
      <c r="AG21" s="12">
        <f t="shared" ca="1" si="2"/>
        <v>6004462.5601179944</v>
      </c>
      <c r="AH21" s="12">
        <f t="shared" ca="1" si="2"/>
        <v>5418500.8285385575</v>
      </c>
      <c r="AI21" s="12">
        <f t="shared" ca="1" si="2"/>
        <v>7673470.6939379219</v>
      </c>
      <c r="AJ21" s="12">
        <f t="shared" ca="1" si="2"/>
        <v>6967281.6653494174</v>
      </c>
      <c r="AK21" s="12">
        <f t="shared" ca="1" si="2"/>
        <v>8270132.8956481125</v>
      </c>
      <c r="AL21" s="12">
        <f t="shared" ca="1" si="2"/>
        <v>8200988.1871917602</v>
      </c>
      <c r="AM21" s="12">
        <f t="shared" ca="1" si="2"/>
        <v>7208979.3084211955</v>
      </c>
      <c r="AN21" s="12">
        <f t="shared" ca="1" si="2"/>
        <v>9431806.684269568</v>
      </c>
      <c r="AO21" s="12">
        <f t="shared" ca="1" si="2"/>
        <v>11649742.686575675</v>
      </c>
      <c r="AP21" s="12">
        <f t="shared" ref="AP21:BU21" ca="1" si="3">SUM(AP14:AP20)</f>
        <v>12682217.080435583</v>
      </c>
      <c r="AQ21" s="12">
        <f t="shared" ca="1" si="3"/>
        <v>12428217.037017941</v>
      </c>
      <c r="AR21" s="12">
        <f t="shared" ca="1" si="3"/>
        <v>11928186.693613892</v>
      </c>
      <c r="AS21" s="12">
        <f t="shared" ca="1" si="3"/>
        <v>15892700.787635323</v>
      </c>
      <c r="AT21" s="12">
        <f t="shared" ca="1" si="3"/>
        <v>15567921.81907114</v>
      </c>
      <c r="AU21" s="12">
        <f t="shared" ca="1" si="3"/>
        <v>15503286.328843795</v>
      </c>
      <c r="AV21" s="12">
        <f t="shared" ca="1" si="3"/>
        <v>16890332.123621866</v>
      </c>
      <c r="AW21" s="12">
        <f t="shared" ca="1" si="3"/>
        <v>16701982.605134048</v>
      </c>
      <c r="AX21" s="12">
        <f t="shared" ca="1" si="3"/>
        <v>19212213.367599025</v>
      </c>
      <c r="AY21" s="12">
        <f t="shared" ca="1" si="3"/>
        <v>17292195.401888452</v>
      </c>
      <c r="AZ21" s="12">
        <f t="shared" ca="1" si="3"/>
        <v>22300635.116627801</v>
      </c>
      <c r="BA21" s="12">
        <f t="shared" ca="1" si="3"/>
        <v>24876066.730169337</v>
      </c>
      <c r="BB21" s="12">
        <f t="shared" ca="1" si="3"/>
        <v>25314976.790257048</v>
      </c>
      <c r="BC21" s="12">
        <f t="shared" ca="1" si="3"/>
        <v>27774175.113385469</v>
      </c>
      <c r="BD21" s="12">
        <f t="shared" ca="1" si="3"/>
        <v>30335922.934388585</v>
      </c>
      <c r="BE21" s="12">
        <f t="shared" ca="1" si="3"/>
        <v>30590922.664973333</v>
      </c>
      <c r="BF21" s="12">
        <f t="shared" ca="1" si="3"/>
        <v>33070679.774754506</v>
      </c>
      <c r="BG21" s="12">
        <f t="shared" ca="1" si="3"/>
        <v>35959362.230498098</v>
      </c>
      <c r="BH21" s="12">
        <f t="shared" ca="1" si="3"/>
        <v>38837965.047745585</v>
      </c>
      <c r="BI21" s="12">
        <f t="shared" ca="1" si="3"/>
        <v>35761253.837964207</v>
      </c>
      <c r="BJ21" s="12">
        <f t="shared" ca="1" si="3"/>
        <v>41171573.079691499</v>
      </c>
      <c r="BK21" s="12">
        <f t="shared" ca="1" si="3"/>
        <v>40288770.960607134</v>
      </c>
      <c r="BL21" s="12">
        <f t="shared" ca="1" si="3"/>
        <v>45740260.209983692</v>
      </c>
      <c r="BM21" s="12">
        <f t="shared" ca="1" si="3"/>
        <v>51231678.968788743</v>
      </c>
      <c r="BN21" s="12">
        <f t="shared" ca="1" si="3"/>
        <v>50105935.44467327</v>
      </c>
      <c r="BO21" s="12">
        <f t="shared" ca="1" si="3"/>
        <v>55702250.906832524</v>
      </c>
      <c r="BP21" s="12">
        <f t="shared" ca="1" si="3"/>
        <v>61373044.90085648</v>
      </c>
      <c r="BQ21" s="12">
        <f t="shared" ca="1" si="3"/>
        <v>60028206.12233185</v>
      </c>
    </row>
    <row r="23" spans="5:16384">
      <c r="E23" s="15" t="str">
        <f>Financials!E$24</f>
        <v>Net Assets</v>
      </c>
      <c r="F23" s="15"/>
      <c r="G23" s="15" t="str">
        <f>Financials!G$24</f>
        <v>GBP</v>
      </c>
      <c r="H23" s="9">
        <f>Financials!H$24</f>
        <v>0</v>
      </c>
      <c r="I23" s="15">
        <f>Financials!I$24</f>
        <v>0</v>
      </c>
      <c r="J23" s="16">
        <f ca="1">Financials!J$24</f>
        <v>-46000</v>
      </c>
      <c r="K23" s="16">
        <f ca="1">Financials!K$24</f>
        <v>-100565.05176275742</v>
      </c>
      <c r="L23" s="16">
        <f ca="1">Financials!L$24</f>
        <v>-156435.88319980979</v>
      </c>
      <c r="M23" s="16">
        <f ca="1">Financials!M$24</f>
        <v>-214344.3503928209</v>
      </c>
      <c r="N23" s="16">
        <f ca="1">Financials!N$24</f>
        <v>-273769.29454510426</v>
      </c>
      <c r="O23" s="16">
        <f ca="1">Financials!O$24</f>
        <v>-334749.29442721617</v>
      </c>
      <c r="P23" s="16">
        <f ca="1">Financials!P$24</f>
        <v>-398054.65742984624</v>
      </c>
      <c r="Q23" s="16">
        <f ca="1">Financials!Q$24</f>
        <v>-323522.23603806645</v>
      </c>
      <c r="R23" s="16">
        <f ca="1">Financials!R$24</f>
        <v>-224627.2935456608</v>
      </c>
      <c r="S23" s="16">
        <f ca="1">Financials!S$24</f>
        <v>-127938.2192152231</v>
      </c>
      <c r="T23" s="16">
        <f ca="1">Financials!T$24</f>
        <v>-53950.364440825302</v>
      </c>
      <c r="U23" s="16">
        <f ca="1">Financials!U$24</f>
        <v>18227.465270239161</v>
      </c>
      <c r="V23" s="16">
        <f ca="1">Financials!V$24</f>
        <v>88044.131936905673</v>
      </c>
      <c r="W23" s="16">
        <f ca="1">Financials!W$24</f>
        <v>272359.34033282101</v>
      </c>
      <c r="X23" s="16">
        <f ca="1">Financials!X$24</f>
        <v>470727.87035642518</v>
      </c>
      <c r="Y23" s="16">
        <f ca="1">Financials!Y$24</f>
        <v>666273.05993389338</v>
      </c>
      <c r="Z23" s="16">
        <f ca="1">Financials!Z$24</f>
        <v>859393.58513899334</v>
      </c>
      <c r="AA23" s="16">
        <f ca="1">Financials!AA$24</f>
        <v>1042736.2934229411</v>
      </c>
      <c r="AB23" s="16">
        <f ca="1">Financials!AB$24</f>
        <v>1222809.762963014</v>
      </c>
      <c r="AC23" s="16">
        <f ca="1">Financials!AC$24</f>
        <v>1540092.1821436323</v>
      </c>
      <c r="AD23" s="16">
        <f ca="1">Financials!AD$24</f>
        <v>1854290.4497293551</v>
      </c>
      <c r="AE23" s="16">
        <f ca="1">Financials!AE$24</f>
        <v>2157390.617072206</v>
      </c>
      <c r="AF23" s="16">
        <f ca="1">Financials!AF$24</f>
        <v>2457392.0086154267</v>
      </c>
      <c r="AG23" s="16">
        <f ca="1">Financials!AG$24</f>
        <v>2893765.0184405437</v>
      </c>
      <c r="AH23" s="16">
        <f ca="1">Financials!AH$24</f>
        <v>3289450.4008953813</v>
      </c>
      <c r="AI23" s="16">
        <f ca="1">Financials!AI$24</f>
        <v>3694025.6099093501</v>
      </c>
      <c r="AJ23" s="16">
        <f ca="1">Financials!AJ$24</f>
        <v>4100943.7863921775</v>
      </c>
      <c r="AK23" s="16">
        <f ca="1">Financials!AK$24</f>
        <v>4657256.1847394165</v>
      </c>
      <c r="AL23" s="16">
        <f ca="1">Financials!AL$24</f>
        <v>5224156.2692881264</v>
      </c>
      <c r="AM23" s="16">
        <f ca="1">Financials!AM$24</f>
        <v>5795239.3858931148</v>
      </c>
      <c r="AN23" s="16">
        <f ca="1">Financials!AN$24</f>
        <v>6517608.9213692639</v>
      </c>
      <c r="AO23" s="16">
        <f ca="1">Financials!AO$24</f>
        <v>7252863.0380995739</v>
      </c>
      <c r="AP23" s="16">
        <f ca="1">Financials!AP$24</f>
        <v>8134129.6461683493</v>
      </c>
      <c r="AQ23" s="16">
        <f ca="1">Financials!AQ$24</f>
        <v>9028932.8164410628</v>
      </c>
      <c r="AR23" s="16">
        <f ca="1">Financials!AR$24</f>
        <v>9932421.5820214953</v>
      </c>
      <c r="AS23" s="16">
        <f ca="1">Financials!AS$24</f>
        <v>10991760.232333899</v>
      </c>
      <c r="AT23" s="16">
        <f ca="1">Financials!AT$24</f>
        <v>12060369.243370052</v>
      </c>
      <c r="AU23" s="16">
        <f ca="1">Financials!AU$24</f>
        <v>13139411.992856819</v>
      </c>
      <c r="AV23" s="16">
        <f ca="1">Financials!AV$24</f>
        <v>14377752.33719296</v>
      </c>
      <c r="AW23" s="16">
        <f ca="1">Financials!AW$24</f>
        <v>15628146.089575391</v>
      </c>
      <c r="AX23" s="16">
        <f ca="1">Financials!AX$24</f>
        <v>17032450.249275506</v>
      </c>
      <c r="AY23" s="16">
        <f ca="1">Financials!AY$24</f>
        <v>18459729.274845414</v>
      </c>
      <c r="AZ23" s="16">
        <f ca="1">Financials!AZ$24</f>
        <v>20042855.499646667</v>
      </c>
      <c r="BA23" s="16">
        <f ca="1">Financials!BA$24</f>
        <v>21784481.664247099</v>
      </c>
      <c r="BB23" s="16">
        <f ca="1">Financials!BB$24</f>
        <v>23545411.961287726</v>
      </c>
      <c r="BC23" s="16">
        <f ca="1">Financials!BC$24</f>
        <v>25466720.227145486</v>
      </c>
      <c r="BD23" s="16">
        <f ca="1">Financials!BD$24</f>
        <v>27552763.873226345</v>
      </c>
      <c r="BE23" s="16">
        <f ca="1">Financials!BE$24</f>
        <v>29663222.876222044</v>
      </c>
      <c r="BF23" s="16">
        <f ca="1">Financials!BF$24</f>
        <v>31927477.598079618</v>
      </c>
      <c r="BG23" s="16">
        <f ca="1">Financials!BG$24</f>
        <v>34372529.617814355</v>
      </c>
      <c r="BH23" s="16">
        <f ca="1">Financials!BH$24</f>
        <v>37002141.488822192</v>
      </c>
      <c r="BI23" s="16">
        <f ca="1">Financials!BI$24</f>
        <v>39817740.20741266</v>
      </c>
      <c r="BJ23" s="16">
        <f ca="1">Financials!BJ$24</f>
        <v>42823308.513468742</v>
      </c>
      <c r="BK23" s="16">
        <f ca="1">Financials!BK$24</f>
        <v>46023326.642907791</v>
      </c>
      <c r="BL23" s="16">
        <f ca="1">Financials!BL$24</f>
        <v>49419612.180270255</v>
      </c>
      <c r="BM23" s="16">
        <f ca="1">Financials!BM$24</f>
        <v>53017924.073937282</v>
      </c>
      <c r="BN23" s="16">
        <f ca="1">Financials!BN$24</f>
        <v>56821548.487890348</v>
      </c>
      <c r="BO23" s="16">
        <f ca="1">Financials!BO$24</f>
        <v>60833762.469809793</v>
      </c>
      <c r="BP23" s="16">
        <f ca="1">Financials!BP$24</f>
        <v>65063079.570166409</v>
      </c>
      <c r="BQ23" s="16">
        <f ca="1">Financials!BQ$24</f>
        <v>69510763.829430073</v>
      </c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5" spans="5:16384">
      <c r="E25" s="15" t="str">
        <f>Financials!E$38</f>
        <v>Retained Earnings</v>
      </c>
      <c r="F25" s="15">
        <f>Financials!F$38</f>
        <v>0</v>
      </c>
      <c r="G25" s="15" t="str">
        <f>Financials!G$38</f>
        <v>GBP</v>
      </c>
      <c r="H25" s="9">
        <f>Financials!H$38</f>
        <v>0</v>
      </c>
      <c r="I25" s="15">
        <f>Financials!I$38</f>
        <v>0</v>
      </c>
      <c r="J25" s="9">
        <f ca="1">Financials!J$38</f>
        <v>-46000</v>
      </c>
      <c r="K25" s="9">
        <f ca="1">Financials!K$38</f>
        <v>-100565.05176275744</v>
      </c>
      <c r="L25" s="9">
        <f ca="1">Financials!L$38</f>
        <v>-156435.88319980982</v>
      </c>
      <c r="M25" s="9">
        <f ca="1">Financials!M$38</f>
        <v>-214344.35039282092</v>
      </c>
      <c r="N25" s="9">
        <f ca="1">Financials!N$38</f>
        <v>-273769.29454510426</v>
      </c>
      <c r="O25" s="9">
        <f ca="1">Financials!O$38</f>
        <v>-334749.29442721617</v>
      </c>
      <c r="P25" s="9">
        <f ca="1">Financials!P$38</f>
        <v>-398054.65742984624</v>
      </c>
      <c r="Q25" s="9">
        <f ca="1">Financials!Q$38</f>
        <v>-323522.2360380665</v>
      </c>
      <c r="R25" s="9">
        <f ca="1">Financials!R$38</f>
        <v>-224627.29354566085</v>
      </c>
      <c r="S25" s="9">
        <f ca="1">Financials!S$38</f>
        <v>-127938.21921522322</v>
      </c>
      <c r="T25" s="9">
        <f ca="1">Financials!T$38</f>
        <v>-53950.364440825346</v>
      </c>
      <c r="U25" s="9">
        <f ca="1">Financials!U$38</f>
        <v>18227.46527023922</v>
      </c>
      <c r="V25" s="9">
        <f ca="1">Financials!V$38</f>
        <v>88044.131936905891</v>
      </c>
      <c r="W25" s="9">
        <f ca="1">Financials!W$38</f>
        <v>272359.34033282101</v>
      </c>
      <c r="X25" s="9">
        <f ca="1">Financials!X$38</f>
        <v>470727.87035642535</v>
      </c>
      <c r="Y25" s="9">
        <f ca="1">Financials!Y$38</f>
        <v>666273.05993389327</v>
      </c>
      <c r="Z25" s="9">
        <f ca="1">Financials!Z$38</f>
        <v>859393.58513899322</v>
      </c>
      <c r="AA25" s="9">
        <f ca="1">Financials!AA$38</f>
        <v>1042736.2934229415</v>
      </c>
      <c r="AB25" s="9">
        <f ca="1">Financials!AB$38</f>
        <v>1222809.7629630142</v>
      </c>
      <c r="AC25" s="9">
        <f ca="1">Financials!AC$38</f>
        <v>1540092.1821436328</v>
      </c>
      <c r="AD25" s="9">
        <f ca="1">Financials!AD$38</f>
        <v>1854290.449729356</v>
      </c>
      <c r="AE25" s="9">
        <f ca="1">Financials!AE$38</f>
        <v>2157390.6170722069</v>
      </c>
      <c r="AF25" s="9">
        <f ca="1">Financials!AF$38</f>
        <v>2457392.0086154272</v>
      </c>
      <c r="AG25" s="9">
        <f ca="1">Financials!AG$38</f>
        <v>2893765.0184405441</v>
      </c>
      <c r="AH25" s="9">
        <f ca="1">Financials!AH$38</f>
        <v>3289450.4008953809</v>
      </c>
      <c r="AI25" s="9">
        <f ca="1">Financials!AI$38</f>
        <v>3694025.6099093514</v>
      </c>
      <c r="AJ25" s="9">
        <f ca="1">Financials!AJ$38</f>
        <v>4100943.7863921789</v>
      </c>
      <c r="AK25" s="9">
        <f ca="1">Financials!AK$38</f>
        <v>4657256.1847394155</v>
      </c>
      <c r="AL25" s="9">
        <f ca="1">Financials!AL$38</f>
        <v>5224156.2692881264</v>
      </c>
      <c r="AM25" s="9">
        <f ca="1">Financials!AM$38</f>
        <v>5795239.3858931158</v>
      </c>
      <c r="AN25" s="9">
        <f ca="1">Financials!AN$38</f>
        <v>6517608.9213692658</v>
      </c>
      <c r="AO25" s="9">
        <f ca="1">Financials!AO$38</f>
        <v>7252863.0380995739</v>
      </c>
      <c r="AP25" s="9">
        <f ca="1">Financials!AP$38</f>
        <v>8134129.6461683484</v>
      </c>
      <c r="AQ25" s="9">
        <f ca="1">Financials!AQ$38</f>
        <v>9028932.8164410628</v>
      </c>
      <c r="AR25" s="9">
        <f ca="1">Financials!AR$38</f>
        <v>9932421.5820214897</v>
      </c>
      <c r="AS25" s="9">
        <f ca="1">Financials!AS$38</f>
        <v>10991760.232333895</v>
      </c>
      <c r="AT25" s="9">
        <f ca="1">Financials!AT$38</f>
        <v>12060369.243370049</v>
      </c>
      <c r="AU25" s="9">
        <f ca="1">Financials!AU$38</f>
        <v>13139411.992856814</v>
      </c>
      <c r="AV25" s="9">
        <f ca="1">Financials!AV$38</f>
        <v>14377752.337192958</v>
      </c>
      <c r="AW25" s="9">
        <f ca="1">Financials!AW$38</f>
        <v>15628146.089575386</v>
      </c>
      <c r="AX25" s="9">
        <f ca="1">Financials!AX$38</f>
        <v>17032450.249275498</v>
      </c>
      <c r="AY25" s="9">
        <f ca="1">Financials!AY$38</f>
        <v>18459729.27484541</v>
      </c>
      <c r="AZ25" s="9">
        <f ca="1">Financials!AZ$38</f>
        <v>20042855.49964666</v>
      </c>
      <c r="BA25" s="9">
        <f ca="1">Financials!BA$38</f>
        <v>21784481.664247084</v>
      </c>
      <c r="BB25" s="9">
        <f ca="1">Financials!BB$38</f>
        <v>23545411.961287707</v>
      </c>
      <c r="BC25" s="9">
        <f ca="1">Financials!BC$38</f>
        <v>25466720.227145471</v>
      </c>
      <c r="BD25" s="9">
        <f ca="1">Financials!BD$38</f>
        <v>27552763.87322633</v>
      </c>
      <c r="BE25" s="9">
        <f ca="1">Financials!BE$38</f>
        <v>29663222.876222033</v>
      </c>
      <c r="BF25" s="9">
        <f ca="1">Financials!BF$38</f>
        <v>31927477.598079607</v>
      </c>
      <c r="BG25" s="9">
        <f ca="1">Financials!BG$38</f>
        <v>34372529.61781434</v>
      </c>
      <c r="BH25" s="9">
        <f ca="1">Financials!BH$38</f>
        <v>37002141.488822192</v>
      </c>
      <c r="BI25" s="9">
        <f ca="1">Financials!BI$38</f>
        <v>39817740.20741266</v>
      </c>
      <c r="BJ25" s="9">
        <f ca="1">Financials!BJ$38</f>
        <v>42823308.513468735</v>
      </c>
      <c r="BK25" s="9">
        <f ca="1">Financials!BK$38</f>
        <v>46023326.642907783</v>
      </c>
      <c r="BL25" s="9">
        <f ca="1">Financials!BL$38</f>
        <v>49419612.180270262</v>
      </c>
      <c r="BM25" s="9">
        <f ca="1">Financials!BM$38</f>
        <v>53017924.073937289</v>
      </c>
      <c r="BN25" s="9">
        <f ca="1">Financials!BN$38</f>
        <v>56821548.487890348</v>
      </c>
      <c r="BO25" s="9">
        <f ca="1">Financials!BO$38</f>
        <v>60833762.469809815</v>
      </c>
      <c r="BP25" s="9">
        <f ca="1">Financials!BP$38</f>
        <v>65063079.570166416</v>
      </c>
      <c r="BQ25" s="9">
        <f ca="1">Financials!BQ$38</f>
        <v>69510763.829430103</v>
      </c>
    </row>
    <row r="26" spans="5:16384">
      <c r="E26" s="15" t="str">
        <f>Equity!E$13</f>
        <v>Share Capital</v>
      </c>
      <c r="F26" s="15">
        <f>Equity!F$13</f>
        <v>0</v>
      </c>
      <c r="G26" s="15" t="str">
        <f>Equity!G$13</f>
        <v>GBP</v>
      </c>
      <c r="H26" s="9">
        <f>Equity!H$13</f>
        <v>0</v>
      </c>
      <c r="I26" s="15">
        <f>Equity!I$13</f>
        <v>0</v>
      </c>
      <c r="J26" s="9">
        <f>Equity!J$13</f>
        <v>0</v>
      </c>
      <c r="K26" s="9">
        <f>Equity!K$13</f>
        <v>0</v>
      </c>
      <c r="L26" s="9">
        <f>Equity!L$13</f>
        <v>0</v>
      </c>
      <c r="M26" s="9">
        <f>Equity!M$13</f>
        <v>0</v>
      </c>
      <c r="N26" s="9">
        <f>Equity!N$13</f>
        <v>0</v>
      </c>
      <c r="O26" s="9">
        <f>Equity!O$13</f>
        <v>0</v>
      </c>
      <c r="P26" s="9">
        <f>Equity!P$13</f>
        <v>0</v>
      </c>
      <c r="Q26" s="9">
        <f>Equity!Q$13</f>
        <v>0</v>
      </c>
      <c r="R26" s="9">
        <f>Equity!R$13</f>
        <v>0</v>
      </c>
      <c r="S26" s="9">
        <f>Equity!S$13</f>
        <v>0</v>
      </c>
      <c r="T26" s="9">
        <f>Equity!T$13</f>
        <v>0</v>
      </c>
      <c r="U26" s="9">
        <f>Equity!U$13</f>
        <v>0</v>
      </c>
      <c r="V26" s="9">
        <f>Equity!V$13</f>
        <v>0</v>
      </c>
      <c r="W26" s="9">
        <f>Equity!W$13</f>
        <v>0</v>
      </c>
      <c r="X26" s="9">
        <f>Equity!X$13</f>
        <v>0</v>
      </c>
      <c r="Y26" s="9">
        <f>Equity!Y$13</f>
        <v>0</v>
      </c>
      <c r="Z26" s="9">
        <f>Equity!Z$13</f>
        <v>0</v>
      </c>
      <c r="AA26" s="9">
        <f>Equity!AA$13</f>
        <v>0</v>
      </c>
      <c r="AB26" s="9">
        <f>Equity!AB$13</f>
        <v>0</v>
      </c>
      <c r="AC26" s="9">
        <f>Equity!AC$13</f>
        <v>0</v>
      </c>
      <c r="AD26" s="9">
        <f>Equity!AD$13</f>
        <v>0</v>
      </c>
      <c r="AE26" s="9">
        <f>Equity!AE$13</f>
        <v>0</v>
      </c>
      <c r="AF26" s="9">
        <f>Equity!AF$13</f>
        <v>0</v>
      </c>
      <c r="AG26" s="9">
        <f>Equity!AG$13</f>
        <v>0</v>
      </c>
      <c r="AH26" s="9">
        <f>Equity!AH$13</f>
        <v>0</v>
      </c>
      <c r="AI26" s="9">
        <f>Equity!AI$13</f>
        <v>0</v>
      </c>
      <c r="AJ26" s="9">
        <f>Equity!AJ$13</f>
        <v>0</v>
      </c>
      <c r="AK26" s="9">
        <f>Equity!AK$13</f>
        <v>0</v>
      </c>
      <c r="AL26" s="9">
        <f>Equity!AL$13</f>
        <v>0</v>
      </c>
      <c r="AM26" s="9">
        <f>Equity!AM$13</f>
        <v>0</v>
      </c>
      <c r="AN26" s="9">
        <f>Equity!AN$13</f>
        <v>0</v>
      </c>
      <c r="AO26" s="9">
        <f>Equity!AO$13</f>
        <v>0</v>
      </c>
      <c r="AP26" s="9">
        <f>Equity!AP$13</f>
        <v>0</v>
      </c>
      <c r="AQ26" s="9">
        <f>Equity!AQ$13</f>
        <v>0</v>
      </c>
      <c r="AR26" s="9">
        <f>Equity!AR$13</f>
        <v>0</v>
      </c>
      <c r="AS26" s="9">
        <f>Equity!AS$13</f>
        <v>0</v>
      </c>
      <c r="AT26" s="9">
        <f>Equity!AT$13</f>
        <v>0</v>
      </c>
      <c r="AU26" s="9">
        <f>Equity!AU$13</f>
        <v>0</v>
      </c>
      <c r="AV26" s="9">
        <f>Equity!AV$13</f>
        <v>0</v>
      </c>
      <c r="AW26" s="9">
        <f>Equity!AW$13</f>
        <v>0</v>
      </c>
      <c r="AX26" s="9">
        <f>Equity!AX$13</f>
        <v>0</v>
      </c>
      <c r="AY26" s="9">
        <f>Equity!AY$13</f>
        <v>0</v>
      </c>
      <c r="AZ26" s="9">
        <f>Equity!AZ$13</f>
        <v>0</v>
      </c>
      <c r="BA26" s="9">
        <f>Equity!BA$13</f>
        <v>0</v>
      </c>
      <c r="BB26" s="9">
        <f>Equity!BB$13</f>
        <v>0</v>
      </c>
      <c r="BC26" s="9">
        <f>Equity!BC$13</f>
        <v>0</v>
      </c>
      <c r="BD26" s="9">
        <f>Equity!BD$13</f>
        <v>0</v>
      </c>
      <c r="BE26" s="9">
        <f>Equity!BE$13</f>
        <v>0</v>
      </c>
      <c r="BF26" s="9">
        <f>Equity!BF$13</f>
        <v>0</v>
      </c>
      <c r="BG26" s="9">
        <f>Equity!BG$13</f>
        <v>0</v>
      </c>
      <c r="BH26" s="9">
        <f>Equity!BH$13</f>
        <v>0</v>
      </c>
      <c r="BI26" s="9">
        <f>Equity!BI$13</f>
        <v>0</v>
      </c>
      <c r="BJ26" s="9">
        <f>Equity!BJ$13</f>
        <v>0</v>
      </c>
      <c r="BK26" s="9">
        <f>Equity!BK$13</f>
        <v>0</v>
      </c>
      <c r="BL26" s="9">
        <f>Equity!BL$13</f>
        <v>0</v>
      </c>
      <c r="BM26" s="9">
        <f>Equity!BM$13</f>
        <v>0</v>
      </c>
      <c r="BN26" s="9">
        <f>Equity!BN$13</f>
        <v>0</v>
      </c>
      <c r="BO26" s="9">
        <f>Equity!BO$13</f>
        <v>0</v>
      </c>
      <c r="BP26" s="9">
        <f>Equity!BP$13</f>
        <v>0</v>
      </c>
      <c r="BQ26" s="9">
        <f>Equity!BQ$13</f>
        <v>0</v>
      </c>
    </row>
    <row r="27" spans="5:16384">
      <c r="E27" s="15" t="str">
        <f>Financials!E$30</f>
        <v>Shareholder Equity</v>
      </c>
      <c r="F27" s="15"/>
      <c r="G27" s="15" t="str">
        <f>Financials!G$30</f>
        <v>GBP</v>
      </c>
      <c r="H27" s="9">
        <f>Financials!H$30</f>
        <v>0</v>
      </c>
      <c r="I27" s="15">
        <f>Financials!I$30</f>
        <v>0</v>
      </c>
      <c r="J27" s="16">
        <f ca="1">Financials!J$30</f>
        <v>-46000</v>
      </c>
      <c r="K27" s="16">
        <f ca="1">Financials!K$30</f>
        <v>-100565.05176275744</v>
      </c>
      <c r="L27" s="16">
        <f ca="1">Financials!L$30</f>
        <v>-156435.88319980982</v>
      </c>
      <c r="M27" s="16">
        <f ca="1">Financials!M$30</f>
        <v>-214344.35039282092</v>
      </c>
      <c r="N27" s="16">
        <f ca="1">Financials!N$30</f>
        <v>-273769.29454510426</v>
      </c>
      <c r="O27" s="16">
        <f ca="1">Financials!O$30</f>
        <v>-334749.29442721617</v>
      </c>
      <c r="P27" s="16">
        <f ca="1">Financials!P$30</f>
        <v>-398054.65742984624</v>
      </c>
      <c r="Q27" s="16">
        <f ca="1">Financials!Q$30</f>
        <v>-323522.2360380665</v>
      </c>
      <c r="R27" s="16">
        <f ca="1">Financials!R$30</f>
        <v>-224627.29354566085</v>
      </c>
      <c r="S27" s="16">
        <f ca="1">Financials!S$30</f>
        <v>-127938.21921522322</v>
      </c>
      <c r="T27" s="16">
        <f ca="1">Financials!T$30</f>
        <v>-53950.364440825346</v>
      </c>
      <c r="U27" s="16">
        <f ca="1">Financials!U$30</f>
        <v>18227.46527023922</v>
      </c>
      <c r="V27" s="16">
        <f ca="1">Financials!V$30</f>
        <v>88044.131936905891</v>
      </c>
      <c r="W27" s="16">
        <f ca="1">Financials!W$30</f>
        <v>272359.34033282101</v>
      </c>
      <c r="X27" s="16">
        <f ca="1">Financials!X$30</f>
        <v>470727.87035642535</v>
      </c>
      <c r="Y27" s="16">
        <f ca="1">Financials!Y$30</f>
        <v>666273.05993389327</v>
      </c>
      <c r="Z27" s="16">
        <f ca="1">Financials!Z$30</f>
        <v>859393.58513899322</v>
      </c>
      <c r="AA27" s="16">
        <f ca="1">Financials!AA$30</f>
        <v>1042736.2934229415</v>
      </c>
      <c r="AB27" s="16">
        <f ca="1">Financials!AB$30</f>
        <v>1222809.7629630142</v>
      </c>
      <c r="AC27" s="16">
        <f ca="1">Financials!AC$30</f>
        <v>1540092.1821436328</v>
      </c>
      <c r="AD27" s="16">
        <f ca="1">Financials!AD$30</f>
        <v>1854290.449729356</v>
      </c>
      <c r="AE27" s="16">
        <f ca="1">Financials!AE$30</f>
        <v>2157390.6170722069</v>
      </c>
      <c r="AF27" s="16">
        <f ca="1">Financials!AF$30</f>
        <v>2457392.0086154272</v>
      </c>
      <c r="AG27" s="16">
        <f ca="1">Financials!AG$30</f>
        <v>2893765.0184405441</v>
      </c>
      <c r="AH27" s="16">
        <f ca="1">Financials!AH$30</f>
        <v>3289450.4008953809</v>
      </c>
      <c r="AI27" s="16">
        <f ca="1">Financials!AI$30</f>
        <v>3694025.6099093514</v>
      </c>
      <c r="AJ27" s="16">
        <f ca="1">Financials!AJ$30</f>
        <v>4100943.7863921789</v>
      </c>
      <c r="AK27" s="16">
        <f ca="1">Financials!AK$30</f>
        <v>4657256.1847394155</v>
      </c>
      <c r="AL27" s="16">
        <f ca="1">Financials!AL$30</f>
        <v>5224156.2692881264</v>
      </c>
      <c r="AM27" s="16">
        <f ca="1">Financials!AM$30</f>
        <v>5795239.3858931158</v>
      </c>
      <c r="AN27" s="16">
        <f ca="1">Financials!AN$30</f>
        <v>6517608.9213692658</v>
      </c>
      <c r="AO27" s="16">
        <f ca="1">Financials!AO$30</f>
        <v>7252863.0380995739</v>
      </c>
      <c r="AP27" s="16">
        <f ca="1">Financials!AP$30</f>
        <v>8134129.6461683484</v>
      </c>
      <c r="AQ27" s="16">
        <f ca="1">Financials!AQ$30</f>
        <v>9028932.8164410628</v>
      </c>
      <c r="AR27" s="16">
        <f ca="1">Financials!AR$30</f>
        <v>9932421.5820214897</v>
      </c>
      <c r="AS27" s="16">
        <f ca="1">Financials!AS$30</f>
        <v>10991760.232333895</v>
      </c>
      <c r="AT27" s="16">
        <f ca="1">Financials!AT$30</f>
        <v>12060369.243370049</v>
      </c>
      <c r="AU27" s="16">
        <f ca="1">Financials!AU$30</f>
        <v>13139411.992856814</v>
      </c>
      <c r="AV27" s="16">
        <f ca="1">Financials!AV$30</f>
        <v>14377752.337192958</v>
      </c>
      <c r="AW27" s="16">
        <f ca="1">Financials!AW$30</f>
        <v>15628146.089575386</v>
      </c>
      <c r="AX27" s="16">
        <f ca="1">Financials!AX$30</f>
        <v>17032450.249275498</v>
      </c>
      <c r="AY27" s="16">
        <f ca="1">Financials!AY$30</f>
        <v>18459729.27484541</v>
      </c>
      <c r="AZ27" s="16">
        <f ca="1">Financials!AZ$30</f>
        <v>20042855.49964666</v>
      </c>
      <c r="BA27" s="16">
        <f ca="1">Financials!BA$30</f>
        <v>21784481.664247084</v>
      </c>
      <c r="BB27" s="16">
        <f ca="1">Financials!BB$30</f>
        <v>23545411.961287707</v>
      </c>
      <c r="BC27" s="16">
        <f ca="1">Financials!BC$30</f>
        <v>25466720.227145471</v>
      </c>
      <c r="BD27" s="16">
        <f ca="1">Financials!BD$30</f>
        <v>27552763.87322633</v>
      </c>
      <c r="BE27" s="16">
        <f ca="1">Financials!BE$30</f>
        <v>29663222.876222033</v>
      </c>
      <c r="BF27" s="16">
        <f ca="1">Financials!BF$30</f>
        <v>31927477.598079607</v>
      </c>
      <c r="BG27" s="16">
        <f ca="1">Financials!BG$30</f>
        <v>34372529.61781434</v>
      </c>
      <c r="BH27" s="16">
        <f ca="1">Financials!BH$30</f>
        <v>37002141.488822192</v>
      </c>
      <c r="BI27" s="16">
        <f ca="1">Financials!BI$30</f>
        <v>39817740.20741266</v>
      </c>
      <c r="BJ27" s="16">
        <f ca="1">Financials!BJ$30</f>
        <v>42823308.513468735</v>
      </c>
      <c r="BK27" s="16">
        <f ca="1">Financials!BK$30</f>
        <v>46023326.642907783</v>
      </c>
      <c r="BL27" s="16">
        <f ca="1">Financials!BL$30</f>
        <v>49419612.180270262</v>
      </c>
      <c r="BM27" s="16">
        <f ca="1">Financials!BM$30</f>
        <v>53017924.073937289</v>
      </c>
      <c r="BN27" s="16">
        <f ca="1">Financials!BN$30</f>
        <v>56821548.487890348</v>
      </c>
      <c r="BO27" s="16">
        <f ca="1">Financials!BO$30</f>
        <v>60833762.469809815</v>
      </c>
      <c r="BP27" s="16">
        <f ca="1">Financials!BP$30</f>
        <v>65063079.570166416</v>
      </c>
      <c r="BQ27" s="16">
        <f ca="1">Financials!BQ$30</f>
        <v>69510763.829430103</v>
      </c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XFD27"/>
  <sheetViews>
    <sheetView topLeftCell="J6" workbookViewId="0">
      <selection activeCell="J6" sqref="J6"/>
    </sheetView>
  </sheetViews>
  <sheetFormatPr defaultColWidth="15.08984375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31.7265625" customWidth="1"/>
    <col min="6" max="6" width="20.7265625" customWidth="1"/>
    <col min="7" max="7" width="13.7265625" customWidth="1"/>
    <col min="8" max="8" width="7.7265625" style="2" customWidth="1"/>
    <col min="9" max="9" width="3.7265625" customWidth="1"/>
    <col min="10" max="21" width="11.7265625" customWidth="1"/>
    <col min="22" max="29" width="13.7265625" customWidth="1"/>
  </cols>
  <sheetData>
    <row r="1" spans="1:29" s="53" customFormat="1" ht="25">
      <c r="A1" s="37" t="str">
        <f ca="1">RIGHT(CELL("filename",A1),LEN(CELL("filename",A1))-SEARCH("]",CELL("filename",A1)))</f>
        <v>Balance Sheet Qly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29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Time!J$75</f>
        <v>45138</v>
      </c>
      <c r="K2" s="6">
        <f>Time!K$75</f>
        <v>45230</v>
      </c>
      <c r="L2" s="6">
        <f>Time!L$75</f>
        <v>45322</v>
      </c>
      <c r="M2" s="6">
        <f>Time!M$75</f>
        <v>45412</v>
      </c>
      <c r="N2" s="6">
        <f>Time!N$75</f>
        <v>45504</v>
      </c>
      <c r="O2" s="6">
        <f>Time!O$75</f>
        <v>45596</v>
      </c>
      <c r="P2" s="6">
        <f>Time!P$75</f>
        <v>45688</v>
      </c>
      <c r="Q2" s="6">
        <f>Time!Q$75</f>
        <v>45777</v>
      </c>
      <c r="R2" s="6">
        <f>Time!R$75</f>
        <v>45869</v>
      </c>
      <c r="S2" s="6">
        <f>Time!S$75</f>
        <v>45961</v>
      </c>
      <c r="T2" s="6">
        <f>Time!T$75</f>
        <v>46053</v>
      </c>
      <c r="U2" s="6">
        <f>Time!U$75</f>
        <v>46142</v>
      </c>
      <c r="V2" s="6">
        <f>Time!V$75</f>
        <v>46234</v>
      </c>
      <c r="W2" s="6">
        <f>Time!W$75</f>
        <v>46326</v>
      </c>
      <c r="X2" s="6">
        <f>Time!X$75</f>
        <v>46418</v>
      </c>
      <c r="Y2" s="6">
        <f>Time!Y$75</f>
        <v>46507</v>
      </c>
      <c r="Z2" s="6">
        <f>Time!Z$75</f>
        <v>46599</v>
      </c>
      <c r="AA2" s="6">
        <f>Time!AA$75</f>
        <v>46691</v>
      </c>
      <c r="AB2" s="6">
        <f>Time!AB$75</f>
        <v>46783</v>
      </c>
      <c r="AC2" s="6">
        <f>Time!AC$75</f>
        <v>46873</v>
      </c>
    </row>
    <row r="3" spans="1:29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Time!J$82</f>
        <v>Month3</v>
      </c>
      <c r="K3" s="7" t="str">
        <f>Time!K$82</f>
        <v>Month6</v>
      </c>
      <c r="L3" s="7" t="str">
        <f>Time!L$82</f>
        <v>Month9</v>
      </c>
      <c r="M3" s="7" t="str">
        <f>Time!M$82</f>
        <v>Month12</v>
      </c>
      <c r="N3" s="7" t="str">
        <f>Time!N$82</f>
        <v>Month15</v>
      </c>
      <c r="O3" s="7" t="str">
        <f>Time!O$82</f>
        <v>Month18</v>
      </c>
      <c r="P3" s="7" t="str">
        <f>Time!P$82</f>
        <v>Month21</v>
      </c>
      <c r="Q3" s="7" t="str">
        <f>Time!Q$82</f>
        <v>Month24</v>
      </c>
      <c r="R3" s="7" t="str">
        <f>Time!R$82</f>
        <v>Month27</v>
      </c>
      <c r="S3" s="7" t="str">
        <f>Time!S$82</f>
        <v>Month30</v>
      </c>
      <c r="T3" s="7" t="str">
        <f>Time!T$82</f>
        <v>Month33</v>
      </c>
      <c r="U3" s="7" t="str">
        <f>Time!U$82</f>
        <v>Month36</v>
      </c>
      <c r="V3" s="7" t="str">
        <f>Time!V$82</f>
        <v>Month39</v>
      </c>
      <c r="W3" s="7" t="str">
        <f>Time!W$82</f>
        <v>Month42</v>
      </c>
      <c r="X3" s="7" t="str">
        <f>Time!X$82</f>
        <v>Month45</v>
      </c>
      <c r="Y3" s="7" t="str">
        <f>Time!Y$82</f>
        <v>Month48</v>
      </c>
      <c r="Z3" s="7" t="str">
        <f>Time!Z$82</f>
        <v>Month51</v>
      </c>
      <c r="AA3" s="7" t="str">
        <f>Time!AA$82</f>
        <v>Month54</v>
      </c>
      <c r="AB3" s="7" t="str">
        <f>Time!AB$82</f>
        <v>Month57</v>
      </c>
      <c r="AC3" s="7" t="str">
        <f>Time!AC$82</f>
        <v>Month60</v>
      </c>
    </row>
    <row r="4" spans="1:29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Time!J$88</f>
        <v>3</v>
      </c>
      <c r="K4" s="5">
        <f>Time!K$88</f>
        <v>6</v>
      </c>
      <c r="L4" s="5">
        <f>Time!L$88</f>
        <v>9</v>
      </c>
      <c r="M4" s="5">
        <f>Time!M$88</f>
        <v>12</v>
      </c>
      <c r="N4" s="5">
        <f>Time!N$88</f>
        <v>15</v>
      </c>
      <c r="O4" s="5">
        <f>Time!O$88</f>
        <v>18</v>
      </c>
      <c r="P4" s="5">
        <f>Time!P$88</f>
        <v>21</v>
      </c>
      <c r="Q4" s="5">
        <f>Time!Q$88</f>
        <v>24</v>
      </c>
      <c r="R4" s="5">
        <f>Time!R$88</f>
        <v>27</v>
      </c>
      <c r="S4" s="5">
        <f>Time!S$88</f>
        <v>30</v>
      </c>
      <c r="T4" s="5">
        <f>Time!T$88</f>
        <v>33</v>
      </c>
      <c r="U4" s="5">
        <f>Time!U$88</f>
        <v>36</v>
      </c>
      <c r="V4" s="5">
        <f>Time!V$88</f>
        <v>39</v>
      </c>
      <c r="W4" s="5">
        <f>Time!W$88</f>
        <v>42</v>
      </c>
      <c r="X4" s="5">
        <f>Time!X$88</f>
        <v>45</v>
      </c>
      <c r="Y4" s="5">
        <f>Time!Y$88</f>
        <v>48</v>
      </c>
      <c r="Z4" s="5">
        <f>Time!Z$88</f>
        <v>51</v>
      </c>
      <c r="AA4" s="5">
        <f>Time!AA$88</f>
        <v>54</v>
      </c>
      <c r="AB4" s="5">
        <f>Time!AB$88</f>
        <v>57</v>
      </c>
      <c r="AC4" s="5">
        <f>Time!AC$88</f>
        <v>60</v>
      </c>
    </row>
    <row r="5" spans="1:29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29" s="2" customFormat="1" ht="13">
      <c r="A6" s="22"/>
      <c r="B6" s="22"/>
      <c r="C6" s="40"/>
      <c r="D6" s="54"/>
      <c r="F6" s="22"/>
      <c r="G6" s="22"/>
      <c r="H6" s="22"/>
    </row>
    <row r="8" spans="1:29">
      <c r="A8"/>
      <c r="E8" s="15" t="str">
        <f>Assets!E$21</f>
        <v>Inventory</v>
      </c>
      <c r="F8" s="15">
        <f>Assets!F$21</f>
        <v>0</v>
      </c>
      <c r="G8" s="15" t="str">
        <f>Assets!G$21</f>
        <v>GBP</v>
      </c>
      <c r="H8" s="9">
        <f>Assets!H$21</f>
        <v>0</v>
      </c>
      <c r="I8" s="15">
        <f>Assets!I$21</f>
        <v>0</v>
      </c>
      <c r="J8" s="9">
        <f ca="1">SUMIF(Time!$J331:$BQ331,Time!J$28,Assets!$J21:$BQ21)</f>
        <v>175000</v>
      </c>
      <c r="K8" s="9">
        <f ca="1">SUMIF(Time!$J331:$BQ331,Time!K$28,Assets!$J21:$BQ21)</f>
        <v>175000</v>
      </c>
      <c r="L8" s="9">
        <f ca="1">SUMIF(Time!$J331:$BQ331,Time!L$28,Assets!$J21:$BQ21)</f>
        <v>350000</v>
      </c>
      <c r="M8" s="9">
        <f ca="1">SUMIF(Time!$J331:$BQ331,Time!M$28,Assets!$J21:$BQ21)</f>
        <v>350000</v>
      </c>
      <c r="N8" s="9">
        <f ca="1">SUMIF(Time!$J331:$BQ331,Time!N$28,Assets!$J21:$BQ21)</f>
        <v>525000</v>
      </c>
      <c r="O8" s="9">
        <f ca="1">SUMIF(Time!$J331:$BQ331,Time!O$28,Assets!$J21:$BQ21)</f>
        <v>700000</v>
      </c>
      <c r="P8" s="9">
        <f ca="1">SUMIF(Time!$J331:$BQ331,Time!P$28,Assets!$J21:$BQ21)</f>
        <v>875000</v>
      </c>
      <c r="Q8" s="9">
        <f ca="1">SUMIF(Time!$J331:$BQ331,Time!Q$28,Assets!$J21:$BQ21)</f>
        <v>1050000</v>
      </c>
      <c r="R8" s="9">
        <f ca="1">SUMIF(Time!$J331:$BQ331,Time!R$28,Assets!$J21:$BQ21)</f>
        <v>1169289.5417779363</v>
      </c>
      <c r="S8" s="9">
        <f ca="1">SUMIF(Time!$J331:$BQ331,Time!S$28,Assets!$J21:$BQ21)</f>
        <v>1277943.8412167949</v>
      </c>
      <c r="T8" s="9">
        <f ca="1">SUMIF(Time!$J331:$BQ331,Time!T$28,Assets!$J21:$BQ21)</f>
        <v>1373982.551751866</v>
      </c>
      <c r="U8" s="9">
        <f ca="1">SUMIF(Time!$J331:$BQ331,Time!U$28,Assets!$J21:$BQ21)</f>
        <v>1630176.8000105759</v>
      </c>
      <c r="V8" s="9">
        <f ca="1">SUMIF(Time!$J331:$BQ331,Time!V$28,Assets!$J21:$BQ21)</f>
        <v>1868692.6108730552</v>
      </c>
      <c r="W8" s="9">
        <f ca="1">SUMIF(Time!$J331:$BQ331,Time!W$28,Assets!$J21:$BQ21)</f>
        <v>2085918.0535046426</v>
      </c>
      <c r="X8" s="9">
        <f ca="1">SUMIF(Time!$J331:$BQ331,Time!X$28,Assets!$J21:$BQ21)</f>
        <v>2452904.6535919858</v>
      </c>
      <c r="Y8" s="9">
        <f ca="1">SUMIF(Time!$J331:$BQ331,Time!Y$28,Assets!$J21:$BQ21)</f>
        <v>2790185.3525249097</v>
      </c>
      <c r="Z8" s="9">
        <f ca="1">SUMIF(Time!$J331:$BQ331,Time!Z$28,Assets!$J21:$BQ21)</f>
        <v>3042075.4324651109</v>
      </c>
      <c r="AA8" s="9">
        <f ca="1">SUMIF(Time!$J331:$BQ331,Time!AA$28,Assets!$J21:$BQ21)</f>
        <v>3241870.5858342983</v>
      </c>
      <c r="AB8" s="9">
        <f ca="1">SUMIF(Time!$J331:$BQ331,Time!AB$28,Assets!$J21:$BQ21)</f>
        <v>3379831.3321304158</v>
      </c>
      <c r="AC8" s="9">
        <f ca="1">SUMIF(Time!$J331:$BQ331,Time!AC$28,Assets!$J21:$BQ21)</f>
        <v>3445036.4383722316</v>
      </c>
    </row>
    <row r="9" spans="1:29">
      <c r="E9" s="15" t="str">
        <f>Assets!E$30</f>
        <v xml:space="preserve">Depreciation </v>
      </c>
      <c r="F9" s="15">
        <f>Assets!F$30</f>
        <v>0</v>
      </c>
      <c r="G9" s="15" t="str">
        <f>Assets!G$30</f>
        <v>GBP</v>
      </c>
      <c r="H9" s="9">
        <f>Assets!H$30</f>
        <v>0</v>
      </c>
      <c r="I9" s="15">
        <f>Assets!I$30</f>
        <v>0</v>
      </c>
      <c r="J9" s="9">
        <f ca="1">SUMIF(Time!$J331:$BQ331,Time!J$28,Assets!$J30:$BQ30)</f>
        <v>-14583.333333333334</v>
      </c>
      <c r="K9" s="9">
        <f ca="1">SUMIF(Time!$J331:$BQ331,Time!K$28,Assets!$J30:$BQ30)</f>
        <v>-36458.333333333336</v>
      </c>
      <c r="L9" s="9">
        <f ca="1">SUMIF(Time!$J331:$BQ331,Time!L$28,Assets!$J30:$BQ30)</f>
        <v>-72916.666666666672</v>
      </c>
      <c r="M9" s="9">
        <f ca="1">SUMIF(Time!$J331:$BQ331,Time!M$28,Assets!$J30:$BQ30)</f>
        <v>-116666.66666666666</v>
      </c>
      <c r="N9" s="9">
        <f ca="1">SUMIF(Time!$J331:$BQ331,Time!N$28,Assets!$J30:$BQ30)</f>
        <v>-175000</v>
      </c>
      <c r="O9" s="9">
        <f ca="1">SUMIF(Time!$J331:$BQ331,Time!O$28,Assets!$J30:$BQ30)</f>
        <v>-247916.66666666666</v>
      </c>
      <c r="P9" s="9">
        <f ca="1">SUMIF(Time!$J331:$BQ331,Time!P$28,Assets!$J30:$BQ30)</f>
        <v>-335416.66666666669</v>
      </c>
      <c r="Q9" s="9">
        <f ca="1">SUMIF(Time!$J331:$BQ331,Time!Q$28,Assets!$J30:$BQ30)</f>
        <v>-444791.66666666663</v>
      </c>
      <c r="R9" s="9">
        <f ca="1">SUMIF(Time!$J331:$BQ331,Time!R$28,Assets!$J30:$BQ30)</f>
        <v>-525391.16035098862</v>
      </c>
      <c r="S9" s="9">
        <f ca="1">SUMIF(Time!$J331:$BQ331,Time!S$28,Assets!$J30:$BQ30)</f>
        <v>-609840.56542930205</v>
      </c>
      <c r="T9" s="9">
        <f ca="1">SUMIF(Time!$J331:$BQ331,Time!T$28,Assets!$J30:$BQ30)</f>
        <v>-694750.87928694463</v>
      </c>
      <c r="U9" s="9">
        <f ca="1">SUMIF(Time!$J331:$BQ331,Time!U$28,Assets!$J30:$BQ30)</f>
        <v>-783513.93599258631</v>
      </c>
      <c r="V9" s="9">
        <f ca="1">SUMIF(Time!$J331:$BQ331,Time!V$28,Assets!$J30:$BQ30)</f>
        <v>-885920.40798504965</v>
      </c>
      <c r="W9" s="9">
        <f ca="1">SUMIF(Time!$J331:$BQ331,Time!W$28,Assets!$J30:$BQ30)</f>
        <v>-995996.63008137571</v>
      </c>
      <c r="X9" s="9">
        <f ca="1">SUMIF(Time!$J331:$BQ331,Time!X$28,Assets!$J30:$BQ30)</f>
        <v>-1114269.0952785963</v>
      </c>
      <c r="Y9" s="9">
        <f ca="1">SUMIF(Time!$J331:$BQ331,Time!Y$28,Assets!$J30:$BQ30)</f>
        <v>-1247508.2156888754</v>
      </c>
      <c r="Z9" s="9">
        <f ca="1">SUMIF(Time!$J331:$BQ331,Time!Z$28,Assets!$J30:$BQ30)</f>
        <v>-1334105.5812033135</v>
      </c>
      <c r="AA9" s="9">
        <f ca="1">SUMIF(Time!$J331:$BQ331,Time!AA$28,Assets!$J30:$BQ30)</f>
        <v>-1398007.3382996104</v>
      </c>
      <c r="AB9" s="9">
        <f ca="1">SUMIF(Time!$J331:$BQ331,Time!AB$28,Assets!$J30:$BQ30)</f>
        <v>-1422574.2538180149</v>
      </c>
      <c r="AC9" s="9">
        <f ca="1">SUMIF(Time!$J331:$BQ331,Time!AC$28,Assets!$J30:$BQ30)</f>
        <v>-1388690.7429198015</v>
      </c>
    </row>
    <row r="10" spans="1:29">
      <c r="E10" s="15" t="str">
        <f>'Working Capital'!E$45</f>
        <v>Debtors</v>
      </c>
      <c r="F10" s="15">
        <f>'Working Capital'!F$45</f>
        <v>0</v>
      </c>
      <c r="G10" s="15" t="str">
        <f>'Working Capital'!G$45</f>
        <v>GBP</v>
      </c>
      <c r="H10" s="9">
        <f>'Working Capital'!H$45</f>
        <v>0</v>
      </c>
      <c r="I10" s="15">
        <f>'Working Capital'!I$45</f>
        <v>0</v>
      </c>
      <c r="J10" s="9">
        <f ca="1">SUMIF(Time!$J331:$BQ331,Time!J$28,'Working Capital'!$J45:$BQ45)</f>
        <v>0</v>
      </c>
      <c r="K10" s="9">
        <f ca="1">SUMIF(Time!$J331:$BQ331,Time!K$28,'Working Capital'!$J45:$BQ45)</f>
        <v>0</v>
      </c>
      <c r="L10" s="9">
        <f ca="1">SUMIF(Time!$J331:$BQ331,Time!L$28,'Working Capital'!$J45:$BQ45)</f>
        <v>2493358.0823406102</v>
      </c>
      <c r="M10" s="9">
        <f ca="1">SUMIF(Time!$J331:$BQ331,Time!M$28,'Working Capital'!$J45:$BQ45)</f>
        <v>-3.8562575355172157E-10</v>
      </c>
      <c r="N10" s="9">
        <f ca="1">SUMIF(Time!$J331:$BQ331,Time!N$28,'Working Capital'!$J45:$BQ45)</f>
        <v>2519999.9999999995</v>
      </c>
      <c r="O10" s="9">
        <f ca="1">SUMIF(Time!$J331:$BQ331,Time!O$28,'Working Capital'!$J45:$BQ45)</f>
        <v>-6.9849193096160889E-10</v>
      </c>
      <c r="P10" s="9">
        <f ca="1">SUMIF(Time!$J331:$BQ331,Time!P$28,'Working Capital'!$J45:$BQ45)</f>
        <v>5013358.0823406093</v>
      </c>
      <c r="Q10" s="9">
        <f ca="1">SUMIF(Time!$J331:$BQ331,Time!Q$28,'Working Capital'!$J45:$BQ45)</f>
        <v>2519999.9999999981</v>
      </c>
      <c r="R10" s="9">
        <f ca="1">SUMIF(Time!$J331:$BQ331,Time!R$28,'Working Capital'!$J45:$BQ45)</f>
        <v>3558561.242306177</v>
      </c>
      <c r="S10" s="9">
        <f ca="1">SUMIF(Time!$J331:$BQ331,Time!S$28,'Working Capital'!$J45:$BQ45)</f>
        <v>1236824.7434224789</v>
      </c>
      <c r="T10" s="9">
        <f ca="1">SUMIF(Time!$J331:$BQ331,Time!T$28,'Working Capital'!$J45:$BQ45)</f>
        <v>6511498.7917249072</v>
      </c>
      <c r="U10" s="9">
        <f ca="1">SUMIF(Time!$J331:$BQ331,Time!U$28,'Working Capital'!$J45:$BQ45)</f>
        <v>6789278.990363691</v>
      </c>
      <c r="V10" s="9">
        <f ca="1">SUMIF(Time!$J331:$BQ331,Time!V$28,'Working Capital'!$J45:$BQ45)</f>
        <v>5636611.7901749006</v>
      </c>
      <c r="W10" s="9">
        <f ca="1">SUMIF(Time!$J331:$BQ331,Time!W$28,'Working Capital'!$J45:$BQ45)</f>
        <v>6232126.5960826166</v>
      </c>
      <c r="X10" s="9">
        <f ca="1">SUMIF(Time!$J331:$BQ331,Time!X$28,'Working Capital'!$J45:$BQ45)</f>
        <v>9455762.534555465</v>
      </c>
      <c r="Y10" s="9">
        <f ca="1">SUMIF(Time!$J331:$BQ331,Time!Y$28,'Working Capital'!$J45:$BQ45)</f>
        <v>10289934.178493176</v>
      </c>
      <c r="Z10" s="9">
        <f ca="1">SUMIF(Time!$J331:$BQ331,Time!Z$28,'Working Capital'!$J45:$BQ45)</f>
        <v>14729513.827796381</v>
      </c>
      <c r="AA10" s="9">
        <f ca="1">SUMIF(Time!$J331:$BQ331,Time!AA$28,'Working Capital'!$J45:$BQ45)</f>
        <v>16097947.008953694</v>
      </c>
      <c r="AB10" s="9">
        <f ca="1">SUMIF(Time!$J331:$BQ331,Time!AB$28,'Working Capital'!$J45:$BQ45)</f>
        <v>17716296.682993829</v>
      </c>
      <c r="AC10" s="9">
        <f ca="1">SUMIF(Time!$J331:$BQ331,Time!AC$28,'Working Capital'!$J45:$BQ45)</f>
        <v>19634984.398088749</v>
      </c>
    </row>
    <row r="11" spans="1:29">
      <c r="E11" s="15" t="str">
        <f>Financials!E$13</f>
        <v>Cash</v>
      </c>
      <c r="F11" s="15">
        <f>Financials!F$13</f>
        <v>0</v>
      </c>
      <c r="G11" s="15" t="str">
        <f>Financials!G$13</f>
        <v>GBP</v>
      </c>
      <c r="H11" s="9">
        <f>Financials!H$13</f>
        <v>0</v>
      </c>
      <c r="I11" s="15">
        <f>Financials!I$13</f>
        <v>0</v>
      </c>
      <c r="J11" s="9">
        <f ca="1">SUMIF(Time!$J331:$BQ331,Time!J$28,Financials!$J13:$BQ13)</f>
        <v>-164210.46634351503</v>
      </c>
      <c r="K11" s="9">
        <f ca="1">SUMIF(Time!$J331:$BQ331,Time!K$28,Financials!$J13:$BQ13)</f>
        <v>-321159.79441542737</v>
      </c>
      <c r="L11" s="9">
        <f ca="1">SUMIF(Time!$J331:$BQ331,Time!L$28,Financials!$J13:$BQ13)</f>
        <v>-1012204.3346045238</v>
      </c>
      <c r="M11" s="9">
        <f ca="1">SUMIF(Time!$J331:$BQ331,Time!M$28,Financials!$J13:$BQ13)</f>
        <v>1246437.4488265985</v>
      </c>
      <c r="N11" s="9">
        <f ca="1">SUMIF(Time!$J331:$BQ331,Time!N$28,Financials!$J13:$BQ13)</f>
        <v>493266.0377593562</v>
      </c>
      <c r="O11" s="9">
        <f ca="1">SUMIF(Time!$J331:$BQ331,Time!O$28,Financials!$J13:$BQ13)</f>
        <v>2529599.3429272231</v>
      </c>
      <c r="P11" s="9">
        <f ca="1">SUMIF(Time!$J331:$BQ331,Time!P$28,Financials!$J13:$BQ13)</f>
        <v>1280272.796072864</v>
      </c>
      <c r="Q11" s="9">
        <f ca="1">SUMIF(Time!$J331:$BQ331,Time!Q$28,Financials!$J13:$BQ13)</f>
        <v>5773019.245225206</v>
      </c>
      <c r="R11" s="9">
        <f ca="1">SUMIF(Time!$J331:$BQ331,Time!R$28,Financials!$J13:$BQ13)</f>
        <v>6865765.8280084711</v>
      </c>
      <c r="S11" s="9">
        <f ca="1">SUMIF(Time!$J331:$BQ331,Time!S$28,Financials!$J13:$BQ13)</f>
        <v>11099290.675104339</v>
      </c>
      <c r="T11" s="9">
        <f ca="1">SUMIF(Time!$J331:$BQ331,Time!T$28,Financials!$J13:$BQ13)</f>
        <v>13625616.262414103</v>
      </c>
      <c r="U11" s="9">
        <f ca="1">SUMIF(Time!$J331:$BQ331,Time!U$28,Financials!$J13:$BQ13)</f>
        <v>19248519.165587541</v>
      </c>
      <c r="V11" s="9">
        <f ca="1">SUMIF(Time!$J331:$BQ331,Time!V$28,Financials!$J13:$BQ13)</f>
        <v>24648700.46775192</v>
      </c>
      <c r="W11" s="9">
        <f ca="1">SUMIF(Time!$J331:$BQ331,Time!W$28,Financials!$J13:$BQ13)</f>
        <v>28429876.657227986</v>
      </c>
      <c r="X11" s="9">
        <f ca="1">SUMIF(Time!$J331:$BQ331,Time!X$28,Financials!$J13:$BQ13)</f>
        <v>38065990.658675916</v>
      </c>
      <c r="Y11" s="9">
        <f ca="1">SUMIF(Time!$J331:$BQ331,Time!Y$28,Financials!$J13:$BQ13)</f>
        <v>48421534.225866169</v>
      </c>
      <c r="Z11" s="9">
        <f ca="1">SUMIF(Time!$J331:$BQ331,Time!Z$28,Financials!$J13:$BQ13)</f>
        <v>59402622.857509606</v>
      </c>
      <c r="AA11" s="9">
        <f ca="1">SUMIF(Time!$J331:$BQ331,Time!AA$28,Financials!$J13:$BQ13)</f>
        <v>68370287.347026542</v>
      </c>
      <c r="AB11" s="9">
        <f ca="1">SUMIF(Time!$J331:$BQ331,Time!AB$28,Financials!$J13:$BQ13)</f>
        <v>87253930.171257392</v>
      </c>
      <c r="AC11" s="9">
        <f ca="1">SUMIF(Time!$J331:$BQ331,Time!AC$28,Financials!$J13:$BQ13)</f>
        <v>107847639.85822076</v>
      </c>
    </row>
    <row r="12" spans="1:29">
      <c r="E12" s="12" t="s">
        <v>85</v>
      </c>
      <c r="F12" s="28"/>
      <c r="G12" s="12" t="s">
        <v>252</v>
      </c>
      <c r="H12" s="12"/>
      <c r="I12" s="28"/>
      <c r="J12" s="12">
        <f ca="1">SUMIF(Time!$J331:$BQ331,Time!J$28,'Balance Sheet'!$J12:$BQ12)</f>
        <v>-3793.7996768483717</v>
      </c>
      <c r="K12" s="12">
        <f ca="1">SUMIF(Time!$J331:$BQ331,Time!K$28,'Balance Sheet'!$J12:$BQ12)</f>
        <v>-182618.12774876071</v>
      </c>
      <c r="L12" s="12">
        <f ca="1">SUMIF(Time!$J331:$BQ331,Time!L$28,'Balance Sheet'!$J12:$BQ12)</f>
        <v>1758237.0810694199</v>
      </c>
      <c r="M12" s="12">
        <f ca="1">SUMIF(Time!$J331:$BQ331,Time!M$28,'Balance Sheet'!$J12:$BQ12)</f>
        <v>1479770.7821599315</v>
      </c>
      <c r="N12" s="12">
        <f ca="1">SUMIF(Time!$J331:$BQ331,Time!N$28,'Balance Sheet'!$J12:$BQ12)</f>
        <v>3363266.0377593557</v>
      </c>
      <c r="O12" s="12">
        <f ca="1">SUMIF(Time!$J331:$BQ331,Time!O$28,'Balance Sheet'!$J12:$BQ12)</f>
        <v>2981682.6762605556</v>
      </c>
      <c r="P12" s="12">
        <f ca="1">SUMIF(Time!$J331:$BQ331,Time!P$28,'Balance Sheet'!$J12:$BQ12)</f>
        <v>6833214.2117468063</v>
      </c>
      <c r="Q12" s="12">
        <f ca="1">SUMIF(Time!$J331:$BQ331,Time!Q$28,'Balance Sheet'!$J12:$BQ12)</f>
        <v>8898227.5785585381</v>
      </c>
      <c r="R12" s="12">
        <f ca="1">SUMIF(Time!$J331:$BQ331,Time!R$28,'Balance Sheet'!$J12:$BQ12)</f>
        <v>11068225.451741595</v>
      </c>
      <c r="S12" s="12">
        <f ca="1">SUMIF(Time!$J331:$BQ331,Time!S$28,'Balance Sheet'!$J12:$BQ12)</f>
        <v>13004218.69431431</v>
      </c>
      <c r="T12" s="12">
        <f ca="1">SUMIF(Time!$J331:$BQ331,Time!T$28,'Balance Sheet'!$J12:$BQ12)</f>
        <v>20816346.726603933</v>
      </c>
      <c r="U12" s="12">
        <f ca="1">SUMIF(Time!$J331:$BQ331,Time!U$28,'Balance Sheet'!$J12:$BQ12)</f>
        <v>26884461.019969221</v>
      </c>
      <c r="V12" s="12">
        <f ca="1">SUMIF(Time!$J331:$BQ331,Time!V$28,'Balance Sheet'!$J12:$BQ12)</f>
        <v>31268084.460814826</v>
      </c>
      <c r="W12" s="12">
        <f ca="1">SUMIF(Time!$J331:$BQ331,Time!W$28,'Balance Sheet'!$J12:$BQ12)</f>
        <v>35751924.676733866</v>
      </c>
      <c r="X12" s="12">
        <f ca="1">SUMIF(Time!$J331:$BQ331,Time!X$28,'Balance Sheet'!$J12:$BQ12)</f>
        <v>48860388.751544774</v>
      </c>
      <c r="Y12" s="12">
        <f ca="1">SUMIF(Time!$J331:$BQ331,Time!Y$28,'Balance Sheet'!$J12:$BQ12)</f>
        <v>60254145.541195378</v>
      </c>
      <c r="Z12" s="12">
        <f ca="1">SUMIF(Time!$J331:$BQ331,Time!Z$28,'Balance Sheet'!$J12:$BQ12)</f>
        <v>75840106.536567777</v>
      </c>
      <c r="AA12" s="12">
        <f ca="1">SUMIF(Time!$J331:$BQ331,Time!AA$28,'Balance Sheet'!$J12:$BQ12)</f>
        <v>86312097.603514925</v>
      </c>
      <c r="AB12" s="12">
        <f ca="1">SUMIF(Time!$J331:$BQ331,Time!AB$28,'Balance Sheet'!$J12:$BQ12)</f>
        <v>106927483.93256362</v>
      </c>
      <c r="AC12" s="12">
        <f ca="1">SUMIF(Time!$J331:$BQ331,Time!AC$28,'Balance Sheet'!$J12:$BQ12)</f>
        <v>129538969.95176193</v>
      </c>
    </row>
    <row r="14" spans="1:29">
      <c r="E14" s="15" t="str">
        <f>Income!E$27</f>
        <v>Deferred Income</v>
      </c>
      <c r="F14" s="15">
        <f>Income!F$27</f>
        <v>0</v>
      </c>
      <c r="G14" s="15" t="str">
        <f>Income!G$27</f>
        <v>GBP</v>
      </c>
      <c r="H14" s="9">
        <f>Income!H$27</f>
        <v>0</v>
      </c>
      <c r="I14" s="15">
        <f>Income!I$27</f>
        <v>0</v>
      </c>
      <c r="J14" s="9">
        <f ca="1">SUMIF(Time!$J331:$BQ331,Time!J$28,Income!$J27:$BQ27)</f>
        <v>0</v>
      </c>
      <c r="K14" s="9">
        <f ca="1">SUMIF(Time!$J331:$BQ331,Time!K$28,Income!$J27:$BQ27)</f>
        <v>0</v>
      </c>
      <c r="L14" s="9">
        <f ca="1">SUMIF(Time!$J331:$BQ331,Time!L$28,Income!$J27:$BQ27)</f>
        <v>1757773.0404754248</v>
      </c>
      <c r="M14" s="9">
        <f ca="1">SUMIF(Time!$J331:$BQ331,Time!M$28,Income!$J27:$BQ27)</f>
        <v>1254974.638524916</v>
      </c>
      <c r="N14" s="9">
        <f ca="1">SUMIF(Time!$J331:$BQ331,Time!N$28,Income!$J27:$BQ27)</f>
        <v>2500151.4385354919</v>
      </c>
      <c r="O14" s="9">
        <f ca="1">SUMIF(Time!$J331:$BQ331,Time!O$28,Income!$J27:$BQ27)</f>
        <v>1450151.4385354919</v>
      </c>
      <c r="P14" s="9">
        <f ca="1">SUMIF(Time!$J331:$BQ331,Time!P$28,Income!$J27:$BQ27)</f>
        <v>4227949.8404860003</v>
      </c>
      <c r="Q14" s="9">
        <f ca="1">SUMIF(Time!$J331:$BQ331,Time!Q$28,Income!$J27:$BQ27)</f>
        <v>4600151.438535491</v>
      </c>
      <c r="R14" s="9">
        <f ca="1">SUMIF(Time!$J331:$BQ331,Time!R$28,Income!$J27:$BQ27)</f>
        <v>5467768.4444326274</v>
      </c>
      <c r="S14" s="9">
        <f ca="1">SUMIF(Time!$J331:$BQ331,Time!S$28,Income!$J27:$BQ27)</f>
        <v>6280467.2619338026</v>
      </c>
      <c r="T14" s="9">
        <f ca="1">SUMIF(Time!$J331:$BQ331,Time!T$28,Income!$J27:$BQ27)</f>
        <v>10680205.551526528</v>
      </c>
      <c r="U14" s="9">
        <f ca="1">SUMIF(Time!$J331:$BQ331,Time!U$28,Income!$J27:$BQ27)</f>
        <v>12557217.152018126</v>
      </c>
      <c r="V14" s="9">
        <f ca="1">SUMIF(Time!$J331:$BQ331,Time!V$28,Income!$J27:$BQ27)</f>
        <v>12792859.249908905</v>
      </c>
      <c r="W14" s="9">
        <f ca="1">SUMIF(Time!$J331:$BQ331,Time!W$28,Income!$J27:$BQ27)</f>
        <v>15212986.389317499</v>
      </c>
      <c r="X14" s="9">
        <f ca="1">SUMIF(Time!$J331:$BQ331,Time!X$28,Income!$J27:$BQ27)</f>
        <v>21242110.024237208</v>
      </c>
      <c r="Y14" s="9">
        <f ca="1">SUMIF(Time!$J331:$BQ331,Time!Y$28,Income!$J27:$BQ27)</f>
        <v>24665367.022437617</v>
      </c>
      <c r="Z14" s="9">
        <f ca="1">SUMIF(Time!$J331:$BQ331,Time!Z$28,Income!$J27:$BQ27)</f>
        <v>30377702.771432579</v>
      </c>
      <c r="AA14" s="9">
        <f ca="1">SUMIF(Time!$J331:$BQ331,Time!AA$28,Income!$J27:$BQ27)</f>
        <v>35712085.712547436</v>
      </c>
      <c r="AB14" s="9">
        <f ca="1">SUMIF(Time!$J331:$BQ331,Time!AB$28,Income!$J27:$BQ27)</f>
        <v>42567803.451934367</v>
      </c>
      <c r="AC14" s="9">
        <f ca="1">SUMIF(Time!$J331:$BQ331,Time!AC$28,Income!$J27:$BQ27)</f>
        <v>49029641.650374562</v>
      </c>
    </row>
    <row r="15" spans="1:29">
      <c r="E15" s="15" t="str">
        <f>'Working Capital'!E$36</f>
        <v>Creditors</v>
      </c>
      <c r="F15" s="15">
        <f>'Working Capital'!F$36</f>
        <v>0</v>
      </c>
      <c r="G15" s="15" t="str">
        <f>'Working Capital'!G$36</f>
        <v>GBP</v>
      </c>
      <c r="H15" s="9">
        <f>'Working Capital'!H$36</f>
        <v>0</v>
      </c>
      <c r="I15" s="15">
        <f>'Working Capital'!I$36</f>
        <v>0</v>
      </c>
      <c r="J15" s="9">
        <f ca="1">SUMIF(Time!$J331:$BQ331,Time!J$28,'Working Capital'!$J36:$BQ36)</f>
        <v>157500</v>
      </c>
      <c r="K15" s="9">
        <f ca="1">SUMIF(Time!$J331:$BQ331,Time!K$28,'Working Capital'!$J36:$BQ36)</f>
        <v>157500</v>
      </c>
      <c r="L15" s="9">
        <f ca="1">SUMIF(Time!$J331:$BQ331,Time!L$28,'Working Capital'!$J36:$BQ36)</f>
        <v>168000</v>
      </c>
      <c r="M15" s="9">
        <f ca="1">SUMIF(Time!$J331:$BQ331,Time!M$28,'Working Capital'!$J36:$BQ36)</f>
        <v>167999.99999999997</v>
      </c>
      <c r="N15" s="9">
        <f ca="1">SUMIF(Time!$J331:$BQ331,Time!N$28,'Working Capital'!$J36:$BQ36)</f>
        <v>178500.00000000003</v>
      </c>
      <c r="O15" s="9">
        <f ca="1">SUMIF(Time!$J331:$BQ331,Time!O$28,'Working Capital'!$J36:$BQ36)</f>
        <v>336000</v>
      </c>
      <c r="P15" s="9">
        <f ca="1">SUMIF(Time!$J331:$BQ331,Time!P$28,'Working Capital'!$J36:$BQ36)</f>
        <v>346500.00000000012</v>
      </c>
      <c r="Q15" s="9">
        <f ca="1">SUMIF(Time!$J331:$BQ331,Time!Q$28,'Working Capital'!$J36:$BQ36)</f>
        <v>357000.00000000012</v>
      </c>
      <c r="R15" s="9">
        <f ca="1">SUMIF(Time!$J331:$BQ331,Time!R$28,'Working Capital'!$J36:$BQ36)</f>
        <v>367500.00000000012</v>
      </c>
      <c r="S15" s="9">
        <f ca="1">SUMIF(Time!$J331:$BQ331,Time!S$28,'Working Capital'!$J36:$BQ36)</f>
        <v>378000.00000000006</v>
      </c>
      <c r="T15" s="9">
        <f ca="1">SUMIF(Time!$J331:$BQ331,Time!T$28,'Working Capital'!$J36:$BQ36)</f>
        <v>388500.00000000012</v>
      </c>
      <c r="U15" s="9">
        <f ca="1">SUMIF(Time!$J331:$BQ331,Time!U$28,'Working Capital'!$J36:$BQ36)</f>
        <v>556500.00000000023</v>
      </c>
      <c r="V15" s="9">
        <f ca="1">SUMIF(Time!$J331:$BQ331,Time!V$28,'Working Capital'!$J36:$BQ36)</f>
        <v>724500.00000000023</v>
      </c>
      <c r="W15" s="9">
        <f ca="1">SUMIF(Time!$J331:$BQ331,Time!W$28,'Working Capital'!$J36:$BQ36)</f>
        <v>745500.00000000023</v>
      </c>
      <c r="X15" s="9">
        <f ca="1">SUMIF(Time!$J331:$BQ331,Time!X$28,'Working Capital'!$J36:$BQ36)</f>
        <v>924000.00000000012</v>
      </c>
      <c r="Y15" s="9">
        <f ca="1">SUMIF(Time!$J331:$BQ331,Time!Y$28,'Working Capital'!$J36:$BQ36)</f>
        <v>1102500</v>
      </c>
      <c r="Z15" s="9">
        <f ca="1">SUMIF(Time!$J331:$BQ331,Time!Z$28,'Working Capital'!$J36:$BQ36)</f>
        <v>1134000</v>
      </c>
      <c r="AA15" s="9">
        <f ca="1">SUMIF(Time!$J331:$BQ331,Time!AA$28,'Working Capital'!$J36:$BQ36)</f>
        <v>1165500.0000000002</v>
      </c>
      <c r="AB15" s="9">
        <f ca="1">SUMIF(Time!$J331:$BQ331,Time!AB$28,'Working Capital'!$J36:$BQ36)</f>
        <v>1197000.0000000009</v>
      </c>
      <c r="AC15" s="9">
        <f ca="1">SUMIF(Time!$J331:$BQ331,Time!AC$28,'Working Capital'!$J36:$BQ36)</f>
        <v>1228500.0000000012</v>
      </c>
    </row>
    <row r="16" spans="1:29">
      <c r="E16" s="15" t="str">
        <f>'Supply Chain finance'!E$15</f>
        <v>Supply Chain Finance balance</v>
      </c>
      <c r="F16" s="15">
        <f>'Supply Chain finance'!F$15</f>
        <v>0</v>
      </c>
      <c r="G16" s="15" t="str">
        <f>'Supply Chain finance'!G$15</f>
        <v>GBP</v>
      </c>
      <c r="H16" s="9">
        <f>'Supply Chain finance'!H$15</f>
        <v>0</v>
      </c>
      <c r="I16" s="15">
        <f>'Supply Chain finance'!I$15</f>
        <v>0</v>
      </c>
      <c r="J16" s="9">
        <f ca="1">SUMIF(Time!$J331:$BQ331,Time!J$28,'Supply Chain finance'!$J15:$BQ15)</f>
        <v>0</v>
      </c>
      <c r="K16" s="9">
        <f ca="1">SUMIF(Time!$J331:$BQ331,Time!K$28,'Supply Chain finance'!$J15:$BQ15)</f>
        <v>0</v>
      </c>
      <c r="L16" s="9">
        <f ca="1">SUMIF(Time!$J331:$BQ331,Time!L$28,'Supply Chain finance'!$J15:$BQ15)</f>
        <v>0</v>
      </c>
      <c r="M16" s="9">
        <f ca="1">SUMIF(Time!$J331:$BQ331,Time!M$28,'Supply Chain finance'!$J15:$BQ15)</f>
        <v>0</v>
      </c>
      <c r="N16" s="9">
        <f ca="1">SUMIF(Time!$J331:$BQ331,Time!N$28,'Supply Chain finance'!$J15:$BQ15)</f>
        <v>0</v>
      </c>
      <c r="O16" s="9">
        <f ca="1">SUMIF(Time!$J331:$BQ331,Time!O$28,'Supply Chain finance'!$J15:$BQ15)</f>
        <v>0</v>
      </c>
      <c r="P16" s="9">
        <f ca="1">SUMIF(Time!$J331:$BQ331,Time!P$28,'Supply Chain finance'!$J15:$BQ15)</f>
        <v>0</v>
      </c>
      <c r="Q16" s="9">
        <f ca="1">SUMIF(Time!$J331:$BQ331,Time!Q$28,'Supply Chain finance'!$J15:$BQ15)</f>
        <v>0</v>
      </c>
      <c r="R16" s="9">
        <f ca="1">SUMIF(Time!$J331:$BQ331,Time!R$28,'Supply Chain finance'!$J15:$BQ15)</f>
        <v>0</v>
      </c>
      <c r="S16" s="9">
        <f ca="1">SUMIF(Time!$J331:$BQ331,Time!S$28,'Supply Chain finance'!$J15:$BQ15)</f>
        <v>0</v>
      </c>
      <c r="T16" s="9">
        <f ca="1">SUMIF(Time!$J331:$BQ331,Time!T$28,'Supply Chain finance'!$J15:$BQ15)</f>
        <v>0</v>
      </c>
      <c r="U16" s="9">
        <f ca="1">SUMIF(Time!$J331:$BQ331,Time!U$28,'Supply Chain finance'!$J15:$BQ15)</f>
        <v>0</v>
      </c>
      <c r="V16" s="9">
        <f ca="1">SUMIF(Time!$J331:$BQ331,Time!V$28,'Supply Chain finance'!$J15:$BQ15)</f>
        <v>0</v>
      </c>
      <c r="W16" s="9">
        <f ca="1">SUMIF(Time!$J331:$BQ331,Time!W$28,'Supply Chain finance'!$J15:$BQ15)</f>
        <v>0</v>
      </c>
      <c r="X16" s="9">
        <f ca="1">SUMIF(Time!$J331:$BQ331,Time!X$28,'Supply Chain finance'!$J15:$BQ15)</f>
        <v>0</v>
      </c>
      <c r="Y16" s="9">
        <f ca="1">SUMIF(Time!$J331:$BQ331,Time!Y$28,'Supply Chain finance'!$J15:$BQ15)</f>
        <v>0</v>
      </c>
      <c r="Z16" s="9">
        <f ca="1">SUMIF(Time!$J331:$BQ331,Time!Z$28,'Supply Chain finance'!$J15:$BQ15)</f>
        <v>0</v>
      </c>
      <c r="AA16" s="9">
        <f ca="1">SUMIF(Time!$J331:$BQ331,Time!AA$28,'Supply Chain finance'!$J15:$BQ15)</f>
        <v>0</v>
      </c>
      <c r="AB16" s="9">
        <f ca="1">SUMIF(Time!$J331:$BQ331,Time!AB$28,'Supply Chain finance'!$J15:$BQ15)</f>
        <v>0</v>
      </c>
      <c r="AC16" s="9">
        <f ca="1">SUMIF(Time!$J331:$BQ331,Time!AC$28,'Supply Chain finance'!$J15:$BQ15)</f>
        <v>0</v>
      </c>
    </row>
    <row r="17" spans="5:16384">
      <c r="E17" s="15" t="str">
        <f>'Invoice finance'!E$15</f>
        <v>Invoice finance balance</v>
      </c>
      <c r="F17" s="15">
        <f>'Invoice finance'!F$15</f>
        <v>0</v>
      </c>
      <c r="G17" s="15" t="str">
        <f>'Invoice finance'!G$15</f>
        <v>GBP</v>
      </c>
      <c r="H17" s="9">
        <f>'Invoice finance'!H$15</f>
        <v>0</v>
      </c>
      <c r="I17" s="15">
        <f>'Invoice finance'!I$15</f>
        <v>0</v>
      </c>
      <c r="J17" s="9">
        <f ca="1">SUMIF(Time!$J331:$BQ331,Time!J$28,'Invoice finance'!$J15:$BQ15)</f>
        <v>0</v>
      </c>
      <c r="K17" s="9">
        <f ca="1">SUMIF(Time!$J331:$BQ331,Time!K$28,'Invoice finance'!$J15:$BQ15)</f>
        <v>0</v>
      </c>
      <c r="L17" s="9">
        <f ca="1">SUMIF(Time!$J331:$BQ331,Time!L$28,'Invoice finance'!$J15:$BQ15)</f>
        <v>0</v>
      </c>
      <c r="M17" s="9">
        <f ca="1">SUMIF(Time!$J331:$BQ331,Time!M$28,'Invoice finance'!$J15:$BQ15)</f>
        <v>0</v>
      </c>
      <c r="N17" s="9">
        <f ca="1">SUMIF(Time!$J331:$BQ331,Time!N$28,'Invoice finance'!$J15:$BQ15)</f>
        <v>0</v>
      </c>
      <c r="O17" s="9">
        <f ca="1">SUMIF(Time!$J331:$BQ331,Time!O$28,'Invoice finance'!$J15:$BQ15)</f>
        <v>0</v>
      </c>
      <c r="P17" s="9">
        <f ca="1">SUMIF(Time!$J331:$BQ331,Time!P$28,'Invoice finance'!$J15:$BQ15)</f>
        <v>0</v>
      </c>
      <c r="Q17" s="9">
        <f ca="1">SUMIF(Time!$J331:$BQ331,Time!Q$28,'Invoice finance'!$J15:$BQ15)</f>
        <v>0</v>
      </c>
      <c r="R17" s="9">
        <f ca="1">SUMIF(Time!$J331:$BQ331,Time!R$28,'Invoice finance'!$J15:$BQ15)</f>
        <v>0</v>
      </c>
      <c r="S17" s="9">
        <f ca="1">SUMIF(Time!$J331:$BQ331,Time!S$28,'Invoice finance'!$J15:$BQ15)</f>
        <v>0</v>
      </c>
      <c r="T17" s="9">
        <f ca="1">SUMIF(Time!$J331:$BQ331,Time!T$28,'Invoice finance'!$J15:$BQ15)</f>
        <v>0</v>
      </c>
      <c r="U17" s="9">
        <f ca="1">SUMIF(Time!$J331:$BQ331,Time!U$28,'Invoice finance'!$J15:$BQ15)</f>
        <v>0</v>
      </c>
      <c r="V17" s="9">
        <f ca="1">SUMIF(Time!$J331:$BQ331,Time!V$28,'Invoice finance'!$J15:$BQ15)</f>
        <v>0</v>
      </c>
      <c r="W17" s="9">
        <f ca="1">SUMIF(Time!$J331:$BQ331,Time!W$28,'Invoice finance'!$J15:$BQ15)</f>
        <v>0</v>
      </c>
      <c r="X17" s="9">
        <f ca="1">SUMIF(Time!$J331:$BQ331,Time!X$28,'Invoice finance'!$J15:$BQ15)</f>
        <v>0</v>
      </c>
      <c r="Y17" s="9">
        <f ca="1">SUMIF(Time!$J331:$BQ331,Time!Y$28,'Invoice finance'!$J15:$BQ15)</f>
        <v>0</v>
      </c>
      <c r="Z17" s="9">
        <f ca="1">SUMIF(Time!$J331:$BQ331,Time!Z$28,'Invoice finance'!$J15:$BQ15)</f>
        <v>0</v>
      </c>
      <c r="AA17" s="9">
        <f ca="1">SUMIF(Time!$J331:$BQ331,Time!AA$28,'Invoice finance'!$J15:$BQ15)</f>
        <v>0</v>
      </c>
      <c r="AB17" s="9">
        <f ca="1">SUMIF(Time!$J331:$BQ331,Time!AB$28,'Invoice finance'!$J15:$BQ15)</f>
        <v>0</v>
      </c>
      <c r="AC17" s="9">
        <f ca="1">SUMIF(Time!$J331:$BQ331,Time!AC$28,'Invoice finance'!$J15:$BQ15)</f>
        <v>0</v>
      </c>
    </row>
    <row r="18" spans="5:16384">
      <c r="E18" s="15" t="str">
        <f>'Asset Finance'!E$15</f>
        <v>Asset Finance balance</v>
      </c>
      <c r="F18" s="15">
        <f>'Asset Finance'!F$15</f>
        <v>0</v>
      </c>
      <c r="G18" s="15" t="str">
        <f>'Asset Finance'!G$15</f>
        <v>GBP</v>
      </c>
      <c r="H18" s="9">
        <f>'Asset Finance'!H$15</f>
        <v>0</v>
      </c>
      <c r="I18" s="15">
        <f>'Asset Finance'!I$15</f>
        <v>0</v>
      </c>
      <c r="J18" s="9">
        <f ca="1">SUMIF(Time!$J331:$BQ331,Time!J$28,'Asset Finance'!$J15:$BQ15)</f>
        <v>0</v>
      </c>
      <c r="K18" s="9">
        <f ca="1">SUMIF(Time!$J331:$BQ331,Time!K$28,'Asset Finance'!$J15:$BQ15)</f>
        <v>0</v>
      </c>
      <c r="L18" s="9">
        <f ca="1">SUMIF(Time!$J331:$BQ331,Time!L$28,'Asset Finance'!$J15:$BQ15)</f>
        <v>0</v>
      </c>
      <c r="M18" s="9">
        <f ca="1">SUMIF(Time!$J331:$BQ331,Time!M$28,'Asset Finance'!$J15:$BQ15)</f>
        <v>0</v>
      </c>
      <c r="N18" s="9">
        <f ca="1">SUMIF(Time!$J331:$BQ331,Time!N$28,'Asset Finance'!$J15:$BQ15)</f>
        <v>0</v>
      </c>
      <c r="O18" s="9">
        <f ca="1">SUMIF(Time!$J331:$BQ331,Time!O$28,'Asset Finance'!$J15:$BQ15)</f>
        <v>0</v>
      </c>
      <c r="P18" s="9">
        <f ca="1">SUMIF(Time!$J331:$BQ331,Time!P$28,'Asset Finance'!$J15:$BQ15)</f>
        <v>0</v>
      </c>
      <c r="Q18" s="9">
        <f ca="1">SUMIF(Time!$J331:$BQ331,Time!Q$28,'Asset Finance'!$J15:$BQ15)</f>
        <v>0</v>
      </c>
      <c r="R18" s="9">
        <f ca="1">SUMIF(Time!$J331:$BQ331,Time!R$28,'Asset Finance'!$J15:$BQ15)</f>
        <v>0</v>
      </c>
      <c r="S18" s="9">
        <f ca="1">SUMIF(Time!$J331:$BQ331,Time!S$28,'Asset Finance'!$J15:$BQ15)</f>
        <v>0</v>
      </c>
      <c r="T18" s="9">
        <f ca="1">SUMIF(Time!$J331:$BQ331,Time!T$28,'Asset Finance'!$J15:$BQ15)</f>
        <v>0</v>
      </c>
      <c r="U18" s="9">
        <f ca="1">SUMIF(Time!$J331:$BQ331,Time!U$28,'Asset Finance'!$J15:$BQ15)</f>
        <v>0</v>
      </c>
      <c r="V18" s="9">
        <f ca="1">SUMIF(Time!$J331:$BQ331,Time!V$28,'Asset Finance'!$J15:$BQ15)</f>
        <v>0</v>
      </c>
      <c r="W18" s="9">
        <f ca="1">SUMIF(Time!$J331:$BQ331,Time!W$28,'Asset Finance'!$J15:$BQ15)</f>
        <v>0</v>
      </c>
      <c r="X18" s="9">
        <f ca="1">SUMIF(Time!$J331:$BQ331,Time!X$28,'Asset Finance'!$J15:$BQ15)</f>
        <v>0</v>
      </c>
      <c r="Y18" s="9">
        <f ca="1">SUMIF(Time!$J331:$BQ331,Time!Y$28,'Asset Finance'!$J15:$BQ15)</f>
        <v>0</v>
      </c>
      <c r="Z18" s="9">
        <f ca="1">SUMIF(Time!$J331:$BQ331,Time!Z$28,'Asset Finance'!$J15:$BQ15)</f>
        <v>0</v>
      </c>
      <c r="AA18" s="9">
        <f ca="1">SUMIF(Time!$J331:$BQ331,Time!AA$28,'Asset Finance'!$J15:$BQ15)</f>
        <v>0</v>
      </c>
      <c r="AB18" s="9">
        <f ca="1">SUMIF(Time!$J331:$BQ331,Time!AB$28,'Asset Finance'!$J15:$BQ15)</f>
        <v>0</v>
      </c>
      <c r="AC18" s="9">
        <f ca="1">SUMIF(Time!$J331:$BQ331,Time!AC$28,'Asset Finance'!$J15:$BQ15)</f>
        <v>0</v>
      </c>
    </row>
    <row r="19" spans="5:16384">
      <c r="E19" s="15" t="str">
        <f>VAT!E$32</f>
        <v>VAT balance</v>
      </c>
      <c r="F19" s="15">
        <f>VAT!F$32</f>
        <v>0</v>
      </c>
      <c r="G19" s="15" t="str">
        <f>VAT!G$32</f>
        <v>GBP</v>
      </c>
      <c r="H19" s="9">
        <f>VAT!H$32</f>
        <v>0</v>
      </c>
      <c r="I19" s="15">
        <f>VAT!I$32</f>
        <v>0</v>
      </c>
      <c r="J19" s="9">
        <f ca="1">SUMIF(Time!$J331:$BQ331,Time!J$28,VAT!$J32:$BQ32)</f>
        <v>-4857.9164770385687</v>
      </c>
      <c r="K19" s="9">
        <f ca="1">SUMIF(Time!$J331:$BQ331,Time!K$28,VAT!$J32:$BQ32)</f>
        <v>-5368.8333215445273</v>
      </c>
      <c r="L19" s="9">
        <f ca="1">SUMIF(Time!$J331:$BQ331,Time!L$28,VAT!$J32:$BQ32)</f>
        <v>57091.334139655752</v>
      </c>
      <c r="M19" s="9">
        <f ca="1">SUMIF(Time!$J331:$BQ331,Time!M$28,VAT!$J32:$BQ32)</f>
        <v>-6654.8546194502633</v>
      </c>
      <c r="N19" s="9">
        <f ca="1">SUMIF(Time!$J331:$BQ331,Time!N$28,VAT!$J32:$BQ32)</f>
        <v>40954.761278332386</v>
      </c>
      <c r="O19" s="9">
        <f ca="1">SUMIF(Time!$J331:$BQ331,Time!O$28,VAT!$J32:$BQ32)</f>
        <v>-8436.3281311731298</v>
      </c>
      <c r="P19" s="9">
        <f ca="1">SUMIF(Time!$J331:$BQ331,Time!P$28,VAT!$J32:$BQ32)</f>
        <v>18479.110021551489</v>
      </c>
      <c r="Q19" s="9">
        <f ca="1">SUMIF(Time!$J331:$BQ331,Time!Q$28,VAT!$J32:$BQ32)</f>
        <v>374103.91789480631</v>
      </c>
      <c r="R19" s="9">
        <f ca="1">SUMIF(Time!$J331:$BQ331,Time!R$28,VAT!$J32:$BQ32)</f>
        <v>122933.83726458787</v>
      </c>
      <c r="S19" s="9">
        <f ca="1">SUMIF(Time!$J331:$BQ331,Time!S$28,VAT!$J32:$BQ32)</f>
        <v>89239.370202294434</v>
      </c>
      <c r="T19" s="9">
        <f ca="1">SUMIF(Time!$J331:$BQ331,Time!T$28,VAT!$J32:$BQ32)</f>
        <v>526548.38672450511</v>
      </c>
      <c r="U19" s="9">
        <f ca="1">SUMIF(Time!$J331:$BQ331,Time!U$28,VAT!$J32:$BQ32)</f>
        <v>931970.64477952756</v>
      </c>
      <c r="V19" s="9">
        <f ca="1">SUMIF(Time!$J331:$BQ331,Time!V$28,VAT!$J32:$BQ32)</f>
        <v>625989.19137802836</v>
      </c>
      <c r="W19" s="9">
        <f ca="1">SUMIF(Time!$J331:$BQ331,Time!W$28,VAT!$J32:$BQ32)</f>
        <v>252502.08329165448</v>
      </c>
      <c r="X19" s="9">
        <f ca="1">SUMIF(Time!$J331:$BQ331,Time!X$28,VAT!$J32:$BQ32)</f>
        <v>727167.69885249785</v>
      </c>
      <c r="Y19" s="9">
        <f ca="1">SUMIF(Time!$J331:$BQ331,Time!Y$28,VAT!$J32:$BQ32)</f>
        <v>791664.24126545433</v>
      </c>
      <c r="Z19" s="9">
        <f ca="1">SUMIF(Time!$J331:$BQ331,Time!Z$28,VAT!$J32:$BQ32)</f>
        <v>1370214.4004991474</v>
      </c>
      <c r="AA19" s="9">
        <f ca="1">SUMIF(Time!$J331:$BQ331,Time!AA$28,VAT!$J32:$BQ32)</f>
        <v>1058612.3086065226</v>
      </c>
      <c r="AB19" s="9">
        <f ca="1">SUMIF(Time!$J331:$BQ331,Time!AB$28,VAT!$J32:$BQ32)</f>
        <v>1186102.0497345179</v>
      </c>
      <c r="AC19" s="9">
        <f ca="1">SUMIF(Time!$J331:$BQ331,Time!AC$28,VAT!$J32:$BQ32)</f>
        <v>1336252.8478529695</v>
      </c>
    </row>
    <row r="20" spans="5:16384">
      <c r="E20" s="15" t="str">
        <f>'Corporation tax'!E$78</f>
        <v>Corporation tax creditor</v>
      </c>
      <c r="F20" s="15">
        <f>'Corporation tax'!F$78</f>
        <v>0</v>
      </c>
      <c r="G20" s="15" t="str">
        <f>'Corporation tax'!G$78</f>
        <v>GBP</v>
      </c>
      <c r="H20" s="9">
        <f>'Corporation tax'!H$78</f>
        <v>0</v>
      </c>
      <c r="I20" s="15">
        <f>'Corporation tax'!I$78</f>
        <v>0</v>
      </c>
      <c r="J20" s="9">
        <f ca="1">SUMIF(Time!$J331:$BQ331,Time!J$28,'Corporation tax'!$J78:$BQ78)</f>
        <v>0</v>
      </c>
      <c r="K20" s="9">
        <f ca="1">SUMIF(Time!$J331:$BQ331,Time!K$28,'Corporation tax'!$J78:$BQ78)</f>
        <v>0</v>
      </c>
      <c r="L20" s="9">
        <f ca="1">SUMIF(Time!$J331:$BQ331,Time!L$28,'Corporation tax'!$J78:$BQ78)</f>
        <v>0</v>
      </c>
      <c r="M20" s="9">
        <f ca="1">SUMIF(Time!$J331:$BQ331,Time!M$28,'Corporation tax'!$J78:$BQ78)</f>
        <v>45223.532984226469</v>
      </c>
      <c r="N20" s="9">
        <f ca="1">SUMIF(Time!$J331:$BQ331,Time!N$28,'Corporation tax'!$J78:$BQ78)</f>
        <v>172931.96758910635</v>
      </c>
      <c r="O20" s="9">
        <f ca="1">SUMIF(Time!$J331:$BQ331,Time!O$28,'Corporation tax'!$J78:$BQ78)</f>
        <v>161231.27243329573</v>
      </c>
      <c r="P20" s="9">
        <f ca="1">SUMIF(Time!$J331:$BQ331,Time!P$28,'Corporation tax'!$J78:$BQ78)</f>
        <v>385994.81150989933</v>
      </c>
      <c r="Q20" s="9">
        <f ca="1">SUMIF(Time!$J331:$BQ331,Time!Q$28,'Corporation tax'!$J78:$BQ78)</f>
        <v>673207.20368769648</v>
      </c>
      <c r="R20" s="9">
        <f ca="1">SUMIF(Time!$J331:$BQ331,Time!R$28,'Corporation tax'!$J78:$BQ78)</f>
        <v>1009079.3836522016</v>
      </c>
      <c r="S20" s="9">
        <f ca="1">SUMIF(Time!$J331:$BQ331,Time!S$28,'Corporation tax'!$J78:$BQ78)</f>
        <v>461272.67628509802</v>
      </c>
      <c r="T20" s="9">
        <f ca="1">SUMIF(Time!$J331:$BQ331,Time!T$28,'Corporation tax'!$J78:$BQ78)</f>
        <v>1086963.1421845492</v>
      </c>
      <c r="U20" s="9">
        <f ca="1">SUMIF(Time!$J331:$BQ331,Time!U$28,'Corporation tax'!$J78:$BQ78)</f>
        <v>1847012.990837669</v>
      </c>
      <c r="V20" s="9">
        <f ca="1">SUMIF(Time!$J331:$BQ331,Time!V$28,'Corporation tax'!$J78:$BQ78)</f>
        <v>2746983.6823349316</v>
      </c>
      <c r="W20" s="9">
        <f ca="1">SUMIF(Time!$J331:$BQ331,Time!W$28,'Corporation tax'!$J78:$BQ78)</f>
        <v>1081206.9292792981</v>
      </c>
      <c r="X20" s="9">
        <f ca="1">SUMIF(Time!$J331:$BQ331,Time!X$28,'Corporation tax'!$J78:$BQ78)</f>
        <v>2421699.0671673422</v>
      </c>
      <c r="Y20" s="9">
        <f ca="1">SUMIF(Time!$J331:$BQ331,Time!Y$28,'Corporation tax'!$J78:$BQ78)</f>
        <v>4031391.4012702624</v>
      </c>
      <c r="Z20" s="9">
        <f ca="1">SUMIF(Time!$J331:$BQ331,Time!Z$28,'Corporation tax'!$J78:$BQ78)</f>
        <v>5956047.8758138604</v>
      </c>
      <c r="AA20" s="9">
        <f ca="1">SUMIF(Time!$J331:$BQ331,Time!AA$28,'Corporation tax'!$J78:$BQ78)</f>
        <v>2352572.9394531748</v>
      </c>
      <c r="AB20" s="9">
        <f ca="1">SUMIF(Time!$J331:$BQ331,Time!AB$28,'Corporation tax'!$J78:$BQ78)</f>
        <v>5155029.9430043884</v>
      </c>
      <c r="AC20" s="9">
        <f ca="1">SUMIF(Time!$J331:$BQ331,Time!AC$28,'Corporation tax'!$J78:$BQ78)</f>
        <v>8433811.6241043191</v>
      </c>
    </row>
    <row r="21" spans="5:16384">
      <c r="E21" s="12" t="s">
        <v>222</v>
      </c>
      <c r="F21" s="28"/>
      <c r="G21" s="12" t="s">
        <v>252</v>
      </c>
      <c r="H21" s="12"/>
      <c r="I21" s="28"/>
      <c r="J21" s="12">
        <f ca="1">SUMIF(Time!$J331:$BQ331,Time!J$28,'Balance Sheet'!$J21:$BQ21)</f>
        <v>152642.08352296142</v>
      </c>
      <c r="K21" s="12">
        <f ca="1">SUMIF(Time!$J331:$BQ331,Time!K$28,'Balance Sheet'!$J21:$BQ21)</f>
        <v>152131.16667845548</v>
      </c>
      <c r="L21" s="12">
        <f ca="1">SUMIF(Time!$J331:$BQ331,Time!L$28,'Balance Sheet'!$J21:$BQ21)</f>
        <v>1982864.3746150807</v>
      </c>
      <c r="M21" s="12">
        <f ca="1">SUMIF(Time!$J331:$BQ331,Time!M$28,'Balance Sheet'!$J21:$BQ21)</f>
        <v>1461543.3168896923</v>
      </c>
      <c r="N21" s="12">
        <f ca="1">SUMIF(Time!$J331:$BQ331,Time!N$28,'Balance Sheet'!$J21:$BQ21)</f>
        <v>2892538.1674029306</v>
      </c>
      <c r="O21" s="12">
        <f ca="1">SUMIF(Time!$J331:$BQ331,Time!O$28,'Balance Sheet'!$J21:$BQ21)</f>
        <v>1938946.3828376145</v>
      </c>
      <c r="P21" s="12">
        <f ca="1">SUMIF(Time!$J331:$BQ331,Time!P$28,'Balance Sheet'!$J21:$BQ21)</f>
        <v>4978923.7620174512</v>
      </c>
      <c r="Q21" s="12">
        <f ca="1">SUMIF(Time!$J331:$BQ331,Time!Q$28,'Balance Sheet'!$J21:$BQ21)</f>
        <v>6004462.5601179944</v>
      </c>
      <c r="R21" s="12">
        <f ca="1">SUMIF(Time!$J331:$BQ331,Time!R$28,'Balance Sheet'!$J21:$BQ21)</f>
        <v>6967281.6653494174</v>
      </c>
      <c r="S21" s="12">
        <f ca="1">SUMIF(Time!$J331:$BQ331,Time!S$28,'Balance Sheet'!$J21:$BQ21)</f>
        <v>7208979.3084211955</v>
      </c>
      <c r="T21" s="12">
        <f ca="1">SUMIF(Time!$J331:$BQ331,Time!T$28,'Balance Sheet'!$J21:$BQ21)</f>
        <v>12682217.080435583</v>
      </c>
      <c r="U21" s="12">
        <f ca="1">SUMIF(Time!$J331:$BQ331,Time!U$28,'Balance Sheet'!$J21:$BQ21)</f>
        <v>15892700.787635323</v>
      </c>
      <c r="V21" s="12">
        <f ca="1">SUMIF(Time!$J331:$BQ331,Time!V$28,'Balance Sheet'!$J21:$BQ21)</f>
        <v>16890332.123621866</v>
      </c>
      <c r="W21" s="12">
        <f ca="1">SUMIF(Time!$J331:$BQ331,Time!W$28,'Balance Sheet'!$J21:$BQ21)</f>
        <v>17292195.401888452</v>
      </c>
      <c r="X21" s="12">
        <f ca="1">SUMIF(Time!$J331:$BQ331,Time!X$28,'Balance Sheet'!$J21:$BQ21)</f>
        <v>25314976.790257048</v>
      </c>
      <c r="Y21" s="12">
        <f ca="1">SUMIF(Time!$J331:$BQ331,Time!Y$28,'Balance Sheet'!$J21:$BQ21)</f>
        <v>30590922.664973333</v>
      </c>
      <c r="Z21" s="12">
        <f ca="1">SUMIF(Time!$J331:$BQ331,Time!Z$28,'Balance Sheet'!$J21:$BQ21)</f>
        <v>38837965.047745585</v>
      </c>
      <c r="AA21" s="12">
        <f ca="1">SUMIF(Time!$J331:$BQ331,Time!AA$28,'Balance Sheet'!$J21:$BQ21)</f>
        <v>40288770.960607134</v>
      </c>
      <c r="AB21" s="12">
        <f ca="1">SUMIF(Time!$J331:$BQ331,Time!AB$28,'Balance Sheet'!$J21:$BQ21)</f>
        <v>50105935.44467327</v>
      </c>
      <c r="AC21" s="12">
        <f ca="1">SUMIF(Time!$J331:$BQ331,Time!AC$28,'Balance Sheet'!$J21:$BQ21)</f>
        <v>60028206.12233185</v>
      </c>
    </row>
    <row r="23" spans="5:16384">
      <c r="E23" s="15" t="str">
        <f>Financials!E$24</f>
        <v>Net Assets</v>
      </c>
      <c r="F23" s="15"/>
      <c r="G23" s="15" t="str">
        <f>Financials!G$24</f>
        <v>GBP</v>
      </c>
      <c r="H23" s="9">
        <f>Financials!H$24</f>
        <v>0</v>
      </c>
      <c r="I23" s="15">
        <f>Financials!I$24</f>
        <v>0</v>
      </c>
      <c r="J23" s="16">
        <f ca="1">SUMIF(Time!$J331:$BQ331,Time!J$28,Financials!$J24:$BQ24)</f>
        <v>-156435.88319980979</v>
      </c>
      <c r="K23" s="16">
        <f ca="1">SUMIF(Time!$J331:$BQ331,Time!K$28,Financials!$J24:$BQ24)</f>
        <v>-334749.29442721617</v>
      </c>
      <c r="L23" s="16">
        <f ca="1">SUMIF(Time!$J331:$BQ331,Time!L$28,Financials!$J24:$BQ24)</f>
        <v>-224627.2935456608</v>
      </c>
      <c r="M23" s="16">
        <f ca="1">SUMIF(Time!$J331:$BQ331,Time!M$28,Financials!$J24:$BQ24)</f>
        <v>18227.465270239161</v>
      </c>
      <c r="N23" s="16">
        <f ca="1">SUMIF(Time!$J331:$BQ331,Time!N$28,Financials!$J24:$BQ24)</f>
        <v>470727.87035642518</v>
      </c>
      <c r="O23" s="16">
        <f ca="1">SUMIF(Time!$J331:$BQ331,Time!O$28,Financials!$J24:$BQ24)</f>
        <v>1042736.2934229411</v>
      </c>
      <c r="P23" s="16">
        <f ca="1">SUMIF(Time!$J331:$BQ331,Time!P$28,Financials!$J24:$BQ24)</f>
        <v>1854290.4497293551</v>
      </c>
      <c r="Q23" s="16">
        <f ca="1">SUMIF(Time!$J331:$BQ331,Time!Q$28,Financials!$J24:$BQ24)</f>
        <v>2893765.0184405437</v>
      </c>
      <c r="R23" s="16">
        <f ca="1">SUMIF(Time!$J331:$BQ331,Time!R$28,Financials!$J24:$BQ24)</f>
        <v>4100943.7863921775</v>
      </c>
      <c r="S23" s="16">
        <f ca="1">SUMIF(Time!$J331:$BQ331,Time!S$28,Financials!$J24:$BQ24)</f>
        <v>5795239.3858931148</v>
      </c>
      <c r="T23" s="16">
        <f ca="1">SUMIF(Time!$J331:$BQ331,Time!T$28,Financials!$J24:$BQ24)</f>
        <v>8134129.6461683493</v>
      </c>
      <c r="U23" s="16">
        <f ca="1">SUMIF(Time!$J331:$BQ331,Time!U$28,Financials!$J24:$BQ24)</f>
        <v>10991760.232333899</v>
      </c>
      <c r="V23" s="16">
        <f ca="1">SUMIF(Time!$J331:$BQ331,Time!V$28,Financials!$J24:$BQ24)</f>
        <v>14377752.33719296</v>
      </c>
      <c r="W23" s="16">
        <f ca="1">SUMIF(Time!$J331:$BQ331,Time!W$28,Financials!$J24:$BQ24)</f>
        <v>18459729.274845414</v>
      </c>
      <c r="X23" s="16">
        <f ca="1">SUMIF(Time!$J331:$BQ331,Time!X$28,Financials!$J24:$BQ24)</f>
        <v>23545411.961287726</v>
      </c>
      <c r="Y23" s="16">
        <f ca="1">SUMIF(Time!$J331:$BQ331,Time!Y$28,Financials!$J24:$BQ24)</f>
        <v>29663222.876222044</v>
      </c>
      <c r="Z23" s="16">
        <f ca="1">SUMIF(Time!$J331:$BQ331,Time!Z$28,Financials!$J24:$BQ24)</f>
        <v>37002141.488822192</v>
      </c>
      <c r="AA23" s="16">
        <f ca="1">SUMIF(Time!$J331:$BQ331,Time!AA$28,Financials!$J24:$BQ24)</f>
        <v>46023326.642907791</v>
      </c>
      <c r="AB23" s="16">
        <f ca="1">SUMIF(Time!$J331:$BQ331,Time!AB$28,Financials!$J24:$BQ24)</f>
        <v>56821548.487890348</v>
      </c>
      <c r="AC23" s="16">
        <f ca="1">SUMIF(Time!$J331:$BQ331,Time!AC$28,Financials!$J24:$BQ24)</f>
        <v>69510763.829430073</v>
      </c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5" spans="5:16384">
      <c r="E25" s="15" t="str">
        <f>Financials!E$38</f>
        <v>Retained Earnings</v>
      </c>
      <c r="F25" s="15">
        <f>Financials!F$38</f>
        <v>0</v>
      </c>
      <c r="G25" s="15" t="str">
        <f>Financials!G$38</f>
        <v>GBP</v>
      </c>
      <c r="H25" s="9">
        <f>Financials!H$38</f>
        <v>0</v>
      </c>
      <c r="I25" s="15">
        <f>Financials!I$38</f>
        <v>0</v>
      </c>
      <c r="J25" s="9">
        <f ca="1">SUMIF(Time!$J331:$BQ331,Time!J$28,Financials!$J38:$BQ38)</f>
        <v>-156435.88319980982</v>
      </c>
      <c r="K25" s="9">
        <f ca="1">SUMIF(Time!$J331:$BQ331,Time!K$28,Financials!$J38:$BQ38)</f>
        <v>-334749.29442721617</v>
      </c>
      <c r="L25" s="9">
        <f ca="1">SUMIF(Time!$J331:$BQ331,Time!L$28,Financials!$J38:$BQ38)</f>
        <v>-224627.29354566085</v>
      </c>
      <c r="M25" s="9">
        <f ca="1">SUMIF(Time!$J331:$BQ331,Time!M$28,Financials!$J38:$BQ38)</f>
        <v>18227.46527023922</v>
      </c>
      <c r="N25" s="9">
        <f ca="1">SUMIF(Time!$J331:$BQ331,Time!N$28,Financials!$J38:$BQ38)</f>
        <v>470727.87035642535</v>
      </c>
      <c r="O25" s="9">
        <f ca="1">SUMIF(Time!$J331:$BQ331,Time!O$28,Financials!$J38:$BQ38)</f>
        <v>1042736.2934229415</v>
      </c>
      <c r="P25" s="9">
        <f ca="1">SUMIF(Time!$J331:$BQ331,Time!P$28,Financials!$J38:$BQ38)</f>
        <v>1854290.449729356</v>
      </c>
      <c r="Q25" s="9">
        <f ca="1">SUMIF(Time!$J331:$BQ331,Time!Q$28,Financials!$J38:$BQ38)</f>
        <v>2893765.0184405441</v>
      </c>
      <c r="R25" s="9">
        <f ca="1">SUMIF(Time!$J331:$BQ331,Time!R$28,Financials!$J38:$BQ38)</f>
        <v>4100943.7863921789</v>
      </c>
      <c r="S25" s="9">
        <f ca="1">SUMIF(Time!$J331:$BQ331,Time!S$28,Financials!$J38:$BQ38)</f>
        <v>5795239.3858931158</v>
      </c>
      <c r="T25" s="9">
        <f ca="1">SUMIF(Time!$J331:$BQ331,Time!T$28,Financials!$J38:$BQ38)</f>
        <v>8134129.6461683484</v>
      </c>
      <c r="U25" s="9">
        <f ca="1">SUMIF(Time!$J331:$BQ331,Time!U$28,Financials!$J38:$BQ38)</f>
        <v>10991760.232333895</v>
      </c>
      <c r="V25" s="9">
        <f ca="1">SUMIF(Time!$J331:$BQ331,Time!V$28,Financials!$J38:$BQ38)</f>
        <v>14377752.337192958</v>
      </c>
      <c r="W25" s="9">
        <f ca="1">SUMIF(Time!$J331:$BQ331,Time!W$28,Financials!$J38:$BQ38)</f>
        <v>18459729.27484541</v>
      </c>
      <c r="X25" s="9">
        <f ca="1">SUMIF(Time!$J331:$BQ331,Time!X$28,Financials!$J38:$BQ38)</f>
        <v>23545411.961287707</v>
      </c>
      <c r="Y25" s="9">
        <f ca="1">SUMIF(Time!$J331:$BQ331,Time!Y$28,Financials!$J38:$BQ38)</f>
        <v>29663222.876222033</v>
      </c>
      <c r="Z25" s="9">
        <f ca="1">SUMIF(Time!$J331:$BQ331,Time!Z$28,Financials!$J38:$BQ38)</f>
        <v>37002141.488822192</v>
      </c>
      <c r="AA25" s="9">
        <f ca="1">SUMIF(Time!$J331:$BQ331,Time!AA$28,Financials!$J38:$BQ38)</f>
        <v>46023326.642907783</v>
      </c>
      <c r="AB25" s="9">
        <f ca="1">SUMIF(Time!$J331:$BQ331,Time!AB$28,Financials!$J38:$BQ38)</f>
        <v>56821548.487890348</v>
      </c>
      <c r="AC25" s="9">
        <f ca="1">SUMIF(Time!$J331:$BQ331,Time!AC$28,Financials!$J38:$BQ38)</f>
        <v>69510763.829430103</v>
      </c>
    </row>
    <row r="26" spans="5:16384">
      <c r="E26" s="15" t="str">
        <f>Equity!E$13</f>
        <v>Share Capital</v>
      </c>
      <c r="F26" s="15">
        <f>Equity!F$13</f>
        <v>0</v>
      </c>
      <c r="G26" s="15" t="str">
        <f>Equity!G$13</f>
        <v>GBP</v>
      </c>
      <c r="H26" s="9">
        <f>Equity!H$13</f>
        <v>0</v>
      </c>
      <c r="I26" s="15">
        <f>Equity!I$13</f>
        <v>0</v>
      </c>
      <c r="J26" s="9">
        <f>SUMIF(Time!$J331:$BQ331,Time!J$28,Equity!$J13:$BQ13)</f>
        <v>0</v>
      </c>
      <c r="K26" s="9">
        <f>SUMIF(Time!$J331:$BQ331,Time!K$28,Equity!$J13:$BQ13)</f>
        <v>0</v>
      </c>
      <c r="L26" s="9">
        <f>SUMIF(Time!$J331:$BQ331,Time!L$28,Equity!$J13:$BQ13)</f>
        <v>0</v>
      </c>
      <c r="M26" s="9">
        <f>SUMIF(Time!$J331:$BQ331,Time!M$28,Equity!$J13:$BQ13)</f>
        <v>0</v>
      </c>
      <c r="N26" s="9">
        <f>SUMIF(Time!$J331:$BQ331,Time!N$28,Equity!$J13:$BQ13)</f>
        <v>0</v>
      </c>
      <c r="O26" s="9">
        <f>SUMIF(Time!$J331:$BQ331,Time!O$28,Equity!$J13:$BQ13)</f>
        <v>0</v>
      </c>
      <c r="P26" s="9">
        <f>SUMIF(Time!$J331:$BQ331,Time!P$28,Equity!$J13:$BQ13)</f>
        <v>0</v>
      </c>
      <c r="Q26" s="9">
        <f>SUMIF(Time!$J331:$BQ331,Time!Q$28,Equity!$J13:$BQ13)</f>
        <v>0</v>
      </c>
      <c r="R26" s="9">
        <f>SUMIF(Time!$J331:$BQ331,Time!R$28,Equity!$J13:$BQ13)</f>
        <v>0</v>
      </c>
      <c r="S26" s="9">
        <f>SUMIF(Time!$J331:$BQ331,Time!S$28,Equity!$J13:$BQ13)</f>
        <v>0</v>
      </c>
      <c r="T26" s="9">
        <f>SUMIF(Time!$J331:$BQ331,Time!T$28,Equity!$J13:$BQ13)</f>
        <v>0</v>
      </c>
      <c r="U26" s="9">
        <f>SUMIF(Time!$J331:$BQ331,Time!U$28,Equity!$J13:$BQ13)</f>
        <v>0</v>
      </c>
      <c r="V26" s="9">
        <f>SUMIF(Time!$J331:$BQ331,Time!V$28,Equity!$J13:$BQ13)</f>
        <v>0</v>
      </c>
      <c r="W26" s="9">
        <f>SUMIF(Time!$J331:$BQ331,Time!W$28,Equity!$J13:$BQ13)</f>
        <v>0</v>
      </c>
      <c r="X26" s="9">
        <f>SUMIF(Time!$J331:$BQ331,Time!X$28,Equity!$J13:$BQ13)</f>
        <v>0</v>
      </c>
      <c r="Y26" s="9">
        <f>SUMIF(Time!$J331:$BQ331,Time!Y$28,Equity!$J13:$BQ13)</f>
        <v>0</v>
      </c>
      <c r="Z26" s="9">
        <f>SUMIF(Time!$J331:$BQ331,Time!Z$28,Equity!$J13:$BQ13)</f>
        <v>0</v>
      </c>
      <c r="AA26" s="9">
        <f>SUMIF(Time!$J331:$BQ331,Time!AA$28,Equity!$J13:$BQ13)</f>
        <v>0</v>
      </c>
      <c r="AB26" s="9">
        <f>SUMIF(Time!$J331:$BQ331,Time!AB$28,Equity!$J13:$BQ13)</f>
        <v>0</v>
      </c>
      <c r="AC26" s="9">
        <f>SUMIF(Time!$J331:$BQ331,Time!AC$28,Equity!$J13:$BQ13)</f>
        <v>0</v>
      </c>
    </row>
    <row r="27" spans="5:16384">
      <c r="E27" s="15" t="str">
        <f>Financials!E$30</f>
        <v>Shareholder Equity</v>
      </c>
      <c r="F27" s="15"/>
      <c r="G27" s="15" t="str">
        <f>Financials!G$30</f>
        <v>GBP</v>
      </c>
      <c r="H27" s="9">
        <f>Financials!H$30</f>
        <v>0</v>
      </c>
      <c r="I27" s="15">
        <f>Financials!I$30</f>
        <v>0</v>
      </c>
      <c r="J27" s="16">
        <f ca="1">SUMIF(Time!$J331:$BQ331,Time!J$28,Financials!$J30:$BQ30)</f>
        <v>-156435.88319980982</v>
      </c>
      <c r="K27" s="16">
        <f ca="1">SUMIF(Time!$J331:$BQ331,Time!K$28,Financials!$J30:$BQ30)</f>
        <v>-334749.29442721617</v>
      </c>
      <c r="L27" s="16">
        <f ca="1">SUMIF(Time!$J331:$BQ331,Time!L$28,Financials!$J30:$BQ30)</f>
        <v>-224627.29354566085</v>
      </c>
      <c r="M27" s="16">
        <f ca="1">SUMIF(Time!$J331:$BQ331,Time!M$28,Financials!$J30:$BQ30)</f>
        <v>18227.46527023922</v>
      </c>
      <c r="N27" s="16">
        <f ca="1">SUMIF(Time!$J331:$BQ331,Time!N$28,Financials!$J30:$BQ30)</f>
        <v>470727.87035642535</v>
      </c>
      <c r="O27" s="16">
        <f ca="1">SUMIF(Time!$J331:$BQ331,Time!O$28,Financials!$J30:$BQ30)</f>
        <v>1042736.2934229415</v>
      </c>
      <c r="P27" s="16">
        <f ca="1">SUMIF(Time!$J331:$BQ331,Time!P$28,Financials!$J30:$BQ30)</f>
        <v>1854290.449729356</v>
      </c>
      <c r="Q27" s="16">
        <f ca="1">SUMIF(Time!$J331:$BQ331,Time!Q$28,Financials!$J30:$BQ30)</f>
        <v>2893765.0184405441</v>
      </c>
      <c r="R27" s="16">
        <f ca="1">SUMIF(Time!$J331:$BQ331,Time!R$28,Financials!$J30:$BQ30)</f>
        <v>4100943.7863921789</v>
      </c>
      <c r="S27" s="16">
        <f ca="1">SUMIF(Time!$J331:$BQ331,Time!S$28,Financials!$J30:$BQ30)</f>
        <v>5795239.3858931158</v>
      </c>
      <c r="T27" s="16">
        <f ca="1">SUMIF(Time!$J331:$BQ331,Time!T$28,Financials!$J30:$BQ30)</f>
        <v>8134129.6461683484</v>
      </c>
      <c r="U27" s="16">
        <f ca="1">SUMIF(Time!$J331:$BQ331,Time!U$28,Financials!$J30:$BQ30)</f>
        <v>10991760.232333895</v>
      </c>
      <c r="V27" s="16">
        <f ca="1">SUMIF(Time!$J331:$BQ331,Time!V$28,Financials!$J30:$BQ30)</f>
        <v>14377752.337192958</v>
      </c>
      <c r="W27" s="16">
        <f ca="1">SUMIF(Time!$J331:$BQ331,Time!W$28,Financials!$J30:$BQ30)</f>
        <v>18459729.27484541</v>
      </c>
      <c r="X27" s="16">
        <f ca="1">SUMIF(Time!$J331:$BQ331,Time!X$28,Financials!$J30:$BQ30)</f>
        <v>23545411.961287707</v>
      </c>
      <c r="Y27" s="16">
        <f ca="1">SUMIF(Time!$J331:$BQ331,Time!Y$28,Financials!$J30:$BQ30)</f>
        <v>29663222.876222033</v>
      </c>
      <c r="Z27" s="16">
        <f ca="1">SUMIF(Time!$J331:$BQ331,Time!Z$28,Financials!$J30:$BQ30)</f>
        <v>37002141.488822192</v>
      </c>
      <c r="AA27" s="16">
        <f ca="1">SUMIF(Time!$J331:$BQ331,Time!AA$28,Financials!$J30:$BQ30)</f>
        <v>46023326.642907783</v>
      </c>
      <c r="AB27" s="16">
        <f ca="1">SUMIF(Time!$J331:$BQ331,Time!AB$28,Financials!$J30:$BQ30)</f>
        <v>56821548.487890348</v>
      </c>
      <c r="AC27" s="16">
        <f ca="1">SUMIF(Time!$J331:$BQ331,Time!AC$28,Financials!$J30:$BQ30)</f>
        <v>69510763.829430103</v>
      </c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:XFD27"/>
  <sheetViews>
    <sheetView topLeftCell="J6" workbookViewId="0">
      <selection activeCell="J6" sqref="J6"/>
    </sheetView>
  </sheetViews>
  <sheetFormatPr defaultColWidth="15.08984375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31.7265625" customWidth="1"/>
    <col min="6" max="6" width="20.7265625" customWidth="1"/>
    <col min="7" max="7" width="13.7265625" customWidth="1"/>
    <col min="8" max="8" width="7.7265625" style="2" customWidth="1"/>
    <col min="9" max="9" width="3.7265625" customWidth="1"/>
    <col min="10" max="15" width="11.7265625" customWidth="1"/>
    <col min="16" max="19" width="13.7265625" customWidth="1"/>
  </cols>
  <sheetData>
    <row r="1" spans="1:19" s="53" customFormat="1" ht="25">
      <c r="A1" s="37" t="str">
        <f ca="1">RIGHT(CELL("filename",A1),LEN(CELL("filename",A1))-SEARCH("]",CELL("filename",A1)))</f>
        <v>Balance Sheet SemiAnnually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19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Time!J$95</f>
        <v>45230</v>
      </c>
      <c r="K2" s="6">
        <f>Time!K$95</f>
        <v>45412</v>
      </c>
      <c r="L2" s="6">
        <f>Time!L$95</f>
        <v>45596</v>
      </c>
      <c r="M2" s="6">
        <f>Time!M$95</f>
        <v>45777</v>
      </c>
      <c r="N2" s="6">
        <f>Time!N$95</f>
        <v>45961</v>
      </c>
      <c r="O2" s="6">
        <f>Time!O$95</f>
        <v>46142</v>
      </c>
      <c r="P2" s="6">
        <f>Time!P$95</f>
        <v>46326</v>
      </c>
      <c r="Q2" s="6">
        <f>Time!Q$95</f>
        <v>46507</v>
      </c>
      <c r="R2" s="6">
        <f>Time!R$95</f>
        <v>46691</v>
      </c>
      <c r="S2" s="6">
        <f>Time!S$95</f>
        <v>46873</v>
      </c>
    </row>
    <row r="3" spans="1:19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Time!J$102</f>
        <v>Month6</v>
      </c>
      <c r="K3" s="7" t="str">
        <f>Time!K$102</f>
        <v>Month12</v>
      </c>
      <c r="L3" s="7" t="str">
        <f>Time!L$102</f>
        <v>Month18</v>
      </c>
      <c r="M3" s="7" t="str">
        <f>Time!M$102</f>
        <v>Month24</v>
      </c>
      <c r="N3" s="7" t="str">
        <f>Time!N$102</f>
        <v>Month30</v>
      </c>
      <c r="O3" s="7" t="str">
        <f>Time!O$102</f>
        <v>Month36</v>
      </c>
      <c r="P3" s="7" t="str">
        <f>Time!P$102</f>
        <v>Month42</v>
      </c>
      <c r="Q3" s="7" t="str">
        <f>Time!Q$102</f>
        <v>Month48</v>
      </c>
      <c r="R3" s="7" t="str">
        <f>Time!R$102</f>
        <v>Month54</v>
      </c>
      <c r="S3" s="7" t="str">
        <f>Time!S$102</f>
        <v>Month60</v>
      </c>
    </row>
    <row r="4" spans="1:19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Time!J$108</f>
        <v>6</v>
      </c>
      <c r="K4" s="5">
        <f>Time!K$108</f>
        <v>12</v>
      </c>
      <c r="L4" s="5">
        <f>Time!L$108</f>
        <v>18</v>
      </c>
      <c r="M4" s="5">
        <f>Time!M$108</f>
        <v>24</v>
      </c>
      <c r="N4" s="5">
        <f>Time!N$108</f>
        <v>30</v>
      </c>
      <c r="O4" s="5">
        <f>Time!O$108</f>
        <v>36</v>
      </c>
      <c r="P4" s="5">
        <f>Time!P$108</f>
        <v>42</v>
      </c>
      <c r="Q4" s="5">
        <f>Time!Q$108</f>
        <v>48</v>
      </c>
      <c r="R4" s="5">
        <f>Time!R$108</f>
        <v>54</v>
      </c>
      <c r="S4" s="5">
        <f>Time!S$108</f>
        <v>60</v>
      </c>
    </row>
    <row r="5" spans="1:19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19" s="2" customFormat="1" ht="13">
      <c r="A6" s="22"/>
      <c r="B6" s="22"/>
      <c r="C6" s="40"/>
      <c r="D6" s="54"/>
      <c r="F6" s="22"/>
      <c r="G6" s="22"/>
      <c r="H6" s="22"/>
    </row>
    <row r="8" spans="1:19">
      <c r="A8"/>
      <c r="E8" s="15" t="str">
        <f>Assets!E$21</f>
        <v>Inventory</v>
      </c>
      <c r="F8" s="15">
        <f>Assets!F$21</f>
        <v>0</v>
      </c>
      <c r="G8" s="15" t="str">
        <f>Assets!G$21</f>
        <v>GBP</v>
      </c>
      <c r="H8" s="9">
        <f>Assets!H$21</f>
        <v>0</v>
      </c>
      <c r="I8" s="15">
        <f>Assets!I$21</f>
        <v>0</v>
      </c>
      <c r="J8" s="9">
        <f ca="1">SUMIF(Time!$J346:$BQ346,Time!J$28,Assets!$J21:$BQ21)</f>
        <v>175000</v>
      </c>
      <c r="K8" s="9">
        <f ca="1">SUMIF(Time!$J346:$BQ346,Time!K$28,Assets!$J21:$BQ21)</f>
        <v>350000</v>
      </c>
      <c r="L8" s="9">
        <f ca="1">SUMIF(Time!$J346:$BQ346,Time!L$28,Assets!$J21:$BQ21)</f>
        <v>700000</v>
      </c>
      <c r="M8" s="9">
        <f ca="1">SUMIF(Time!$J346:$BQ346,Time!M$28,Assets!$J21:$BQ21)</f>
        <v>1050000</v>
      </c>
      <c r="N8" s="9">
        <f ca="1">SUMIF(Time!$J346:$BQ346,Time!N$28,Assets!$J21:$BQ21)</f>
        <v>1277943.8412167949</v>
      </c>
      <c r="O8" s="9">
        <f ca="1">SUMIF(Time!$J346:$BQ346,Time!O$28,Assets!$J21:$BQ21)</f>
        <v>1630176.8000105759</v>
      </c>
      <c r="P8" s="9">
        <f ca="1">SUMIF(Time!$J346:$BQ346,Time!P$28,Assets!$J21:$BQ21)</f>
        <v>2085918.0535046426</v>
      </c>
      <c r="Q8" s="9">
        <f ca="1">SUMIF(Time!$J346:$BQ346,Time!Q$28,Assets!$J21:$BQ21)</f>
        <v>2790185.3525249097</v>
      </c>
      <c r="R8" s="9">
        <f ca="1">SUMIF(Time!$J346:$BQ346,Time!R$28,Assets!$J21:$BQ21)</f>
        <v>3241870.5858342983</v>
      </c>
      <c r="S8" s="9">
        <f ca="1">SUMIF(Time!$J346:$BQ346,Time!S$28,Assets!$J21:$BQ21)</f>
        <v>3445036.4383722316</v>
      </c>
    </row>
    <row r="9" spans="1:19">
      <c r="E9" s="15" t="str">
        <f>Assets!E$30</f>
        <v xml:space="preserve">Depreciation </v>
      </c>
      <c r="F9" s="15">
        <f>Assets!F$30</f>
        <v>0</v>
      </c>
      <c r="G9" s="15" t="str">
        <f>Assets!G$30</f>
        <v>GBP</v>
      </c>
      <c r="H9" s="9">
        <f>Assets!H$30</f>
        <v>0</v>
      </c>
      <c r="I9" s="15">
        <f>Assets!I$30</f>
        <v>0</v>
      </c>
      <c r="J9" s="9">
        <f ca="1">SUMIF(Time!$J346:$BQ346,Time!J$28,Assets!$J30:$BQ30)</f>
        <v>-36458.333333333336</v>
      </c>
      <c r="K9" s="9">
        <f ca="1">SUMIF(Time!$J346:$BQ346,Time!K$28,Assets!$J30:$BQ30)</f>
        <v>-116666.66666666666</v>
      </c>
      <c r="L9" s="9">
        <f ca="1">SUMIF(Time!$J346:$BQ346,Time!L$28,Assets!$J30:$BQ30)</f>
        <v>-247916.66666666666</v>
      </c>
      <c r="M9" s="9">
        <f ca="1">SUMIF(Time!$J346:$BQ346,Time!M$28,Assets!$J30:$BQ30)</f>
        <v>-444791.66666666663</v>
      </c>
      <c r="N9" s="9">
        <f ca="1">SUMIF(Time!$J346:$BQ346,Time!N$28,Assets!$J30:$BQ30)</f>
        <v>-609840.56542930205</v>
      </c>
      <c r="O9" s="9">
        <f ca="1">SUMIF(Time!$J346:$BQ346,Time!O$28,Assets!$J30:$BQ30)</f>
        <v>-783513.93599258631</v>
      </c>
      <c r="P9" s="9">
        <f ca="1">SUMIF(Time!$J346:$BQ346,Time!P$28,Assets!$J30:$BQ30)</f>
        <v>-995996.63008137571</v>
      </c>
      <c r="Q9" s="9">
        <f ca="1">SUMIF(Time!$J346:$BQ346,Time!Q$28,Assets!$J30:$BQ30)</f>
        <v>-1247508.2156888754</v>
      </c>
      <c r="R9" s="9">
        <f ca="1">SUMIF(Time!$J346:$BQ346,Time!R$28,Assets!$J30:$BQ30)</f>
        <v>-1398007.3382996104</v>
      </c>
      <c r="S9" s="9">
        <f ca="1">SUMIF(Time!$J346:$BQ346,Time!S$28,Assets!$J30:$BQ30)</f>
        <v>-1388690.7429198015</v>
      </c>
    </row>
    <row r="10" spans="1:19">
      <c r="E10" s="15" t="str">
        <f>'Working Capital'!E$45</f>
        <v>Debtors</v>
      </c>
      <c r="F10" s="15">
        <f>'Working Capital'!F$45</f>
        <v>0</v>
      </c>
      <c r="G10" s="15" t="str">
        <f>'Working Capital'!G$45</f>
        <v>GBP</v>
      </c>
      <c r="H10" s="9">
        <f>'Working Capital'!H$45</f>
        <v>0</v>
      </c>
      <c r="I10" s="15">
        <f>'Working Capital'!I$45</f>
        <v>0</v>
      </c>
      <c r="J10" s="9">
        <f ca="1">SUMIF(Time!$J346:$BQ346,Time!J$28,'Working Capital'!$J45:$BQ45)</f>
        <v>0</v>
      </c>
      <c r="K10" s="9">
        <f ca="1">SUMIF(Time!$J346:$BQ346,Time!K$28,'Working Capital'!$J45:$BQ45)</f>
        <v>-3.8562575355172157E-10</v>
      </c>
      <c r="L10" s="9">
        <f ca="1">SUMIF(Time!$J346:$BQ346,Time!L$28,'Working Capital'!$J45:$BQ45)</f>
        <v>-6.9849193096160889E-10</v>
      </c>
      <c r="M10" s="9">
        <f ca="1">SUMIF(Time!$J346:$BQ346,Time!M$28,'Working Capital'!$J45:$BQ45)</f>
        <v>2519999.9999999981</v>
      </c>
      <c r="N10" s="9">
        <f ca="1">SUMIF(Time!$J346:$BQ346,Time!N$28,'Working Capital'!$J45:$BQ45)</f>
        <v>1236824.7434224789</v>
      </c>
      <c r="O10" s="9">
        <f ca="1">SUMIF(Time!$J346:$BQ346,Time!O$28,'Working Capital'!$J45:$BQ45)</f>
        <v>6789278.990363691</v>
      </c>
      <c r="P10" s="9">
        <f ca="1">SUMIF(Time!$J346:$BQ346,Time!P$28,'Working Capital'!$J45:$BQ45)</f>
        <v>6232126.5960826166</v>
      </c>
      <c r="Q10" s="9">
        <f ca="1">SUMIF(Time!$J346:$BQ346,Time!Q$28,'Working Capital'!$J45:$BQ45)</f>
        <v>10289934.178493176</v>
      </c>
      <c r="R10" s="9">
        <f ca="1">SUMIF(Time!$J346:$BQ346,Time!R$28,'Working Capital'!$J45:$BQ45)</f>
        <v>16097947.008953694</v>
      </c>
      <c r="S10" s="9">
        <f ca="1">SUMIF(Time!$J346:$BQ346,Time!S$28,'Working Capital'!$J45:$BQ45)</f>
        <v>19634984.398088749</v>
      </c>
    </row>
    <row r="11" spans="1:19">
      <c r="E11" s="15" t="str">
        <f>Financials!E$13</f>
        <v>Cash</v>
      </c>
      <c r="F11" s="15">
        <f>Financials!F$13</f>
        <v>0</v>
      </c>
      <c r="G11" s="15" t="str">
        <f>Financials!G$13</f>
        <v>GBP</v>
      </c>
      <c r="H11" s="9">
        <f>Financials!H$13</f>
        <v>0</v>
      </c>
      <c r="I11" s="15">
        <f>Financials!I$13</f>
        <v>0</v>
      </c>
      <c r="J11" s="9">
        <f ca="1">SUMIF(Time!$J346:$BQ346,Time!J$28,Financials!$J13:$BQ13)</f>
        <v>-321159.79441542737</v>
      </c>
      <c r="K11" s="9">
        <f ca="1">SUMIF(Time!$J346:$BQ346,Time!K$28,Financials!$J13:$BQ13)</f>
        <v>1246437.4488265985</v>
      </c>
      <c r="L11" s="9">
        <f ca="1">SUMIF(Time!$J346:$BQ346,Time!L$28,Financials!$J13:$BQ13)</f>
        <v>2529599.3429272231</v>
      </c>
      <c r="M11" s="9">
        <f ca="1">SUMIF(Time!$J346:$BQ346,Time!M$28,Financials!$J13:$BQ13)</f>
        <v>5773019.245225206</v>
      </c>
      <c r="N11" s="9">
        <f ca="1">SUMIF(Time!$J346:$BQ346,Time!N$28,Financials!$J13:$BQ13)</f>
        <v>11099290.675104339</v>
      </c>
      <c r="O11" s="9">
        <f ca="1">SUMIF(Time!$J346:$BQ346,Time!O$28,Financials!$J13:$BQ13)</f>
        <v>19248519.165587541</v>
      </c>
      <c r="P11" s="9">
        <f ca="1">SUMIF(Time!$J346:$BQ346,Time!P$28,Financials!$J13:$BQ13)</f>
        <v>28429876.657227986</v>
      </c>
      <c r="Q11" s="9">
        <f ca="1">SUMIF(Time!$J346:$BQ346,Time!Q$28,Financials!$J13:$BQ13)</f>
        <v>48421534.225866169</v>
      </c>
      <c r="R11" s="9">
        <f ca="1">SUMIF(Time!$J346:$BQ346,Time!R$28,Financials!$J13:$BQ13)</f>
        <v>68370287.347026542</v>
      </c>
      <c r="S11" s="9">
        <f ca="1">SUMIF(Time!$J346:$BQ346,Time!S$28,Financials!$J13:$BQ13)</f>
        <v>107847639.85822076</v>
      </c>
    </row>
    <row r="12" spans="1:19">
      <c r="E12" s="12" t="s">
        <v>85</v>
      </c>
      <c r="F12" s="28"/>
      <c r="G12" s="12" t="s">
        <v>252</v>
      </c>
      <c r="H12" s="12"/>
      <c r="I12" s="28"/>
      <c r="J12" s="12">
        <f ca="1">SUMIF(Time!$J346:$BQ346,Time!J$28,'Balance Sheet'!$J12:$BQ12)</f>
        <v>-182618.12774876071</v>
      </c>
      <c r="K12" s="12">
        <f ca="1">SUMIF(Time!$J346:$BQ346,Time!K$28,'Balance Sheet'!$J12:$BQ12)</f>
        <v>1479770.7821599315</v>
      </c>
      <c r="L12" s="12">
        <f ca="1">SUMIF(Time!$J346:$BQ346,Time!L$28,'Balance Sheet'!$J12:$BQ12)</f>
        <v>2981682.6762605556</v>
      </c>
      <c r="M12" s="12">
        <f ca="1">SUMIF(Time!$J346:$BQ346,Time!M$28,'Balance Sheet'!$J12:$BQ12)</f>
        <v>8898227.5785585381</v>
      </c>
      <c r="N12" s="12">
        <f ca="1">SUMIF(Time!$J346:$BQ346,Time!N$28,'Balance Sheet'!$J12:$BQ12)</f>
        <v>13004218.69431431</v>
      </c>
      <c r="O12" s="12">
        <f ca="1">SUMIF(Time!$J346:$BQ346,Time!O$28,'Balance Sheet'!$J12:$BQ12)</f>
        <v>26884461.019969221</v>
      </c>
      <c r="P12" s="12">
        <f ca="1">SUMIF(Time!$J346:$BQ346,Time!P$28,'Balance Sheet'!$J12:$BQ12)</f>
        <v>35751924.676733866</v>
      </c>
      <c r="Q12" s="12">
        <f ca="1">SUMIF(Time!$J346:$BQ346,Time!Q$28,'Balance Sheet'!$J12:$BQ12)</f>
        <v>60254145.541195378</v>
      </c>
      <c r="R12" s="12">
        <f ca="1">SUMIF(Time!$J346:$BQ346,Time!R$28,'Balance Sheet'!$J12:$BQ12)</f>
        <v>86312097.603514925</v>
      </c>
      <c r="S12" s="12">
        <f ca="1">SUMIF(Time!$J346:$BQ346,Time!S$28,'Balance Sheet'!$J12:$BQ12)</f>
        <v>129538969.95176193</v>
      </c>
    </row>
    <row r="14" spans="1:19">
      <c r="E14" s="15" t="str">
        <f>Income!E$27</f>
        <v>Deferred Income</v>
      </c>
      <c r="F14" s="15">
        <f>Income!F$27</f>
        <v>0</v>
      </c>
      <c r="G14" s="15" t="str">
        <f>Income!G$27</f>
        <v>GBP</v>
      </c>
      <c r="H14" s="9">
        <f>Income!H$27</f>
        <v>0</v>
      </c>
      <c r="I14" s="15">
        <f>Income!I$27</f>
        <v>0</v>
      </c>
      <c r="J14" s="9">
        <f ca="1">SUMIF(Time!$J346:$BQ346,Time!J$28,Income!$J27:$BQ27)</f>
        <v>0</v>
      </c>
      <c r="K14" s="9">
        <f ca="1">SUMIF(Time!$J346:$BQ346,Time!K$28,Income!$J27:$BQ27)</f>
        <v>1254974.638524916</v>
      </c>
      <c r="L14" s="9">
        <f ca="1">SUMIF(Time!$J346:$BQ346,Time!L$28,Income!$J27:$BQ27)</f>
        <v>1450151.4385354919</v>
      </c>
      <c r="M14" s="9">
        <f ca="1">SUMIF(Time!$J346:$BQ346,Time!M$28,Income!$J27:$BQ27)</f>
        <v>4600151.438535491</v>
      </c>
      <c r="N14" s="9">
        <f ca="1">SUMIF(Time!$J346:$BQ346,Time!N$28,Income!$J27:$BQ27)</f>
        <v>6280467.2619338026</v>
      </c>
      <c r="O14" s="9">
        <f ca="1">SUMIF(Time!$J346:$BQ346,Time!O$28,Income!$J27:$BQ27)</f>
        <v>12557217.152018126</v>
      </c>
      <c r="P14" s="9">
        <f ca="1">SUMIF(Time!$J346:$BQ346,Time!P$28,Income!$J27:$BQ27)</f>
        <v>15212986.389317499</v>
      </c>
      <c r="Q14" s="9">
        <f ca="1">SUMIF(Time!$J346:$BQ346,Time!Q$28,Income!$J27:$BQ27)</f>
        <v>24665367.022437617</v>
      </c>
      <c r="R14" s="9">
        <f ca="1">SUMIF(Time!$J346:$BQ346,Time!R$28,Income!$J27:$BQ27)</f>
        <v>35712085.712547436</v>
      </c>
      <c r="S14" s="9">
        <f ca="1">SUMIF(Time!$J346:$BQ346,Time!S$28,Income!$J27:$BQ27)</f>
        <v>49029641.650374562</v>
      </c>
    </row>
    <row r="15" spans="1:19">
      <c r="E15" s="15" t="str">
        <f>'Working Capital'!E$36</f>
        <v>Creditors</v>
      </c>
      <c r="F15" s="15">
        <f>'Working Capital'!F$36</f>
        <v>0</v>
      </c>
      <c r="G15" s="15" t="str">
        <f>'Working Capital'!G$36</f>
        <v>GBP</v>
      </c>
      <c r="H15" s="9">
        <f>'Working Capital'!H$36</f>
        <v>0</v>
      </c>
      <c r="I15" s="15">
        <f>'Working Capital'!I$36</f>
        <v>0</v>
      </c>
      <c r="J15" s="9">
        <f ca="1">SUMIF(Time!$J346:$BQ346,Time!J$28,'Working Capital'!$J36:$BQ36)</f>
        <v>157500</v>
      </c>
      <c r="K15" s="9">
        <f ca="1">SUMIF(Time!$J346:$BQ346,Time!K$28,'Working Capital'!$J36:$BQ36)</f>
        <v>167999.99999999997</v>
      </c>
      <c r="L15" s="9">
        <f ca="1">SUMIF(Time!$J346:$BQ346,Time!L$28,'Working Capital'!$J36:$BQ36)</f>
        <v>336000</v>
      </c>
      <c r="M15" s="9">
        <f ca="1">SUMIF(Time!$J346:$BQ346,Time!M$28,'Working Capital'!$J36:$BQ36)</f>
        <v>357000.00000000012</v>
      </c>
      <c r="N15" s="9">
        <f ca="1">SUMIF(Time!$J346:$BQ346,Time!N$28,'Working Capital'!$J36:$BQ36)</f>
        <v>378000.00000000006</v>
      </c>
      <c r="O15" s="9">
        <f ca="1">SUMIF(Time!$J346:$BQ346,Time!O$28,'Working Capital'!$J36:$BQ36)</f>
        <v>556500.00000000023</v>
      </c>
      <c r="P15" s="9">
        <f ca="1">SUMIF(Time!$J346:$BQ346,Time!P$28,'Working Capital'!$J36:$BQ36)</f>
        <v>745500.00000000023</v>
      </c>
      <c r="Q15" s="9">
        <f ca="1">SUMIF(Time!$J346:$BQ346,Time!Q$28,'Working Capital'!$J36:$BQ36)</f>
        <v>1102500</v>
      </c>
      <c r="R15" s="9">
        <f ca="1">SUMIF(Time!$J346:$BQ346,Time!R$28,'Working Capital'!$J36:$BQ36)</f>
        <v>1165500.0000000002</v>
      </c>
      <c r="S15" s="9">
        <f ca="1">SUMIF(Time!$J346:$BQ346,Time!S$28,'Working Capital'!$J36:$BQ36)</f>
        <v>1228500.0000000012</v>
      </c>
    </row>
    <row r="16" spans="1:19">
      <c r="E16" s="15" t="str">
        <f>'Supply Chain finance'!E$15</f>
        <v>Supply Chain Finance balance</v>
      </c>
      <c r="F16" s="15">
        <f>'Supply Chain finance'!F$15</f>
        <v>0</v>
      </c>
      <c r="G16" s="15" t="str">
        <f>'Supply Chain finance'!G$15</f>
        <v>GBP</v>
      </c>
      <c r="H16" s="9">
        <f>'Supply Chain finance'!H$15</f>
        <v>0</v>
      </c>
      <c r="I16" s="15">
        <f>'Supply Chain finance'!I$15</f>
        <v>0</v>
      </c>
      <c r="J16" s="9">
        <f ca="1">SUMIF(Time!$J346:$BQ346,Time!J$28,'Supply Chain finance'!$J15:$BQ15)</f>
        <v>0</v>
      </c>
      <c r="K16" s="9">
        <f ca="1">SUMIF(Time!$J346:$BQ346,Time!K$28,'Supply Chain finance'!$J15:$BQ15)</f>
        <v>0</v>
      </c>
      <c r="L16" s="9">
        <f ca="1">SUMIF(Time!$J346:$BQ346,Time!L$28,'Supply Chain finance'!$J15:$BQ15)</f>
        <v>0</v>
      </c>
      <c r="M16" s="9">
        <f ca="1">SUMIF(Time!$J346:$BQ346,Time!M$28,'Supply Chain finance'!$J15:$BQ15)</f>
        <v>0</v>
      </c>
      <c r="N16" s="9">
        <f ca="1">SUMIF(Time!$J346:$BQ346,Time!N$28,'Supply Chain finance'!$J15:$BQ15)</f>
        <v>0</v>
      </c>
      <c r="O16" s="9">
        <f ca="1">SUMIF(Time!$J346:$BQ346,Time!O$28,'Supply Chain finance'!$J15:$BQ15)</f>
        <v>0</v>
      </c>
      <c r="P16" s="9">
        <f ca="1">SUMIF(Time!$J346:$BQ346,Time!P$28,'Supply Chain finance'!$J15:$BQ15)</f>
        <v>0</v>
      </c>
      <c r="Q16" s="9">
        <f ca="1">SUMIF(Time!$J346:$BQ346,Time!Q$28,'Supply Chain finance'!$J15:$BQ15)</f>
        <v>0</v>
      </c>
      <c r="R16" s="9">
        <f ca="1">SUMIF(Time!$J346:$BQ346,Time!R$28,'Supply Chain finance'!$J15:$BQ15)</f>
        <v>0</v>
      </c>
      <c r="S16" s="9">
        <f ca="1">SUMIF(Time!$J346:$BQ346,Time!S$28,'Supply Chain finance'!$J15:$BQ15)</f>
        <v>0</v>
      </c>
    </row>
    <row r="17" spans="5:16384">
      <c r="E17" s="15" t="str">
        <f>'Invoice finance'!E$15</f>
        <v>Invoice finance balance</v>
      </c>
      <c r="F17" s="15">
        <f>'Invoice finance'!F$15</f>
        <v>0</v>
      </c>
      <c r="G17" s="15" t="str">
        <f>'Invoice finance'!G$15</f>
        <v>GBP</v>
      </c>
      <c r="H17" s="9">
        <f>'Invoice finance'!H$15</f>
        <v>0</v>
      </c>
      <c r="I17" s="15">
        <f>'Invoice finance'!I$15</f>
        <v>0</v>
      </c>
      <c r="J17" s="9">
        <f ca="1">SUMIF(Time!$J346:$BQ346,Time!J$28,'Invoice finance'!$J15:$BQ15)</f>
        <v>0</v>
      </c>
      <c r="K17" s="9">
        <f ca="1">SUMIF(Time!$J346:$BQ346,Time!K$28,'Invoice finance'!$J15:$BQ15)</f>
        <v>0</v>
      </c>
      <c r="L17" s="9">
        <f ca="1">SUMIF(Time!$J346:$BQ346,Time!L$28,'Invoice finance'!$J15:$BQ15)</f>
        <v>0</v>
      </c>
      <c r="M17" s="9">
        <f ca="1">SUMIF(Time!$J346:$BQ346,Time!M$28,'Invoice finance'!$J15:$BQ15)</f>
        <v>0</v>
      </c>
      <c r="N17" s="9">
        <f ca="1">SUMIF(Time!$J346:$BQ346,Time!N$28,'Invoice finance'!$J15:$BQ15)</f>
        <v>0</v>
      </c>
      <c r="O17" s="9">
        <f ca="1">SUMIF(Time!$J346:$BQ346,Time!O$28,'Invoice finance'!$J15:$BQ15)</f>
        <v>0</v>
      </c>
      <c r="P17" s="9">
        <f ca="1">SUMIF(Time!$J346:$BQ346,Time!P$28,'Invoice finance'!$J15:$BQ15)</f>
        <v>0</v>
      </c>
      <c r="Q17" s="9">
        <f ca="1">SUMIF(Time!$J346:$BQ346,Time!Q$28,'Invoice finance'!$J15:$BQ15)</f>
        <v>0</v>
      </c>
      <c r="R17" s="9">
        <f ca="1">SUMIF(Time!$J346:$BQ346,Time!R$28,'Invoice finance'!$J15:$BQ15)</f>
        <v>0</v>
      </c>
      <c r="S17" s="9">
        <f ca="1">SUMIF(Time!$J346:$BQ346,Time!S$28,'Invoice finance'!$J15:$BQ15)</f>
        <v>0</v>
      </c>
    </row>
    <row r="18" spans="5:16384">
      <c r="E18" s="15" t="str">
        <f>'Asset Finance'!E$15</f>
        <v>Asset Finance balance</v>
      </c>
      <c r="F18" s="15">
        <f>'Asset Finance'!F$15</f>
        <v>0</v>
      </c>
      <c r="G18" s="15" t="str">
        <f>'Asset Finance'!G$15</f>
        <v>GBP</v>
      </c>
      <c r="H18" s="9">
        <f>'Asset Finance'!H$15</f>
        <v>0</v>
      </c>
      <c r="I18" s="15">
        <f>'Asset Finance'!I$15</f>
        <v>0</v>
      </c>
      <c r="J18" s="9">
        <f ca="1">SUMIF(Time!$J346:$BQ346,Time!J$28,'Asset Finance'!$J15:$BQ15)</f>
        <v>0</v>
      </c>
      <c r="K18" s="9">
        <f ca="1">SUMIF(Time!$J346:$BQ346,Time!K$28,'Asset Finance'!$J15:$BQ15)</f>
        <v>0</v>
      </c>
      <c r="L18" s="9">
        <f ca="1">SUMIF(Time!$J346:$BQ346,Time!L$28,'Asset Finance'!$J15:$BQ15)</f>
        <v>0</v>
      </c>
      <c r="M18" s="9">
        <f ca="1">SUMIF(Time!$J346:$BQ346,Time!M$28,'Asset Finance'!$J15:$BQ15)</f>
        <v>0</v>
      </c>
      <c r="N18" s="9">
        <f ca="1">SUMIF(Time!$J346:$BQ346,Time!N$28,'Asset Finance'!$J15:$BQ15)</f>
        <v>0</v>
      </c>
      <c r="O18" s="9">
        <f ca="1">SUMIF(Time!$J346:$BQ346,Time!O$28,'Asset Finance'!$J15:$BQ15)</f>
        <v>0</v>
      </c>
      <c r="P18" s="9">
        <f ca="1">SUMIF(Time!$J346:$BQ346,Time!P$28,'Asset Finance'!$J15:$BQ15)</f>
        <v>0</v>
      </c>
      <c r="Q18" s="9">
        <f ca="1">SUMIF(Time!$J346:$BQ346,Time!Q$28,'Asset Finance'!$J15:$BQ15)</f>
        <v>0</v>
      </c>
      <c r="R18" s="9">
        <f ca="1">SUMIF(Time!$J346:$BQ346,Time!R$28,'Asset Finance'!$J15:$BQ15)</f>
        <v>0</v>
      </c>
      <c r="S18" s="9">
        <f ca="1">SUMIF(Time!$J346:$BQ346,Time!S$28,'Asset Finance'!$J15:$BQ15)</f>
        <v>0</v>
      </c>
    </row>
    <row r="19" spans="5:16384">
      <c r="E19" s="15" t="str">
        <f>VAT!E$32</f>
        <v>VAT balance</v>
      </c>
      <c r="F19" s="15">
        <f>VAT!F$32</f>
        <v>0</v>
      </c>
      <c r="G19" s="15" t="str">
        <f>VAT!G$32</f>
        <v>GBP</v>
      </c>
      <c r="H19" s="9">
        <f>VAT!H$32</f>
        <v>0</v>
      </c>
      <c r="I19" s="15">
        <f>VAT!I$32</f>
        <v>0</v>
      </c>
      <c r="J19" s="9">
        <f ca="1">SUMIF(Time!$J346:$BQ346,Time!J$28,VAT!$J32:$BQ32)</f>
        <v>-5368.8333215445273</v>
      </c>
      <c r="K19" s="9">
        <f ca="1">SUMIF(Time!$J346:$BQ346,Time!K$28,VAT!$J32:$BQ32)</f>
        <v>-6654.8546194502633</v>
      </c>
      <c r="L19" s="9">
        <f ca="1">SUMIF(Time!$J346:$BQ346,Time!L$28,VAT!$J32:$BQ32)</f>
        <v>-8436.3281311731298</v>
      </c>
      <c r="M19" s="9">
        <f ca="1">SUMIF(Time!$J346:$BQ346,Time!M$28,VAT!$J32:$BQ32)</f>
        <v>374103.91789480631</v>
      </c>
      <c r="N19" s="9">
        <f ca="1">SUMIF(Time!$J346:$BQ346,Time!N$28,VAT!$J32:$BQ32)</f>
        <v>89239.370202294434</v>
      </c>
      <c r="O19" s="9">
        <f ca="1">SUMIF(Time!$J346:$BQ346,Time!O$28,VAT!$J32:$BQ32)</f>
        <v>931970.64477952756</v>
      </c>
      <c r="P19" s="9">
        <f ca="1">SUMIF(Time!$J346:$BQ346,Time!P$28,VAT!$J32:$BQ32)</f>
        <v>252502.08329165448</v>
      </c>
      <c r="Q19" s="9">
        <f ca="1">SUMIF(Time!$J346:$BQ346,Time!Q$28,VAT!$J32:$BQ32)</f>
        <v>791664.24126545433</v>
      </c>
      <c r="R19" s="9">
        <f ca="1">SUMIF(Time!$J346:$BQ346,Time!R$28,VAT!$J32:$BQ32)</f>
        <v>1058612.3086065226</v>
      </c>
      <c r="S19" s="9">
        <f ca="1">SUMIF(Time!$J346:$BQ346,Time!S$28,VAT!$J32:$BQ32)</f>
        <v>1336252.8478529695</v>
      </c>
    </row>
    <row r="20" spans="5:16384">
      <c r="E20" s="15" t="str">
        <f>'Corporation tax'!E$78</f>
        <v>Corporation tax creditor</v>
      </c>
      <c r="F20" s="15">
        <f>'Corporation tax'!F$78</f>
        <v>0</v>
      </c>
      <c r="G20" s="15" t="str">
        <f>'Corporation tax'!G$78</f>
        <v>GBP</v>
      </c>
      <c r="H20" s="9">
        <f>'Corporation tax'!H$78</f>
        <v>0</v>
      </c>
      <c r="I20" s="15">
        <f>'Corporation tax'!I$78</f>
        <v>0</v>
      </c>
      <c r="J20" s="9">
        <f ca="1">SUMIF(Time!$J346:$BQ346,Time!J$28,'Corporation tax'!$J78:$BQ78)</f>
        <v>0</v>
      </c>
      <c r="K20" s="9">
        <f ca="1">SUMIF(Time!$J346:$BQ346,Time!K$28,'Corporation tax'!$J78:$BQ78)</f>
        <v>45223.532984226469</v>
      </c>
      <c r="L20" s="9">
        <f ca="1">SUMIF(Time!$J346:$BQ346,Time!L$28,'Corporation tax'!$J78:$BQ78)</f>
        <v>161231.27243329573</v>
      </c>
      <c r="M20" s="9">
        <f ca="1">SUMIF(Time!$J346:$BQ346,Time!M$28,'Corporation tax'!$J78:$BQ78)</f>
        <v>673207.20368769648</v>
      </c>
      <c r="N20" s="9">
        <f ca="1">SUMIF(Time!$J346:$BQ346,Time!N$28,'Corporation tax'!$J78:$BQ78)</f>
        <v>461272.67628509802</v>
      </c>
      <c r="O20" s="9">
        <f ca="1">SUMIF(Time!$J346:$BQ346,Time!O$28,'Corporation tax'!$J78:$BQ78)</f>
        <v>1847012.990837669</v>
      </c>
      <c r="P20" s="9">
        <f ca="1">SUMIF(Time!$J346:$BQ346,Time!P$28,'Corporation tax'!$J78:$BQ78)</f>
        <v>1081206.9292792981</v>
      </c>
      <c r="Q20" s="9">
        <f ca="1">SUMIF(Time!$J346:$BQ346,Time!Q$28,'Corporation tax'!$J78:$BQ78)</f>
        <v>4031391.4012702624</v>
      </c>
      <c r="R20" s="9">
        <f ca="1">SUMIF(Time!$J346:$BQ346,Time!R$28,'Corporation tax'!$J78:$BQ78)</f>
        <v>2352572.9394531748</v>
      </c>
      <c r="S20" s="9">
        <f ca="1">SUMIF(Time!$J346:$BQ346,Time!S$28,'Corporation tax'!$J78:$BQ78)</f>
        <v>8433811.6241043191</v>
      </c>
    </row>
    <row r="21" spans="5:16384">
      <c r="E21" s="12" t="s">
        <v>222</v>
      </c>
      <c r="F21" s="28"/>
      <c r="G21" s="12" t="s">
        <v>252</v>
      </c>
      <c r="H21" s="12"/>
      <c r="I21" s="28"/>
      <c r="J21" s="12">
        <f ca="1">SUMIF(Time!$J346:$BQ346,Time!J$28,'Balance Sheet'!$J21:$BQ21)</f>
        <v>152131.16667845548</v>
      </c>
      <c r="K21" s="12">
        <f ca="1">SUMIF(Time!$J346:$BQ346,Time!K$28,'Balance Sheet'!$J21:$BQ21)</f>
        <v>1461543.3168896923</v>
      </c>
      <c r="L21" s="12">
        <f ca="1">SUMIF(Time!$J346:$BQ346,Time!L$28,'Balance Sheet'!$J21:$BQ21)</f>
        <v>1938946.3828376145</v>
      </c>
      <c r="M21" s="12">
        <f ca="1">SUMIF(Time!$J346:$BQ346,Time!M$28,'Balance Sheet'!$J21:$BQ21)</f>
        <v>6004462.5601179944</v>
      </c>
      <c r="N21" s="12">
        <f ca="1">SUMIF(Time!$J346:$BQ346,Time!N$28,'Balance Sheet'!$J21:$BQ21)</f>
        <v>7208979.3084211955</v>
      </c>
      <c r="O21" s="12">
        <f ca="1">SUMIF(Time!$J346:$BQ346,Time!O$28,'Balance Sheet'!$J21:$BQ21)</f>
        <v>15892700.787635323</v>
      </c>
      <c r="P21" s="12">
        <f ca="1">SUMIF(Time!$J346:$BQ346,Time!P$28,'Balance Sheet'!$J21:$BQ21)</f>
        <v>17292195.401888452</v>
      </c>
      <c r="Q21" s="12">
        <f ca="1">SUMIF(Time!$J346:$BQ346,Time!Q$28,'Balance Sheet'!$J21:$BQ21)</f>
        <v>30590922.664973333</v>
      </c>
      <c r="R21" s="12">
        <f ca="1">SUMIF(Time!$J346:$BQ346,Time!R$28,'Balance Sheet'!$J21:$BQ21)</f>
        <v>40288770.960607134</v>
      </c>
      <c r="S21" s="12">
        <f ca="1">SUMIF(Time!$J346:$BQ346,Time!S$28,'Balance Sheet'!$J21:$BQ21)</f>
        <v>60028206.12233185</v>
      </c>
    </row>
    <row r="23" spans="5:16384">
      <c r="E23" s="15" t="str">
        <f>Financials!E$24</f>
        <v>Net Assets</v>
      </c>
      <c r="F23" s="15"/>
      <c r="G23" s="15" t="str">
        <f>Financials!G$24</f>
        <v>GBP</v>
      </c>
      <c r="H23" s="9">
        <f>Financials!H$24</f>
        <v>0</v>
      </c>
      <c r="I23" s="15">
        <f>Financials!I$24</f>
        <v>0</v>
      </c>
      <c r="J23" s="16">
        <f ca="1">SUMIF(Time!$J346:$BQ346,Time!J$28,Financials!$J24:$BQ24)</f>
        <v>-334749.29442721617</v>
      </c>
      <c r="K23" s="16">
        <f ca="1">SUMIF(Time!$J346:$BQ346,Time!K$28,Financials!$J24:$BQ24)</f>
        <v>18227.465270239161</v>
      </c>
      <c r="L23" s="16">
        <f ca="1">SUMIF(Time!$J346:$BQ346,Time!L$28,Financials!$J24:$BQ24)</f>
        <v>1042736.2934229411</v>
      </c>
      <c r="M23" s="16">
        <f ca="1">SUMIF(Time!$J346:$BQ346,Time!M$28,Financials!$J24:$BQ24)</f>
        <v>2893765.0184405437</v>
      </c>
      <c r="N23" s="16">
        <f ca="1">SUMIF(Time!$J346:$BQ346,Time!N$28,Financials!$J24:$BQ24)</f>
        <v>5795239.3858931148</v>
      </c>
      <c r="O23" s="16">
        <f ca="1">SUMIF(Time!$J346:$BQ346,Time!O$28,Financials!$J24:$BQ24)</f>
        <v>10991760.232333899</v>
      </c>
      <c r="P23" s="16">
        <f ca="1">SUMIF(Time!$J346:$BQ346,Time!P$28,Financials!$J24:$BQ24)</f>
        <v>18459729.274845414</v>
      </c>
      <c r="Q23" s="16">
        <f ca="1">SUMIF(Time!$J346:$BQ346,Time!Q$28,Financials!$J24:$BQ24)</f>
        <v>29663222.876222044</v>
      </c>
      <c r="R23" s="16">
        <f ca="1">SUMIF(Time!$J346:$BQ346,Time!R$28,Financials!$J24:$BQ24)</f>
        <v>46023326.642907791</v>
      </c>
      <c r="S23" s="16">
        <f ca="1">SUMIF(Time!$J346:$BQ346,Time!S$28,Financials!$J24:$BQ24)</f>
        <v>69510763.829430073</v>
      </c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5" spans="5:16384">
      <c r="E25" s="15" t="str">
        <f>Financials!E$38</f>
        <v>Retained Earnings</v>
      </c>
      <c r="F25" s="15">
        <f>Financials!F$38</f>
        <v>0</v>
      </c>
      <c r="G25" s="15" t="str">
        <f>Financials!G$38</f>
        <v>GBP</v>
      </c>
      <c r="H25" s="9">
        <f>Financials!H$38</f>
        <v>0</v>
      </c>
      <c r="I25" s="15">
        <f>Financials!I$38</f>
        <v>0</v>
      </c>
      <c r="J25" s="9">
        <f ca="1">SUMIF(Time!$J346:$BQ346,Time!J$28,Financials!$J38:$BQ38)</f>
        <v>-334749.29442721617</v>
      </c>
      <c r="K25" s="9">
        <f ca="1">SUMIF(Time!$J346:$BQ346,Time!K$28,Financials!$J38:$BQ38)</f>
        <v>18227.46527023922</v>
      </c>
      <c r="L25" s="9">
        <f ca="1">SUMIF(Time!$J346:$BQ346,Time!L$28,Financials!$J38:$BQ38)</f>
        <v>1042736.2934229415</v>
      </c>
      <c r="M25" s="9">
        <f ca="1">SUMIF(Time!$J346:$BQ346,Time!M$28,Financials!$J38:$BQ38)</f>
        <v>2893765.0184405441</v>
      </c>
      <c r="N25" s="9">
        <f ca="1">SUMIF(Time!$J346:$BQ346,Time!N$28,Financials!$J38:$BQ38)</f>
        <v>5795239.3858931158</v>
      </c>
      <c r="O25" s="9">
        <f ca="1">SUMIF(Time!$J346:$BQ346,Time!O$28,Financials!$J38:$BQ38)</f>
        <v>10991760.232333895</v>
      </c>
      <c r="P25" s="9">
        <f ca="1">SUMIF(Time!$J346:$BQ346,Time!P$28,Financials!$J38:$BQ38)</f>
        <v>18459729.27484541</v>
      </c>
      <c r="Q25" s="9">
        <f ca="1">SUMIF(Time!$J346:$BQ346,Time!Q$28,Financials!$J38:$BQ38)</f>
        <v>29663222.876222033</v>
      </c>
      <c r="R25" s="9">
        <f ca="1">SUMIF(Time!$J346:$BQ346,Time!R$28,Financials!$J38:$BQ38)</f>
        <v>46023326.642907783</v>
      </c>
      <c r="S25" s="9">
        <f ca="1">SUMIF(Time!$J346:$BQ346,Time!S$28,Financials!$J38:$BQ38)</f>
        <v>69510763.829430103</v>
      </c>
    </row>
    <row r="26" spans="5:16384">
      <c r="E26" s="15" t="str">
        <f>Equity!E$13</f>
        <v>Share Capital</v>
      </c>
      <c r="F26" s="15">
        <f>Equity!F$13</f>
        <v>0</v>
      </c>
      <c r="G26" s="15" t="str">
        <f>Equity!G$13</f>
        <v>GBP</v>
      </c>
      <c r="H26" s="9">
        <f>Equity!H$13</f>
        <v>0</v>
      </c>
      <c r="I26" s="15">
        <f>Equity!I$13</f>
        <v>0</v>
      </c>
      <c r="J26" s="9">
        <f>SUMIF(Time!$J346:$BQ346,Time!J$28,Equity!$J13:$BQ13)</f>
        <v>0</v>
      </c>
      <c r="K26" s="9">
        <f>SUMIF(Time!$J346:$BQ346,Time!K$28,Equity!$J13:$BQ13)</f>
        <v>0</v>
      </c>
      <c r="L26" s="9">
        <f>SUMIF(Time!$J346:$BQ346,Time!L$28,Equity!$J13:$BQ13)</f>
        <v>0</v>
      </c>
      <c r="M26" s="9">
        <f>SUMIF(Time!$J346:$BQ346,Time!M$28,Equity!$J13:$BQ13)</f>
        <v>0</v>
      </c>
      <c r="N26" s="9">
        <f>SUMIF(Time!$J346:$BQ346,Time!N$28,Equity!$J13:$BQ13)</f>
        <v>0</v>
      </c>
      <c r="O26" s="9">
        <f>SUMIF(Time!$J346:$BQ346,Time!O$28,Equity!$J13:$BQ13)</f>
        <v>0</v>
      </c>
      <c r="P26" s="9">
        <f>SUMIF(Time!$J346:$BQ346,Time!P$28,Equity!$J13:$BQ13)</f>
        <v>0</v>
      </c>
      <c r="Q26" s="9">
        <f>SUMIF(Time!$J346:$BQ346,Time!Q$28,Equity!$J13:$BQ13)</f>
        <v>0</v>
      </c>
      <c r="R26" s="9">
        <f>SUMIF(Time!$J346:$BQ346,Time!R$28,Equity!$J13:$BQ13)</f>
        <v>0</v>
      </c>
      <c r="S26" s="9">
        <f>SUMIF(Time!$J346:$BQ346,Time!S$28,Equity!$J13:$BQ13)</f>
        <v>0</v>
      </c>
    </row>
    <row r="27" spans="5:16384">
      <c r="E27" s="15" t="str">
        <f>Financials!E$30</f>
        <v>Shareholder Equity</v>
      </c>
      <c r="F27" s="15"/>
      <c r="G27" s="15" t="str">
        <f>Financials!G$30</f>
        <v>GBP</v>
      </c>
      <c r="H27" s="9">
        <f>Financials!H$30</f>
        <v>0</v>
      </c>
      <c r="I27" s="15">
        <f>Financials!I$30</f>
        <v>0</v>
      </c>
      <c r="J27" s="16">
        <f ca="1">SUMIF(Time!$J346:$BQ346,Time!J$28,Financials!$J30:$BQ30)</f>
        <v>-334749.29442721617</v>
      </c>
      <c r="K27" s="16">
        <f ca="1">SUMIF(Time!$J346:$BQ346,Time!K$28,Financials!$J30:$BQ30)</f>
        <v>18227.46527023922</v>
      </c>
      <c r="L27" s="16">
        <f ca="1">SUMIF(Time!$J346:$BQ346,Time!L$28,Financials!$J30:$BQ30)</f>
        <v>1042736.2934229415</v>
      </c>
      <c r="M27" s="16">
        <f ca="1">SUMIF(Time!$J346:$BQ346,Time!M$28,Financials!$J30:$BQ30)</f>
        <v>2893765.0184405441</v>
      </c>
      <c r="N27" s="16">
        <f ca="1">SUMIF(Time!$J346:$BQ346,Time!N$28,Financials!$J30:$BQ30)</f>
        <v>5795239.3858931158</v>
      </c>
      <c r="O27" s="16">
        <f ca="1">SUMIF(Time!$J346:$BQ346,Time!O$28,Financials!$J30:$BQ30)</f>
        <v>10991760.232333895</v>
      </c>
      <c r="P27" s="16">
        <f ca="1">SUMIF(Time!$J346:$BQ346,Time!P$28,Financials!$J30:$BQ30)</f>
        <v>18459729.27484541</v>
      </c>
      <c r="Q27" s="16">
        <f ca="1">SUMIF(Time!$J346:$BQ346,Time!Q$28,Financials!$J30:$BQ30)</f>
        <v>29663222.876222033</v>
      </c>
      <c r="R27" s="16">
        <f ca="1">SUMIF(Time!$J346:$BQ346,Time!R$28,Financials!$J30:$BQ30)</f>
        <v>46023326.642907783</v>
      </c>
      <c r="S27" s="16">
        <f ca="1">SUMIF(Time!$J346:$BQ346,Time!S$28,Financials!$J30:$BQ30)</f>
        <v>69510763.829430103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1:BQ29"/>
  <sheetViews>
    <sheetView topLeftCell="J6" workbookViewId="0">
      <selection activeCell="J6" sqref="J6"/>
    </sheetView>
  </sheetViews>
  <sheetFormatPr defaultColWidth="0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43.7265625" customWidth="1"/>
    <col min="6" max="6" width="20.7265625" customWidth="1"/>
    <col min="7" max="7" width="13.7265625" customWidth="1"/>
    <col min="8" max="8" width="13.7265625" style="2" customWidth="1"/>
    <col min="9" max="9" width="3.7265625" customWidth="1"/>
    <col min="10" max="11" width="12.7265625" customWidth="1"/>
    <col min="12" max="12" width="11.7265625" customWidth="1"/>
    <col min="13" max="14" width="12.7265625" customWidth="1"/>
    <col min="15" max="15" width="11.7265625" customWidth="1"/>
    <col min="16" max="17" width="12.7265625" customWidth="1"/>
    <col min="18" max="18" width="11.7265625" customWidth="1"/>
    <col min="19" max="19" width="12.7265625" customWidth="1"/>
    <col min="20" max="21" width="11.7265625" customWidth="1"/>
    <col min="22" max="23" width="12.7265625" customWidth="1"/>
    <col min="24" max="24" width="11.7265625" customWidth="1"/>
    <col min="25" max="26" width="12.7265625" customWidth="1"/>
    <col min="27" max="27" width="11.7265625" customWidth="1"/>
    <col min="28" max="29" width="12.7265625" customWidth="1"/>
    <col min="30" max="30" width="11.7265625" customWidth="1"/>
    <col min="31" max="31" width="12.7265625" customWidth="1"/>
    <col min="32" max="33" width="11.7265625" customWidth="1"/>
    <col min="34" max="35" width="12.7265625" customWidth="1"/>
    <col min="36" max="36" width="11.7265625" customWidth="1"/>
    <col min="37" max="38" width="12.7265625" customWidth="1"/>
    <col min="39" max="39" width="11.7265625" customWidth="1"/>
    <col min="40" max="41" width="12.7265625" customWidth="1"/>
    <col min="42" max="42" width="11.7265625" customWidth="1"/>
    <col min="43" max="43" width="12.7265625" customWidth="1"/>
    <col min="44" max="45" width="11.7265625" customWidth="1"/>
    <col min="46" max="47" width="12.7265625" customWidth="1"/>
    <col min="48" max="48" width="11.7265625" customWidth="1"/>
    <col min="49" max="50" width="12.7265625" customWidth="1"/>
    <col min="51" max="51" width="11.7265625" customWidth="1"/>
    <col min="52" max="53" width="12.7265625" customWidth="1"/>
    <col min="54" max="54" width="11.7265625" customWidth="1"/>
    <col min="55" max="55" width="12.7265625" customWidth="1"/>
    <col min="56" max="57" width="11.7265625" customWidth="1"/>
    <col min="58" max="59" width="12.7265625" customWidth="1"/>
    <col min="60" max="60" width="11.7265625" customWidth="1"/>
    <col min="61" max="67" width="12.7265625" customWidth="1"/>
    <col min="68" max="68" width="11.7265625" customWidth="1"/>
    <col min="69" max="69" width="12.7265625" customWidth="1"/>
    <col min="70" max="70" width="15.7265625" customWidth="1"/>
  </cols>
  <sheetData>
    <row r="1" spans="1:69" s="53" customFormat="1" ht="25">
      <c r="A1" s="37" t="str">
        <f ca="1">RIGHT(CELL("filename",A1),LEN(CELL("filename",A1))-SEARCH("]",CELL("filename",A1)))</f>
        <v>Cashflow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69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69" s="2" customFormat="1" ht="13">
      <c r="A6" s="22"/>
      <c r="B6" s="22"/>
      <c r="C6" s="40"/>
      <c r="D6" s="54"/>
      <c r="F6" s="22"/>
      <c r="G6" s="22"/>
      <c r="H6" s="22"/>
    </row>
    <row r="8" spans="1:69">
      <c r="A8"/>
      <c r="E8" s="15" t="str">
        <f>'Working Capital'!E$22</f>
        <v>Cash in from Sales</v>
      </c>
      <c r="F8" s="15">
        <f>'Working Capital'!F$22</f>
        <v>0</v>
      </c>
      <c r="G8" s="15" t="str">
        <f>'Working Capital'!G$22</f>
        <v>GBP</v>
      </c>
      <c r="H8" s="9">
        <f ca="1">'Working Capital'!H$22</f>
        <v>167177203.61119482</v>
      </c>
      <c r="I8" s="15">
        <f>'Working Capital'!I$22</f>
        <v>0</v>
      </c>
      <c r="J8" s="9">
        <f ca="1">'Working Capital'!J$22</f>
        <v>0</v>
      </c>
      <c r="K8" s="9">
        <f ca="1">'Working Capital'!K$22</f>
        <v>0</v>
      </c>
      <c r="L8" s="9">
        <f ca="1">'Working Capital'!L$22</f>
        <v>0</v>
      </c>
      <c r="M8" s="9">
        <f ca="1">'Working Capital'!M$22</f>
        <v>0</v>
      </c>
      <c r="N8" s="9">
        <f ca="1">'Working Capital'!N$22</f>
        <v>0</v>
      </c>
      <c r="O8" s="9">
        <f ca="1">'Working Capital'!O$22</f>
        <v>0</v>
      </c>
      <c r="P8" s="9">
        <f ca="1">'Working Capital'!P$22</f>
        <v>0</v>
      </c>
      <c r="Q8" s="9">
        <f ca="1">'Working Capital'!Q$22</f>
        <v>0</v>
      </c>
      <c r="R8" s="9">
        <f ca="1">'Working Capital'!R$22</f>
        <v>0</v>
      </c>
      <c r="S8" s="9">
        <f ca="1">'Working Capital'!S$22</f>
        <v>2115007.122900594</v>
      </c>
      <c r="T8" s="9">
        <f ca="1">'Working Capital'!T$22</f>
        <v>378350.95944001654</v>
      </c>
      <c r="U8" s="9">
        <f ca="1">'Working Capital'!U$22</f>
        <v>26641.917659389357</v>
      </c>
      <c r="V8" s="9">
        <f ca="1">'Working Capital'!V$22</f>
        <v>0</v>
      </c>
      <c r="W8" s="9">
        <f ca="1">'Working Capital'!W$22</f>
        <v>0</v>
      </c>
      <c r="X8" s="9">
        <f ca="1">'Working Capital'!X$22</f>
        <v>0</v>
      </c>
      <c r="Y8" s="9">
        <f ca="1">'Working Capital'!Y$22</f>
        <v>2229454.0798477093</v>
      </c>
      <c r="Z8" s="9">
        <f ca="1">'Working Capital'!Z$22</f>
        <v>290545.92015229096</v>
      </c>
      <c r="AA8" s="9">
        <f ca="1">'Working Capital'!AA$22</f>
        <v>0</v>
      </c>
      <c r="AB8" s="9">
        <f ca="1">'Working Capital'!AB$22</f>
        <v>0</v>
      </c>
      <c r="AC8" s="9">
        <f ca="1">'Working Capital'!AC$22</f>
        <v>0</v>
      </c>
      <c r="AD8" s="9">
        <f ca="1">'Working Capital'!AD$22</f>
        <v>0</v>
      </c>
      <c r="AE8" s="9">
        <f ca="1">'Working Capital'!AE$22</f>
        <v>4635007.122900594</v>
      </c>
      <c r="AF8" s="9">
        <f ca="1">'Working Capital'!AF$22</f>
        <v>378350.95944001654</v>
      </c>
      <c r="AG8" s="9">
        <f ca="1">'Working Capital'!AG$22</f>
        <v>26641.917659389357</v>
      </c>
      <c r="AH8" s="9">
        <f ca="1">'Working Capital'!AH$22</f>
        <v>0</v>
      </c>
      <c r="AI8" s="9">
        <f ca="1">'Working Capital'!AI$22</f>
        <v>2520000</v>
      </c>
      <c r="AJ8" s="9">
        <f ca="1">'Working Capital'!AJ$22</f>
        <v>0</v>
      </c>
      <c r="AK8" s="9">
        <f ca="1">'Working Capital'!AK$22</f>
        <v>2733454.0798477093</v>
      </c>
      <c r="AL8" s="9">
        <f ca="1">'Working Capital'!AL$22</f>
        <v>825107.16245846951</v>
      </c>
      <c r="AM8" s="9">
        <f ca="1">'Working Capital'!AM$22</f>
        <v>3085899.9544892567</v>
      </c>
      <c r="AN8" s="9">
        <f ca="1">'Working Capital'!AN$22</f>
        <v>600214.64819997398</v>
      </c>
      <c r="AO8" s="9">
        <f ca="1">'Working Capital'!AO$22</f>
        <v>636610.09522250784</v>
      </c>
      <c r="AP8" s="9">
        <f ca="1">'Working Capital'!AP$22</f>
        <v>3193931.4327383935</v>
      </c>
      <c r="AQ8" s="9">
        <f ca="1">'Working Capital'!AQ$22</f>
        <v>3234796.8728448781</v>
      </c>
      <c r="AR8" s="9">
        <f ca="1">'Working Capital'!AR$22</f>
        <v>3276701.9188800333</v>
      </c>
      <c r="AS8" s="9">
        <f ca="1">'Working Capital'!AS$22</f>
        <v>802586.34486503876</v>
      </c>
      <c r="AT8" s="9">
        <f ca="1">'Working Capital'!AT$22</f>
        <v>851253.08247823431</v>
      </c>
      <c r="AU8" s="9">
        <f ca="1">'Working Capital'!AU$22</f>
        <v>5938025.9078854611</v>
      </c>
      <c r="AV8" s="9">
        <f ca="1">'Working Capital'!AV$22</f>
        <v>952326.6597854615</v>
      </c>
      <c r="AW8" s="9">
        <f ca="1">'Working Capital'!AW$22</f>
        <v>1512000</v>
      </c>
      <c r="AX8" s="9">
        <f ca="1">'Working Capital'!AX$22</f>
        <v>4124611.7901749071</v>
      </c>
      <c r="AY8" s="9">
        <f ca="1">'Working Capital'!AY$22</f>
        <v>4218594.0537811257</v>
      </c>
      <c r="AZ8" s="9">
        <f ca="1">'Working Capital'!AZ$22</f>
        <v>4321495.6089445259</v>
      </c>
      <c r="BA8" s="9">
        <f ca="1">'Working Capital'!BA$22</f>
        <v>1910630.9871380979</v>
      </c>
      <c r="BB8" s="9">
        <f ca="1">'Working Capital'!BB$22</f>
        <v>7062536.8322885334</v>
      </c>
      <c r="BC8" s="9">
        <f ca="1">'Working Capital'!BC$22</f>
        <v>4665062.9888683474</v>
      </c>
      <c r="BD8" s="9">
        <f ca="1">'Working Capital'!BD$22</f>
        <v>4790699.5456871251</v>
      </c>
      <c r="BE8" s="9">
        <f ca="1">'Working Capital'!BE$22</f>
        <v>4929108.5195189901</v>
      </c>
      <c r="BF8" s="9">
        <f ca="1">'Working Capital'!BF$22</f>
        <v>5075099.0395485163</v>
      </c>
      <c r="BG8" s="9">
        <f ca="1">'Working Capital'!BG$22</f>
        <v>5214835.1389446659</v>
      </c>
      <c r="BH8" s="9">
        <f ca="1">'Working Capital'!BH$22</f>
        <v>5377987.3423877656</v>
      </c>
      <c r="BI8" s="9">
        <f ca="1">'Working Capital'!BI$22</f>
        <v>5998875.3893117439</v>
      </c>
      <c r="BJ8" s="9">
        <f ca="1">'Working Capital'!BJ$22</f>
        <v>8730638.4384846445</v>
      </c>
      <c r="BK8" s="9">
        <f ca="1">'Working Capital'!BK$22</f>
        <v>6426796.5170864165</v>
      </c>
      <c r="BL8" s="9">
        <f ca="1">'Working Capital'!BL$22</f>
        <v>9183468.6732587721</v>
      </c>
      <c r="BM8" s="9">
        <f ca="1">'Working Capital'!BM$22</f>
        <v>6914478.3356949268</v>
      </c>
      <c r="BN8" s="9">
        <f ca="1">'Working Capital'!BN$22</f>
        <v>9691859.8262239788</v>
      </c>
      <c r="BO8" s="9">
        <f ca="1">'Working Capital'!BO$22</f>
        <v>9973667.6254992504</v>
      </c>
      <c r="BP8" s="9">
        <f ca="1">'Working Capital'!BP$22</f>
        <v>7742629.0574945863</v>
      </c>
      <c r="BQ8" s="9">
        <f ca="1">'Working Capital'!BQ$22</f>
        <v>10581219.741162475</v>
      </c>
    </row>
    <row r="9" spans="1:69">
      <c r="E9" s="15" t="str">
        <f>'Working Capital'!E$52</f>
        <v xml:space="preserve">Cash out on Operating Expense </v>
      </c>
      <c r="F9" s="15">
        <f>'Working Capital'!F$52</f>
        <v>0</v>
      </c>
      <c r="G9" s="15" t="str">
        <f>'Working Capital'!G$52</f>
        <v>GBP</v>
      </c>
      <c r="H9" s="9">
        <f ca="1">'Working Capital'!H$52</f>
        <v>-16608799.925545277</v>
      </c>
      <c r="I9" s="15">
        <f>'Working Capital'!I$52</f>
        <v>0</v>
      </c>
      <c r="J9" s="9">
        <f ca="1">'Working Capital'!J$52</f>
        <v>-50600</v>
      </c>
      <c r="K9" s="9">
        <f ca="1">'Working Capital'!K$52</f>
        <v>-52000.723605699852</v>
      </c>
      <c r="L9" s="9">
        <f ca="1">'Working Capital'!L$52</f>
        <v>-53437.081247424263</v>
      </c>
      <c r="M9" s="9">
        <f ca="1">'Working Capital'!M$52</f>
        <v>-55678.480578978881</v>
      </c>
      <c r="N9" s="9">
        <f ca="1">'Working Capital'!N$52</f>
        <v>-57346.605234178351</v>
      </c>
      <c r="O9" s="9">
        <f ca="1">'Working Capital'!O$52</f>
        <v>-59057.166536989782</v>
      </c>
      <c r="P9" s="9">
        <f ca="1">'Working Capital'!P$52</f>
        <v>-61615.065969559735</v>
      </c>
      <c r="Q9" s="9">
        <f ca="1">'Working Capital'!Q$52</f>
        <v>-63535.713912837666</v>
      </c>
      <c r="R9" s="9">
        <f ca="1">'Working Capital'!R$52</f>
        <v>-65638.750103817103</v>
      </c>
      <c r="S9" s="9">
        <f ca="1">'Working Capital'!S$52</f>
        <v>-68570.861854038318</v>
      </c>
      <c r="T9" s="9">
        <f ca="1">'Working Capital'!T$52</f>
        <v>-70714.616351869583</v>
      </c>
      <c r="U9" s="9">
        <f ca="1">'Working Capital'!U$52</f>
        <v>-73203.400813952903</v>
      </c>
      <c r="V9" s="9">
        <f ca="1">'Working Capital'!V$52</f>
        <v>-76450</v>
      </c>
      <c r="W9" s="9">
        <f ca="1">'Working Capital'!W$52</f>
        <v>-79293.983443983379</v>
      </c>
      <c r="X9" s="9">
        <f ca="1">'Working Capital'!X$52</f>
        <v>-82165.146217544039</v>
      </c>
      <c r="Y9" s="9">
        <f ca="1">'Working Capital'!Y$52</f>
        <v>-86047.239330981596</v>
      </c>
      <c r="Z9" s="9">
        <f ca="1">'Working Capital'!Z$52</f>
        <v>-89381.152842987532</v>
      </c>
      <c r="AA9" s="9">
        <f ca="1">'Working Capital'!AA$52</f>
        <v>-92799.609442904417</v>
      </c>
      <c r="AB9" s="9">
        <f ca="1">'Working Capital'!AB$52</f>
        <v>-97294.812715733482</v>
      </c>
      <c r="AC9" s="9">
        <f ca="1">'Working Capital'!AC$52</f>
        <v>-101132.50695998287</v>
      </c>
      <c r="AD9" s="9">
        <f ca="1">'Working Capital'!AD$52</f>
        <v>-105373.21540296389</v>
      </c>
      <c r="AE9" s="9">
        <f ca="1">'Working Capital'!AE$52</f>
        <v>-110607.06157024635</v>
      </c>
      <c r="AF9" s="9">
        <f ca="1">'Working Capital'!AF$52</f>
        <v>-114867.87829473858</v>
      </c>
      <c r="AG9" s="9">
        <f ca="1">'Working Capital'!AG$52</f>
        <v>-119856.90315713073</v>
      </c>
      <c r="AH9" s="9">
        <f ca="1">'Working Capital'!AH$52</f>
        <v>-146526.34912459942</v>
      </c>
      <c r="AI9" s="9">
        <f ca="1">'Working Capital'!AI$52</f>
        <v>-153388.17210104069</v>
      </c>
      <c r="AJ9" s="9">
        <f ca="1">'Working Capital'!AJ$52</f>
        <v>-160424.25459672793</v>
      </c>
      <c r="AK9" s="9">
        <f ca="1">'Working Capital'!AK$52</f>
        <v>-168936.54461704276</v>
      </c>
      <c r="AL9" s="9">
        <f ca="1">'Working Capital'!AL$52</f>
        <v>-177107.24063336066</v>
      </c>
      <c r="AM9" s="9">
        <f ca="1">'Working Capital'!AM$52</f>
        <v>-185485.43568269192</v>
      </c>
      <c r="AN9" s="9">
        <f ca="1">'Working Capital'!AN$52</f>
        <v>-195486.86136317009</v>
      </c>
      <c r="AO9" s="9">
        <f ca="1">'Working Capital'!AO$52</f>
        <v>-204893.23275204026</v>
      </c>
      <c r="AP9" s="9">
        <f ca="1">'Working Capital'!AP$52</f>
        <v>-215254.59731050421</v>
      </c>
      <c r="AQ9" s="9">
        <f ca="1">'Working Capital'!AQ$52</f>
        <v>-227033.94502030418</v>
      </c>
      <c r="AR9" s="9">
        <f ca="1">'Working Capital'!AR$52</f>
        <v>-237485.27892457432</v>
      </c>
      <c r="AS9" s="9">
        <f ca="1">'Working Capital'!AS$52</f>
        <v>-249703.73854854278</v>
      </c>
      <c r="AT9" s="9">
        <f ca="1">'Working Capital'!AT$52</f>
        <v>-263072.58397971501</v>
      </c>
      <c r="AU9" s="9">
        <f ca="1">'Working Capital'!AU$52</f>
        <v>-276835.37407347193</v>
      </c>
      <c r="AV9" s="9">
        <f ca="1">'Working Capital'!AV$52</f>
        <v>-290907.1768290163</v>
      </c>
      <c r="AW9" s="9">
        <f ca="1">'Working Capital'!AW$52</f>
        <v>-307203.9454318725</v>
      </c>
      <c r="AX9" s="9">
        <f ca="1">'Working Capital'!AX$52</f>
        <v>-323544.79234598787</v>
      </c>
      <c r="AY9" s="9">
        <f ca="1">'Working Capital'!AY$52</f>
        <v>-340300.56021164847</v>
      </c>
      <c r="AZ9" s="9">
        <f ca="1">'Working Capital'!AZ$52</f>
        <v>-359557.6405185723</v>
      </c>
      <c r="BA9" s="9">
        <f ca="1">'Working Capital'!BA$52</f>
        <v>-378369.54257691785</v>
      </c>
      <c r="BB9" s="9">
        <f ca="1">'Working Capital'!BB$52</f>
        <v>-399104.47971558699</v>
      </c>
      <c r="BC9" s="9">
        <f ca="1">'Working Capital'!BC$52</f>
        <v>-421897.56996647298</v>
      </c>
      <c r="BD9" s="9">
        <f ca="1">'Working Capital'!BD$52</f>
        <v>-442776.60014628631</v>
      </c>
      <c r="BE9" s="9">
        <f ca="1">'Working Capital'!BE$52</f>
        <v>-467224.43414522201</v>
      </c>
      <c r="BF9" s="9">
        <f ca="1">'Working Capital'!BF$52</f>
        <v>-493217.78772715008</v>
      </c>
      <c r="BG9" s="9">
        <f ca="1">'Working Capital'!BG$52</f>
        <v>-520666.28599284997</v>
      </c>
      <c r="BH9" s="9">
        <f ca="1">'Working Capital'!BH$52</f>
        <v>-548812.06506456423</v>
      </c>
      <c r="BI9" s="9">
        <f ca="1">'Working Capital'!BI$52</f>
        <v>-580607.98944408761</v>
      </c>
      <c r="BJ9" s="9">
        <f ca="1">'Working Capital'!BJ$52</f>
        <v>-613292.95310492406</v>
      </c>
      <c r="BK9" s="9">
        <f ca="1">'Working Capital'!BK$52</f>
        <v>-646808.22076895298</v>
      </c>
      <c r="BL9" s="9">
        <f ca="1">'Working Capital'!BL$52</f>
        <v>-684507.09840851917</v>
      </c>
      <c r="BM9" s="9">
        <f ca="1">'Working Capital'!BM$52</f>
        <v>-722135.9438568044</v>
      </c>
      <c r="BN9" s="9">
        <f ca="1">'Working Capital'!BN$52</f>
        <v>-762697.39166037564</v>
      </c>
      <c r="BO9" s="9">
        <f ca="1">'Working Capital'!BO$52</f>
        <v>-807363.99157833657</v>
      </c>
      <c r="BP9" s="9">
        <f ca="1">'Working Capital'!BP$52</f>
        <v>-850304.48729419091</v>
      </c>
      <c r="BQ9" s="9">
        <f ca="1">'Working Capital'!BQ$52</f>
        <v>-899197.38444061228</v>
      </c>
    </row>
    <row r="10" spans="1:69">
      <c r="E10" s="15" t="str">
        <f>VAT!E$38</f>
        <v xml:space="preserve">VAT paid </v>
      </c>
      <c r="F10" s="15">
        <f>VAT!F$38</f>
        <v>0</v>
      </c>
      <c r="G10" s="15" t="str">
        <f>VAT!G$38</f>
        <v>GBP</v>
      </c>
      <c r="H10" s="9">
        <f ca="1">VAT!H$38</f>
        <v>-27134220.918038663</v>
      </c>
      <c r="I10" s="15">
        <f>VAT!I$38</f>
        <v>0</v>
      </c>
      <c r="J10" s="9">
        <f ca="1">VAT!J$38</f>
        <v>0</v>
      </c>
      <c r="K10" s="9">
        <f ca="1">VAT!K$38</f>
        <v>0</v>
      </c>
      <c r="L10" s="9">
        <f ca="1">VAT!L$38</f>
        <v>44327.338509609079</v>
      </c>
      <c r="M10" s="9">
        <f ca="1">VAT!M$38</f>
        <v>0</v>
      </c>
      <c r="N10" s="9">
        <f ca="1">VAT!N$38</f>
        <v>0</v>
      </c>
      <c r="O10" s="9">
        <f ca="1">VAT!O$38</f>
        <v>15132.924278234681</v>
      </c>
      <c r="P10" s="9">
        <f ca="1">VAT!P$38</f>
        <v>0</v>
      </c>
      <c r="Q10" s="9">
        <f ca="1">VAT!Q$38</f>
        <v>0</v>
      </c>
      <c r="R10" s="9">
        <f ca="1">VAT!R$38</f>
        <v>-300755.010202882</v>
      </c>
      <c r="S10" s="9">
        <f ca="1">VAT!S$38</f>
        <v>0</v>
      </c>
      <c r="T10" s="9">
        <f ca="1">VAT!T$38</f>
        <v>0</v>
      </c>
      <c r="U10" s="9">
        <f ca="1">VAT!U$38</f>
        <v>-48869.337549016898</v>
      </c>
      <c r="V10" s="9">
        <f ca="1">VAT!V$38</f>
        <v>0</v>
      </c>
      <c r="W10" s="9">
        <f ca="1">VAT!W$38</f>
        <v>0</v>
      </c>
      <c r="X10" s="9">
        <f ca="1">VAT!X$38</f>
        <v>-315762.28140571486</v>
      </c>
      <c r="Y10" s="9">
        <f ca="1">VAT!Y$38</f>
        <v>0</v>
      </c>
      <c r="Z10" s="9">
        <f ca="1">VAT!Z$38</f>
        <v>0</v>
      </c>
      <c r="AA10" s="9">
        <f ca="1">VAT!AA$38</f>
        <v>9993.2743738466306</v>
      </c>
      <c r="AB10" s="9">
        <f ca="1">VAT!AB$38</f>
        <v>0</v>
      </c>
      <c r="AC10" s="9">
        <f ca="1">VAT!AC$38</f>
        <v>0</v>
      </c>
      <c r="AD10" s="9">
        <f ca="1">VAT!AD$38</f>
        <v>-746026.01177567896</v>
      </c>
      <c r="AE10" s="9">
        <f ca="1">VAT!AE$38</f>
        <v>0</v>
      </c>
      <c r="AF10" s="9">
        <f ca="1">VAT!AF$38</f>
        <v>0</v>
      </c>
      <c r="AG10" s="9">
        <f ca="1">VAT!AG$38</f>
        <v>-2421.7078255419929</v>
      </c>
      <c r="AH10" s="9">
        <f ca="1">VAT!AH$38</f>
        <v>0</v>
      </c>
      <c r="AI10" s="9">
        <f ca="1">VAT!AI$38</f>
        <v>0</v>
      </c>
      <c r="AJ10" s="9">
        <f ca="1">VAT!AJ$38</f>
        <v>-767414.64139436628</v>
      </c>
      <c r="AK10" s="9">
        <f ca="1">VAT!AK$38</f>
        <v>0</v>
      </c>
      <c r="AL10" s="9">
        <f ca="1">VAT!AL$38</f>
        <v>0</v>
      </c>
      <c r="AM10" s="9">
        <f ca="1">VAT!AM$38</f>
        <v>-670827.74511427153</v>
      </c>
      <c r="AN10" s="9">
        <f ca="1">VAT!AN$38</f>
        <v>0</v>
      </c>
      <c r="AO10" s="9">
        <f ca="1">VAT!AO$38</f>
        <v>0</v>
      </c>
      <c r="AP10" s="9">
        <f ca="1">VAT!AP$38</f>
        <v>-1089295.8974253964</v>
      </c>
      <c r="AQ10" s="9">
        <f ca="1">VAT!AQ$38</f>
        <v>0</v>
      </c>
      <c r="AR10" s="9">
        <f ca="1">VAT!AR$38</f>
        <v>0</v>
      </c>
      <c r="AS10" s="9">
        <f ca="1">VAT!AS$38</f>
        <v>-724959.27092309203</v>
      </c>
      <c r="AT10" s="9">
        <f ca="1">VAT!AT$38</f>
        <v>0</v>
      </c>
      <c r="AU10" s="9">
        <f ca="1">VAT!AU$38</f>
        <v>0</v>
      </c>
      <c r="AV10" s="9">
        <f ca="1">VAT!AV$38</f>
        <v>-1258609.2131025724</v>
      </c>
      <c r="AW10" s="9">
        <f ca="1">VAT!AW$38</f>
        <v>0</v>
      </c>
      <c r="AX10" s="9">
        <f ca="1">VAT!AX$38</f>
        <v>0</v>
      </c>
      <c r="AY10" s="9">
        <f ca="1">VAT!AY$38</f>
        <v>-1956996.6741555287</v>
      </c>
      <c r="AZ10" s="9">
        <f ca="1">VAT!AZ$38</f>
        <v>0</v>
      </c>
      <c r="BA10" s="9">
        <f ca="1">VAT!BA$38</f>
        <v>0</v>
      </c>
      <c r="BB10" s="9">
        <f ca="1">VAT!BB$38</f>
        <v>-2070017.7641121505</v>
      </c>
      <c r="BC10" s="9">
        <f ca="1">VAT!BC$38</f>
        <v>0</v>
      </c>
      <c r="BD10" s="9">
        <f ca="1">VAT!BD$38</f>
        <v>0</v>
      </c>
      <c r="BE10" s="9">
        <f ca="1">VAT!BE$38</f>
        <v>-2245928.8826262252</v>
      </c>
      <c r="BF10" s="9">
        <f ca="1">VAT!BF$38</f>
        <v>0</v>
      </c>
      <c r="BG10" s="9">
        <f ca="1">VAT!BG$38</f>
        <v>0</v>
      </c>
      <c r="BH10" s="9">
        <f ca="1">VAT!BH$38</f>
        <v>-2525636.7504529487</v>
      </c>
      <c r="BI10" s="9">
        <f ca="1">VAT!BI$38</f>
        <v>0</v>
      </c>
      <c r="BJ10" s="9">
        <f ca="1">VAT!BJ$38</f>
        <v>0</v>
      </c>
      <c r="BK10" s="9">
        <f ca="1">VAT!BK$38</f>
        <v>-3793388.8162340415</v>
      </c>
      <c r="BL10" s="9">
        <f ca="1">VAT!BL$38</f>
        <v>0</v>
      </c>
      <c r="BM10" s="9">
        <f ca="1">VAT!BM$38</f>
        <v>0</v>
      </c>
      <c r="BN10" s="9">
        <f ca="1">VAT!BN$38</f>
        <v>-4138323.577021122</v>
      </c>
      <c r="BO10" s="9">
        <f ca="1">VAT!BO$38</f>
        <v>0</v>
      </c>
      <c r="BP10" s="9">
        <f ca="1">VAT!BP$38</f>
        <v>0</v>
      </c>
      <c r="BQ10" s="9">
        <f ca="1">VAT!BQ$38</f>
        <v>-4548440.8738798015</v>
      </c>
    </row>
    <row r="11" spans="1:69">
      <c r="E11" s="15" t="str">
        <f>'Corporation tax'!E$69</f>
        <v xml:space="preserve">Corporation tax paid </v>
      </c>
      <c r="F11" s="15">
        <f>'Corporation tax'!F$69</f>
        <v>0</v>
      </c>
      <c r="G11" s="15" t="str">
        <f>'Corporation tax'!G$69</f>
        <v>GBP</v>
      </c>
      <c r="H11" s="9">
        <f ca="1">'Corporation tax'!H$69</f>
        <v>-9885042.9093900993</v>
      </c>
      <c r="I11" s="15">
        <f>'Corporation tax'!I$69</f>
        <v>0</v>
      </c>
      <c r="J11" s="9">
        <f>'Corporation tax'!J$69</f>
        <v>0</v>
      </c>
      <c r="K11" s="9">
        <f ca="1">'Corporation tax'!K$69</f>
        <v>0</v>
      </c>
      <c r="L11" s="9">
        <f ca="1">'Corporation tax'!L$69</f>
        <v>0</v>
      </c>
      <c r="M11" s="9">
        <f ca="1">'Corporation tax'!M$69</f>
        <v>0</v>
      </c>
      <c r="N11" s="9">
        <f ca="1">'Corporation tax'!N$69</f>
        <v>0</v>
      </c>
      <c r="O11" s="9">
        <f ca="1">'Corporation tax'!O$69</f>
        <v>0</v>
      </c>
      <c r="P11" s="9">
        <f ca="1">'Corporation tax'!P$69</f>
        <v>0</v>
      </c>
      <c r="Q11" s="9">
        <f ca="1">'Corporation tax'!Q$69</f>
        <v>0</v>
      </c>
      <c r="R11" s="9">
        <f ca="1">'Corporation tax'!R$69</f>
        <v>0</v>
      </c>
      <c r="S11" s="9">
        <f ca="1">'Corporation tax'!S$69</f>
        <v>0</v>
      </c>
      <c r="T11" s="9">
        <f ca="1">'Corporation tax'!T$69</f>
        <v>0</v>
      </c>
      <c r="U11" s="9">
        <f ca="1">'Corporation tax'!U$69</f>
        <v>0</v>
      </c>
      <c r="V11" s="9">
        <f ca="1">'Corporation tax'!V$69</f>
        <v>0</v>
      </c>
      <c r="W11" s="9">
        <f ca="1">'Corporation tax'!W$69</f>
        <v>0</v>
      </c>
      <c r="X11" s="9">
        <f ca="1">'Corporation tax'!X$69</f>
        <v>0</v>
      </c>
      <c r="Y11" s="9">
        <f ca="1">'Corporation tax'!Y$69</f>
        <v>-172931.96758910635</v>
      </c>
      <c r="Z11" s="9">
        <f ca="1">'Corporation tax'!Z$69</f>
        <v>0</v>
      </c>
      <c r="AA11" s="9">
        <f ca="1">'Corporation tax'!AA$69</f>
        <v>0</v>
      </c>
      <c r="AB11" s="9">
        <f ca="1">'Corporation tax'!AB$69</f>
        <v>0</v>
      </c>
      <c r="AC11" s="9">
        <f ca="1">'Corporation tax'!AC$69</f>
        <v>0</v>
      </c>
      <c r="AD11" s="9">
        <f ca="1">'Corporation tax'!AD$69</f>
        <v>0</v>
      </c>
      <c r="AE11" s="9">
        <f ca="1">'Corporation tax'!AE$69</f>
        <v>0</v>
      </c>
      <c r="AF11" s="9">
        <f ca="1">'Corporation tax'!AF$69</f>
        <v>0</v>
      </c>
      <c r="AG11" s="9">
        <f ca="1">'Corporation tax'!AG$69</f>
        <v>0</v>
      </c>
      <c r="AH11" s="9">
        <f ca="1">'Corporation tax'!AH$69</f>
        <v>0</v>
      </c>
      <c r="AI11" s="9">
        <f ca="1">'Corporation tax'!AI$69</f>
        <v>0</v>
      </c>
      <c r="AJ11" s="9">
        <f ca="1">'Corporation tax'!AJ$69</f>
        <v>0</v>
      </c>
      <c r="AK11" s="9">
        <f ca="1">'Corporation tax'!AK$69</f>
        <v>-1009079.3836522016</v>
      </c>
      <c r="AL11" s="9">
        <f ca="1">'Corporation tax'!AL$69</f>
        <v>0</v>
      </c>
      <c r="AM11" s="9">
        <f ca="1">'Corporation tax'!AM$69</f>
        <v>0</v>
      </c>
      <c r="AN11" s="9">
        <f ca="1">'Corporation tax'!AN$69</f>
        <v>0</v>
      </c>
      <c r="AO11" s="9">
        <f ca="1">'Corporation tax'!AO$69</f>
        <v>0</v>
      </c>
      <c r="AP11" s="9">
        <f ca="1">'Corporation tax'!AP$69</f>
        <v>0</v>
      </c>
      <c r="AQ11" s="9">
        <f ca="1">'Corporation tax'!AQ$69</f>
        <v>0</v>
      </c>
      <c r="AR11" s="9">
        <f ca="1">'Corporation tax'!AR$69</f>
        <v>0</v>
      </c>
      <c r="AS11" s="9">
        <f ca="1">'Corporation tax'!AS$69</f>
        <v>0</v>
      </c>
      <c r="AT11" s="9">
        <f ca="1">'Corporation tax'!AT$69</f>
        <v>0</v>
      </c>
      <c r="AU11" s="9">
        <f ca="1">'Corporation tax'!AU$69</f>
        <v>0</v>
      </c>
      <c r="AV11" s="9">
        <f ca="1">'Corporation tax'!AV$69</f>
        <v>0</v>
      </c>
      <c r="AW11" s="9">
        <f ca="1">'Corporation tax'!AW$69</f>
        <v>-2746983.6823349316</v>
      </c>
      <c r="AX11" s="9">
        <f ca="1">'Corporation tax'!AX$69</f>
        <v>0</v>
      </c>
      <c r="AY11" s="9">
        <f ca="1">'Corporation tax'!AY$69</f>
        <v>0</v>
      </c>
      <c r="AZ11" s="9">
        <f ca="1">'Corporation tax'!AZ$69</f>
        <v>0</v>
      </c>
      <c r="BA11" s="9">
        <f ca="1">'Corporation tax'!BA$69</f>
        <v>0</v>
      </c>
      <c r="BB11" s="9">
        <f ca="1">'Corporation tax'!BB$69</f>
        <v>0</v>
      </c>
      <c r="BC11" s="9">
        <f ca="1">'Corporation tax'!BC$69</f>
        <v>0</v>
      </c>
      <c r="BD11" s="9">
        <f ca="1">'Corporation tax'!BD$69</f>
        <v>0</v>
      </c>
      <c r="BE11" s="9">
        <f ca="1">'Corporation tax'!BE$69</f>
        <v>0</v>
      </c>
      <c r="BF11" s="9">
        <f ca="1">'Corporation tax'!BF$69</f>
        <v>0</v>
      </c>
      <c r="BG11" s="9">
        <f ca="1">'Corporation tax'!BG$69</f>
        <v>0</v>
      </c>
      <c r="BH11" s="9">
        <f ca="1">'Corporation tax'!BH$69</f>
        <v>0</v>
      </c>
      <c r="BI11" s="9">
        <f ca="1">'Corporation tax'!BI$69</f>
        <v>-5956047.8758138604</v>
      </c>
      <c r="BJ11" s="9">
        <f ca="1">'Corporation tax'!BJ$69</f>
        <v>0</v>
      </c>
      <c r="BK11" s="9">
        <f ca="1">'Corporation tax'!BK$69</f>
        <v>0</v>
      </c>
      <c r="BL11" s="9">
        <f ca="1">'Corporation tax'!BL$69</f>
        <v>0</v>
      </c>
      <c r="BM11" s="9">
        <f ca="1">'Corporation tax'!BM$69</f>
        <v>0</v>
      </c>
      <c r="BN11" s="9">
        <f ca="1">'Corporation tax'!BN$69</f>
        <v>0</v>
      </c>
      <c r="BO11" s="9">
        <f ca="1">'Corporation tax'!BO$69</f>
        <v>0</v>
      </c>
      <c r="BP11" s="9">
        <f ca="1">'Corporation tax'!BP$69</f>
        <v>0</v>
      </c>
      <c r="BQ11" s="9">
        <f ca="1">'Corporation tax'!BQ$69</f>
        <v>0</v>
      </c>
    </row>
    <row r="12" spans="1:69">
      <c r="E12" s="12" t="s">
        <v>113</v>
      </c>
      <c r="F12" s="28"/>
      <c r="G12" s="12" t="s">
        <v>252</v>
      </c>
      <c r="H12" s="12">
        <f ca="1">SUM(J12:BQ12)</f>
        <v>113549139.85822076</v>
      </c>
      <c r="I12" s="28"/>
      <c r="J12" s="12">
        <f t="shared" ref="J12:AO12" ca="1" si="0">SUM(J8:J11)</f>
        <v>-50600</v>
      </c>
      <c r="K12" s="12">
        <f t="shared" ca="1" si="0"/>
        <v>-52000.723605699852</v>
      </c>
      <c r="L12" s="12">
        <f t="shared" ca="1" si="0"/>
        <v>-9109.7427378151842</v>
      </c>
      <c r="M12" s="12">
        <f t="shared" ca="1" si="0"/>
        <v>-55678.480578978881</v>
      </c>
      <c r="N12" s="12">
        <f t="shared" ca="1" si="0"/>
        <v>-57346.605234178351</v>
      </c>
      <c r="O12" s="12">
        <f t="shared" ca="1" si="0"/>
        <v>-43924.242258755097</v>
      </c>
      <c r="P12" s="12">
        <f t="shared" ca="1" si="0"/>
        <v>-61615.065969559735</v>
      </c>
      <c r="Q12" s="12">
        <f t="shared" ca="1" si="0"/>
        <v>-63535.713912837666</v>
      </c>
      <c r="R12" s="12">
        <f t="shared" ca="1" si="0"/>
        <v>-366393.76030669909</v>
      </c>
      <c r="S12" s="12">
        <f t="shared" ca="1" si="0"/>
        <v>2046436.2610465558</v>
      </c>
      <c r="T12" s="12">
        <f t="shared" ca="1" si="0"/>
        <v>307636.34308814694</v>
      </c>
      <c r="U12" s="12">
        <f t="shared" ca="1" si="0"/>
        <v>-95430.820703580452</v>
      </c>
      <c r="V12" s="12">
        <f t="shared" ca="1" si="0"/>
        <v>-76450</v>
      </c>
      <c r="W12" s="12">
        <f t="shared" ca="1" si="0"/>
        <v>-79293.983443983379</v>
      </c>
      <c r="X12" s="12">
        <f t="shared" ca="1" si="0"/>
        <v>-397927.4276232589</v>
      </c>
      <c r="Y12" s="12">
        <f t="shared" ca="1" si="0"/>
        <v>1970474.8729276215</v>
      </c>
      <c r="Z12" s="12">
        <f t="shared" ca="1" si="0"/>
        <v>201164.76730930342</v>
      </c>
      <c r="AA12" s="12">
        <f t="shared" ca="1" si="0"/>
        <v>-82806.335069057794</v>
      </c>
      <c r="AB12" s="12">
        <f t="shared" ca="1" si="0"/>
        <v>-97294.812715733482</v>
      </c>
      <c r="AC12" s="12">
        <f t="shared" ca="1" si="0"/>
        <v>-101132.50695998287</v>
      </c>
      <c r="AD12" s="12">
        <f t="shared" ca="1" si="0"/>
        <v>-851399.22717864288</v>
      </c>
      <c r="AE12" s="12">
        <f t="shared" ca="1" si="0"/>
        <v>4524400.0613303473</v>
      </c>
      <c r="AF12" s="12">
        <f t="shared" ca="1" si="0"/>
        <v>263483.08114527795</v>
      </c>
      <c r="AG12" s="12">
        <f t="shared" ca="1" si="0"/>
        <v>-95636.693323283369</v>
      </c>
      <c r="AH12" s="12">
        <f t="shared" ca="1" si="0"/>
        <v>-146526.34912459942</v>
      </c>
      <c r="AI12" s="12">
        <f t="shared" ca="1" si="0"/>
        <v>2366611.8278989592</v>
      </c>
      <c r="AJ12" s="12">
        <f t="shared" ca="1" si="0"/>
        <v>-927838.89599109418</v>
      </c>
      <c r="AK12" s="12">
        <f t="shared" ca="1" si="0"/>
        <v>1555438.1515784648</v>
      </c>
      <c r="AL12" s="12">
        <f t="shared" ca="1" si="0"/>
        <v>647999.92182510882</v>
      </c>
      <c r="AM12" s="12">
        <f t="shared" ca="1" si="0"/>
        <v>2229586.7736922931</v>
      </c>
      <c r="AN12" s="12">
        <f t="shared" ca="1" si="0"/>
        <v>404727.78683680389</v>
      </c>
      <c r="AO12" s="12">
        <f t="shared" ca="1" si="0"/>
        <v>431716.86247046757</v>
      </c>
      <c r="AP12" s="12">
        <f t="shared" ref="AP12:BU12" ca="1" si="1">SUM(AP8:AP11)</f>
        <v>1889380.9380024928</v>
      </c>
      <c r="AQ12" s="12">
        <f t="shared" ca="1" si="1"/>
        <v>3007762.9278245741</v>
      </c>
      <c r="AR12" s="12">
        <f t="shared" ca="1" si="1"/>
        <v>3039216.6399554592</v>
      </c>
      <c r="AS12" s="12">
        <f t="shared" ca="1" si="1"/>
        <v>-172076.66460659611</v>
      </c>
      <c r="AT12" s="12">
        <f t="shared" ca="1" si="1"/>
        <v>588180.4984985193</v>
      </c>
      <c r="AU12" s="12">
        <f t="shared" ca="1" si="1"/>
        <v>5661190.5338119892</v>
      </c>
      <c r="AV12" s="12">
        <f t="shared" ca="1" si="1"/>
        <v>-597189.73014612717</v>
      </c>
      <c r="AW12" s="12">
        <f t="shared" ca="1" si="1"/>
        <v>-1542187.6277668041</v>
      </c>
      <c r="AX12" s="12">
        <f t="shared" ca="1" si="1"/>
        <v>3801066.9978289194</v>
      </c>
      <c r="AY12" s="12">
        <f t="shared" ca="1" si="1"/>
        <v>1921296.8194139488</v>
      </c>
      <c r="AZ12" s="12">
        <f t="shared" ca="1" si="1"/>
        <v>3961937.9684259538</v>
      </c>
      <c r="BA12" s="12">
        <f t="shared" ca="1" si="1"/>
        <v>1532261.44456118</v>
      </c>
      <c r="BB12" s="12">
        <f t="shared" ca="1" si="1"/>
        <v>4593414.5884607965</v>
      </c>
      <c r="BC12" s="12">
        <f t="shared" ca="1" si="1"/>
        <v>4243165.4189018747</v>
      </c>
      <c r="BD12" s="12">
        <f t="shared" ca="1" si="1"/>
        <v>4347922.9455408389</v>
      </c>
      <c r="BE12" s="12">
        <f t="shared" ca="1" si="1"/>
        <v>2215955.2027475424</v>
      </c>
      <c r="BF12" s="12">
        <f t="shared" ca="1" si="1"/>
        <v>4581881.2518213661</v>
      </c>
      <c r="BG12" s="12">
        <f t="shared" ca="1" si="1"/>
        <v>4694168.8529518163</v>
      </c>
      <c r="BH12" s="12">
        <f t="shared" ca="1" si="1"/>
        <v>2303538.5268702526</v>
      </c>
      <c r="BI12" s="12">
        <f t="shared" ca="1" si="1"/>
        <v>-537780.47594620381</v>
      </c>
      <c r="BJ12" s="12">
        <f t="shared" ca="1" si="1"/>
        <v>8117345.4853797201</v>
      </c>
      <c r="BK12" s="12">
        <f t="shared" ca="1" si="1"/>
        <v>1986599.4800834223</v>
      </c>
      <c r="BL12" s="12">
        <f t="shared" ca="1" si="1"/>
        <v>8498961.5748502538</v>
      </c>
      <c r="BM12" s="12">
        <f t="shared" ca="1" si="1"/>
        <v>6192342.3918381222</v>
      </c>
      <c r="BN12" s="12">
        <f t="shared" ca="1" si="1"/>
        <v>4790838.8575424813</v>
      </c>
      <c r="BO12" s="12">
        <f t="shared" ca="1" si="1"/>
        <v>9166303.6339209136</v>
      </c>
      <c r="BP12" s="12">
        <f t="shared" ca="1" si="1"/>
        <v>6892324.5702003958</v>
      </c>
      <c r="BQ12" s="12">
        <f t="shared" ca="1" si="1"/>
        <v>5133581.4828420617</v>
      </c>
    </row>
    <row r="14" spans="1:69">
      <c r="E14" s="15" t="str">
        <f>'Working Capital'!E$15</f>
        <v xml:space="preserve">Cash out on Inventory </v>
      </c>
      <c r="F14" s="15">
        <f>'Working Capital'!F$15</f>
        <v>0</v>
      </c>
      <c r="G14" s="15" t="str">
        <f>'Working Capital'!G$15</f>
        <v>GBP</v>
      </c>
      <c r="H14" s="9">
        <f ca="1">'Working Capital'!H$15</f>
        <v>-5701499.9999999991</v>
      </c>
      <c r="I14" s="15">
        <f>'Working Capital'!I$15</f>
        <v>0</v>
      </c>
      <c r="J14" s="9">
        <f ca="1">'Working Capital'!J$15</f>
        <v>-52500</v>
      </c>
      <c r="K14" s="9">
        <f ca="1">'Working Capital'!K$15</f>
        <v>0</v>
      </c>
      <c r="L14" s="9">
        <f ca="1">'Working Capital'!L$15</f>
        <v>0</v>
      </c>
      <c r="M14" s="9">
        <f ca="1">'Working Capital'!M$15</f>
        <v>0</v>
      </c>
      <c r="N14" s="9">
        <f ca="1">'Working Capital'!N$15</f>
        <v>0</v>
      </c>
      <c r="O14" s="9">
        <f ca="1">'Working Capital'!O$15</f>
        <v>0</v>
      </c>
      <c r="P14" s="9">
        <f ca="1">'Working Capital'!P$15</f>
        <v>-199499.99999999997</v>
      </c>
      <c r="Q14" s="9">
        <f ca="1">'Working Capital'!Q$15</f>
        <v>0</v>
      </c>
      <c r="R14" s="9">
        <f ca="1">'Working Capital'!R$15</f>
        <v>0</v>
      </c>
      <c r="S14" s="9">
        <f ca="1">'Working Capital'!S$15</f>
        <v>0</v>
      </c>
      <c r="T14" s="9">
        <f ca="1">'Working Capital'!T$15</f>
        <v>0</v>
      </c>
      <c r="U14" s="9">
        <f ca="1">'Working Capital'!U$15</f>
        <v>0</v>
      </c>
      <c r="V14" s="9">
        <f ca="1">'Working Capital'!V$15</f>
        <v>-199499.99999999997</v>
      </c>
      <c r="W14" s="9">
        <f ca="1">'Working Capital'!W$15</f>
        <v>0</v>
      </c>
      <c r="X14" s="9">
        <f ca="1">'Working Capital'!X$15</f>
        <v>0</v>
      </c>
      <c r="Y14" s="9">
        <f ca="1">'Working Capital'!Y$15</f>
        <v>0</v>
      </c>
      <c r="Z14" s="9">
        <f ca="1">'Working Capital'!Z$15</f>
        <v>-52500</v>
      </c>
      <c r="AA14" s="9">
        <f ca="1">'Working Capital'!AA$15</f>
        <v>0</v>
      </c>
      <c r="AB14" s="9">
        <f ca="1">'Working Capital'!AB$15</f>
        <v>-146999.99999999997</v>
      </c>
      <c r="AC14" s="9">
        <f ca="1">'Working Capital'!AC$15</f>
        <v>0</v>
      </c>
      <c r="AD14" s="9">
        <f ca="1">'Working Capital'!AD$15</f>
        <v>-52500</v>
      </c>
      <c r="AE14" s="9">
        <f ca="1">'Working Capital'!AE$15</f>
        <v>0</v>
      </c>
      <c r="AF14" s="9">
        <f ca="1">'Working Capital'!AF$15</f>
        <v>-146999.99999999997</v>
      </c>
      <c r="AG14" s="9">
        <f ca="1">'Working Capital'!AG$15</f>
        <v>-52500</v>
      </c>
      <c r="AH14" s="9">
        <f ca="1">'Working Capital'!AH$15</f>
        <v>0</v>
      </c>
      <c r="AI14" s="9">
        <f ca="1">'Working Capital'!AI$15</f>
        <v>-52500</v>
      </c>
      <c r="AJ14" s="9">
        <f ca="1">'Working Capital'!AJ$15</f>
        <v>-146999.99999999997</v>
      </c>
      <c r="AK14" s="9">
        <f ca="1">'Working Capital'!AK$15</f>
        <v>0</v>
      </c>
      <c r="AL14" s="9">
        <f ca="1">'Working Capital'!AL$15</f>
        <v>-52500</v>
      </c>
      <c r="AM14" s="9">
        <f ca="1">'Working Capital'!AM$15</f>
        <v>-146999.99999999997</v>
      </c>
      <c r="AN14" s="9">
        <f ca="1">'Working Capital'!AN$15</f>
        <v>0</v>
      </c>
      <c r="AO14" s="9">
        <f ca="1">'Working Capital'!AO$15</f>
        <v>-199499.99999999997</v>
      </c>
      <c r="AP14" s="9">
        <f ca="1">'Working Capital'!AP$15</f>
        <v>0</v>
      </c>
      <c r="AQ14" s="9">
        <f ca="1">'Working Capital'!AQ$15</f>
        <v>-52500</v>
      </c>
      <c r="AR14" s="9">
        <f ca="1">'Working Capital'!AR$15</f>
        <v>-146999.99999999997</v>
      </c>
      <c r="AS14" s="9">
        <f ca="1">'Working Capital'!AS$15</f>
        <v>-52500</v>
      </c>
      <c r="AT14" s="9">
        <f ca="1">'Working Capital'!AT$15</f>
        <v>-52500</v>
      </c>
      <c r="AU14" s="9">
        <f ca="1">'Working Capital'!AU$15</f>
        <v>-146999.99999999997</v>
      </c>
      <c r="AV14" s="9">
        <f ca="1">'Working Capital'!AV$15</f>
        <v>-52500</v>
      </c>
      <c r="AW14" s="9">
        <f ca="1">'Working Capital'!AW$15</f>
        <v>-199499.99999999997</v>
      </c>
      <c r="AX14" s="9">
        <f ca="1">'Working Capital'!AX$15</f>
        <v>0</v>
      </c>
      <c r="AY14" s="9">
        <f ca="1">'Working Capital'!AY$15</f>
        <v>-199499.99999999997</v>
      </c>
      <c r="AZ14" s="9">
        <f ca="1">'Working Capital'!AZ$15</f>
        <v>-199499.99999999997</v>
      </c>
      <c r="BA14" s="9">
        <f ca="1">'Working Capital'!BA$15</f>
        <v>-52500</v>
      </c>
      <c r="BB14" s="9">
        <f ca="1">'Working Capital'!BB$15</f>
        <v>-199499.99999999997</v>
      </c>
      <c r="BC14" s="9">
        <f ca="1">'Working Capital'!BC$15</f>
        <v>-199499.99999999997</v>
      </c>
      <c r="BD14" s="9">
        <f ca="1">'Working Capital'!BD$15</f>
        <v>-52500</v>
      </c>
      <c r="BE14" s="9">
        <f ca="1">'Working Capital'!BE$15</f>
        <v>-199499.99999999997</v>
      </c>
      <c r="BF14" s="9">
        <f ca="1">'Working Capital'!BF$15</f>
        <v>-199499.99999999997</v>
      </c>
      <c r="BG14" s="9">
        <f ca="1">'Working Capital'!BG$15</f>
        <v>-199499.99999999997</v>
      </c>
      <c r="BH14" s="9">
        <f ca="1">'Working Capital'!BH$15</f>
        <v>-199499.99999999997</v>
      </c>
      <c r="BI14" s="9">
        <f ca="1">'Working Capital'!BI$15</f>
        <v>-199499.99999999997</v>
      </c>
      <c r="BJ14" s="9">
        <f ca="1">'Working Capital'!BJ$15</f>
        <v>-199499.99999999997</v>
      </c>
      <c r="BK14" s="9">
        <f ca="1">'Working Capital'!BK$15</f>
        <v>-199499.99999999997</v>
      </c>
      <c r="BL14" s="9">
        <f ca="1">'Working Capital'!BL$15</f>
        <v>-199499.99999999997</v>
      </c>
      <c r="BM14" s="9">
        <f ca="1">'Working Capital'!BM$15</f>
        <v>-199499.99999999997</v>
      </c>
      <c r="BN14" s="9">
        <f ca="1">'Working Capital'!BN$15</f>
        <v>-199499.99999999997</v>
      </c>
      <c r="BO14" s="9">
        <f ca="1">'Working Capital'!BO$15</f>
        <v>-199499.99999999997</v>
      </c>
      <c r="BP14" s="9">
        <f ca="1">'Working Capital'!BP$15</f>
        <v>-199499.99999999997</v>
      </c>
      <c r="BQ14" s="9">
        <f ca="1">'Working Capital'!BQ$15</f>
        <v>-199499.99999999997</v>
      </c>
    </row>
    <row r="15" spans="1:69">
      <c r="E15" s="12" t="s">
        <v>20</v>
      </c>
      <c r="F15" s="28"/>
      <c r="G15" s="12" t="s">
        <v>252</v>
      </c>
      <c r="H15" s="12">
        <f ca="1">SUM(J15:BQ15)</f>
        <v>107847639.85822076</v>
      </c>
      <c r="I15" s="28"/>
      <c r="J15" s="12">
        <f t="shared" ref="J15:AO15" ca="1" si="2">J12+J14</f>
        <v>-103100</v>
      </c>
      <c r="K15" s="12">
        <f t="shared" ca="1" si="2"/>
        <v>-52000.723605699852</v>
      </c>
      <c r="L15" s="12">
        <f t="shared" ca="1" si="2"/>
        <v>-9109.7427378151842</v>
      </c>
      <c r="M15" s="12">
        <f t="shared" ca="1" si="2"/>
        <v>-55678.480578978881</v>
      </c>
      <c r="N15" s="12">
        <f t="shared" ca="1" si="2"/>
        <v>-57346.605234178351</v>
      </c>
      <c r="O15" s="12">
        <f t="shared" ca="1" si="2"/>
        <v>-43924.242258755097</v>
      </c>
      <c r="P15" s="12">
        <f t="shared" ca="1" si="2"/>
        <v>-261115.06596955971</v>
      </c>
      <c r="Q15" s="12">
        <f t="shared" ca="1" si="2"/>
        <v>-63535.713912837666</v>
      </c>
      <c r="R15" s="12">
        <f t="shared" ca="1" si="2"/>
        <v>-366393.76030669909</v>
      </c>
      <c r="S15" s="12">
        <f t="shared" ca="1" si="2"/>
        <v>2046436.2610465558</v>
      </c>
      <c r="T15" s="12">
        <f t="shared" ca="1" si="2"/>
        <v>307636.34308814694</v>
      </c>
      <c r="U15" s="12">
        <f t="shared" ca="1" si="2"/>
        <v>-95430.820703580452</v>
      </c>
      <c r="V15" s="12">
        <f t="shared" ca="1" si="2"/>
        <v>-275950</v>
      </c>
      <c r="W15" s="12">
        <f t="shared" ca="1" si="2"/>
        <v>-79293.983443983379</v>
      </c>
      <c r="X15" s="12">
        <f t="shared" ca="1" si="2"/>
        <v>-397927.4276232589</v>
      </c>
      <c r="Y15" s="12">
        <f t="shared" ca="1" si="2"/>
        <v>1970474.8729276215</v>
      </c>
      <c r="Z15" s="12">
        <f t="shared" ca="1" si="2"/>
        <v>148664.76730930342</v>
      </c>
      <c r="AA15" s="12">
        <f t="shared" ca="1" si="2"/>
        <v>-82806.335069057794</v>
      </c>
      <c r="AB15" s="12">
        <f t="shared" ca="1" si="2"/>
        <v>-244294.81271573345</v>
      </c>
      <c r="AC15" s="12">
        <f t="shared" ca="1" si="2"/>
        <v>-101132.50695998287</v>
      </c>
      <c r="AD15" s="12">
        <f t="shared" ca="1" si="2"/>
        <v>-903899.22717864288</v>
      </c>
      <c r="AE15" s="12">
        <f t="shared" ca="1" si="2"/>
        <v>4524400.0613303473</v>
      </c>
      <c r="AF15" s="12">
        <f t="shared" ca="1" si="2"/>
        <v>116483.08114527797</v>
      </c>
      <c r="AG15" s="12">
        <f t="shared" ca="1" si="2"/>
        <v>-148136.69332328337</v>
      </c>
      <c r="AH15" s="12">
        <f t="shared" ca="1" si="2"/>
        <v>-146526.34912459942</v>
      </c>
      <c r="AI15" s="12">
        <f t="shared" ca="1" si="2"/>
        <v>2314111.8278989592</v>
      </c>
      <c r="AJ15" s="12">
        <f t="shared" ca="1" si="2"/>
        <v>-1074838.8959910942</v>
      </c>
      <c r="AK15" s="12">
        <f t="shared" ca="1" si="2"/>
        <v>1555438.1515784648</v>
      </c>
      <c r="AL15" s="12">
        <f t="shared" ca="1" si="2"/>
        <v>595499.92182510882</v>
      </c>
      <c r="AM15" s="12">
        <f t="shared" ca="1" si="2"/>
        <v>2082586.7736922931</v>
      </c>
      <c r="AN15" s="12">
        <f t="shared" ca="1" si="2"/>
        <v>404727.78683680389</v>
      </c>
      <c r="AO15" s="12">
        <f t="shared" ca="1" si="2"/>
        <v>232216.8624704676</v>
      </c>
      <c r="AP15" s="12">
        <f t="shared" ref="AP15:BU15" ca="1" si="3">AP12+AP14</f>
        <v>1889380.9380024928</v>
      </c>
      <c r="AQ15" s="12">
        <f t="shared" ca="1" si="3"/>
        <v>2955262.9278245741</v>
      </c>
      <c r="AR15" s="12">
        <f t="shared" ca="1" si="3"/>
        <v>2892216.6399554592</v>
      </c>
      <c r="AS15" s="12">
        <f t="shared" ca="1" si="3"/>
        <v>-224576.66460659611</v>
      </c>
      <c r="AT15" s="12">
        <f t="shared" ca="1" si="3"/>
        <v>535680.4984985193</v>
      </c>
      <c r="AU15" s="12">
        <f t="shared" ca="1" si="3"/>
        <v>5514190.5338119892</v>
      </c>
      <c r="AV15" s="12">
        <f t="shared" ca="1" si="3"/>
        <v>-649689.73014612717</v>
      </c>
      <c r="AW15" s="12">
        <f t="shared" ca="1" si="3"/>
        <v>-1741687.6277668041</v>
      </c>
      <c r="AX15" s="12">
        <f t="shared" ca="1" si="3"/>
        <v>3801066.9978289194</v>
      </c>
      <c r="AY15" s="12">
        <f t="shared" ca="1" si="3"/>
        <v>1721796.8194139488</v>
      </c>
      <c r="AZ15" s="12">
        <f t="shared" ca="1" si="3"/>
        <v>3762437.9684259538</v>
      </c>
      <c r="BA15" s="12">
        <f t="shared" ca="1" si="3"/>
        <v>1479761.44456118</v>
      </c>
      <c r="BB15" s="12">
        <f t="shared" ca="1" si="3"/>
        <v>4393914.5884607965</v>
      </c>
      <c r="BC15" s="12">
        <f t="shared" ca="1" si="3"/>
        <v>4043665.4189018747</v>
      </c>
      <c r="BD15" s="12">
        <f t="shared" ca="1" si="3"/>
        <v>4295422.9455408389</v>
      </c>
      <c r="BE15" s="12">
        <f t="shared" ca="1" si="3"/>
        <v>2016455.2027475424</v>
      </c>
      <c r="BF15" s="12">
        <f t="shared" ca="1" si="3"/>
        <v>4382381.2518213661</v>
      </c>
      <c r="BG15" s="12">
        <f t="shared" ca="1" si="3"/>
        <v>4494668.8529518163</v>
      </c>
      <c r="BH15" s="12">
        <f t="shared" ca="1" si="3"/>
        <v>2104038.5268702526</v>
      </c>
      <c r="BI15" s="12">
        <f t="shared" ca="1" si="3"/>
        <v>-737280.47594620381</v>
      </c>
      <c r="BJ15" s="12">
        <f t="shared" ca="1" si="3"/>
        <v>7917845.4853797201</v>
      </c>
      <c r="BK15" s="12">
        <f t="shared" ca="1" si="3"/>
        <v>1787099.4800834223</v>
      </c>
      <c r="BL15" s="12">
        <f t="shared" ca="1" si="3"/>
        <v>8299461.5748502538</v>
      </c>
      <c r="BM15" s="12">
        <f t="shared" ca="1" si="3"/>
        <v>5992842.3918381222</v>
      </c>
      <c r="BN15" s="12">
        <f t="shared" ca="1" si="3"/>
        <v>4591338.8575424813</v>
      </c>
      <c r="BO15" s="12">
        <f t="shared" ca="1" si="3"/>
        <v>8966803.6339209136</v>
      </c>
      <c r="BP15" s="12">
        <f t="shared" ca="1" si="3"/>
        <v>6692824.5702003958</v>
      </c>
      <c r="BQ15" s="12">
        <f t="shared" ca="1" si="3"/>
        <v>4934081.4828420617</v>
      </c>
    </row>
    <row r="17" spans="5:69">
      <c r="E17" s="15" t="str">
        <f>'Supply Chain finance'!E$22</f>
        <v>Supply Chain Finance drawdown</v>
      </c>
      <c r="F17" s="15">
        <f>'Supply Chain finance'!F$22</f>
        <v>0</v>
      </c>
      <c r="G17" s="15" t="str">
        <f>'Supply Chain finance'!G$22</f>
        <v>GBP</v>
      </c>
      <c r="H17" s="9">
        <f ca="1">'Supply Chain finance'!H$22</f>
        <v>0</v>
      </c>
      <c r="I17" s="15">
        <f>'Supply Chain finance'!I$22</f>
        <v>0</v>
      </c>
      <c r="J17" s="9">
        <f ca="1">'Supply Chain finance'!J$22</f>
        <v>0</v>
      </c>
      <c r="K17" s="9">
        <f ca="1">'Supply Chain finance'!K$22</f>
        <v>0</v>
      </c>
      <c r="L17" s="9">
        <f ca="1">'Supply Chain finance'!L$22</f>
        <v>0</v>
      </c>
      <c r="M17" s="9">
        <f ca="1">'Supply Chain finance'!M$22</f>
        <v>0</v>
      </c>
      <c r="N17" s="9">
        <f ca="1">'Supply Chain finance'!N$22</f>
        <v>0</v>
      </c>
      <c r="O17" s="9">
        <f ca="1">'Supply Chain finance'!O$22</f>
        <v>0</v>
      </c>
      <c r="P17" s="9">
        <f ca="1">'Supply Chain finance'!P$22</f>
        <v>0</v>
      </c>
      <c r="Q17" s="9">
        <f ca="1">'Supply Chain finance'!Q$22</f>
        <v>0</v>
      </c>
      <c r="R17" s="9">
        <f ca="1">'Supply Chain finance'!R$22</f>
        <v>0</v>
      </c>
      <c r="S17" s="9">
        <f ca="1">'Supply Chain finance'!S$22</f>
        <v>0</v>
      </c>
      <c r="T17" s="9">
        <f ca="1">'Supply Chain finance'!T$22</f>
        <v>0</v>
      </c>
      <c r="U17" s="9">
        <f ca="1">'Supply Chain finance'!U$22</f>
        <v>0</v>
      </c>
      <c r="V17" s="9">
        <f ca="1">'Supply Chain finance'!V$22</f>
        <v>0</v>
      </c>
      <c r="W17" s="9">
        <f ca="1">'Supply Chain finance'!W$22</f>
        <v>0</v>
      </c>
      <c r="X17" s="9">
        <f ca="1">'Supply Chain finance'!X$22</f>
        <v>0</v>
      </c>
      <c r="Y17" s="9">
        <f ca="1">'Supply Chain finance'!Y$22</f>
        <v>0</v>
      </c>
      <c r="Z17" s="9">
        <f ca="1">'Supply Chain finance'!Z$22</f>
        <v>0</v>
      </c>
      <c r="AA17" s="9">
        <f ca="1">'Supply Chain finance'!AA$22</f>
        <v>0</v>
      </c>
      <c r="AB17" s="9">
        <f ca="1">'Supply Chain finance'!AB$22</f>
        <v>0</v>
      </c>
      <c r="AC17" s="9">
        <f ca="1">'Supply Chain finance'!AC$22</f>
        <v>0</v>
      </c>
      <c r="AD17" s="9">
        <f ca="1">'Supply Chain finance'!AD$22</f>
        <v>0</v>
      </c>
      <c r="AE17" s="9">
        <f ca="1">'Supply Chain finance'!AE$22</f>
        <v>0</v>
      </c>
      <c r="AF17" s="9">
        <f ca="1">'Supply Chain finance'!AF$22</f>
        <v>0</v>
      </c>
      <c r="AG17" s="9">
        <f ca="1">'Supply Chain finance'!AG$22</f>
        <v>0</v>
      </c>
      <c r="AH17" s="9">
        <f ca="1">'Supply Chain finance'!AH$22</f>
        <v>0</v>
      </c>
      <c r="AI17" s="9">
        <f ca="1">'Supply Chain finance'!AI$22</f>
        <v>0</v>
      </c>
      <c r="AJ17" s="9">
        <f ca="1">'Supply Chain finance'!AJ$22</f>
        <v>0</v>
      </c>
      <c r="AK17" s="9">
        <f ca="1">'Supply Chain finance'!AK$22</f>
        <v>0</v>
      </c>
      <c r="AL17" s="9">
        <f ca="1">'Supply Chain finance'!AL$22</f>
        <v>0</v>
      </c>
      <c r="AM17" s="9">
        <f ca="1">'Supply Chain finance'!AM$22</f>
        <v>0</v>
      </c>
      <c r="AN17" s="9">
        <f ca="1">'Supply Chain finance'!AN$22</f>
        <v>0</v>
      </c>
      <c r="AO17" s="9">
        <f ca="1">'Supply Chain finance'!AO$22</f>
        <v>0</v>
      </c>
      <c r="AP17" s="9">
        <f ca="1">'Supply Chain finance'!AP$22</f>
        <v>0</v>
      </c>
      <c r="AQ17" s="9">
        <f ca="1">'Supply Chain finance'!AQ$22</f>
        <v>0</v>
      </c>
      <c r="AR17" s="9">
        <f ca="1">'Supply Chain finance'!AR$22</f>
        <v>0</v>
      </c>
      <c r="AS17" s="9">
        <f ca="1">'Supply Chain finance'!AS$22</f>
        <v>0</v>
      </c>
      <c r="AT17" s="9">
        <f ca="1">'Supply Chain finance'!AT$22</f>
        <v>0</v>
      </c>
      <c r="AU17" s="9">
        <f ca="1">'Supply Chain finance'!AU$22</f>
        <v>0</v>
      </c>
      <c r="AV17" s="9">
        <f ca="1">'Supply Chain finance'!AV$22</f>
        <v>0</v>
      </c>
      <c r="AW17" s="9">
        <f ca="1">'Supply Chain finance'!AW$22</f>
        <v>0</v>
      </c>
      <c r="AX17" s="9">
        <f ca="1">'Supply Chain finance'!AX$22</f>
        <v>0</v>
      </c>
      <c r="AY17" s="9">
        <f ca="1">'Supply Chain finance'!AY$22</f>
        <v>0</v>
      </c>
      <c r="AZ17" s="9">
        <f ca="1">'Supply Chain finance'!AZ$22</f>
        <v>0</v>
      </c>
      <c r="BA17" s="9">
        <f ca="1">'Supply Chain finance'!BA$22</f>
        <v>0</v>
      </c>
      <c r="BB17" s="9">
        <f ca="1">'Supply Chain finance'!BB$22</f>
        <v>0</v>
      </c>
      <c r="BC17" s="9">
        <f ca="1">'Supply Chain finance'!BC$22</f>
        <v>0</v>
      </c>
      <c r="BD17" s="9">
        <f ca="1">'Supply Chain finance'!BD$22</f>
        <v>0</v>
      </c>
      <c r="BE17" s="9">
        <f ca="1">'Supply Chain finance'!BE$22</f>
        <v>0</v>
      </c>
      <c r="BF17" s="9">
        <f ca="1">'Supply Chain finance'!BF$22</f>
        <v>0</v>
      </c>
      <c r="BG17" s="9">
        <f ca="1">'Supply Chain finance'!BG$22</f>
        <v>0</v>
      </c>
      <c r="BH17" s="9">
        <f ca="1">'Supply Chain finance'!BH$22</f>
        <v>0</v>
      </c>
      <c r="BI17" s="9">
        <f ca="1">'Supply Chain finance'!BI$22</f>
        <v>0</v>
      </c>
      <c r="BJ17" s="9">
        <f ca="1">'Supply Chain finance'!BJ$22</f>
        <v>0</v>
      </c>
      <c r="BK17" s="9">
        <f ca="1">'Supply Chain finance'!BK$22</f>
        <v>0</v>
      </c>
      <c r="BL17" s="9">
        <f ca="1">'Supply Chain finance'!BL$22</f>
        <v>0</v>
      </c>
      <c r="BM17" s="9">
        <f ca="1">'Supply Chain finance'!BM$22</f>
        <v>0</v>
      </c>
      <c r="BN17" s="9">
        <f ca="1">'Supply Chain finance'!BN$22</f>
        <v>0</v>
      </c>
      <c r="BO17" s="9">
        <f ca="1">'Supply Chain finance'!BO$22</f>
        <v>0</v>
      </c>
      <c r="BP17" s="9">
        <f ca="1">'Supply Chain finance'!BP$22</f>
        <v>0</v>
      </c>
      <c r="BQ17" s="9">
        <f ca="1">'Supply Chain finance'!BQ$22</f>
        <v>0</v>
      </c>
    </row>
    <row r="18" spans="5:69">
      <c r="E18" s="15" t="str">
        <f>'Supply Chain finance'!E$29</f>
        <v xml:space="preserve">Supply Chain Finance principal repayment </v>
      </c>
      <c r="F18" s="15">
        <f>'Supply Chain finance'!F$29</f>
        <v>0</v>
      </c>
      <c r="G18" s="15" t="str">
        <f>'Supply Chain finance'!G$29</f>
        <v>GBP</v>
      </c>
      <c r="H18" s="9">
        <f ca="1">'Supply Chain finance'!H$29</f>
        <v>0</v>
      </c>
      <c r="I18" s="15">
        <f>'Supply Chain finance'!I$29</f>
        <v>0</v>
      </c>
      <c r="J18" s="9">
        <f ca="1">'Supply Chain finance'!J$29</f>
        <v>0</v>
      </c>
      <c r="K18" s="9">
        <f ca="1">'Supply Chain finance'!K$29</f>
        <v>0</v>
      </c>
      <c r="L18" s="9">
        <f ca="1">'Supply Chain finance'!L$29</f>
        <v>0</v>
      </c>
      <c r="M18" s="9">
        <f ca="1">'Supply Chain finance'!M$29</f>
        <v>0</v>
      </c>
      <c r="N18" s="9">
        <f ca="1">'Supply Chain finance'!N$29</f>
        <v>0</v>
      </c>
      <c r="O18" s="9">
        <f ca="1">'Supply Chain finance'!O$29</f>
        <v>0</v>
      </c>
      <c r="P18" s="9">
        <f ca="1">'Supply Chain finance'!P$29</f>
        <v>0</v>
      </c>
      <c r="Q18" s="9">
        <f ca="1">'Supply Chain finance'!Q$29</f>
        <v>0</v>
      </c>
      <c r="R18" s="9">
        <f ca="1">'Supply Chain finance'!R$29</f>
        <v>0</v>
      </c>
      <c r="S18" s="9">
        <f ca="1">'Supply Chain finance'!S$29</f>
        <v>0</v>
      </c>
      <c r="T18" s="9">
        <f ca="1">'Supply Chain finance'!T$29</f>
        <v>0</v>
      </c>
      <c r="U18" s="9">
        <f ca="1">'Supply Chain finance'!U$29</f>
        <v>0</v>
      </c>
      <c r="V18" s="9">
        <f ca="1">'Supply Chain finance'!V$29</f>
        <v>0</v>
      </c>
      <c r="W18" s="9">
        <f ca="1">'Supply Chain finance'!W$29</f>
        <v>0</v>
      </c>
      <c r="X18" s="9">
        <f ca="1">'Supply Chain finance'!X$29</f>
        <v>0</v>
      </c>
      <c r="Y18" s="9">
        <f ca="1">'Supply Chain finance'!Y$29</f>
        <v>0</v>
      </c>
      <c r="Z18" s="9">
        <f ca="1">'Supply Chain finance'!Z$29</f>
        <v>0</v>
      </c>
      <c r="AA18" s="9">
        <f ca="1">'Supply Chain finance'!AA$29</f>
        <v>0</v>
      </c>
      <c r="AB18" s="9">
        <f ca="1">'Supply Chain finance'!AB$29</f>
        <v>0</v>
      </c>
      <c r="AC18" s="9">
        <f ca="1">'Supply Chain finance'!AC$29</f>
        <v>0</v>
      </c>
      <c r="AD18" s="9">
        <f ca="1">'Supply Chain finance'!AD$29</f>
        <v>0</v>
      </c>
      <c r="AE18" s="9">
        <f ca="1">'Supply Chain finance'!AE$29</f>
        <v>0</v>
      </c>
      <c r="AF18" s="9">
        <f ca="1">'Supply Chain finance'!AF$29</f>
        <v>0</v>
      </c>
      <c r="AG18" s="9">
        <f ca="1">'Supply Chain finance'!AG$29</f>
        <v>0</v>
      </c>
      <c r="AH18" s="9">
        <f ca="1">'Supply Chain finance'!AH$29</f>
        <v>0</v>
      </c>
      <c r="AI18" s="9">
        <f ca="1">'Supply Chain finance'!AI$29</f>
        <v>0</v>
      </c>
      <c r="AJ18" s="9">
        <f ca="1">'Supply Chain finance'!AJ$29</f>
        <v>0</v>
      </c>
      <c r="AK18" s="9">
        <f ca="1">'Supply Chain finance'!AK$29</f>
        <v>0</v>
      </c>
      <c r="AL18" s="9">
        <f ca="1">'Supply Chain finance'!AL$29</f>
        <v>0</v>
      </c>
      <c r="AM18" s="9">
        <f ca="1">'Supply Chain finance'!AM$29</f>
        <v>0</v>
      </c>
      <c r="AN18" s="9">
        <f ca="1">'Supply Chain finance'!AN$29</f>
        <v>0</v>
      </c>
      <c r="AO18" s="9">
        <f ca="1">'Supply Chain finance'!AO$29</f>
        <v>0</v>
      </c>
      <c r="AP18" s="9">
        <f ca="1">'Supply Chain finance'!AP$29</f>
        <v>0</v>
      </c>
      <c r="AQ18" s="9">
        <f ca="1">'Supply Chain finance'!AQ$29</f>
        <v>0</v>
      </c>
      <c r="AR18" s="9">
        <f ca="1">'Supply Chain finance'!AR$29</f>
        <v>0</v>
      </c>
      <c r="AS18" s="9">
        <f ca="1">'Supply Chain finance'!AS$29</f>
        <v>0</v>
      </c>
      <c r="AT18" s="9">
        <f ca="1">'Supply Chain finance'!AT$29</f>
        <v>0</v>
      </c>
      <c r="AU18" s="9">
        <f ca="1">'Supply Chain finance'!AU$29</f>
        <v>0</v>
      </c>
      <c r="AV18" s="9">
        <f ca="1">'Supply Chain finance'!AV$29</f>
        <v>0</v>
      </c>
      <c r="AW18" s="9">
        <f ca="1">'Supply Chain finance'!AW$29</f>
        <v>0</v>
      </c>
      <c r="AX18" s="9">
        <f ca="1">'Supply Chain finance'!AX$29</f>
        <v>0</v>
      </c>
      <c r="AY18" s="9">
        <f ca="1">'Supply Chain finance'!AY$29</f>
        <v>0</v>
      </c>
      <c r="AZ18" s="9">
        <f ca="1">'Supply Chain finance'!AZ$29</f>
        <v>0</v>
      </c>
      <c r="BA18" s="9">
        <f ca="1">'Supply Chain finance'!BA$29</f>
        <v>0</v>
      </c>
      <c r="BB18" s="9">
        <f ca="1">'Supply Chain finance'!BB$29</f>
        <v>0</v>
      </c>
      <c r="BC18" s="9">
        <f ca="1">'Supply Chain finance'!BC$29</f>
        <v>0</v>
      </c>
      <c r="BD18" s="9">
        <f ca="1">'Supply Chain finance'!BD$29</f>
        <v>0</v>
      </c>
      <c r="BE18" s="9">
        <f ca="1">'Supply Chain finance'!BE$29</f>
        <v>0</v>
      </c>
      <c r="BF18" s="9">
        <f ca="1">'Supply Chain finance'!BF$29</f>
        <v>0</v>
      </c>
      <c r="BG18" s="9">
        <f ca="1">'Supply Chain finance'!BG$29</f>
        <v>0</v>
      </c>
      <c r="BH18" s="9">
        <f ca="1">'Supply Chain finance'!BH$29</f>
        <v>0</v>
      </c>
      <c r="BI18" s="9">
        <f ca="1">'Supply Chain finance'!BI$29</f>
        <v>0</v>
      </c>
      <c r="BJ18" s="9">
        <f ca="1">'Supply Chain finance'!BJ$29</f>
        <v>0</v>
      </c>
      <c r="BK18" s="9">
        <f ca="1">'Supply Chain finance'!BK$29</f>
        <v>0</v>
      </c>
      <c r="BL18" s="9">
        <f ca="1">'Supply Chain finance'!BL$29</f>
        <v>0</v>
      </c>
      <c r="BM18" s="9">
        <f ca="1">'Supply Chain finance'!BM$29</f>
        <v>0</v>
      </c>
      <c r="BN18" s="9">
        <f ca="1">'Supply Chain finance'!BN$29</f>
        <v>0</v>
      </c>
      <c r="BO18" s="9">
        <f ca="1">'Supply Chain finance'!BO$29</f>
        <v>0</v>
      </c>
      <c r="BP18" s="9">
        <f ca="1">'Supply Chain finance'!BP$29</f>
        <v>0</v>
      </c>
      <c r="BQ18" s="9">
        <f ca="1">'Supply Chain finance'!BQ$29</f>
        <v>0</v>
      </c>
    </row>
    <row r="19" spans="5:69">
      <c r="E19" s="15" t="str">
        <f>'Invoice finance'!E$21</f>
        <v>Invoice finance drawdown</v>
      </c>
      <c r="F19" s="15">
        <f>'Invoice finance'!F$21</f>
        <v>0</v>
      </c>
      <c r="G19" s="15" t="str">
        <f>'Invoice finance'!G$21</f>
        <v>GBP</v>
      </c>
      <c r="H19" s="9">
        <f ca="1">'Invoice finance'!H$21</f>
        <v>0</v>
      </c>
      <c r="I19" s="15">
        <f>'Invoice finance'!I$21</f>
        <v>0</v>
      </c>
      <c r="J19" s="9">
        <f ca="1">'Invoice finance'!J$21</f>
        <v>0</v>
      </c>
      <c r="K19" s="9">
        <f ca="1">'Invoice finance'!K$21</f>
        <v>0</v>
      </c>
      <c r="L19" s="9">
        <f ca="1">'Invoice finance'!L$21</f>
        <v>0</v>
      </c>
      <c r="M19" s="9">
        <f ca="1">'Invoice finance'!M$21</f>
        <v>0</v>
      </c>
      <c r="N19" s="9">
        <f ca="1">'Invoice finance'!N$21</f>
        <v>0</v>
      </c>
      <c r="O19" s="9">
        <f ca="1">'Invoice finance'!O$21</f>
        <v>0</v>
      </c>
      <c r="P19" s="9">
        <f ca="1">'Invoice finance'!P$21</f>
        <v>0</v>
      </c>
      <c r="Q19" s="9">
        <f ca="1">'Invoice finance'!Q$21</f>
        <v>0</v>
      </c>
      <c r="R19" s="9">
        <f ca="1">'Invoice finance'!R$21</f>
        <v>0</v>
      </c>
      <c r="S19" s="9">
        <f ca="1">'Invoice finance'!S$21</f>
        <v>0</v>
      </c>
      <c r="T19" s="9">
        <f ca="1">'Invoice finance'!T$21</f>
        <v>0</v>
      </c>
      <c r="U19" s="9">
        <f ca="1">'Invoice finance'!U$21</f>
        <v>0</v>
      </c>
      <c r="V19" s="9">
        <f ca="1">'Invoice finance'!V$21</f>
        <v>0</v>
      </c>
      <c r="W19" s="9">
        <f ca="1">'Invoice finance'!W$21</f>
        <v>0</v>
      </c>
      <c r="X19" s="9">
        <f ca="1">'Invoice finance'!X$21</f>
        <v>0</v>
      </c>
      <c r="Y19" s="9">
        <f ca="1">'Invoice finance'!Y$21</f>
        <v>0</v>
      </c>
      <c r="Z19" s="9">
        <f ca="1">'Invoice finance'!Z$21</f>
        <v>0</v>
      </c>
      <c r="AA19" s="9">
        <f ca="1">'Invoice finance'!AA$21</f>
        <v>0</v>
      </c>
      <c r="AB19" s="9">
        <f ca="1">'Invoice finance'!AB$21</f>
        <v>0</v>
      </c>
      <c r="AC19" s="9">
        <f ca="1">'Invoice finance'!AC$21</f>
        <v>0</v>
      </c>
      <c r="AD19" s="9">
        <f ca="1">'Invoice finance'!AD$21</f>
        <v>0</v>
      </c>
      <c r="AE19" s="9">
        <f ca="1">'Invoice finance'!AE$21</f>
        <v>0</v>
      </c>
      <c r="AF19" s="9">
        <f ca="1">'Invoice finance'!AF$21</f>
        <v>0</v>
      </c>
      <c r="AG19" s="9">
        <f ca="1">'Invoice finance'!AG$21</f>
        <v>0</v>
      </c>
      <c r="AH19" s="9">
        <f ca="1">'Invoice finance'!AH$21</f>
        <v>0</v>
      </c>
      <c r="AI19" s="9">
        <f ca="1">'Invoice finance'!AI$21</f>
        <v>0</v>
      </c>
      <c r="AJ19" s="9">
        <f ca="1">'Invoice finance'!AJ$21</f>
        <v>0</v>
      </c>
      <c r="AK19" s="9">
        <f ca="1">'Invoice finance'!AK$21</f>
        <v>0</v>
      </c>
      <c r="AL19" s="9">
        <f ca="1">'Invoice finance'!AL$21</f>
        <v>0</v>
      </c>
      <c r="AM19" s="9">
        <f ca="1">'Invoice finance'!AM$21</f>
        <v>0</v>
      </c>
      <c r="AN19" s="9">
        <f ca="1">'Invoice finance'!AN$21</f>
        <v>0</v>
      </c>
      <c r="AO19" s="9">
        <f ca="1">'Invoice finance'!AO$21</f>
        <v>0</v>
      </c>
      <c r="AP19" s="9">
        <f ca="1">'Invoice finance'!AP$21</f>
        <v>0</v>
      </c>
      <c r="AQ19" s="9">
        <f ca="1">'Invoice finance'!AQ$21</f>
        <v>0</v>
      </c>
      <c r="AR19" s="9">
        <f ca="1">'Invoice finance'!AR$21</f>
        <v>0</v>
      </c>
      <c r="AS19" s="9">
        <f ca="1">'Invoice finance'!AS$21</f>
        <v>0</v>
      </c>
      <c r="AT19" s="9">
        <f ca="1">'Invoice finance'!AT$21</f>
        <v>0</v>
      </c>
      <c r="AU19" s="9">
        <f ca="1">'Invoice finance'!AU$21</f>
        <v>0</v>
      </c>
      <c r="AV19" s="9">
        <f ca="1">'Invoice finance'!AV$21</f>
        <v>0</v>
      </c>
      <c r="AW19" s="9">
        <f ca="1">'Invoice finance'!AW$21</f>
        <v>0</v>
      </c>
      <c r="AX19" s="9">
        <f ca="1">'Invoice finance'!AX$21</f>
        <v>0</v>
      </c>
      <c r="AY19" s="9">
        <f ca="1">'Invoice finance'!AY$21</f>
        <v>0</v>
      </c>
      <c r="AZ19" s="9">
        <f ca="1">'Invoice finance'!AZ$21</f>
        <v>0</v>
      </c>
      <c r="BA19" s="9">
        <f ca="1">'Invoice finance'!BA$21</f>
        <v>0</v>
      </c>
      <c r="BB19" s="9">
        <f ca="1">'Invoice finance'!BB$21</f>
        <v>0</v>
      </c>
      <c r="BC19" s="9">
        <f ca="1">'Invoice finance'!BC$21</f>
        <v>0</v>
      </c>
      <c r="BD19" s="9">
        <f ca="1">'Invoice finance'!BD$21</f>
        <v>0</v>
      </c>
      <c r="BE19" s="9">
        <f ca="1">'Invoice finance'!BE$21</f>
        <v>0</v>
      </c>
      <c r="BF19" s="9">
        <f ca="1">'Invoice finance'!BF$21</f>
        <v>0</v>
      </c>
      <c r="BG19" s="9">
        <f ca="1">'Invoice finance'!BG$21</f>
        <v>0</v>
      </c>
      <c r="BH19" s="9">
        <f ca="1">'Invoice finance'!BH$21</f>
        <v>0</v>
      </c>
      <c r="BI19" s="9">
        <f ca="1">'Invoice finance'!BI$21</f>
        <v>0</v>
      </c>
      <c r="BJ19" s="9">
        <f ca="1">'Invoice finance'!BJ$21</f>
        <v>0</v>
      </c>
      <c r="BK19" s="9">
        <f ca="1">'Invoice finance'!BK$21</f>
        <v>0</v>
      </c>
      <c r="BL19" s="9">
        <f ca="1">'Invoice finance'!BL$21</f>
        <v>0</v>
      </c>
      <c r="BM19" s="9">
        <f ca="1">'Invoice finance'!BM$21</f>
        <v>0</v>
      </c>
      <c r="BN19" s="9">
        <f ca="1">'Invoice finance'!BN$21</f>
        <v>0</v>
      </c>
      <c r="BO19" s="9">
        <f ca="1">'Invoice finance'!BO$21</f>
        <v>0</v>
      </c>
      <c r="BP19" s="9">
        <f ca="1">'Invoice finance'!BP$21</f>
        <v>0</v>
      </c>
      <c r="BQ19" s="9">
        <f ca="1">'Invoice finance'!BQ$21</f>
        <v>0</v>
      </c>
    </row>
    <row r="20" spans="5:69">
      <c r="E20" s="15" t="str">
        <f>'Invoice finance'!E$28</f>
        <v xml:space="preserve">Invoice finance principal repayment </v>
      </c>
      <c r="F20" s="15">
        <f>'Invoice finance'!F$28</f>
        <v>0</v>
      </c>
      <c r="G20" s="15" t="str">
        <f>'Invoice finance'!G$28</f>
        <v>GBP</v>
      </c>
      <c r="H20" s="9">
        <f ca="1">'Invoice finance'!H$28</f>
        <v>0</v>
      </c>
      <c r="I20" s="15">
        <f>'Invoice finance'!I$28</f>
        <v>0</v>
      </c>
      <c r="J20" s="9">
        <f ca="1">'Invoice finance'!J$28</f>
        <v>0</v>
      </c>
      <c r="K20" s="9">
        <f ca="1">'Invoice finance'!K$28</f>
        <v>0</v>
      </c>
      <c r="L20" s="9">
        <f ca="1">'Invoice finance'!L$28</f>
        <v>0</v>
      </c>
      <c r="M20" s="9">
        <f ca="1">'Invoice finance'!M$28</f>
        <v>0</v>
      </c>
      <c r="N20" s="9">
        <f ca="1">'Invoice finance'!N$28</f>
        <v>0</v>
      </c>
      <c r="O20" s="9">
        <f ca="1">'Invoice finance'!O$28</f>
        <v>0</v>
      </c>
      <c r="P20" s="9">
        <f ca="1">'Invoice finance'!P$28</f>
        <v>0</v>
      </c>
      <c r="Q20" s="9">
        <f ca="1">'Invoice finance'!Q$28</f>
        <v>0</v>
      </c>
      <c r="R20" s="9">
        <f ca="1">'Invoice finance'!R$28</f>
        <v>0</v>
      </c>
      <c r="S20" s="9">
        <f ca="1">'Invoice finance'!S$28</f>
        <v>0</v>
      </c>
      <c r="T20" s="9">
        <f ca="1">'Invoice finance'!T$28</f>
        <v>0</v>
      </c>
      <c r="U20" s="9">
        <f ca="1">'Invoice finance'!U$28</f>
        <v>0</v>
      </c>
      <c r="V20" s="9">
        <f ca="1">'Invoice finance'!V$28</f>
        <v>0</v>
      </c>
      <c r="W20" s="9">
        <f ca="1">'Invoice finance'!W$28</f>
        <v>0</v>
      </c>
      <c r="X20" s="9">
        <f ca="1">'Invoice finance'!X$28</f>
        <v>0</v>
      </c>
      <c r="Y20" s="9">
        <f ca="1">'Invoice finance'!Y$28</f>
        <v>0</v>
      </c>
      <c r="Z20" s="9">
        <f ca="1">'Invoice finance'!Z$28</f>
        <v>0</v>
      </c>
      <c r="AA20" s="9">
        <f ca="1">'Invoice finance'!AA$28</f>
        <v>0</v>
      </c>
      <c r="AB20" s="9">
        <f ca="1">'Invoice finance'!AB$28</f>
        <v>0</v>
      </c>
      <c r="AC20" s="9">
        <f ca="1">'Invoice finance'!AC$28</f>
        <v>0</v>
      </c>
      <c r="AD20" s="9">
        <f ca="1">'Invoice finance'!AD$28</f>
        <v>0</v>
      </c>
      <c r="AE20" s="9">
        <f ca="1">'Invoice finance'!AE$28</f>
        <v>0</v>
      </c>
      <c r="AF20" s="9">
        <f ca="1">'Invoice finance'!AF$28</f>
        <v>0</v>
      </c>
      <c r="AG20" s="9">
        <f ca="1">'Invoice finance'!AG$28</f>
        <v>0</v>
      </c>
      <c r="AH20" s="9">
        <f ca="1">'Invoice finance'!AH$28</f>
        <v>0</v>
      </c>
      <c r="AI20" s="9">
        <f ca="1">'Invoice finance'!AI$28</f>
        <v>0</v>
      </c>
      <c r="AJ20" s="9">
        <f ca="1">'Invoice finance'!AJ$28</f>
        <v>0</v>
      </c>
      <c r="AK20" s="9">
        <f ca="1">'Invoice finance'!AK$28</f>
        <v>0</v>
      </c>
      <c r="AL20" s="9">
        <f ca="1">'Invoice finance'!AL$28</f>
        <v>0</v>
      </c>
      <c r="AM20" s="9">
        <f ca="1">'Invoice finance'!AM$28</f>
        <v>0</v>
      </c>
      <c r="AN20" s="9">
        <f ca="1">'Invoice finance'!AN$28</f>
        <v>0</v>
      </c>
      <c r="AO20" s="9">
        <f ca="1">'Invoice finance'!AO$28</f>
        <v>0</v>
      </c>
      <c r="AP20" s="9">
        <f ca="1">'Invoice finance'!AP$28</f>
        <v>0</v>
      </c>
      <c r="AQ20" s="9">
        <f ca="1">'Invoice finance'!AQ$28</f>
        <v>0</v>
      </c>
      <c r="AR20" s="9">
        <f ca="1">'Invoice finance'!AR$28</f>
        <v>0</v>
      </c>
      <c r="AS20" s="9">
        <f ca="1">'Invoice finance'!AS$28</f>
        <v>0</v>
      </c>
      <c r="AT20" s="9">
        <f ca="1">'Invoice finance'!AT$28</f>
        <v>0</v>
      </c>
      <c r="AU20" s="9">
        <f ca="1">'Invoice finance'!AU$28</f>
        <v>0</v>
      </c>
      <c r="AV20" s="9">
        <f ca="1">'Invoice finance'!AV$28</f>
        <v>0</v>
      </c>
      <c r="AW20" s="9">
        <f ca="1">'Invoice finance'!AW$28</f>
        <v>0</v>
      </c>
      <c r="AX20" s="9">
        <f ca="1">'Invoice finance'!AX$28</f>
        <v>0</v>
      </c>
      <c r="AY20" s="9">
        <f ca="1">'Invoice finance'!AY$28</f>
        <v>0</v>
      </c>
      <c r="AZ20" s="9">
        <f ca="1">'Invoice finance'!AZ$28</f>
        <v>0</v>
      </c>
      <c r="BA20" s="9">
        <f ca="1">'Invoice finance'!BA$28</f>
        <v>0</v>
      </c>
      <c r="BB20" s="9">
        <f ca="1">'Invoice finance'!BB$28</f>
        <v>0</v>
      </c>
      <c r="BC20" s="9">
        <f ca="1">'Invoice finance'!BC$28</f>
        <v>0</v>
      </c>
      <c r="BD20" s="9">
        <f ca="1">'Invoice finance'!BD$28</f>
        <v>0</v>
      </c>
      <c r="BE20" s="9">
        <f ca="1">'Invoice finance'!BE$28</f>
        <v>0</v>
      </c>
      <c r="BF20" s="9">
        <f ca="1">'Invoice finance'!BF$28</f>
        <v>0</v>
      </c>
      <c r="BG20" s="9">
        <f ca="1">'Invoice finance'!BG$28</f>
        <v>0</v>
      </c>
      <c r="BH20" s="9">
        <f ca="1">'Invoice finance'!BH$28</f>
        <v>0</v>
      </c>
      <c r="BI20" s="9">
        <f ca="1">'Invoice finance'!BI$28</f>
        <v>0</v>
      </c>
      <c r="BJ20" s="9">
        <f ca="1">'Invoice finance'!BJ$28</f>
        <v>0</v>
      </c>
      <c r="BK20" s="9">
        <f ca="1">'Invoice finance'!BK$28</f>
        <v>0</v>
      </c>
      <c r="BL20" s="9">
        <f ca="1">'Invoice finance'!BL$28</f>
        <v>0</v>
      </c>
      <c r="BM20" s="9">
        <f ca="1">'Invoice finance'!BM$28</f>
        <v>0</v>
      </c>
      <c r="BN20" s="9">
        <f ca="1">'Invoice finance'!BN$28</f>
        <v>0</v>
      </c>
      <c r="BO20" s="9">
        <f ca="1">'Invoice finance'!BO$28</f>
        <v>0</v>
      </c>
      <c r="BP20" s="9">
        <f ca="1">'Invoice finance'!BP$28</f>
        <v>0</v>
      </c>
      <c r="BQ20" s="9">
        <f ca="1">'Invoice finance'!BQ$28</f>
        <v>0</v>
      </c>
    </row>
    <row r="21" spans="5:69">
      <c r="E21" s="15" t="str">
        <f>'Asset Finance'!E$22</f>
        <v>Asset Finance drawdown</v>
      </c>
      <c r="F21" s="15">
        <f>'Asset Finance'!F$22</f>
        <v>0</v>
      </c>
      <c r="G21" s="15" t="str">
        <f>'Asset Finance'!G$22</f>
        <v>GBP</v>
      </c>
      <c r="H21" s="9">
        <f ca="1">'Asset Finance'!H$22</f>
        <v>0</v>
      </c>
      <c r="I21" s="15">
        <f>'Asset Finance'!I$22</f>
        <v>0</v>
      </c>
      <c r="J21" s="9">
        <f ca="1">'Asset Finance'!J$22</f>
        <v>0</v>
      </c>
      <c r="K21" s="9">
        <f ca="1">'Asset Finance'!K$22</f>
        <v>0</v>
      </c>
      <c r="L21" s="9">
        <f ca="1">'Asset Finance'!L$22</f>
        <v>0</v>
      </c>
      <c r="M21" s="9">
        <f ca="1">'Asset Finance'!M$22</f>
        <v>0</v>
      </c>
      <c r="N21" s="9">
        <f ca="1">'Asset Finance'!N$22</f>
        <v>0</v>
      </c>
      <c r="O21" s="9">
        <f ca="1">'Asset Finance'!O$22</f>
        <v>0</v>
      </c>
      <c r="P21" s="9">
        <f ca="1">'Asset Finance'!P$22</f>
        <v>0</v>
      </c>
      <c r="Q21" s="9">
        <f ca="1">'Asset Finance'!Q$22</f>
        <v>0</v>
      </c>
      <c r="R21" s="9">
        <f ca="1">'Asset Finance'!R$22</f>
        <v>0</v>
      </c>
      <c r="S21" s="9">
        <f ca="1">'Asset Finance'!S$22</f>
        <v>0</v>
      </c>
      <c r="T21" s="9">
        <f ca="1">'Asset Finance'!T$22</f>
        <v>0</v>
      </c>
      <c r="U21" s="9">
        <f ca="1">'Asset Finance'!U$22</f>
        <v>0</v>
      </c>
      <c r="V21" s="9">
        <f ca="1">'Asset Finance'!V$22</f>
        <v>0</v>
      </c>
      <c r="W21" s="9">
        <f ca="1">'Asset Finance'!W$22</f>
        <v>0</v>
      </c>
      <c r="X21" s="9">
        <f ca="1">'Asset Finance'!X$22</f>
        <v>0</v>
      </c>
      <c r="Y21" s="9">
        <f ca="1">'Asset Finance'!Y$22</f>
        <v>0</v>
      </c>
      <c r="Z21" s="9">
        <f ca="1">'Asset Finance'!Z$22</f>
        <v>0</v>
      </c>
      <c r="AA21" s="9">
        <f ca="1">'Asset Finance'!AA$22</f>
        <v>0</v>
      </c>
      <c r="AB21" s="9">
        <f ca="1">'Asset Finance'!AB$22</f>
        <v>0</v>
      </c>
      <c r="AC21" s="9">
        <f ca="1">'Asset Finance'!AC$22</f>
        <v>0</v>
      </c>
      <c r="AD21" s="9">
        <f ca="1">'Asset Finance'!AD$22</f>
        <v>0</v>
      </c>
      <c r="AE21" s="9">
        <f ca="1">'Asset Finance'!AE$22</f>
        <v>0</v>
      </c>
      <c r="AF21" s="9">
        <f ca="1">'Asset Finance'!AF$22</f>
        <v>0</v>
      </c>
      <c r="AG21" s="9">
        <f ca="1">'Asset Finance'!AG$22</f>
        <v>0</v>
      </c>
      <c r="AH21" s="9">
        <f ca="1">'Asset Finance'!AH$22</f>
        <v>0</v>
      </c>
      <c r="AI21" s="9">
        <f ca="1">'Asset Finance'!AI$22</f>
        <v>0</v>
      </c>
      <c r="AJ21" s="9">
        <f ca="1">'Asset Finance'!AJ$22</f>
        <v>0</v>
      </c>
      <c r="AK21" s="9">
        <f ca="1">'Asset Finance'!AK$22</f>
        <v>0</v>
      </c>
      <c r="AL21" s="9">
        <f ca="1">'Asset Finance'!AL$22</f>
        <v>0</v>
      </c>
      <c r="AM21" s="9">
        <f ca="1">'Asset Finance'!AM$22</f>
        <v>0</v>
      </c>
      <c r="AN21" s="9">
        <f ca="1">'Asset Finance'!AN$22</f>
        <v>0</v>
      </c>
      <c r="AO21" s="9">
        <f ca="1">'Asset Finance'!AO$22</f>
        <v>0</v>
      </c>
      <c r="AP21" s="9">
        <f ca="1">'Asset Finance'!AP$22</f>
        <v>0</v>
      </c>
      <c r="AQ21" s="9">
        <f ca="1">'Asset Finance'!AQ$22</f>
        <v>0</v>
      </c>
      <c r="AR21" s="9">
        <f ca="1">'Asset Finance'!AR$22</f>
        <v>0</v>
      </c>
      <c r="AS21" s="9">
        <f ca="1">'Asset Finance'!AS$22</f>
        <v>0</v>
      </c>
      <c r="AT21" s="9">
        <f ca="1">'Asset Finance'!AT$22</f>
        <v>0</v>
      </c>
      <c r="AU21" s="9">
        <f ca="1">'Asset Finance'!AU$22</f>
        <v>0</v>
      </c>
      <c r="AV21" s="9">
        <f ca="1">'Asset Finance'!AV$22</f>
        <v>0</v>
      </c>
      <c r="AW21" s="9">
        <f ca="1">'Asset Finance'!AW$22</f>
        <v>0</v>
      </c>
      <c r="AX21" s="9">
        <f ca="1">'Asset Finance'!AX$22</f>
        <v>0</v>
      </c>
      <c r="AY21" s="9">
        <f ca="1">'Asset Finance'!AY$22</f>
        <v>0</v>
      </c>
      <c r="AZ21" s="9">
        <f ca="1">'Asset Finance'!AZ$22</f>
        <v>0</v>
      </c>
      <c r="BA21" s="9">
        <f ca="1">'Asset Finance'!BA$22</f>
        <v>0</v>
      </c>
      <c r="BB21" s="9">
        <f ca="1">'Asset Finance'!BB$22</f>
        <v>0</v>
      </c>
      <c r="BC21" s="9">
        <f ca="1">'Asset Finance'!BC$22</f>
        <v>0</v>
      </c>
      <c r="BD21" s="9">
        <f ca="1">'Asset Finance'!BD$22</f>
        <v>0</v>
      </c>
      <c r="BE21" s="9">
        <f ca="1">'Asset Finance'!BE$22</f>
        <v>0</v>
      </c>
      <c r="BF21" s="9">
        <f ca="1">'Asset Finance'!BF$22</f>
        <v>0</v>
      </c>
      <c r="BG21" s="9">
        <f ca="1">'Asset Finance'!BG$22</f>
        <v>0</v>
      </c>
      <c r="BH21" s="9">
        <f ca="1">'Asset Finance'!BH$22</f>
        <v>0</v>
      </c>
      <c r="BI21" s="9">
        <f ca="1">'Asset Finance'!BI$22</f>
        <v>0</v>
      </c>
      <c r="BJ21" s="9">
        <f ca="1">'Asset Finance'!BJ$22</f>
        <v>0</v>
      </c>
      <c r="BK21" s="9">
        <f ca="1">'Asset Finance'!BK$22</f>
        <v>0</v>
      </c>
      <c r="BL21" s="9">
        <f ca="1">'Asset Finance'!BL$22</f>
        <v>0</v>
      </c>
      <c r="BM21" s="9">
        <f ca="1">'Asset Finance'!BM$22</f>
        <v>0</v>
      </c>
      <c r="BN21" s="9">
        <f ca="1">'Asset Finance'!BN$22</f>
        <v>0</v>
      </c>
      <c r="BO21" s="9">
        <f ca="1">'Asset Finance'!BO$22</f>
        <v>0</v>
      </c>
      <c r="BP21" s="9">
        <f ca="1">'Asset Finance'!BP$22</f>
        <v>0</v>
      </c>
      <c r="BQ21" s="9">
        <f ca="1">'Asset Finance'!BQ$22</f>
        <v>0</v>
      </c>
    </row>
    <row r="22" spans="5:69">
      <c r="E22" s="15" t="str">
        <f>'Asset Finance'!E$29</f>
        <v xml:space="preserve">Asset Finance principal repayment </v>
      </c>
      <c r="F22" s="15">
        <f>'Asset Finance'!F$29</f>
        <v>0</v>
      </c>
      <c r="G22" s="15" t="str">
        <f>'Asset Finance'!G$29</f>
        <v>GBP</v>
      </c>
      <c r="H22" s="9">
        <f ca="1">'Asset Finance'!H$29</f>
        <v>0</v>
      </c>
      <c r="I22" s="15">
        <f>'Asset Finance'!I$29</f>
        <v>0</v>
      </c>
      <c r="J22" s="9">
        <f>'Asset Finance'!J$29</f>
        <v>0</v>
      </c>
      <c r="K22" s="9">
        <f ca="1">'Asset Finance'!K$29</f>
        <v>0</v>
      </c>
      <c r="L22" s="9">
        <f ca="1">'Asset Finance'!L$29</f>
        <v>0</v>
      </c>
      <c r="M22" s="9">
        <f ca="1">'Asset Finance'!M$29</f>
        <v>0</v>
      </c>
      <c r="N22" s="9">
        <f ca="1">'Asset Finance'!N$29</f>
        <v>0</v>
      </c>
      <c r="O22" s="9">
        <f ca="1">'Asset Finance'!O$29</f>
        <v>0</v>
      </c>
      <c r="P22" s="9">
        <f ca="1">'Asset Finance'!P$29</f>
        <v>0</v>
      </c>
      <c r="Q22" s="9">
        <f ca="1">'Asset Finance'!Q$29</f>
        <v>0</v>
      </c>
      <c r="R22" s="9">
        <f ca="1">'Asset Finance'!R$29</f>
        <v>0</v>
      </c>
      <c r="S22" s="9">
        <f ca="1">'Asset Finance'!S$29</f>
        <v>0</v>
      </c>
      <c r="T22" s="9">
        <f ca="1">'Asset Finance'!T$29</f>
        <v>0</v>
      </c>
      <c r="U22" s="9">
        <f ca="1">'Asset Finance'!U$29</f>
        <v>0</v>
      </c>
      <c r="V22" s="9">
        <f ca="1">'Asset Finance'!V$29</f>
        <v>0</v>
      </c>
      <c r="W22" s="9">
        <f ca="1">'Asset Finance'!W$29</f>
        <v>0</v>
      </c>
      <c r="X22" s="9">
        <f ca="1">'Asset Finance'!X$29</f>
        <v>0</v>
      </c>
      <c r="Y22" s="9">
        <f ca="1">'Asset Finance'!Y$29</f>
        <v>0</v>
      </c>
      <c r="Z22" s="9">
        <f ca="1">'Asset Finance'!Z$29</f>
        <v>0</v>
      </c>
      <c r="AA22" s="9">
        <f ca="1">'Asset Finance'!AA$29</f>
        <v>0</v>
      </c>
      <c r="AB22" s="9">
        <f ca="1">'Asset Finance'!AB$29</f>
        <v>0</v>
      </c>
      <c r="AC22" s="9">
        <f ca="1">'Asset Finance'!AC$29</f>
        <v>0</v>
      </c>
      <c r="AD22" s="9">
        <f ca="1">'Asset Finance'!AD$29</f>
        <v>0</v>
      </c>
      <c r="AE22" s="9">
        <f ca="1">'Asset Finance'!AE$29</f>
        <v>0</v>
      </c>
      <c r="AF22" s="9">
        <f ca="1">'Asset Finance'!AF$29</f>
        <v>0</v>
      </c>
      <c r="AG22" s="9">
        <f ca="1">'Asset Finance'!AG$29</f>
        <v>0</v>
      </c>
      <c r="AH22" s="9">
        <f ca="1">'Asset Finance'!AH$29</f>
        <v>0</v>
      </c>
      <c r="AI22" s="9">
        <f ca="1">'Asset Finance'!AI$29</f>
        <v>0</v>
      </c>
      <c r="AJ22" s="9">
        <f ca="1">'Asset Finance'!AJ$29</f>
        <v>0</v>
      </c>
      <c r="AK22" s="9">
        <f ca="1">'Asset Finance'!AK$29</f>
        <v>0</v>
      </c>
      <c r="AL22" s="9">
        <f ca="1">'Asset Finance'!AL$29</f>
        <v>0</v>
      </c>
      <c r="AM22" s="9">
        <f ca="1">'Asset Finance'!AM$29</f>
        <v>0</v>
      </c>
      <c r="AN22" s="9">
        <f ca="1">'Asset Finance'!AN$29</f>
        <v>0</v>
      </c>
      <c r="AO22" s="9">
        <f ca="1">'Asset Finance'!AO$29</f>
        <v>0</v>
      </c>
      <c r="AP22" s="9">
        <f ca="1">'Asset Finance'!AP$29</f>
        <v>0</v>
      </c>
      <c r="AQ22" s="9">
        <f ca="1">'Asset Finance'!AQ$29</f>
        <v>0</v>
      </c>
      <c r="AR22" s="9">
        <f ca="1">'Asset Finance'!AR$29</f>
        <v>0</v>
      </c>
      <c r="AS22" s="9">
        <f ca="1">'Asset Finance'!AS$29</f>
        <v>0</v>
      </c>
      <c r="AT22" s="9">
        <f ca="1">'Asset Finance'!AT$29</f>
        <v>0</v>
      </c>
      <c r="AU22" s="9">
        <f ca="1">'Asset Finance'!AU$29</f>
        <v>0</v>
      </c>
      <c r="AV22" s="9">
        <f ca="1">'Asset Finance'!AV$29</f>
        <v>0</v>
      </c>
      <c r="AW22" s="9">
        <f ca="1">'Asset Finance'!AW$29</f>
        <v>0</v>
      </c>
      <c r="AX22" s="9">
        <f ca="1">'Asset Finance'!AX$29</f>
        <v>0</v>
      </c>
      <c r="AY22" s="9">
        <f ca="1">'Asset Finance'!AY$29</f>
        <v>0</v>
      </c>
      <c r="AZ22" s="9">
        <f ca="1">'Asset Finance'!AZ$29</f>
        <v>0</v>
      </c>
      <c r="BA22" s="9">
        <f ca="1">'Asset Finance'!BA$29</f>
        <v>0</v>
      </c>
      <c r="BB22" s="9">
        <f ca="1">'Asset Finance'!BB$29</f>
        <v>0</v>
      </c>
      <c r="BC22" s="9">
        <f ca="1">'Asset Finance'!BC$29</f>
        <v>0</v>
      </c>
      <c r="BD22" s="9">
        <f ca="1">'Asset Finance'!BD$29</f>
        <v>0</v>
      </c>
      <c r="BE22" s="9">
        <f ca="1">'Asset Finance'!BE$29</f>
        <v>0</v>
      </c>
      <c r="BF22" s="9">
        <f ca="1">'Asset Finance'!BF$29</f>
        <v>0</v>
      </c>
      <c r="BG22" s="9">
        <f ca="1">'Asset Finance'!BG$29</f>
        <v>0</v>
      </c>
      <c r="BH22" s="9">
        <f ca="1">'Asset Finance'!BH$29</f>
        <v>0</v>
      </c>
      <c r="BI22" s="9">
        <f ca="1">'Asset Finance'!BI$29</f>
        <v>0</v>
      </c>
      <c r="BJ22" s="9">
        <f ca="1">'Asset Finance'!BJ$29</f>
        <v>0</v>
      </c>
      <c r="BK22" s="9">
        <f ca="1">'Asset Finance'!BK$29</f>
        <v>0</v>
      </c>
      <c r="BL22" s="9">
        <f ca="1">'Asset Finance'!BL$29</f>
        <v>0</v>
      </c>
      <c r="BM22" s="9">
        <f ca="1">'Asset Finance'!BM$29</f>
        <v>0</v>
      </c>
      <c r="BN22" s="9">
        <f ca="1">'Asset Finance'!BN$29</f>
        <v>0</v>
      </c>
      <c r="BO22" s="9">
        <f ca="1">'Asset Finance'!BO$29</f>
        <v>0</v>
      </c>
      <c r="BP22" s="9">
        <f ca="1">'Asset Finance'!BP$29</f>
        <v>0</v>
      </c>
      <c r="BQ22" s="9">
        <f ca="1">'Asset Finance'!BQ$29</f>
        <v>0</v>
      </c>
    </row>
    <row r="23" spans="5:69">
      <c r="E23" s="15" t="str">
        <f>'Supply Chain finance'!E$48</f>
        <v xml:space="preserve">Supply Chain Finance interest paid </v>
      </c>
      <c r="F23" s="15">
        <f>'Supply Chain finance'!F$48</f>
        <v>0</v>
      </c>
      <c r="G23" s="15" t="str">
        <f>'Supply Chain finance'!G$48</f>
        <v>GBP</v>
      </c>
      <c r="H23" s="9">
        <f ca="1">'Supply Chain finance'!H$48</f>
        <v>0</v>
      </c>
      <c r="I23" s="15">
        <f>'Supply Chain finance'!I$48</f>
        <v>0</v>
      </c>
      <c r="J23" s="9">
        <f>'Supply Chain finance'!J$48</f>
        <v>0</v>
      </c>
      <c r="K23" s="9">
        <f ca="1">'Supply Chain finance'!K$48</f>
        <v>0</v>
      </c>
      <c r="L23" s="9">
        <f ca="1">'Supply Chain finance'!L$48</f>
        <v>0</v>
      </c>
      <c r="M23" s="9">
        <f ca="1">'Supply Chain finance'!M$48</f>
        <v>0</v>
      </c>
      <c r="N23" s="9">
        <f ca="1">'Supply Chain finance'!N$48</f>
        <v>0</v>
      </c>
      <c r="O23" s="9">
        <f ca="1">'Supply Chain finance'!O$48</f>
        <v>0</v>
      </c>
      <c r="P23" s="9">
        <f ca="1">'Supply Chain finance'!P$48</f>
        <v>0</v>
      </c>
      <c r="Q23" s="9">
        <f ca="1">'Supply Chain finance'!Q$48</f>
        <v>0</v>
      </c>
      <c r="R23" s="9">
        <f ca="1">'Supply Chain finance'!R$48</f>
        <v>0</v>
      </c>
      <c r="S23" s="9">
        <f ca="1">'Supply Chain finance'!S$48</f>
        <v>0</v>
      </c>
      <c r="T23" s="9">
        <f ca="1">'Supply Chain finance'!T$48</f>
        <v>0</v>
      </c>
      <c r="U23" s="9">
        <f ca="1">'Supply Chain finance'!U$48</f>
        <v>0</v>
      </c>
      <c r="V23" s="9">
        <f ca="1">'Supply Chain finance'!V$48</f>
        <v>0</v>
      </c>
      <c r="W23" s="9">
        <f ca="1">'Supply Chain finance'!W$48</f>
        <v>0</v>
      </c>
      <c r="X23" s="9">
        <f ca="1">'Supply Chain finance'!X$48</f>
        <v>0</v>
      </c>
      <c r="Y23" s="9">
        <f ca="1">'Supply Chain finance'!Y$48</f>
        <v>0</v>
      </c>
      <c r="Z23" s="9">
        <f ca="1">'Supply Chain finance'!Z$48</f>
        <v>0</v>
      </c>
      <c r="AA23" s="9">
        <f ca="1">'Supply Chain finance'!AA$48</f>
        <v>0</v>
      </c>
      <c r="AB23" s="9">
        <f ca="1">'Supply Chain finance'!AB$48</f>
        <v>0</v>
      </c>
      <c r="AC23" s="9">
        <f ca="1">'Supply Chain finance'!AC$48</f>
        <v>0</v>
      </c>
      <c r="AD23" s="9">
        <f ca="1">'Supply Chain finance'!AD$48</f>
        <v>0</v>
      </c>
      <c r="AE23" s="9">
        <f ca="1">'Supply Chain finance'!AE$48</f>
        <v>0</v>
      </c>
      <c r="AF23" s="9">
        <f ca="1">'Supply Chain finance'!AF$48</f>
        <v>0</v>
      </c>
      <c r="AG23" s="9">
        <f ca="1">'Supply Chain finance'!AG$48</f>
        <v>0</v>
      </c>
      <c r="AH23" s="9">
        <f ca="1">'Supply Chain finance'!AH$48</f>
        <v>0</v>
      </c>
      <c r="AI23" s="9">
        <f ca="1">'Supply Chain finance'!AI$48</f>
        <v>0</v>
      </c>
      <c r="AJ23" s="9">
        <f ca="1">'Supply Chain finance'!AJ$48</f>
        <v>0</v>
      </c>
      <c r="AK23" s="9">
        <f ca="1">'Supply Chain finance'!AK$48</f>
        <v>0</v>
      </c>
      <c r="AL23" s="9">
        <f ca="1">'Supply Chain finance'!AL$48</f>
        <v>0</v>
      </c>
      <c r="AM23" s="9">
        <f ca="1">'Supply Chain finance'!AM$48</f>
        <v>0</v>
      </c>
      <c r="AN23" s="9">
        <f ca="1">'Supply Chain finance'!AN$48</f>
        <v>0</v>
      </c>
      <c r="AO23" s="9">
        <f ca="1">'Supply Chain finance'!AO$48</f>
        <v>0</v>
      </c>
      <c r="AP23" s="9">
        <f ca="1">'Supply Chain finance'!AP$48</f>
        <v>0</v>
      </c>
      <c r="AQ23" s="9">
        <f ca="1">'Supply Chain finance'!AQ$48</f>
        <v>0</v>
      </c>
      <c r="AR23" s="9">
        <f ca="1">'Supply Chain finance'!AR$48</f>
        <v>0</v>
      </c>
      <c r="AS23" s="9">
        <f ca="1">'Supply Chain finance'!AS$48</f>
        <v>0</v>
      </c>
      <c r="AT23" s="9">
        <f ca="1">'Supply Chain finance'!AT$48</f>
        <v>0</v>
      </c>
      <c r="AU23" s="9">
        <f ca="1">'Supply Chain finance'!AU$48</f>
        <v>0</v>
      </c>
      <c r="AV23" s="9">
        <f ca="1">'Supply Chain finance'!AV$48</f>
        <v>0</v>
      </c>
      <c r="AW23" s="9">
        <f ca="1">'Supply Chain finance'!AW$48</f>
        <v>0</v>
      </c>
      <c r="AX23" s="9">
        <f ca="1">'Supply Chain finance'!AX$48</f>
        <v>0</v>
      </c>
      <c r="AY23" s="9">
        <f ca="1">'Supply Chain finance'!AY$48</f>
        <v>0</v>
      </c>
      <c r="AZ23" s="9">
        <f ca="1">'Supply Chain finance'!AZ$48</f>
        <v>0</v>
      </c>
      <c r="BA23" s="9">
        <f ca="1">'Supply Chain finance'!BA$48</f>
        <v>0</v>
      </c>
      <c r="BB23" s="9">
        <f ca="1">'Supply Chain finance'!BB$48</f>
        <v>0</v>
      </c>
      <c r="BC23" s="9">
        <f ca="1">'Supply Chain finance'!BC$48</f>
        <v>0</v>
      </c>
      <c r="BD23" s="9">
        <f ca="1">'Supply Chain finance'!BD$48</f>
        <v>0</v>
      </c>
      <c r="BE23" s="9">
        <f ca="1">'Supply Chain finance'!BE$48</f>
        <v>0</v>
      </c>
      <c r="BF23" s="9">
        <f ca="1">'Supply Chain finance'!BF$48</f>
        <v>0</v>
      </c>
      <c r="BG23" s="9">
        <f ca="1">'Supply Chain finance'!BG$48</f>
        <v>0</v>
      </c>
      <c r="BH23" s="9">
        <f ca="1">'Supply Chain finance'!BH$48</f>
        <v>0</v>
      </c>
      <c r="BI23" s="9">
        <f ca="1">'Supply Chain finance'!BI$48</f>
        <v>0</v>
      </c>
      <c r="BJ23" s="9">
        <f ca="1">'Supply Chain finance'!BJ$48</f>
        <v>0</v>
      </c>
      <c r="BK23" s="9">
        <f ca="1">'Supply Chain finance'!BK$48</f>
        <v>0</v>
      </c>
      <c r="BL23" s="9">
        <f ca="1">'Supply Chain finance'!BL$48</f>
        <v>0</v>
      </c>
      <c r="BM23" s="9">
        <f ca="1">'Supply Chain finance'!BM$48</f>
        <v>0</v>
      </c>
      <c r="BN23" s="9">
        <f ca="1">'Supply Chain finance'!BN$48</f>
        <v>0</v>
      </c>
      <c r="BO23" s="9">
        <f ca="1">'Supply Chain finance'!BO$48</f>
        <v>0</v>
      </c>
      <c r="BP23" s="9">
        <f ca="1">'Supply Chain finance'!BP$48</f>
        <v>0</v>
      </c>
      <c r="BQ23" s="9">
        <f ca="1">'Supply Chain finance'!BQ$48</f>
        <v>0</v>
      </c>
    </row>
    <row r="24" spans="5:69">
      <c r="E24" s="15" t="str">
        <f>'Invoice finance'!E$47</f>
        <v xml:space="preserve">Invoice finance interest paid </v>
      </c>
      <c r="F24" s="15">
        <f>'Invoice finance'!F$47</f>
        <v>0</v>
      </c>
      <c r="G24" s="15" t="str">
        <f>'Invoice finance'!G$47</f>
        <v>GBP</v>
      </c>
      <c r="H24" s="9">
        <f ca="1">'Invoice finance'!H$47</f>
        <v>0</v>
      </c>
      <c r="I24" s="15">
        <f>'Invoice finance'!I$47</f>
        <v>0</v>
      </c>
      <c r="J24" s="9">
        <f>'Invoice finance'!J$47</f>
        <v>0</v>
      </c>
      <c r="K24" s="9">
        <f ca="1">'Invoice finance'!K$47</f>
        <v>0</v>
      </c>
      <c r="L24" s="9">
        <f ca="1">'Invoice finance'!L$47</f>
        <v>0</v>
      </c>
      <c r="M24" s="9">
        <f ca="1">'Invoice finance'!M$47</f>
        <v>0</v>
      </c>
      <c r="N24" s="9">
        <f ca="1">'Invoice finance'!N$47</f>
        <v>0</v>
      </c>
      <c r="O24" s="9">
        <f ca="1">'Invoice finance'!O$47</f>
        <v>0</v>
      </c>
      <c r="P24" s="9">
        <f ca="1">'Invoice finance'!P$47</f>
        <v>0</v>
      </c>
      <c r="Q24" s="9">
        <f ca="1">'Invoice finance'!Q$47</f>
        <v>0</v>
      </c>
      <c r="R24" s="9">
        <f ca="1">'Invoice finance'!R$47</f>
        <v>0</v>
      </c>
      <c r="S24" s="9">
        <f ca="1">'Invoice finance'!S$47</f>
        <v>0</v>
      </c>
      <c r="T24" s="9">
        <f ca="1">'Invoice finance'!T$47</f>
        <v>0</v>
      </c>
      <c r="U24" s="9">
        <f ca="1">'Invoice finance'!U$47</f>
        <v>0</v>
      </c>
      <c r="V24" s="9">
        <f ca="1">'Invoice finance'!V$47</f>
        <v>0</v>
      </c>
      <c r="W24" s="9">
        <f ca="1">'Invoice finance'!W$47</f>
        <v>0</v>
      </c>
      <c r="X24" s="9">
        <f ca="1">'Invoice finance'!X$47</f>
        <v>0</v>
      </c>
      <c r="Y24" s="9">
        <f ca="1">'Invoice finance'!Y$47</f>
        <v>0</v>
      </c>
      <c r="Z24" s="9">
        <f ca="1">'Invoice finance'!Z$47</f>
        <v>0</v>
      </c>
      <c r="AA24" s="9">
        <f ca="1">'Invoice finance'!AA$47</f>
        <v>0</v>
      </c>
      <c r="AB24" s="9">
        <f ca="1">'Invoice finance'!AB$47</f>
        <v>0</v>
      </c>
      <c r="AC24" s="9">
        <f ca="1">'Invoice finance'!AC$47</f>
        <v>0</v>
      </c>
      <c r="AD24" s="9">
        <f ca="1">'Invoice finance'!AD$47</f>
        <v>0</v>
      </c>
      <c r="AE24" s="9">
        <f ca="1">'Invoice finance'!AE$47</f>
        <v>0</v>
      </c>
      <c r="AF24" s="9">
        <f ca="1">'Invoice finance'!AF$47</f>
        <v>0</v>
      </c>
      <c r="AG24" s="9">
        <f ca="1">'Invoice finance'!AG$47</f>
        <v>0</v>
      </c>
      <c r="AH24" s="9">
        <f ca="1">'Invoice finance'!AH$47</f>
        <v>0</v>
      </c>
      <c r="AI24" s="9">
        <f ca="1">'Invoice finance'!AI$47</f>
        <v>0</v>
      </c>
      <c r="AJ24" s="9">
        <f ca="1">'Invoice finance'!AJ$47</f>
        <v>0</v>
      </c>
      <c r="AK24" s="9">
        <f ca="1">'Invoice finance'!AK$47</f>
        <v>0</v>
      </c>
      <c r="AL24" s="9">
        <f ca="1">'Invoice finance'!AL$47</f>
        <v>0</v>
      </c>
      <c r="AM24" s="9">
        <f ca="1">'Invoice finance'!AM$47</f>
        <v>0</v>
      </c>
      <c r="AN24" s="9">
        <f ca="1">'Invoice finance'!AN$47</f>
        <v>0</v>
      </c>
      <c r="AO24" s="9">
        <f ca="1">'Invoice finance'!AO$47</f>
        <v>0</v>
      </c>
      <c r="AP24" s="9">
        <f ca="1">'Invoice finance'!AP$47</f>
        <v>0</v>
      </c>
      <c r="AQ24" s="9">
        <f ca="1">'Invoice finance'!AQ$47</f>
        <v>0</v>
      </c>
      <c r="AR24" s="9">
        <f ca="1">'Invoice finance'!AR$47</f>
        <v>0</v>
      </c>
      <c r="AS24" s="9">
        <f ca="1">'Invoice finance'!AS$47</f>
        <v>0</v>
      </c>
      <c r="AT24" s="9">
        <f ca="1">'Invoice finance'!AT$47</f>
        <v>0</v>
      </c>
      <c r="AU24" s="9">
        <f ca="1">'Invoice finance'!AU$47</f>
        <v>0</v>
      </c>
      <c r="AV24" s="9">
        <f ca="1">'Invoice finance'!AV$47</f>
        <v>0</v>
      </c>
      <c r="AW24" s="9">
        <f ca="1">'Invoice finance'!AW$47</f>
        <v>0</v>
      </c>
      <c r="AX24" s="9">
        <f ca="1">'Invoice finance'!AX$47</f>
        <v>0</v>
      </c>
      <c r="AY24" s="9">
        <f ca="1">'Invoice finance'!AY$47</f>
        <v>0</v>
      </c>
      <c r="AZ24" s="9">
        <f ca="1">'Invoice finance'!AZ$47</f>
        <v>0</v>
      </c>
      <c r="BA24" s="9">
        <f ca="1">'Invoice finance'!BA$47</f>
        <v>0</v>
      </c>
      <c r="BB24" s="9">
        <f ca="1">'Invoice finance'!BB$47</f>
        <v>0</v>
      </c>
      <c r="BC24" s="9">
        <f ca="1">'Invoice finance'!BC$47</f>
        <v>0</v>
      </c>
      <c r="BD24" s="9">
        <f ca="1">'Invoice finance'!BD$47</f>
        <v>0</v>
      </c>
      <c r="BE24" s="9">
        <f ca="1">'Invoice finance'!BE$47</f>
        <v>0</v>
      </c>
      <c r="BF24" s="9">
        <f ca="1">'Invoice finance'!BF$47</f>
        <v>0</v>
      </c>
      <c r="BG24" s="9">
        <f ca="1">'Invoice finance'!BG$47</f>
        <v>0</v>
      </c>
      <c r="BH24" s="9">
        <f ca="1">'Invoice finance'!BH$47</f>
        <v>0</v>
      </c>
      <c r="BI24" s="9">
        <f ca="1">'Invoice finance'!BI$47</f>
        <v>0</v>
      </c>
      <c r="BJ24" s="9">
        <f ca="1">'Invoice finance'!BJ$47</f>
        <v>0</v>
      </c>
      <c r="BK24" s="9">
        <f ca="1">'Invoice finance'!BK$47</f>
        <v>0</v>
      </c>
      <c r="BL24" s="9">
        <f ca="1">'Invoice finance'!BL$47</f>
        <v>0</v>
      </c>
      <c r="BM24" s="9">
        <f ca="1">'Invoice finance'!BM$47</f>
        <v>0</v>
      </c>
      <c r="BN24" s="9">
        <f ca="1">'Invoice finance'!BN$47</f>
        <v>0</v>
      </c>
      <c r="BO24" s="9">
        <f ca="1">'Invoice finance'!BO$47</f>
        <v>0</v>
      </c>
      <c r="BP24" s="9">
        <f ca="1">'Invoice finance'!BP$47</f>
        <v>0</v>
      </c>
      <c r="BQ24" s="9">
        <f ca="1">'Invoice finance'!BQ$47</f>
        <v>0</v>
      </c>
    </row>
    <row r="25" spans="5:69">
      <c r="E25" s="15" t="str">
        <f>'Asset Finance'!E$48</f>
        <v xml:space="preserve">Asset Finance interest paid </v>
      </c>
      <c r="F25" s="15">
        <f>'Asset Finance'!F$48</f>
        <v>0</v>
      </c>
      <c r="G25" s="15" t="str">
        <f>'Asset Finance'!G$48</f>
        <v>GBP</v>
      </c>
      <c r="H25" s="9">
        <f ca="1">'Asset Finance'!H$48</f>
        <v>0</v>
      </c>
      <c r="I25" s="15">
        <f>'Asset Finance'!I$48</f>
        <v>0</v>
      </c>
      <c r="J25" s="9">
        <f>'Asset Finance'!J$48</f>
        <v>0</v>
      </c>
      <c r="K25" s="9">
        <f ca="1">'Asset Finance'!K$48</f>
        <v>0</v>
      </c>
      <c r="L25" s="9">
        <f ca="1">'Asset Finance'!L$48</f>
        <v>0</v>
      </c>
      <c r="M25" s="9">
        <f ca="1">'Asset Finance'!M$48</f>
        <v>0</v>
      </c>
      <c r="N25" s="9">
        <f ca="1">'Asset Finance'!N$48</f>
        <v>0</v>
      </c>
      <c r="O25" s="9">
        <f ca="1">'Asset Finance'!O$48</f>
        <v>0</v>
      </c>
      <c r="P25" s="9">
        <f ca="1">'Asset Finance'!P$48</f>
        <v>0</v>
      </c>
      <c r="Q25" s="9">
        <f ca="1">'Asset Finance'!Q$48</f>
        <v>0</v>
      </c>
      <c r="R25" s="9">
        <f ca="1">'Asset Finance'!R$48</f>
        <v>0</v>
      </c>
      <c r="S25" s="9">
        <f ca="1">'Asset Finance'!S$48</f>
        <v>0</v>
      </c>
      <c r="T25" s="9">
        <f ca="1">'Asset Finance'!T$48</f>
        <v>0</v>
      </c>
      <c r="U25" s="9">
        <f ca="1">'Asset Finance'!U$48</f>
        <v>0</v>
      </c>
      <c r="V25" s="9">
        <f ca="1">'Asset Finance'!V$48</f>
        <v>0</v>
      </c>
      <c r="W25" s="9">
        <f ca="1">'Asset Finance'!W$48</f>
        <v>0</v>
      </c>
      <c r="X25" s="9">
        <f ca="1">'Asset Finance'!X$48</f>
        <v>0</v>
      </c>
      <c r="Y25" s="9">
        <f ca="1">'Asset Finance'!Y$48</f>
        <v>0</v>
      </c>
      <c r="Z25" s="9">
        <f ca="1">'Asset Finance'!Z$48</f>
        <v>0</v>
      </c>
      <c r="AA25" s="9">
        <f ca="1">'Asset Finance'!AA$48</f>
        <v>0</v>
      </c>
      <c r="AB25" s="9">
        <f ca="1">'Asset Finance'!AB$48</f>
        <v>0</v>
      </c>
      <c r="AC25" s="9">
        <f ca="1">'Asset Finance'!AC$48</f>
        <v>0</v>
      </c>
      <c r="AD25" s="9">
        <f ca="1">'Asset Finance'!AD$48</f>
        <v>0</v>
      </c>
      <c r="AE25" s="9">
        <f ca="1">'Asset Finance'!AE$48</f>
        <v>0</v>
      </c>
      <c r="AF25" s="9">
        <f ca="1">'Asset Finance'!AF$48</f>
        <v>0</v>
      </c>
      <c r="AG25" s="9">
        <f ca="1">'Asset Finance'!AG$48</f>
        <v>0</v>
      </c>
      <c r="AH25" s="9">
        <f ca="1">'Asset Finance'!AH$48</f>
        <v>0</v>
      </c>
      <c r="AI25" s="9">
        <f ca="1">'Asset Finance'!AI$48</f>
        <v>0</v>
      </c>
      <c r="AJ25" s="9">
        <f ca="1">'Asset Finance'!AJ$48</f>
        <v>0</v>
      </c>
      <c r="AK25" s="9">
        <f ca="1">'Asset Finance'!AK$48</f>
        <v>0</v>
      </c>
      <c r="AL25" s="9">
        <f ca="1">'Asset Finance'!AL$48</f>
        <v>0</v>
      </c>
      <c r="AM25" s="9">
        <f ca="1">'Asset Finance'!AM$48</f>
        <v>0</v>
      </c>
      <c r="AN25" s="9">
        <f ca="1">'Asset Finance'!AN$48</f>
        <v>0</v>
      </c>
      <c r="AO25" s="9">
        <f ca="1">'Asset Finance'!AO$48</f>
        <v>0</v>
      </c>
      <c r="AP25" s="9">
        <f ca="1">'Asset Finance'!AP$48</f>
        <v>0</v>
      </c>
      <c r="AQ25" s="9">
        <f ca="1">'Asset Finance'!AQ$48</f>
        <v>0</v>
      </c>
      <c r="AR25" s="9">
        <f ca="1">'Asset Finance'!AR$48</f>
        <v>0</v>
      </c>
      <c r="AS25" s="9">
        <f ca="1">'Asset Finance'!AS$48</f>
        <v>0</v>
      </c>
      <c r="AT25" s="9">
        <f ca="1">'Asset Finance'!AT$48</f>
        <v>0</v>
      </c>
      <c r="AU25" s="9">
        <f ca="1">'Asset Finance'!AU$48</f>
        <v>0</v>
      </c>
      <c r="AV25" s="9">
        <f ca="1">'Asset Finance'!AV$48</f>
        <v>0</v>
      </c>
      <c r="AW25" s="9">
        <f ca="1">'Asset Finance'!AW$48</f>
        <v>0</v>
      </c>
      <c r="AX25" s="9">
        <f ca="1">'Asset Finance'!AX$48</f>
        <v>0</v>
      </c>
      <c r="AY25" s="9">
        <f ca="1">'Asset Finance'!AY$48</f>
        <v>0</v>
      </c>
      <c r="AZ25" s="9">
        <f ca="1">'Asset Finance'!AZ$48</f>
        <v>0</v>
      </c>
      <c r="BA25" s="9">
        <f ca="1">'Asset Finance'!BA$48</f>
        <v>0</v>
      </c>
      <c r="BB25" s="9">
        <f ca="1">'Asset Finance'!BB$48</f>
        <v>0</v>
      </c>
      <c r="BC25" s="9">
        <f ca="1">'Asset Finance'!BC$48</f>
        <v>0</v>
      </c>
      <c r="BD25" s="9">
        <f ca="1">'Asset Finance'!BD$48</f>
        <v>0</v>
      </c>
      <c r="BE25" s="9">
        <f ca="1">'Asset Finance'!BE$48</f>
        <v>0</v>
      </c>
      <c r="BF25" s="9">
        <f ca="1">'Asset Finance'!BF$48</f>
        <v>0</v>
      </c>
      <c r="BG25" s="9">
        <f ca="1">'Asset Finance'!BG$48</f>
        <v>0</v>
      </c>
      <c r="BH25" s="9">
        <f ca="1">'Asset Finance'!BH$48</f>
        <v>0</v>
      </c>
      <c r="BI25" s="9">
        <f ca="1">'Asset Finance'!BI$48</f>
        <v>0</v>
      </c>
      <c r="BJ25" s="9">
        <f ca="1">'Asset Finance'!BJ$48</f>
        <v>0</v>
      </c>
      <c r="BK25" s="9">
        <f ca="1">'Asset Finance'!BK$48</f>
        <v>0</v>
      </c>
      <c r="BL25" s="9">
        <f ca="1">'Asset Finance'!BL$48</f>
        <v>0</v>
      </c>
      <c r="BM25" s="9">
        <f ca="1">'Asset Finance'!BM$48</f>
        <v>0</v>
      </c>
      <c r="BN25" s="9">
        <f ca="1">'Asset Finance'!BN$48</f>
        <v>0</v>
      </c>
      <c r="BO25" s="9">
        <f ca="1">'Asset Finance'!BO$48</f>
        <v>0</v>
      </c>
      <c r="BP25" s="9">
        <f ca="1">'Asset Finance'!BP$48</f>
        <v>0</v>
      </c>
      <c r="BQ25" s="9">
        <f ca="1">'Asset Finance'!BQ$48</f>
        <v>0</v>
      </c>
    </row>
    <row r="26" spans="5:69">
      <c r="E26" s="12" t="s">
        <v>178</v>
      </c>
      <c r="F26" s="28"/>
      <c r="G26" s="12" t="s">
        <v>252</v>
      </c>
      <c r="H26" s="12">
        <f ca="1">SUM(J26:BQ26)</f>
        <v>107847639.85822076</v>
      </c>
      <c r="I26" s="28"/>
      <c r="J26" s="12">
        <f t="shared" ref="J26:AO26" ca="1" si="4">J15+SUM(J17:J25)</f>
        <v>-103100</v>
      </c>
      <c r="K26" s="12">
        <f t="shared" ca="1" si="4"/>
        <v>-52000.723605699852</v>
      </c>
      <c r="L26" s="12">
        <f t="shared" ca="1" si="4"/>
        <v>-9109.7427378151842</v>
      </c>
      <c r="M26" s="12">
        <f t="shared" ca="1" si="4"/>
        <v>-55678.480578978881</v>
      </c>
      <c r="N26" s="12">
        <f t="shared" ca="1" si="4"/>
        <v>-57346.605234178351</v>
      </c>
      <c r="O26" s="12">
        <f t="shared" ca="1" si="4"/>
        <v>-43924.242258755097</v>
      </c>
      <c r="P26" s="12">
        <f t="shared" ca="1" si="4"/>
        <v>-261115.06596955971</v>
      </c>
      <c r="Q26" s="12">
        <f t="shared" ca="1" si="4"/>
        <v>-63535.713912837666</v>
      </c>
      <c r="R26" s="12">
        <f t="shared" ca="1" si="4"/>
        <v>-366393.76030669909</v>
      </c>
      <c r="S26" s="12">
        <f t="shared" ca="1" si="4"/>
        <v>2046436.2610465558</v>
      </c>
      <c r="T26" s="12">
        <f t="shared" ca="1" si="4"/>
        <v>307636.34308814694</v>
      </c>
      <c r="U26" s="12">
        <f t="shared" ca="1" si="4"/>
        <v>-95430.820703580452</v>
      </c>
      <c r="V26" s="12">
        <f t="shared" ca="1" si="4"/>
        <v>-275950</v>
      </c>
      <c r="W26" s="12">
        <f t="shared" ca="1" si="4"/>
        <v>-79293.983443983379</v>
      </c>
      <c r="X26" s="12">
        <f t="shared" ca="1" si="4"/>
        <v>-397927.4276232589</v>
      </c>
      <c r="Y26" s="12">
        <f t="shared" ca="1" si="4"/>
        <v>1970474.8729276215</v>
      </c>
      <c r="Z26" s="12">
        <f t="shared" ca="1" si="4"/>
        <v>148664.76730930342</v>
      </c>
      <c r="AA26" s="12">
        <f t="shared" ca="1" si="4"/>
        <v>-82806.335069057794</v>
      </c>
      <c r="AB26" s="12">
        <f t="shared" ca="1" si="4"/>
        <v>-244294.81271573345</v>
      </c>
      <c r="AC26" s="12">
        <f t="shared" ca="1" si="4"/>
        <v>-101132.50695998287</v>
      </c>
      <c r="AD26" s="12">
        <f t="shared" ca="1" si="4"/>
        <v>-903899.22717864288</v>
      </c>
      <c r="AE26" s="12">
        <f t="shared" ca="1" si="4"/>
        <v>4524400.0613303473</v>
      </c>
      <c r="AF26" s="12">
        <f t="shared" ca="1" si="4"/>
        <v>116483.08114527797</v>
      </c>
      <c r="AG26" s="12">
        <f t="shared" ca="1" si="4"/>
        <v>-148136.69332328337</v>
      </c>
      <c r="AH26" s="12">
        <f t="shared" ca="1" si="4"/>
        <v>-146526.34912459942</v>
      </c>
      <c r="AI26" s="12">
        <f t="shared" ca="1" si="4"/>
        <v>2314111.8278989592</v>
      </c>
      <c r="AJ26" s="12">
        <f t="shared" ca="1" si="4"/>
        <v>-1074838.8959910942</v>
      </c>
      <c r="AK26" s="12">
        <f t="shared" ca="1" si="4"/>
        <v>1555438.1515784648</v>
      </c>
      <c r="AL26" s="12">
        <f t="shared" ca="1" si="4"/>
        <v>595499.92182510882</v>
      </c>
      <c r="AM26" s="12">
        <f t="shared" ca="1" si="4"/>
        <v>2082586.7736922931</v>
      </c>
      <c r="AN26" s="12">
        <f t="shared" ca="1" si="4"/>
        <v>404727.78683680389</v>
      </c>
      <c r="AO26" s="12">
        <f t="shared" ca="1" si="4"/>
        <v>232216.8624704676</v>
      </c>
      <c r="AP26" s="12">
        <f t="shared" ref="AP26:BU26" ca="1" si="5">AP15+SUM(AP17:AP25)</f>
        <v>1889380.9380024928</v>
      </c>
      <c r="AQ26" s="12">
        <f t="shared" ca="1" si="5"/>
        <v>2955262.9278245741</v>
      </c>
      <c r="AR26" s="12">
        <f t="shared" ca="1" si="5"/>
        <v>2892216.6399554592</v>
      </c>
      <c r="AS26" s="12">
        <f t="shared" ca="1" si="5"/>
        <v>-224576.66460659611</v>
      </c>
      <c r="AT26" s="12">
        <f t="shared" ca="1" si="5"/>
        <v>535680.4984985193</v>
      </c>
      <c r="AU26" s="12">
        <f t="shared" ca="1" si="5"/>
        <v>5514190.5338119892</v>
      </c>
      <c r="AV26" s="12">
        <f t="shared" ca="1" si="5"/>
        <v>-649689.73014612717</v>
      </c>
      <c r="AW26" s="12">
        <f t="shared" ca="1" si="5"/>
        <v>-1741687.6277668041</v>
      </c>
      <c r="AX26" s="12">
        <f t="shared" ca="1" si="5"/>
        <v>3801066.9978289194</v>
      </c>
      <c r="AY26" s="12">
        <f t="shared" ca="1" si="5"/>
        <v>1721796.8194139488</v>
      </c>
      <c r="AZ26" s="12">
        <f t="shared" ca="1" si="5"/>
        <v>3762437.9684259538</v>
      </c>
      <c r="BA26" s="12">
        <f t="shared" ca="1" si="5"/>
        <v>1479761.44456118</v>
      </c>
      <c r="BB26" s="12">
        <f t="shared" ca="1" si="5"/>
        <v>4393914.5884607965</v>
      </c>
      <c r="BC26" s="12">
        <f t="shared" ca="1" si="5"/>
        <v>4043665.4189018747</v>
      </c>
      <c r="BD26" s="12">
        <f t="shared" ca="1" si="5"/>
        <v>4295422.9455408389</v>
      </c>
      <c r="BE26" s="12">
        <f t="shared" ca="1" si="5"/>
        <v>2016455.2027475424</v>
      </c>
      <c r="BF26" s="12">
        <f t="shared" ca="1" si="5"/>
        <v>4382381.2518213661</v>
      </c>
      <c r="BG26" s="12">
        <f t="shared" ca="1" si="5"/>
        <v>4494668.8529518163</v>
      </c>
      <c r="BH26" s="12">
        <f t="shared" ca="1" si="5"/>
        <v>2104038.5268702526</v>
      </c>
      <c r="BI26" s="12">
        <f t="shared" ca="1" si="5"/>
        <v>-737280.47594620381</v>
      </c>
      <c r="BJ26" s="12">
        <f t="shared" ca="1" si="5"/>
        <v>7917845.4853797201</v>
      </c>
      <c r="BK26" s="12">
        <f t="shared" ca="1" si="5"/>
        <v>1787099.4800834223</v>
      </c>
      <c r="BL26" s="12">
        <f t="shared" ca="1" si="5"/>
        <v>8299461.5748502538</v>
      </c>
      <c r="BM26" s="12">
        <f t="shared" ca="1" si="5"/>
        <v>5992842.3918381222</v>
      </c>
      <c r="BN26" s="12">
        <f t="shared" ca="1" si="5"/>
        <v>4591338.8575424813</v>
      </c>
      <c r="BO26" s="12">
        <f t="shared" ca="1" si="5"/>
        <v>8966803.6339209136</v>
      </c>
      <c r="BP26" s="12">
        <f t="shared" ca="1" si="5"/>
        <v>6692824.5702003958</v>
      </c>
      <c r="BQ26" s="12">
        <f t="shared" ca="1" si="5"/>
        <v>4934081.4828420617</v>
      </c>
    </row>
    <row r="28" spans="5:69">
      <c r="E28" s="15" t="str">
        <f>InpS!E$11</f>
        <v>New share capital issued</v>
      </c>
      <c r="F28" s="15">
        <f>InpS!F$11</f>
        <v>0</v>
      </c>
      <c r="G28" s="15" t="str">
        <f>InpS!G$11</f>
        <v>GBP</v>
      </c>
      <c r="H28" s="9">
        <f>InpS!H$11</f>
        <v>0</v>
      </c>
      <c r="I28" s="15">
        <f>InpS!I$11</f>
        <v>0</v>
      </c>
      <c r="J28" s="9">
        <f>InpS!J$11</f>
        <v>0</v>
      </c>
      <c r="K28" s="9">
        <f>InpS!K$11</f>
        <v>0</v>
      </c>
      <c r="L28" s="9">
        <f>InpS!L$11</f>
        <v>0</v>
      </c>
      <c r="M28" s="9">
        <f>InpS!M$11</f>
        <v>0</v>
      </c>
      <c r="N28" s="9">
        <f>InpS!N$11</f>
        <v>0</v>
      </c>
      <c r="O28" s="9">
        <f>InpS!O$11</f>
        <v>0</v>
      </c>
      <c r="P28" s="9">
        <f>InpS!P$11</f>
        <v>0</v>
      </c>
      <c r="Q28" s="9">
        <f>InpS!Q$11</f>
        <v>0</v>
      </c>
      <c r="R28" s="9">
        <f>InpS!R$11</f>
        <v>0</v>
      </c>
      <c r="S28" s="9">
        <f>InpS!S$11</f>
        <v>0</v>
      </c>
      <c r="T28" s="9">
        <f>InpS!T$11</f>
        <v>0</v>
      </c>
      <c r="U28" s="9">
        <f>InpS!U$11</f>
        <v>0</v>
      </c>
      <c r="V28" s="9">
        <f>InpS!V$11</f>
        <v>0</v>
      </c>
      <c r="W28" s="9">
        <f>InpS!W$11</f>
        <v>0</v>
      </c>
      <c r="X28" s="9">
        <f>InpS!X$11</f>
        <v>0</v>
      </c>
      <c r="Y28" s="9">
        <f>InpS!Y$11</f>
        <v>0</v>
      </c>
      <c r="Z28" s="9">
        <f>InpS!Z$11</f>
        <v>0</v>
      </c>
      <c r="AA28" s="9">
        <f>InpS!AA$11</f>
        <v>0</v>
      </c>
      <c r="AB28" s="9">
        <f>InpS!AB$11</f>
        <v>0</v>
      </c>
      <c r="AC28" s="9">
        <f>InpS!AC$11</f>
        <v>0</v>
      </c>
      <c r="AD28" s="9">
        <f>InpS!AD$11</f>
        <v>0</v>
      </c>
      <c r="AE28" s="9">
        <f>InpS!AE$11</f>
        <v>0</v>
      </c>
      <c r="AF28" s="9">
        <f>InpS!AF$11</f>
        <v>0</v>
      </c>
      <c r="AG28" s="9">
        <f>InpS!AG$11</f>
        <v>0</v>
      </c>
      <c r="AH28" s="9">
        <f>InpS!AH$11</f>
        <v>0</v>
      </c>
      <c r="AI28" s="9">
        <f>InpS!AI$11</f>
        <v>0</v>
      </c>
      <c r="AJ28" s="9">
        <f>InpS!AJ$11</f>
        <v>0</v>
      </c>
      <c r="AK28" s="9">
        <f>InpS!AK$11</f>
        <v>0</v>
      </c>
      <c r="AL28" s="9">
        <f>InpS!AL$11</f>
        <v>0</v>
      </c>
      <c r="AM28" s="9">
        <f>InpS!AM$11</f>
        <v>0</v>
      </c>
      <c r="AN28" s="9">
        <f>InpS!AN$11</f>
        <v>0</v>
      </c>
      <c r="AO28" s="9">
        <f>InpS!AO$11</f>
        <v>0</v>
      </c>
      <c r="AP28" s="9">
        <f>InpS!AP$11</f>
        <v>0</v>
      </c>
      <c r="AQ28" s="9">
        <f>InpS!AQ$11</f>
        <v>0</v>
      </c>
      <c r="AR28" s="9">
        <f>InpS!AR$11</f>
        <v>0</v>
      </c>
      <c r="AS28" s="9">
        <f>InpS!AS$11</f>
        <v>0</v>
      </c>
      <c r="AT28" s="9">
        <f>InpS!AT$11</f>
        <v>0</v>
      </c>
      <c r="AU28" s="9">
        <f>InpS!AU$11</f>
        <v>0</v>
      </c>
      <c r="AV28" s="9">
        <f>InpS!AV$11</f>
        <v>0</v>
      </c>
      <c r="AW28" s="9">
        <f>InpS!AW$11</f>
        <v>0</v>
      </c>
      <c r="AX28" s="9">
        <f>InpS!AX$11</f>
        <v>0</v>
      </c>
      <c r="AY28" s="9">
        <f>InpS!AY$11</f>
        <v>0</v>
      </c>
      <c r="AZ28" s="9">
        <f>InpS!AZ$11</f>
        <v>0</v>
      </c>
      <c r="BA28" s="9">
        <f>InpS!BA$11</f>
        <v>0</v>
      </c>
      <c r="BB28" s="9">
        <f>InpS!BB$11</f>
        <v>0</v>
      </c>
      <c r="BC28" s="9">
        <f>InpS!BC$11</f>
        <v>0</v>
      </c>
      <c r="BD28" s="9">
        <f>InpS!BD$11</f>
        <v>0</v>
      </c>
      <c r="BE28" s="9">
        <f>InpS!BE$11</f>
        <v>0</v>
      </c>
      <c r="BF28" s="9">
        <f>InpS!BF$11</f>
        <v>0</v>
      </c>
      <c r="BG28" s="9">
        <f>InpS!BG$11</f>
        <v>0</v>
      </c>
      <c r="BH28" s="9">
        <f>InpS!BH$11</f>
        <v>0</v>
      </c>
      <c r="BI28" s="9">
        <f>InpS!BI$11</f>
        <v>0</v>
      </c>
      <c r="BJ28" s="9">
        <f>InpS!BJ$11</f>
        <v>0</v>
      </c>
      <c r="BK28" s="9">
        <f>InpS!BK$11</f>
        <v>0</v>
      </c>
      <c r="BL28" s="9">
        <f>InpS!BL$11</f>
        <v>0</v>
      </c>
      <c r="BM28" s="9">
        <f>InpS!BM$11</f>
        <v>0</v>
      </c>
      <c r="BN28" s="9">
        <f>InpS!BN$11</f>
        <v>0</v>
      </c>
      <c r="BO28" s="9">
        <f>InpS!BO$11</f>
        <v>0</v>
      </c>
      <c r="BP28" s="9">
        <f>InpS!BP$11</f>
        <v>0</v>
      </c>
      <c r="BQ28" s="9">
        <f>InpS!BQ$11</f>
        <v>0</v>
      </c>
    </row>
    <row r="29" spans="5:69">
      <c r="E29" s="12" t="s">
        <v>114</v>
      </c>
      <c r="F29" s="28"/>
      <c r="G29" s="12" t="s">
        <v>252</v>
      </c>
      <c r="H29" s="12">
        <f ca="1">SUM(J29:BQ29)</f>
        <v>107847639.85822076</v>
      </c>
      <c r="I29" s="28"/>
      <c r="J29" s="12">
        <f t="shared" ref="J29:AO29" ca="1" si="6">J26+J28</f>
        <v>-103100</v>
      </c>
      <c r="K29" s="12">
        <f t="shared" ca="1" si="6"/>
        <v>-52000.723605699852</v>
      </c>
      <c r="L29" s="12">
        <f t="shared" ca="1" si="6"/>
        <v>-9109.7427378151842</v>
      </c>
      <c r="M29" s="12">
        <f t="shared" ca="1" si="6"/>
        <v>-55678.480578978881</v>
      </c>
      <c r="N29" s="12">
        <f t="shared" ca="1" si="6"/>
        <v>-57346.605234178351</v>
      </c>
      <c r="O29" s="12">
        <f t="shared" ca="1" si="6"/>
        <v>-43924.242258755097</v>
      </c>
      <c r="P29" s="12">
        <f t="shared" ca="1" si="6"/>
        <v>-261115.06596955971</v>
      </c>
      <c r="Q29" s="12">
        <f t="shared" ca="1" si="6"/>
        <v>-63535.713912837666</v>
      </c>
      <c r="R29" s="12">
        <f t="shared" ca="1" si="6"/>
        <v>-366393.76030669909</v>
      </c>
      <c r="S29" s="12">
        <f t="shared" ca="1" si="6"/>
        <v>2046436.2610465558</v>
      </c>
      <c r="T29" s="12">
        <f t="shared" ca="1" si="6"/>
        <v>307636.34308814694</v>
      </c>
      <c r="U29" s="12">
        <f t="shared" ca="1" si="6"/>
        <v>-95430.820703580452</v>
      </c>
      <c r="V29" s="12">
        <f t="shared" ca="1" si="6"/>
        <v>-275950</v>
      </c>
      <c r="W29" s="12">
        <f t="shared" ca="1" si="6"/>
        <v>-79293.983443983379</v>
      </c>
      <c r="X29" s="12">
        <f t="shared" ca="1" si="6"/>
        <v>-397927.4276232589</v>
      </c>
      <c r="Y29" s="12">
        <f t="shared" ca="1" si="6"/>
        <v>1970474.8729276215</v>
      </c>
      <c r="Z29" s="12">
        <f t="shared" ca="1" si="6"/>
        <v>148664.76730930342</v>
      </c>
      <c r="AA29" s="12">
        <f t="shared" ca="1" si="6"/>
        <v>-82806.335069057794</v>
      </c>
      <c r="AB29" s="12">
        <f t="shared" ca="1" si="6"/>
        <v>-244294.81271573345</v>
      </c>
      <c r="AC29" s="12">
        <f t="shared" ca="1" si="6"/>
        <v>-101132.50695998287</v>
      </c>
      <c r="AD29" s="12">
        <f t="shared" ca="1" si="6"/>
        <v>-903899.22717864288</v>
      </c>
      <c r="AE29" s="12">
        <f t="shared" ca="1" si="6"/>
        <v>4524400.0613303473</v>
      </c>
      <c r="AF29" s="12">
        <f t="shared" ca="1" si="6"/>
        <v>116483.08114527797</v>
      </c>
      <c r="AG29" s="12">
        <f t="shared" ca="1" si="6"/>
        <v>-148136.69332328337</v>
      </c>
      <c r="AH29" s="12">
        <f t="shared" ca="1" si="6"/>
        <v>-146526.34912459942</v>
      </c>
      <c r="AI29" s="12">
        <f t="shared" ca="1" si="6"/>
        <v>2314111.8278989592</v>
      </c>
      <c r="AJ29" s="12">
        <f t="shared" ca="1" si="6"/>
        <v>-1074838.8959910942</v>
      </c>
      <c r="AK29" s="12">
        <f t="shared" ca="1" si="6"/>
        <v>1555438.1515784648</v>
      </c>
      <c r="AL29" s="12">
        <f t="shared" ca="1" si="6"/>
        <v>595499.92182510882</v>
      </c>
      <c r="AM29" s="12">
        <f t="shared" ca="1" si="6"/>
        <v>2082586.7736922931</v>
      </c>
      <c r="AN29" s="12">
        <f t="shared" ca="1" si="6"/>
        <v>404727.78683680389</v>
      </c>
      <c r="AO29" s="12">
        <f t="shared" ca="1" si="6"/>
        <v>232216.8624704676</v>
      </c>
      <c r="AP29" s="12">
        <f t="shared" ref="AP29:BU29" ca="1" si="7">AP26+AP28</f>
        <v>1889380.9380024928</v>
      </c>
      <c r="AQ29" s="12">
        <f t="shared" ca="1" si="7"/>
        <v>2955262.9278245741</v>
      </c>
      <c r="AR29" s="12">
        <f t="shared" ca="1" si="7"/>
        <v>2892216.6399554592</v>
      </c>
      <c r="AS29" s="12">
        <f t="shared" ca="1" si="7"/>
        <v>-224576.66460659611</v>
      </c>
      <c r="AT29" s="12">
        <f t="shared" ca="1" si="7"/>
        <v>535680.4984985193</v>
      </c>
      <c r="AU29" s="12">
        <f t="shared" ca="1" si="7"/>
        <v>5514190.5338119892</v>
      </c>
      <c r="AV29" s="12">
        <f t="shared" ca="1" si="7"/>
        <v>-649689.73014612717</v>
      </c>
      <c r="AW29" s="12">
        <f t="shared" ca="1" si="7"/>
        <v>-1741687.6277668041</v>
      </c>
      <c r="AX29" s="12">
        <f t="shared" ca="1" si="7"/>
        <v>3801066.9978289194</v>
      </c>
      <c r="AY29" s="12">
        <f t="shared" ca="1" si="7"/>
        <v>1721796.8194139488</v>
      </c>
      <c r="AZ29" s="12">
        <f t="shared" ca="1" si="7"/>
        <v>3762437.9684259538</v>
      </c>
      <c r="BA29" s="12">
        <f t="shared" ca="1" si="7"/>
        <v>1479761.44456118</v>
      </c>
      <c r="BB29" s="12">
        <f t="shared" ca="1" si="7"/>
        <v>4393914.5884607965</v>
      </c>
      <c r="BC29" s="12">
        <f t="shared" ca="1" si="7"/>
        <v>4043665.4189018747</v>
      </c>
      <c r="BD29" s="12">
        <f t="shared" ca="1" si="7"/>
        <v>4295422.9455408389</v>
      </c>
      <c r="BE29" s="12">
        <f t="shared" ca="1" si="7"/>
        <v>2016455.2027475424</v>
      </c>
      <c r="BF29" s="12">
        <f t="shared" ca="1" si="7"/>
        <v>4382381.2518213661</v>
      </c>
      <c r="BG29" s="12">
        <f t="shared" ca="1" si="7"/>
        <v>4494668.8529518163</v>
      </c>
      <c r="BH29" s="12">
        <f t="shared" ca="1" si="7"/>
        <v>2104038.5268702526</v>
      </c>
      <c r="BI29" s="12">
        <f t="shared" ca="1" si="7"/>
        <v>-737280.47594620381</v>
      </c>
      <c r="BJ29" s="12">
        <f t="shared" ca="1" si="7"/>
        <v>7917845.4853797201</v>
      </c>
      <c r="BK29" s="12">
        <f t="shared" ca="1" si="7"/>
        <v>1787099.4800834223</v>
      </c>
      <c r="BL29" s="12">
        <f t="shared" ca="1" si="7"/>
        <v>8299461.5748502538</v>
      </c>
      <c r="BM29" s="12">
        <f t="shared" ca="1" si="7"/>
        <v>5992842.3918381222</v>
      </c>
      <c r="BN29" s="12">
        <f t="shared" ca="1" si="7"/>
        <v>4591338.8575424813</v>
      </c>
      <c r="BO29" s="12">
        <f t="shared" ca="1" si="7"/>
        <v>8966803.6339209136</v>
      </c>
      <c r="BP29" s="12">
        <f t="shared" ca="1" si="7"/>
        <v>6692824.5702003958</v>
      </c>
      <c r="BQ29" s="12">
        <f t="shared" ca="1" si="7"/>
        <v>4934081.4828420617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:AC29"/>
  <sheetViews>
    <sheetView topLeftCell="J6" workbookViewId="0">
      <selection activeCell="J6" sqref="J6"/>
    </sheetView>
  </sheetViews>
  <sheetFormatPr defaultColWidth="0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43.7265625" customWidth="1"/>
    <col min="6" max="6" width="20.7265625" customWidth="1"/>
    <col min="7" max="7" width="13.7265625" customWidth="1"/>
    <col min="8" max="8" width="13.7265625" style="2" customWidth="1"/>
    <col min="9" max="9" width="3.7265625" customWidth="1"/>
    <col min="10" max="26" width="11.7265625" customWidth="1"/>
    <col min="27" max="29" width="12.7265625" customWidth="1"/>
    <col min="30" max="30" width="15.7265625" customWidth="1"/>
  </cols>
  <sheetData>
    <row r="1" spans="1:29" s="53" customFormat="1" ht="25">
      <c r="A1" s="37" t="str">
        <f ca="1">RIGHT(CELL("filename",A1),LEN(CELL("filename",A1))-SEARCH("]",CELL("filename",A1)))</f>
        <v>Cashflow Qly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29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Time!J$75</f>
        <v>45138</v>
      </c>
      <c r="K2" s="6">
        <f>Time!K$75</f>
        <v>45230</v>
      </c>
      <c r="L2" s="6">
        <f>Time!L$75</f>
        <v>45322</v>
      </c>
      <c r="M2" s="6">
        <f>Time!M$75</f>
        <v>45412</v>
      </c>
      <c r="N2" s="6">
        <f>Time!N$75</f>
        <v>45504</v>
      </c>
      <c r="O2" s="6">
        <f>Time!O$75</f>
        <v>45596</v>
      </c>
      <c r="P2" s="6">
        <f>Time!P$75</f>
        <v>45688</v>
      </c>
      <c r="Q2" s="6">
        <f>Time!Q$75</f>
        <v>45777</v>
      </c>
      <c r="R2" s="6">
        <f>Time!R$75</f>
        <v>45869</v>
      </c>
      <c r="S2" s="6">
        <f>Time!S$75</f>
        <v>45961</v>
      </c>
      <c r="T2" s="6">
        <f>Time!T$75</f>
        <v>46053</v>
      </c>
      <c r="U2" s="6">
        <f>Time!U$75</f>
        <v>46142</v>
      </c>
      <c r="V2" s="6">
        <f>Time!V$75</f>
        <v>46234</v>
      </c>
      <c r="W2" s="6">
        <f>Time!W$75</f>
        <v>46326</v>
      </c>
      <c r="X2" s="6">
        <f>Time!X$75</f>
        <v>46418</v>
      </c>
      <c r="Y2" s="6">
        <f>Time!Y$75</f>
        <v>46507</v>
      </c>
      <c r="Z2" s="6">
        <f>Time!Z$75</f>
        <v>46599</v>
      </c>
      <c r="AA2" s="6">
        <f>Time!AA$75</f>
        <v>46691</v>
      </c>
      <c r="AB2" s="6">
        <f>Time!AB$75</f>
        <v>46783</v>
      </c>
      <c r="AC2" s="6">
        <f>Time!AC$75</f>
        <v>46873</v>
      </c>
    </row>
    <row r="3" spans="1:29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Time!J$82</f>
        <v>Month3</v>
      </c>
      <c r="K3" s="7" t="str">
        <f>Time!K$82</f>
        <v>Month6</v>
      </c>
      <c r="L3" s="7" t="str">
        <f>Time!L$82</f>
        <v>Month9</v>
      </c>
      <c r="M3" s="7" t="str">
        <f>Time!M$82</f>
        <v>Month12</v>
      </c>
      <c r="N3" s="7" t="str">
        <f>Time!N$82</f>
        <v>Month15</v>
      </c>
      <c r="O3" s="7" t="str">
        <f>Time!O$82</f>
        <v>Month18</v>
      </c>
      <c r="P3" s="7" t="str">
        <f>Time!P$82</f>
        <v>Month21</v>
      </c>
      <c r="Q3" s="7" t="str">
        <f>Time!Q$82</f>
        <v>Month24</v>
      </c>
      <c r="R3" s="7" t="str">
        <f>Time!R$82</f>
        <v>Month27</v>
      </c>
      <c r="S3" s="7" t="str">
        <f>Time!S$82</f>
        <v>Month30</v>
      </c>
      <c r="T3" s="7" t="str">
        <f>Time!T$82</f>
        <v>Month33</v>
      </c>
      <c r="U3" s="7" t="str">
        <f>Time!U$82</f>
        <v>Month36</v>
      </c>
      <c r="V3" s="7" t="str">
        <f>Time!V$82</f>
        <v>Month39</v>
      </c>
      <c r="W3" s="7" t="str">
        <f>Time!W$82</f>
        <v>Month42</v>
      </c>
      <c r="X3" s="7" t="str">
        <f>Time!X$82</f>
        <v>Month45</v>
      </c>
      <c r="Y3" s="7" t="str">
        <f>Time!Y$82</f>
        <v>Month48</v>
      </c>
      <c r="Z3" s="7" t="str">
        <f>Time!Z$82</f>
        <v>Month51</v>
      </c>
      <c r="AA3" s="7" t="str">
        <f>Time!AA$82</f>
        <v>Month54</v>
      </c>
      <c r="AB3" s="7" t="str">
        <f>Time!AB$82</f>
        <v>Month57</v>
      </c>
      <c r="AC3" s="7" t="str">
        <f>Time!AC$82</f>
        <v>Month60</v>
      </c>
    </row>
    <row r="4" spans="1:29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Time!J$88</f>
        <v>3</v>
      </c>
      <c r="K4" s="5">
        <f>Time!K$88</f>
        <v>6</v>
      </c>
      <c r="L4" s="5">
        <f>Time!L$88</f>
        <v>9</v>
      </c>
      <c r="M4" s="5">
        <f>Time!M$88</f>
        <v>12</v>
      </c>
      <c r="N4" s="5">
        <f>Time!N$88</f>
        <v>15</v>
      </c>
      <c r="O4" s="5">
        <f>Time!O$88</f>
        <v>18</v>
      </c>
      <c r="P4" s="5">
        <f>Time!P$88</f>
        <v>21</v>
      </c>
      <c r="Q4" s="5">
        <f>Time!Q$88</f>
        <v>24</v>
      </c>
      <c r="R4" s="5">
        <f>Time!R$88</f>
        <v>27</v>
      </c>
      <c r="S4" s="5">
        <f>Time!S$88</f>
        <v>30</v>
      </c>
      <c r="T4" s="5">
        <f>Time!T$88</f>
        <v>33</v>
      </c>
      <c r="U4" s="5">
        <f>Time!U$88</f>
        <v>36</v>
      </c>
      <c r="V4" s="5">
        <f>Time!V$88</f>
        <v>39</v>
      </c>
      <c r="W4" s="5">
        <f>Time!W$88</f>
        <v>42</v>
      </c>
      <c r="X4" s="5">
        <f>Time!X$88</f>
        <v>45</v>
      </c>
      <c r="Y4" s="5">
        <f>Time!Y$88</f>
        <v>48</v>
      </c>
      <c r="Z4" s="5">
        <f>Time!Z$88</f>
        <v>51</v>
      </c>
      <c r="AA4" s="5">
        <f>Time!AA$88</f>
        <v>54</v>
      </c>
      <c r="AB4" s="5">
        <f>Time!AB$88</f>
        <v>57</v>
      </c>
      <c r="AC4" s="5">
        <f>Time!AC$88</f>
        <v>60</v>
      </c>
    </row>
    <row r="5" spans="1:29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29" s="2" customFormat="1" ht="13">
      <c r="A6" s="22"/>
      <c r="B6" s="22"/>
      <c r="C6" s="40"/>
      <c r="D6" s="54"/>
      <c r="F6" s="22"/>
      <c r="G6" s="22"/>
      <c r="H6" s="22"/>
    </row>
    <row r="8" spans="1:29">
      <c r="A8"/>
      <c r="E8" s="15" t="str">
        <f>'Working Capital'!E$22</f>
        <v>Cash in from Sales</v>
      </c>
      <c r="F8" s="15">
        <f>'Working Capital'!F$22</f>
        <v>0</v>
      </c>
      <c r="G8" s="15" t="str">
        <f>'Working Capital'!G$22</f>
        <v>GBP</v>
      </c>
      <c r="H8" s="9">
        <f ca="1">'Working Capital'!H$22</f>
        <v>167177203.61119482</v>
      </c>
      <c r="I8" s="15">
        <f>'Working Capital'!I$22</f>
        <v>0</v>
      </c>
      <c r="J8" s="9">
        <f ca="1">SUMIF(Time!$J326:$BQ326,Time!J$28,'Working Capital'!$J22:$BQ22)</f>
        <v>0</v>
      </c>
      <c r="K8" s="9">
        <f ca="1">SUMIF(Time!$J326:$BQ326,Time!K$28,'Working Capital'!$J22:$BQ22)</f>
        <v>0</v>
      </c>
      <c r="L8" s="9">
        <f ca="1">SUMIF(Time!$J326:$BQ326,Time!L$28,'Working Capital'!$J22:$BQ22)</f>
        <v>0</v>
      </c>
      <c r="M8" s="9">
        <f ca="1">SUMIF(Time!$J326:$BQ326,Time!M$28,'Working Capital'!$J22:$BQ22)</f>
        <v>2520000</v>
      </c>
      <c r="N8" s="9">
        <f ca="1">SUMIF(Time!$J326:$BQ326,Time!N$28,'Working Capital'!$J22:$BQ22)</f>
        <v>0</v>
      </c>
      <c r="O8" s="9">
        <f ca="1">SUMIF(Time!$J326:$BQ326,Time!O$28,'Working Capital'!$J22:$BQ22)</f>
        <v>2520000</v>
      </c>
      <c r="P8" s="9">
        <f ca="1">SUMIF(Time!$J326:$BQ326,Time!P$28,'Working Capital'!$J22:$BQ22)</f>
        <v>0</v>
      </c>
      <c r="Q8" s="9">
        <f ca="1">SUMIF(Time!$J326:$BQ326,Time!Q$28,'Working Capital'!$J22:$BQ22)</f>
        <v>5040000</v>
      </c>
      <c r="R8" s="9">
        <f ca="1">SUMIF(Time!$J326:$BQ326,Time!R$28,'Working Capital'!$J22:$BQ22)</f>
        <v>2520000</v>
      </c>
      <c r="S8" s="9">
        <f ca="1">SUMIF(Time!$J326:$BQ326,Time!S$28,'Working Capital'!$J22:$BQ22)</f>
        <v>6644461.1967954356</v>
      </c>
      <c r="T8" s="9">
        <f ca="1">SUMIF(Time!$J326:$BQ326,Time!T$28,'Working Capital'!$J22:$BQ22)</f>
        <v>4430756.1761608757</v>
      </c>
      <c r="U8" s="9">
        <f ca="1">SUMIF(Time!$J326:$BQ326,Time!U$28,'Working Capital'!$J22:$BQ22)</f>
        <v>7314085.13658995</v>
      </c>
      <c r="V8" s="9">
        <f ca="1">SUMIF(Time!$J326:$BQ326,Time!V$28,'Working Capital'!$J22:$BQ22)</f>
        <v>7741605.6501491573</v>
      </c>
      <c r="W8" s="9">
        <f ca="1">SUMIF(Time!$J326:$BQ326,Time!W$28,'Working Capital'!$J22:$BQ22)</f>
        <v>9855205.8439560328</v>
      </c>
      <c r="X8" s="9">
        <f ca="1">SUMIF(Time!$J326:$BQ326,Time!X$28,'Working Capital'!$J22:$BQ22)</f>
        <v>13294663.428371157</v>
      </c>
      <c r="Y8" s="9">
        <f ca="1">SUMIF(Time!$J326:$BQ326,Time!Y$28,'Working Capital'!$J22:$BQ22)</f>
        <v>14384871.054074463</v>
      </c>
      <c r="Z8" s="9">
        <f ca="1">SUMIF(Time!$J326:$BQ326,Time!Z$28,'Working Capital'!$J22:$BQ22)</f>
        <v>15667921.520880949</v>
      </c>
      <c r="AA8" s="9">
        <f ca="1">SUMIF(Time!$J326:$BQ326,Time!AA$28,'Working Capital'!$J22:$BQ22)</f>
        <v>21156310.344882805</v>
      </c>
      <c r="AB8" s="9">
        <f ca="1">SUMIF(Time!$J326:$BQ326,Time!AB$28,'Working Capital'!$J22:$BQ22)</f>
        <v>25789806.835177675</v>
      </c>
      <c r="AC8" s="9">
        <f ca="1">SUMIF(Time!$J326:$BQ326,Time!AC$28,'Working Capital'!$J22:$BQ22)</f>
        <v>28297516.424156312</v>
      </c>
    </row>
    <row r="9" spans="1:29">
      <c r="E9" s="15" t="str">
        <f>'Working Capital'!E$52</f>
        <v xml:space="preserve">Cash out on Operating Expense </v>
      </c>
      <c r="F9" s="15">
        <f>'Working Capital'!F$52</f>
        <v>0</v>
      </c>
      <c r="G9" s="15" t="str">
        <f>'Working Capital'!G$52</f>
        <v>GBP</v>
      </c>
      <c r="H9" s="9">
        <f ca="1">'Working Capital'!H$52</f>
        <v>-16608799.925545277</v>
      </c>
      <c r="I9" s="15">
        <f>'Working Capital'!I$52</f>
        <v>0</v>
      </c>
      <c r="J9" s="9">
        <f ca="1">SUMIF(Time!$J326:$BQ326,Time!J$28,'Working Capital'!$J52:$BQ52)</f>
        <v>-156037.80485312411</v>
      </c>
      <c r="K9" s="9">
        <f ca="1">SUMIF(Time!$J326:$BQ326,Time!K$28,'Working Capital'!$J52:$BQ52)</f>
        <v>-172082.252350147</v>
      </c>
      <c r="L9" s="9">
        <f ca="1">SUMIF(Time!$J326:$BQ326,Time!L$28,'Working Capital'!$J52:$BQ52)</f>
        <v>-190789.5299862145</v>
      </c>
      <c r="M9" s="9">
        <f ca="1">SUMIF(Time!$J326:$BQ326,Time!M$28,'Working Capital'!$J52:$BQ52)</f>
        <v>-212488.87901986082</v>
      </c>
      <c r="N9" s="9">
        <f ca="1">SUMIF(Time!$J326:$BQ326,Time!N$28,'Working Capital'!$J52:$BQ52)</f>
        <v>-237909.1296615274</v>
      </c>
      <c r="O9" s="9">
        <f ca="1">SUMIF(Time!$J326:$BQ326,Time!O$28,'Working Capital'!$J52:$BQ52)</f>
        <v>-268228.00161687355</v>
      </c>
      <c r="P9" s="9">
        <f ca="1">SUMIF(Time!$J326:$BQ326,Time!P$28,'Working Capital'!$J52:$BQ52)</f>
        <v>-303800.53507868026</v>
      </c>
      <c r="Q9" s="9">
        <f ca="1">SUMIF(Time!$J326:$BQ326,Time!Q$28,'Working Capital'!$J52:$BQ52)</f>
        <v>-345331.84302211564</v>
      </c>
      <c r="R9" s="9">
        <f ca="1">SUMIF(Time!$J326:$BQ326,Time!R$28,'Working Capital'!$J52:$BQ52)</f>
        <v>-460338.77582236798</v>
      </c>
      <c r="S9" s="9">
        <f ca="1">SUMIF(Time!$J326:$BQ326,Time!S$28,'Working Capital'!$J52:$BQ52)</f>
        <v>-531529.22093309532</v>
      </c>
      <c r="T9" s="9">
        <f ca="1">SUMIF(Time!$J326:$BQ326,Time!T$28,'Working Capital'!$J52:$BQ52)</f>
        <v>-615634.69142571453</v>
      </c>
      <c r="U9" s="9">
        <f ca="1">SUMIF(Time!$J326:$BQ326,Time!U$28,'Working Capital'!$J52:$BQ52)</f>
        <v>-714222.96249342128</v>
      </c>
      <c r="V9" s="9">
        <f ca="1">SUMIF(Time!$J326:$BQ326,Time!V$28,'Working Capital'!$J52:$BQ52)</f>
        <v>-830815.1348822033</v>
      </c>
      <c r="W9" s="9">
        <f ca="1">SUMIF(Time!$J326:$BQ326,Time!W$28,'Working Capital'!$J52:$BQ52)</f>
        <v>-971049.29798950884</v>
      </c>
      <c r="X9" s="9">
        <f ca="1">SUMIF(Time!$J326:$BQ326,Time!X$28,'Working Capital'!$J52:$BQ52)</f>
        <v>-1137031.6628110772</v>
      </c>
      <c r="Y9" s="9">
        <f ca="1">SUMIF(Time!$J326:$BQ326,Time!Y$28,'Working Capital'!$J52:$BQ52)</f>
        <v>-1331898.6042579813</v>
      </c>
      <c r="Z9" s="9">
        <f ca="1">SUMIF(Time!$J326:$BQ326,Time!Z$28,'Working Capital'!$J52:$BQ52)</f>
        <v>-1562696.1387845641</v>
      </c>
      <c r="AA9" s="9">
        <f ca="1">SUMIF(Time!$J326:$BQ326,Time!AA$28,'Working Capital'!$J52:$BQ52)</f>
        <v>-1840709.1633179646</v>
      </c>
      <c r="AB9" s="9">
        <f ca="1">SUMIF(Time!$J326:$BQ326,Time!AB$28,'Working Capital'!$J52:$BQ52)</f>
        <v>-2169340.433925699</v>
      </c>
      <c r="AC9" s="9">
        <f ca="1">SUMIF(Time!$J326:$BQ326,Time!AC$28,'Working Capital'!$J52:$BQ52)</f>
        <v>-2556865.8633131394</v>
      </c>
    </row>
    <row r="10" spans="1:29">
      <c r="E10" s="15" t="str">
        <f>VAT!E$38</f>
        <v xml:space="preserve">VAT paid </v>
      </c>
      <c r="F10" s="15">
        <f>VAT!F$38</f>
        <v>0</v>
      </c>
      <c r="G10" s="15" t="str">
        <f>VAT!G$38</f>
        <v>GBP</v>
      </c>
      <c r="H10" s="9">
        <f ca="1">VAT!H$38</f>
        <v>-27134220.918038663</v>
      </c>
      <c r="I10" s="15">
        <f>VAT!I$38</f>
        <v>0</v>
      </c>
      <c r="J10" s="9">
        <f ca="1">SUMIF(Time!$J326:$BQ326,Time!J$28,VAT!$J38:$BQ38)</f>
        <v>44327.338509609079</v>
      </c>
      <c r="K10" s="9">
        <f ca="1">SUMIF(Time!$J326:$BQ326,Time!K$28,VAT!$J38:$BQ38)</f>
        <v>15132.924278234681</v>
      </c>
      <c r="L10" s="9">
        <f ca="1">SUMIF(Time!$J326:$BQ326,Time!L$28,VAT!$J38:$BQ38)</f>
        <v>-300755.010202882</v>
      </c>
      <c r="M10" s="9">
        <f ca="1">SUMIF(Time!$J326:$BQ326,Time!M$28,VAT!$J38:$BQ38)</f>
        <v>-48869.337549016898</v>
      </c>
      <c r="N10" s="9">
        <f ca="1">SUMIF(Time!$J326:$BQ326,Time!N$28,VAT!$J38:$BQ38)</f>
        <v>-315762.28140571486</v>
      </c>
      <c r="O10" s="9">
        <f ca="1">SUMIF(Time!$J326:$BQ326,Time!O$28,VAT!$J38:$BQ38)</f>
        <v>9993.2743738466306</v>
      </c>
      <c r="P10" s="9">
        <f ca="1">SUMIF(Time!$J326:$BQ326,Time!P$28,VAT!$J38:$BQ38)</f>
        <v>-746026.01177567896</v>
      </c>
      <c r="Q10" s="9">
        <f ca="1">SUMIF(Time!$J326:$BQ326,Time!Q$28,VAT!$J38:$BQ38)</f>
        <v>-2421.7078255419929</v>
      </c>
      <c r="R10" s="9">
        <f ca="1">SUMIF(Time!$J326:$BQ326,Time!R$28,VAT!$J38:$BQ38)</f>
        <v>-767414.64139436628</v>
      </c>
      <c r="S10" s="9">
        <f ca="1">SUMIF(Time!$J326:$BQ326,Time!S$28,VAT!$J38:$BQ38)</f>
        <v>-670827.74511427153</v>
      </c>
      <c r="T10" s="9">
        <f ca="1">SUMIF(Time!$J326:$BQ326,Time!T$28,VAT!$J38:$BQ38)</f>
        <v>-1089295.8974253964</v>
      </c>
      <c r="U10" s="9">
        <f ca="1">SUMIF(Time!$J326:$BQ326,Time!U$28,VAT!$J38:$BQ38)</f>
        <v>-724959.27092309203</v>
      </c>
      <c r="V10" s="9">
        <f ca="1">SUMIF(Time!$J326:$BQ326,Time!V$28,VAT!$J38:$BQ38)</f>
        <v>-1258609.2131025724</v>
      </c>
      <c r="W10" s="9">
        <f ca="1">SUMIF(Time!$J326:$BQ326,Time!W$28,VAT!$J38:$BQ38)</f>
        <v>-1956996.6741555287</v>
      </c>
      <c r="X10" s="9">
        <f ca="1">SUMIF(Time!$J326:$BQ326,Time!X$28,VAT!$J38:$BQ38)</f>
        <v>-2070017.7641121505</v>
      </c>
      <c r="Y10" s="9">
        <f ca="1">SUMIF(Time!$J326:$BQ326,Time!Y$28,VAT!$J38:$BQ38)</f>
        <v>-2245928.8826262252</v>
      </c>
      <c r="Z10" s="9">
        <f ca="1">SUMIF(Time!$J326:$BQ326,Time!Z$28,VAT!$J38:$BQ38)</f>
        <v>-2525636.7504529487</v>
      </c>
      <c r="AA10" s="9">
        <f ca="1">SUMIF(Time!$J326:$BQ326,Time!AA$28,VAT!$J38:$BQ38)</f>
        <v>-3793388.8162340415</v>
      </c>
      <c r="AB10" s="9">
        <f ca="1">SUMIF(Time!$J326:$BQ326,Time!AB$28,VAT!$J38:$BQ38)</f>
        <v>-4138323.577021122</v>
      </c>
      <c r="AC10" s="9">
        <f ca="1">SUMIF(Time!$J326:$BQ326,Time!AC$28,VAT!$J38:$BQ38)</f>
        <v>-4548440.8738798015</v>
      </c>
    </row>
    <row r="11" spans="1:29">
      <c r="E11" s="15" t="str">
        <f>'Corporation tax'!E$69</f>
        <v xml:space="preserve">Corporation tax paid </v>
      </c>
      <c r="F11" s="15">
        <f>'Corporation tax'!F$69</f>
        <v>0</v>
      </c>
      <c r="G11" s="15" t="str">
        <f>'Corporation tax'!G$69</f>
        <v>GBP</v>
      </c>
      <c r="H11" s="9">
        <f ca="1">'Corporation tax'!H$69</f>
        <v>-9885042.9093900993</v>
      </c>
      <c r="I11" s="15">
        <f>'Corporation tax'!I$69</f>
        <v>0</v>
      </c>
      <c r="J11" s="9">
        <f ca="1">SUMIF(Time!$J326:$BQ326,Time!J$28,'Corporation tax'!$J69:$BQ69)</f>
        <v>0</v>
      </c>
      <c r="K11" s="9">
        <f ca="1">SUMIF(Time!$J326:$BQ326,Time!K$28,'Corporation tax'!$J69:$BQ69)</f>
        <v>0</v>
      </c>
      <c r="L11" s="9">
        <f ca="1">SUMIF(Time!$J326:$BQ326,Time!L$28,'Corporation tax'!$J69:$BQ69)</f>
        <v>0</v>
      </c>
      <c r="M11" s="9">
        <f ca="1">SUMIF(Time!$J326:$BQ326,Time!M$28,'Corporation tax'!$J69:$BQ69)</f>
        <v>0</v>
      </c>
      <c r="N11" s="9">
        <f ca="1">SUMIF(Time!$J326:$BQ326,Time!N$28,'Corporation tax'!$J69:$BQ69)</f>
        <v>0</v>
      </c>
      <c r="O11" s="9">
        <f ca="1">SUMIF(Time!$J326:$BQ326,Time!O$28,'Corporation tax'!$J69:$BQ69)</f>
        <v>-172931.96758910635</v>
      </c>
      <c r="P11" s="9">
        <f ca="1">SUMIF(Time!$J326:$BQ326,Time!P$28,'Corporation tax'!$J69:$BQ69)</f>
        <v>0</v>
      </c>
      <c r="Q11" s="9">
        <f ca="1">SUMIF(Time!$J326:$BQ326,Time!Q$28,'Corporation tax'!$J69:$BQ69)</f>
        <v>0</v>
      </c>
      <c r="R11" s="9">
        <f ca="1">SUMIF(Time!$J326:$BQ326,Time!R$28,'Corporation tax'!$J69:$BQ69)</f>
        <v>0</v>
      </c>
      <c r="S11" s="9">
        <f ca="1">SUMIF(Time!$J326:$BQ326,Time!S$28,'Corporation tax'!$J69:$BQ69)</f>
        <v>-1009079.3836522016</v>
      </c>
      <c r="T11" s="9">
        <f ca="1">SUMIF(Time!$J326:$BQ326,Time!T$28,'Corporation tax'!$J69:$BQ69)</f>
        <v>0</v>
      </c>
      <c r="U11" s="9">
        <f ca="1">SUMIF(Time!$J326:$BQ326,Time!U$28,'Corporation tax'!$J69:$BQ69)</f>
        <v>0</v>
      </c>
      <c r="V11" s="9">
        <f ca="1">SUMIF(Time!$J326:$BQ326,Time!V$28,'Corporation tax'!$J69:$BQ69)</f>
        <v>0</v>
      </c>
      <c r="W11" s="9">
        <f ca="1">SUMIF(Time!$J326:$BQ326,Time!W$28,'Corporation tax'!$J69:$BQ69)</f>
        <v>-2746983.6823349316</v>
      </c>
      <c r="X11" s="9">
        <f ca="1">SUMIF(Time!$J326:$BQ326,Time!X$28,'Corporation tax'!$J69:$BQ69)</f>
        <v>0</v>
      </c>
      <c r="Y11" s="9">
        <f ca="1">SUMIF(Time!$J326:$BQ326,Time!Y$28,'Corporation tax'!$J69:$BQ69)</f>
        <v>0</v>
      </c>
      <c r="Z11" s="9">
        <f ca="1">SUMIF(Time!$J326:$BQ326,Time!Z$28,'Corporation tax'!$J69:$BQ69)</f>
        <v>0</v>
      </c>
      <c r="AA11" s="9">
        <f ca="1">SUMIF(Time!$J326:$BQ326,Time!AA$28,'Corporation tax'!$J69:$BQ69)</f>
        <v>-5956047.8758138604</v>
      </c>
      <c r="AB11" s="9">
        <f ca="1">SUMIF(Time!$J326:$BQ326,Time!AB$28,'Corporation tax'!$J69:$BQ69)</f>
        <v>0</v>
      </c>
      <c r="AC11" s="9">
        <f ca="1">SUMIF(Time!$J326:$BQ326,Time!AC$28,'Corporation tax'!$J69:$BQ69)</f>
        <v>0</v>
      </c>
    </row>
    <row r="12" spans="1:29">
      <c r="E12" s="12" t="s">
        <v>113</v>
      </c>
      <c r="F12" s="28"/>
      <c r="G12" s="12" t="s">
        <v>252</v>
      </c>
      <c r="H12" s="12">
        <f ca="1">SUM(J12:BQ12)</f>
        <v>113549139.85822079</v>
      </c>
      <c r="I12" s="28"/>
      <c r="J12" s="12">
        <f ca="1">SUMIF(Time!$J326:$BQ326,Time!J$28,Cashflow!$J12:$BQ12)</f>
        <v>-111710.46634351503</v>
      </c>
      <c r="K12" s="12">
        <f ca="1">SUMIF(Time!$J326:$BQ326,Time!K$28,Cashflow!$J12:$BQ12)</f>
        <v>-156949.32807191234</v>
      </c>
      <c r="L12" s="12">
        <f ca="1">SUMIF(Time!$J326:$BQ326,Time!L$28,Cashflow!$J12:$BQ12)</f>
        <v>-491544.54018909647</v>
      </c>
      <c r="M12" s="12">
        <f ca="1">SUMIF(Time!$J326:$BQ326,Time!M$28,Cashflow!$J12:$BQ12)</f>
        <v>2258641.7834311221</v>
      </c>
      <c r="N12" s="12">
        <f ca="1">SUMIF(Time!$J326:$BQ326,Time!N$28,Cashflow!$J12:$BQ12)</f>
        <v>-553671.41106724227</v>
      </c>
      <c r="O12" s="12">
        <f ca="1">SUMIF(Time!$J326:$BQ326,Time!O$28,Cashflow!$J12:$BQ12)</f>
        <v>2088833.3051678671</v>
      </c>
      <c r="P12" s="12">
        <f ca="1">SUMIF(Time!$J326:$BQ326,Time!P$28,Cashflow!$J12:$BQ12)</f>
        <v>-1049826.5468543591</v>
      </c>
      <c r="Q12" s="12">
        <f ca="1">SUMIF(Time!$J326:$BQ326,Time!Q$28,Cashflow!$J12:$BQ12)</f>
        <v>4692246.449152342</v>
      </c>
      <c r="R12" s="12">
        <f ca="1">SUMIF(Time!$J326:$BQ326,Time!R$28,Cashflow!$J12:$BQ12)</f>
        <v>1292246.5827832657</v>
      </c>
      <c r="S12" s="12">
        <f ca="1">SUMIF(Time!$J326:$BQ326,Time!S$28,Cashflow!$J12:$BQ12)</f>
        <v>4433024.8470958667</v>
      </c>
      <c r="T12" s="12">
        <f ca="1">SUMIF(Time!$J326:$BQ326,Time!T$28,Cashflow!$J12:$BQ12)</f>
        <v>2725825.5873097642</v>
      </c>
      <c r="U12" s="12">
        <f ca="1">SUMIF(Time!$J326:$BQ326,Time!U$28,Cashflow!$J12:$BQ12)</f>
        <v>5874902.9031734364</v>
      </c>
      <c r="V12" s="12">
        <f ca="1">SUMIF(Time!$J326:$BQ326,Time!V$28,Cashflow!$J12:$BQ12)</f>
        <v>5652181.3021643814</v>
      </c>
      <c r="W12" s="12">
        <f ca="1">SUMIF(Time!$J326:$BQ326,Time!W$28,Cashflow!$J12:$BQ12)</f>
        <v>4180176.1894760644</v>
      </c>
      <c r="X12" s="12">
        <f ca="1">SUMIF(Time!$J326:$BQ326,Time!X$28,Cashflow!$J12:$BQ12)</f>
        <v>10087614.001447931</v>
      </c>
      <c r="Y12" s="12">
        <f ca="1">SUMIF(Time!$J326:$BQ326,Time!Y$28,Cashflow!$J12:$BQ12)</f>
        <v>10807043.567190256</v>
      </c>
      <c r="Z12" s="12">
        <f ca="1">SUMIF(Time!$J326:$BQ326,Time!Z$28,Cashflow!$J12:$BQ12)</f>
        <v>11579588.631643435</v>
      </c>
      <c r="AA12" s="12">
        <f ca="1">SUMIF(Time!$J326:$BQ326,Time!AA$28,Cashflow!$J12:$BQ12)</f>
        <v>9566164.4895169381</v>
      </c>
      <c r="AB12" s="12">
        <f ca="1">SUMIF(Time!$J326:$BQ326,Time!AB$28,Cashflow!$J12:$BQ12)</f>
        <v>19482142.824230857</v>
      </c>
      <c r="AC12" s="12">
        <f ca="1">SUMIF(Time!$J326:$BQ326,Time!AC$28,Cashflow!$J12:$BQ12)</f>
        <v>21192209.686963372</v>
      </c>
    </row>
    <row r="14" spans="1:29">
      <c r="E14" s="15" t="str">
        <f>'Working Capital'!E$15</f>
        <v xml:space="preserve">Cash out on Inventory </v>
      </c>
      <c r="F14" s="15">
        <f>'Working Capital'!F$15</f>
        <v>0</v>
      </c>
      <c r="G14" s="15" t="str">
        <f>'Working Capital'!G$15</f>
        <v>GBP</v>
      </c>
      <c r="H14" s="9">
        <f ca="1">'Working Capital'!H$15</f>
        <v>-5701499.9999999991</v>
      </c>
      <c r="I14" s="15">
        <f>'Working Capital'!I$15</f>
        <v>0</v>
      </c>
      <c r="J14" s="9">
        <f ca="1">SUMIF(Time!$J326:$BQ326,Time!J$28,'Working Capital'!$J15:$BQ15)</f>
        <v>-52500</v>
      </c>
      <c r="K14" s="9">
        <f ca="1">SUMIF(Time!$J326:$BQ326,Time!K$28,'Working Capital'!$J15:$BQ15)</f>
        <v>0</v>
      </c>
      <c r="L14" s="9">
        <f ca="1">SUMIF(Time!$J326:$BQ326,Time!L$28,'Working Capital'!$J15:$BQ15)</f>
        <v>-199499.99999999997</v>
      </c>
      <c r="M14" s="9">
        <f ca="1">SUMIF(Time!$J326:$BQ326,Time!M$28,'Working Capital'!$J15:$BQ15)</f>
        <v>0</v>
      </c>
      <c r="N14" s="9">
        <f ca="1">SUMIF(Time!$J326:$BQ326,Time!N$28,'Working Capital'!$J15:$BQ15)</f>
        <v>-199499.99999999997</v>
      </c>
      <c r="O14" s="9">
        <f ca="1">SUMIF(Time!$J326:$BQ326,Time!O$28,'Working Capital'!$J15:$BQ15)</f>
        <v>-52500</v>
      </c>
      <c r="P14" s="9">
        <f ca="1">SUMIF(Time!$J326:$BQ326,Time!P$28,'Working Capital'!$J15:$BQ15)</f>
        <v>-199499.99999999997</v>
      </c>
      <c r="Q14" s="9">
        <f ca="1">SUMIF(Time!$J326:$BQ326,Time!Q$28,'Working Capital'!$J15:$BQ15)</f>
        <v>-199499.99999999997</v>
      </c>
      <c r="R14" s="9">
        <f ca="1">SUMIF(Time!$J326:$BQ326,Time!R$28,'Working Capital'!$J15:$BQ15)</f>
        <v>-199499.99999999997</v>
      </c>
      <c r="S14" s="9">
        <f ca="1">SUMIF(Time!$J326:$BQ326,Time!S$28,'Working Capital'!$J15:$BQ15)</f>
        <v>-199499.99999999997</v>
      </c>
      <c r="T14" s="9">
        <f ca="1">SUMIF(Time!$J326:$BQ326,Time!T$28,'Working Capital'!$J15:$BQ15)</f>
        <v>-199499.99999999997</v>
      </c>
      <c r="U14" s="9">
        <f ca="1">SUMIF(Time!$J326:$BQ326,Time!U$28,'Working Capital'!$J15:$BQ15)</f>
        <v>-251999.99999999997</v>
      </c>
      <c r="V14" s="9">
        <f ca="1">SUMIF(Time!$J326:$BQ326,Time!V$28,'Working Capital'!$J15:$BQ15)</f>
        <v>-251999.99999999997</v>
      </c>
      <c r="W14" s="9">
        <f ca="1">SUMIF(Time!$J326:$BQ326,Time!W$28,'Working Capital'!$J15:$BQ15)</f>
        <v>-398999.99999999994</v>
      </c>
      <c r="X14" s="9">
        <f ca="1">SUMIF(Time!$J326:$BQ326,Time!X$28,'Working Capital'!$J15:$BQ15)</f>
        <v>-451499.99999999994</v>
      </c>
      <c r="Y14" s="9">
        <f ca="1">SUMIF(Time!$J326:$BQ326,Time!Y$28,'Working Capital'!$J15:$BQ15)</f>
        <v>-451499.99999999994</v>
      </c>
      <c r="Z14" s="9">
        <f ca="1">SUMIF(Time!$J326:$BQ326,Time!Z$28,'Working Capital'!$J15:$BQ15)</f>
        <v>-598499.99999999988</v>
      </c>
      <c r="AA14" s="9">
        <f ca="1">SUMIF(Time!$J326:$BQ326,Time!AA$28,'Working Capital'!$J15:$BQ15)</f>
        <v>-598499.99999999988</v>
      </c>
      <c r="AB14" s="9">
        <f ca="1">SUMIF(Time!$J326:$BQ326,Time!AB$28,'Working Capital'!$J15:$BQ15)</f>
        <v>-598499.99999999988</v>
      </c>
      <c r="AC14" s="9">
        <f ca="1">SUMIF(Time!$J326:$BQ326,Time!AC$28,'Working Capital'!$J15:$BQ15)</f>
        <v>-598499.99999999988</v>
      </c>
    </row>
    <row r="15" spans="1:29">
      <c r="E15" s="12" t="s">
        <v>20</v>
      </c>
      <c r="F15" s="28"/>
      <c r="G15" s="12" t="s">
        <v>252</v>
      </c>
      <c r="H15" s="12">
        <f ca="1">SUM(J15:BQ15)</f>
        <v>107847639.85822079</v>
      </c>
      <c r="I15" s="28"/>
      <c r="J15" s="12">
        <f ca="1">SUMIF(Time!$J326:$BQ326,Time!J$28,Cashflow!$J15:$BQ15)</f>
        <v>-164210.46634351503</v>
      </c>
      <c r="K15" s="12">
        <f ca="1">SUMIF(Time!$J326:$BQ326,Time!K$28,Cashflow!$J15:$BQ15)</f>
        <v>-156949.32807191234</v>
      </c>
      <c r="L15" s="12">
        <f ca="1">SUMIF(Time!$J326:$BQ326,Time!L$28,Cashflow!$J15:$BQ15)</f>
        <v>-691044.54018909647</v>
      </c>
      <c r="M15" s="12">
        <f ca="1">SUMIF(Time!$J326:$BQ326,Time!M$28,Cashflow!$J15:$BQ15)</f>
        <v>2258641.7834311221</v>
      </c>
      <c r="N15" s="12">
        <f ca="1">SUMIF(Time!$J326:$BQ326,Time!N$28,Cashflow!$J15:$BQ15)</f>
        <v>-753171.41106724227</v>
      </c>
      <c r="O15" s="12">
        <f ca="1">SUMIF(Time!$J326:$BQ326,Time!O$28,Cashflow!$J15:$BQ15)</f>
        <v>2036333.3051678671</v>
      </c>
      <c r="P15" s="12">
        <f ca="1">SUMIF(Time!$J326:$BQ326,Time!P$28,Cashflow!$J15:$BQ15)</f>
        <v>-1249326.5468543591</v>
      </c>
      <c r="Q15" s="12">
        <f ca="1">SUMIF(Time!$J326:$BQ326,Time!Q$28,Cashflow!$J15:$BQ15)</f>
        <v>4492746.449152342</v>
      </c>
      <c r="R15" s="12">
        <f ca="1">SUMIF(Time!$J326:$BQ326,Time!R$28,Cashflow!$J15:$BQ15)</f>
        <v>1092746.5827832657</v>
      </c>
      <c r="S15" s="12">
        <f ca="1">SUMIF(Time!$J326:$BQ326,Time!S$28,Cashflow!$J15:$BQ15)</f>
        <v>4233524.8470958667</v>
      </c>
      <c r="T15" s="12">
        <f ca="1">SUMIF(Time!$J326:$BQ326,Time!T$28,Cashflow!$J15:$BQ15)</f>
        <v>2526325.5873097642</v>
      </c>
      <c r="U15" s="12">
        <f ca="1">SUMIF(Time!$J326:$BQ326,Time!U$28,Cashflow!$J15:$BQ15)</f>
        <v>5622902.9031734364</v>
      </c>
      <c r="V15" s="12">
        <f ca="1">SUMIF(Time!$J326:$BQ326,Time!V$28,Cashflow!$J15:$BQ15)</f>
        <v>5400181.3021643814</v>
      </c>
      <c r="W15" s="12">
        <f ca="1">SUMIF(Time!$J326:$BQ326,Time!W$28,Cashflow!$J15:$BQ15)</f>
        <v>3781176.1894760644</v>
      </c>
      <c r="X15" s="12">
        <f ca="1">SUMIF(Time!$J326:$BQ326,Time!X$28,Cashflow!$J15:$BQ15)</f>
        <v>9636114.0014479309</v>
      </c>
      <c r="Y15" s="12">
        <f ca="1">SUMIF(Time!$J326:$BQ326,Time!Y$28,Cashflow!$J15:$BQ15)</f>
        <v>10355543.567190256</v>
      </c>
      <c r="Z15" s="12">
        <f ca="1">SUMIF(Time!$J326:$BQ326,Time!Z$28,Cashflow!$J15:$BQ15)</f>
        <v>10981088.631643435</v>
      </c>
      <c r="AA15" s="12">
        <f ca="1">SUMIF(Time!$J326:$BQ326,Time!AA$28,Cashflow!$J15:$BQ15)</f>
        <v>8967664.4895169381</v>
      </c>
      <c r="AB15" s="12">
        <f ca="1">SUMIF(Time!$J326:$BQ326,Time!AB$28,Cashflow!$J15:$BQ15)</f>
        <v>18883642.824230857</v>
      </c>
      <c r="AC15" s="12">
        <f ca="1">SUMIF(Time!$J326:$BQ326,Time!AC$28,Cashflow!$J15:$BQ15)</f>
        <v>20593709.686963372</v>
      </c>
    </row>
    <row r="17" spans="5:29">
      <c r="E17" s="15" t="str">
        <f>'Supply Chain finance'!E$22</f>
        <v>Supply Chain Finance drawdown</v>
      </c>
      <c r="F17" s="15">
        <f>'Supply Chain finance'!F$22</f>
        <v>0</v>
      </c>
      <c r="G17" s="15" t="str">
        <f>'Supply Chain finance'!G$22</f>
        <v>GBP</v>
      </c>
      <c r="H17" s="9">
        <f ca="1">'Supply Chain finance'!H$22</f>
        <v>0</v>
      </c>
      <c r="I17" s="15">
        <f>'Supply Chain finance'!I$22</f>
        <v>0</v>
      </c>
      <c r="J17" s="9">
        <f ca="1">SUMIF(Time!$J326:$BQ326,Time!J$28,'Supply Chain finance'!$J22:$BQ22)</f>
        <v>0</v>
      </c>
      <c r="K17" s="9">
        <f ca="1">SUMIF(Time!$J326:$BQ326,Time!K$28,'Supply Chain finance'!$J22:$BQ22)</f>
        <v>0</v>
      </c>
      <c r="L17" s="9">
        <f ca="1">SUMIF(Time!$J326:$BQ326,Time!L$28,'Supply Chain finance'!$J22:$BQ22)</f>
        <v>0</v>
      </c>
      <c r="M17" s="9">
        <f ca="1">SUMIF(Time!$J326:$BQ326,Time!M$28,'Supply Chain finance'!$J22:$BQ22)</f>
        <v>0</v>
      </c>
      <c r="N17" s="9">
        <f ca="1">SUMIF(Time!$J326:$BQ326,Time!N$28,'Supply Chain finance'!$J22:$BQ22)</f>
        <v>0</v>
      </c>
      <c r="O17" s="9">
        <f ca="1">SUMIF(Time!$J326:$BQ326,Time!O$28,'Supply Chain finance'!$J22:$BQ22)</f>
        <v>0</v>
      </c>
      <c r="P17" s="9">
        <f ca="1">SUMIF(Time!$J326:$BQ326,Time!P$28,'Supply Chain finance'!$J22:$BQ22)</f>
        <v>0</v>
      </c>
      <c r="Q17" s="9">
        <f ca="1">SUMIF(Time!$J326:$BQ326,Time!Q$28,'Supply Chain finance'!$J22:$BQ22)</f>
        <v>0</v>
      </c>
      <c r="R17" s="9">
        <f ca="1">SUMIF(Time!$J326:$BQ326,Time!R$28,'Supply Chain finance'!$J22:$BQ22)</f>
        <v>0</v>
      </c>
      <c r="S17" s="9">
        <f ca="1">SUMIF(Time!$J326:$BQ326,Time!S$28,'Supply Chain finance'!$J22:$BQ22)</f>
        <v>0</v>
      </c>
      <c r="T17" s="9">
        <f ca="1">SUMIF(Time!$J326:$BQ326,Time!T$28,'Supply Chain finance'!$J22:$BQ22)</f>
        <v>0</v>
      </c>
      <c r="U17" s="9">
        <f ca="1">SUMIF(Time!$J326:$BQ326,Time!U$28,'Supply Chain finance'!$J22:$BQ22)</f>
        <v>0</v>
      </c>
      <c r="V17" s="9">
        <f ca="1">SUMIF(Time!$J326:$BQ326,Time!V$28,'Supply Chain finance'!$J22:$BQ22)</f>
        <v>0</v>
      </c>
      <c r="W17" s="9">
        <f ca="1">SUMIF(Time!$J326:$BQ326,Time!W$28,'Supply Chain finance'!$J22:$BQ22)</f>
        <v>0</v>
      </c>
      <c r="X17" s="9">
        <f ca="1">SUMIF(Time!$J326:$BQ326,Time!X$28,'Supply Chain finance'!$J22:$BQ22)</f>
        <v>0</v>
      </c>
      <c r="Y17" s="9">
        <f ca="1">SUMIF(Time!$J326:$BQ326,Time!Y$28,'Supply Chain finance'!$J22:$BQ22)</f>
        <v>0</v>
      </c>
      <c r="Z17" s="9">
        <f ca="1">SUMIF(Time!$J326:$BQ326,Time!Z$28,'Supply Chain finance'!$J22:$BQ22)</f>
        <v>0</v>
      </c>
      <c r="AA17" s="9">
        <f ca="1">SUMIF(Time!$J326:$BQ326,Time!AA$28,'Supply Chain finance'!$J22:$BQ22)</f>
        <v>0</v>
      </c>
      <c r="AB17" s="9">
        <f ca="1">SUMIF(Time!$J326:$BQ326,Time!AB$28,'Supply Chain finance'!$J22:$BQ22)</f>
        <v>0</v>
      </c>
      <c r="AC17" s="9">
        <f ca="1">SUMIF(Time!$J326:$BQ326,Time!AC$28,'Supply Chain finance'!$J22:$BQ22)</f>
        <v>0</v>
      </c>
    </row>
    <row r="18" spans="5:29">
      <c r="E18" s="15" t="str">
        <f>'Supply Chain finance'!E$29</f>
        <v xml:space="preserve">Supply Chain Finance principal repayment </v>
      </c>
      <c r="F18" s="15">
        <f>'Supply Chain finance'!F$29</f>
        <v>0</v>
      </c>
      <c r="G18" s="15" t="str">
        <f>'Supply Chain finance'!G$29</f>
        <v>GBP</v>
      </c>
      <c r="H18" s="9">
        <f ca="1">'Supply Chain finance'!H$29</f>
        <v>0</v>
      </c>
      <c r="I18" s="15">
        <f>'Supply Chain finance'!I$29</f>
        <v>0</v>
      </c>
      <c r="J18" s="9">
        <f ca="1">SUMIF(Time!$J326:$BQ326,Time!J$28,'Supply Chain finance'!$J29:$BQ29)</f>
        <v>0</v>
      </c>
      <c r="K18" s="9">
        <f ca="1">SUMIF(Time!$J326:$BQ326,Time!K$28,'Supply Chain finance'!$J29:$BQ29)</f>
        <v>0</v>
      </c>
      <c r="L18" s="9">
        <f ca="1">SUMIF(Time!$J326:$BQ326,Time!L$28,'Supply Chain finance'!$J29:$BQ29)</f>
        <v>0</v>
      </c>
      <c r="M18" s="9">
        <f ca="1">SUMIF(Time!$J326:$BQ326,Time!M$28,'Supply Chain finance'!$J29:$BQ29)</f>
        <v>0</v>
      </c>
      <c r="N18" s="9">
        <f ca="1">SUMIF(Time!$J326:$BQ326,Time!N$28,'Supply Chain finance'!$J29:$BQ29)</f>
        <v>0</v>
      </c>
      <c r="O18" s="9">
        <f ca="1">SUMIF(Time!$J326:$BQ326,Time!O$28,'Supply Chain finance'!$J29:$BQ29)</f>
        <v>0</v>
      </c>
      <c r="P18" s="9">
        <f ca="1">SUMIF(Time!$J326:$BQ326,Time!P$28,'Supply Chain finance'!$J29:$BQ29)</f>
        <v>0</v>
      </c>
      <c r="Q18" s="9">
        <f ca="1">SUMIF(Time!$J326:$BQ326,Time!Q$28,'Supply Chain finance'!$J29:$BQ29)</f>
        <v>0</v>
      </c>
      <c r="R18" s="9">
        <f ca="1">SUMIF(Time!$J326:$BQ326,Time!R$28,'Supply Chain finance'!$J29:$BQ29)</f>
        <v>0</v>
      </c>
      <c r="S18" s="9">
        <f ca="1">SUMIF(Time!$J326:$BQ326,Time!S$28,'Supply Chain finance'!$J29:$BQ29)</f>
        <v>0</v>
      </c>
      <c r="T18" s="9">
        <f ca="1">SUMIF(Time!$J326:$BQ326,Time!T$28,'Supply Chain finance'!$J29:$BQ29)</f>
        <v>0</v>
      </c>
      <c r="U18" s="9">
        <f ca="1">SUMIF(Time!$J326:$BQ326,Time!U$28,'Supply Chain finance'!$J29:$BQ29)</f>
        <v>0</v>
      </c>
      <c r="V18" s="9">
        <f ca="1">SUMIF(Time!$J326:$BQ326,Time!V$28,'Supply Chain finance'!$J29:$BQ29)</f>
        <v>0</v>
      </c>
      <c r="W18" s="9">
        <f ca="1">SUMIF(Time!$J326:$BQ326,Time!W$28,'Supply Chain finance'!$J29:$BQ29)</f>
        <v>0</v>
      </c>
      <c r="X18" s="9">
        <f ca="1">SUMIF(Time!$J326:$BQ326,Time!X$28,'Supply Chain finance'!$J29:$BQ29)</f>
        <v>0</v>
      </c>
      <c r="Y18" s="9">
        <f ca="1">SUMIF(Time!$J326:$BQ326,Time!Y$28,'Supply Chain finance'!$J29:$BQ29)</f>
        <v>0</v>
      </c>
      <c r="Z18" s="9">
        <f ca="1">SUMIF(Time!$J326:$BQ326,Time!Z$28,'Supply Chain finance'!$J29:$BQ29)</f>
        <v>0</v>
      </c>
      <c r="AA18" s="9">
        <f ca="1">SUMIF(Time!$J326:$BQ326,Time!AA$28,'Supply Chain finance'!$J29:$BQ29)</f>
        <v>0</v>
      </c>
      <c r="AB18" s="9">
        <f ca="1">SUMIF(Time!$J326:$BQ326,Time!AB$28,'Supply Chain finance'!$J29:$BQ29)</f>
        <v>0</v>
      </c>
      <c r="AC18" s="9">
        <f ca="1">SUMIF(Time!$J326:$BQ326,Time!AC$28,'Supply Chain finance'!$J29:$BQ29)</f>
        <v>0</v>
      </c>
    </row>
    <row r="19" spans="5:29">
      <c r="E19" s="15" t="str">
        <f>'Invoice finance'!E$21</f>
        <v>Invoice finance drawdown</v>
      </c>
      <c r="F19" s="15">
        <f>'Invoice finance'!F$21</f>
        <v>0</v>
      </c>
      <c r="G19" s="15" t="str">
        <f>'Invoice finance'!G$21</f>
        <v>GBP</v>
      </c>
      <c r="H19" s="9">
        <f ca="1">'Invoice finance'!H$21</f>
        <v>0</v>
      </c>
      <c r="I19" s="15">
        <f>'Invoice finance'!I$21</f>
        <v>0</v>
      </c>
      <c r="J19" s="9">
        <f ca="1">SUMIF(Time!$J326:$BQ326,Time!J$28,'Invoice finance'!$J21:$BQ21)</f>
        <v>0</v>
      </c>
      <c r="K19" s="9">
        <f ca="1">SUMIF(Time!$J326:$BQ326,Time!K$28,'Invoice finance'!$J21:$BQ21)</f>
        <v>0</v>
      </c>
      <c r="L19" s="9">
        <f ca="1">SUMIF(Time!$J326:$BQ326,Time!L$28,'Invoice finance'!$J21:$BQ21)</f>
        <v>0</v>
      </c>
      <c r="M19" s="9">
        <f ca="1">SUMIF(Time!$J326:$BQ326,Time!M$28,'Invoice finance'!$J21:$BQ21)</f>
        <v>0</v>
      </c>
      <c r="N19" s="9">
        <f ca="1">SUMIF(Time!$J326:$BQ326,Time!N$28,'Invoice finance'!$J21:$BQ21)</f>
        <v>0</v>
      </c>
      <c r="O19" s="9">
        <f ca="1">SUMIF(Time!$J326:$BQ326,Time!O$28,'Invoice finance'!$J21:$BQ21)</f>
        <v>0</v>
      </c>
      <c r="P19" s="9">
        <f ca="1">SUMIF(Time!$J326:$BQ326,Time!P$28,'Invoice finance'!$J21:$BQ21)</f>
        <v>0</v>
      </c>
      <c r="Q19" s="9">
        <f ca="1">SUMIF(Time!$J326:$BQ326,Time!Q$28,'Invoice finance'!$J21:$BQ21)</f>
        <v>0</v>
      </c>
      <c r="R19" s="9">
        <f ca="1">SUMIF(Time!$J326:$BQ326,Time!R$28,'Invoice finance'!$J21:$BQ21)</f>
        <v>0</v>
      </c>
      <c r="S19" s="9">
        <f ca="1">SUMIF(Time!$J326:$BQ326,Time!S$28,'Invoice finance'!$J21:$BQ21)</f>
        <v>0</v>
      </c>
      <c r="T19" s="9">
        <f ca="1">SUMIF(Time!$J326:$BQ326,Time!T$28,'Invoice finance'!$J21:$BQ21)</f>
        <v>0</v>
      </c>
      <c r="U19" s="9">
        <f ca="1">SUMIF(Time!$J326:$BQ326,Time!U$28,'Invoice finance'!$J21:$BQ21)</f>
        <v>0</v>
      </c>
      <c r="V19" s="9">
        <f ca="1">SUMIF(Time!$J326:$BQ326,Time!V$28,'Invoice finance'!$J21:$BQ21)</f>
        <v>0</v>
      </c>
      <c r="W19" s="9">
        <f ca="1">SUMIF(Time!$J326:$BQ326,Time!W$28,'Invoice finance'!$J21:$BQ21)</f>
        <v>0</v>
      </c>
      <c r="X19" s="9">
        <f ca="1">SUMIF(Time!$J326:$BQ326,Time!X$28,'Invoice finance'!$J21:$BQ21)</f>
        <v>0</v>
      </c>
      <c r="Y19" s="9">
        <f ca="1">SUMIF(Time!$J326:$BQ326,Time!Y$28,'Invoice finance'!$J21:$BQ21)</f>
        <v>0</v>
      </c>
      <c r="Z19" s="9">
        <f ca="1">SUMIF(Time!$J326:$BQ326,Time!Z$28,'Invoice finance'!$J21:$BQ21)</f>
        <v>0</v>
      </c>
      <c r="AA19" s="9">
        <f ca="1">SUMIF(Time!$J326:$BQ326,Time!AA$28,'Invoice finance'!$J21:$BQ21)</f>
        <v>0</v>
      </c>
      <c r="AB19" s="9">
        <f ca="1">SUMIF(Time!$J326:$BQ326,Time!AB$28,'Invoice finance'!$J21:$BQ21)</f>
        <v>0</v>
      </c>
      <c r="AC19" s="9">
        <f ca="1">SUMIF(Time!$J326:$BQ326,Time!AC$28,'Invoice finance'!$J21:$BQ21)</f>
        <v>0</v>
      </c>
    </row>
    <row r="20" spans="5:29">
      <c r="E20" s="15" t="str">
        <f>'Invoice finance'!E$28</f>
        <v xml:space="preserve">Invoice finance principal repayment </v>
      </c>
      <c r="F20" s="15">
        <f>'Invoice finance'!F$28</f>
        <v>0</v>
      </c>
      <c r="G20" s="15" t="str">
        <f>'Invoice finance'!G$28</f>
        <v>GBP</v>
      </c>
      <c r="H20" s="9">
        <f ca="1">'Invoice finance'!H$28</f>
        <v>0</v>
      </c>
      <c r="I20" s="15">
        <f>'Invoice finance'!I$28</f>
        <v>0</v>
      </c>
      <c r="J20" s="9">
        <f ca="1">SUMIF(Time!$J326:$BQ326,Time!J$28,'Invoice finance'!$J28:$BQ28)</f>
        <v>0</v>
      </c>
      <c r="K20" s="9">
        <f ca="1">SUMIF(Time!$J326:$BQ326,Time!K$28,'Invoice finance'!$J28:$BQ28)</f>
        <v>0</v>
      </c>
      <c r="L20" s="9">
        <f ca="1">SUMIF(Time!$J326:$BQ326,Time!L$28,'Invoice finance'!$J28:$BQ28)</f>
        <v>0</v>
      </c>
      <c r="M20" s="9">
        <f ca="1">SUMIF(Time!$J326:$BQ326,Time!M$28,'Invoice finance'!$J28:$BQ28)</f>
        <v>0</v>
      </c>
      <c r="N20" s="9">
        <f ca="1">SUMIF(Time!$J326:$BQ326,Time!N$28,'Invoice finance'!$J28:$BQ28)</f>
        <v>0</v>
      </c>
      <c r="O20" s="9">
        <f ca="1">SUMIF(Time!$J326:$BQ326,Time!O$28,'Invoice finance'!$J28:$BQ28)</f>
        <v>0</v>
      </c>
      <c r="P20" s="9">
        <f ca="1">SUMIF(Time!$J326:$BQ326,Time!P$28,'Invoice finance'!$J28:$BQ28)</f>
        <v>0</v>
      </c>
      <c r="Q20" s="9">
        <f ca="1">SUMIF(Time!$J326:$BQ326,Time!Q$28,'Invoice finance'!$J28:$BQ28)</f>
        <v>0</v>
      </c>
      <c r="R20" s="9">
        <f ca="1">SUMIF(Time!$J326:$BQ326,Time!R$28,'Invoice finance'!$J28:$BQ28)</f>
        <v>0</v>
      </c>
      <c r="S20" s="9">
        <f ca="1">SUMIF(Time!$J326:$BQ326,Time!S$28,'Invoice finance'!$J28:$BQ28)</f>
        <v>0</v>
      </c>
      <c r="T20" s="9">
        <f ca="1">SUMIF(Time!$J326:$BQ326,Time!T$28,'Invoice finance'!$J28:$BQ28)</f>
        <v>0</v>
      </c>
      <c r="U20" s="9">
        <f ca="1">SUMIF(Time!$J326:$BQ326,Time!U$28,'Invoice finance'!$J28:$BQ28)</f>
        <v>0</v>
      </c>
      <c r="V20" s="9">
        <f ca="1">SUMIF(Time!$J326:$BQ326,Time!V$28,'Invoice finance'!$J28:$BQ28)</f>
        <v>0</v>
      </c>
      <c r="W20" s="9">
        <f ca="1">SUMIF(Time!$J326:$BQ326,Time!W$28,'Invoice finance'!$J28:$BQ28)</f>
        <v>0</v>
      </c>
      <c r="X20" s="9">
        <f ca="1">SUMIF(Time!$J326:$BQ326,Time!X$28,'Invoice finance'!$J28:$BQ28)</f>
        <v>0</v>
      </c>
      <c r="Y20" s="9">
        <f ca="1">SUMIF(Time!$J326:$BQ326,Time!Y$28,'Invoice finance'!$J28:$BQ28)</f>
        <v>0</v>
      </c>
      <c r="Z20" s="9">
        <f ca="1">SUMIF(Time!$J326:$BQ326,Time!Z$28,'Invoice finance'!$J28:$BQ28)</f>
        <v>0</v>
      </c>
      <c r="AA20" s="9">
        <f ca="1">SUMIF(Time!$J326:$BQ326,Time!AA$28,'Invoice finance'!$J28:$BQ28)</f>
        <v>0</v>
      </c>
      <c r="AB20" s="9">
        <f ca="1">SUMIF(Time!$J326:$BQ326,Time!AB$28,'Invoice finance'!$J28:$BQ28)</f>
        <v>0</v>
      </c>
      <c r="AC20" s="9">
        <f ca="1">SUMIF(Time!$J326:$BQ326,Time!AC$28,'Invoice finance'!$J28:$BQ28)</f>
        <v>0</v>
      </c>
    </row>
    <row r="21" spans="5:29">
      <c r="E21" s="15" t="str">
        <f>'Asset Finance'!E$22</f>
        <v>Asset Finance drawdown</v>
      </c>
      <c r="F21" s="15">
        <f>'Asset Finance'!F$22</f>
        <v>0</v>
      </c>
      <c r="G21" s="15" t="str">
        <f>'Asset Finance'!G$22</f>
        <v>GBP</v>
      </c>
      <c r="H21" s="9">
        <f ca="1">'Asset Finance'!H$22</f>
        <v>0</v>
      </c>
      <c r="I21" s="15">
        <f>'Asset Finance'!I$22</f>
        <v>0</v>
      </c>
      <c r="J21" s="9">
        <f ca="1">SUMIF(Time!$J326:$BQ326,Time!J$28,'Asset Finance'!$J22:$BQ22)</f>
        <v>0</v>
      </c>
      <c r="K21" s="9">
        <f ca="1">SUMIF(Time!$J326:$BQ326,Time!K$28,'Asset Finance'!$J22:$BQ22)</f>
        <v>0</v>
      </c>
      <c r="L21" s="9">
        <f ca="1">SUMIF(Time!$J326:$BQ326,Time!L$28,'Asset Finance'!$J22:$BQ22)</f>
        <v>0</v>
      </c>
      <c r="M21" s="9">
        <f ca="1">SUMIF(Time!$J326:$BQ326,Time!M$28,'Asset Finance'!$J22:$BQ22)</f>
        <v>0</v>
      </c>
      <c r="N21" s="9">
        <f ca="1">SUMIF(Time!$J326:$BQ326,Time!N$28,'Asset Finance'!$J22:$BQ22)</f>
        <v>0</v>
      </c>
      <c r="O21" s="9">
        <f ca="1">SUMIF(Time!$J326:$BQ326,Time!O$28,'Asset Finance'!$J22:$BQ22)</f>
        <v>0</v>
      </c>
      <c r="P21" s="9">
        <f ca="1">SUMIF(Time!$J326:$BQ326,Time!P$28,'Asset Finance'!$J22:$BQ22)</f>
        <v>0</v>
      </c>
      <c r="Q21" s="9">
        <f ca="1">SUMIF(Time!$J326:$BQ326,Time!Q$28,'Asset Finance'!$J22:$BQ22)</f>
        <v>0</v>
      </c>
      <c r="R21" s="9">
        <f ca="1">SUMIF(Time!$J326:$BQ326,Time!R$28,'Asset Finance'!$J22:$BQ22)</f>
        <v>0</v>
      </c>
      <c r="S21" s="9">
        <f ca="1">SUMIF(Time!$J326:$BQ326,Time!S$28,'Asset Finance'!$J22:$BQ22)</f>
        <v>0</v>
      </c>
      <c r="T21" s="9">
        <f ca="1">SUMIF(Time!$J326:$BQ326,Time!T$28,'Asset Finance'!$J22:$BQ22)</f>
        <v>0</v>
      </c>
      <c r="U21" s="9">
        <f ca="1">SUMIF(Time!$J326:$BQ326,Time!U$28,'Asset Finance'!$J22:$BQ22)</f>
        <v>0</v>
      </c>
      <c r="V21" s="9">
        <f ca="1">SUMIF(Time!$J326:$BQ326,Time!V$28,'Asset Finance'!$J22:$BQ22)</f>
        <v>0</v>
      </c>
      <c r="W21" s="9">
        <f ca="1">SUMIF(Time!$J326:$BQ326,Time!W$28,'Asset Finance'!$J22:$BQ22)</f>
        <v>0</v>
      </c>
      <c r="X21" s="9">
        <f ca="1">SUMIF(Time!$J326:$BQ326,Time!X$28,'Asset Finance'!$J22:$BQ22)</f>
        <v>0</v>
      </c>
      <c r="Y21" s="9">
        <f ca="1">SUMIF(Time!$J326:$BQ326,Time!Y$28,'Asset Finance'!$J22:$BQ22)</f>
        <v>0</v>
      </c>
      <c r="Z21" s="9">
        <f ca="1">SUMIF(Time!$J326:$BQ326,Time!Z$28,'Asset Finance'!$J22:$BQ22)</f>
        <v>0</v>
      </c>
      <c r="AA21" s="9">
        <f ca="1">SUMIF(Time!$J326:$BQ326,Time!AA$28,'Asset Finance'!$J22:$BQ22)</f>
        <v>0</v>
      </c>
      <c r="AB21" s="9">
        <f ca="1">SUMIF(Time!$J326:$BQ326,Time!AB$28,'Asset Finance'!$J22:$BQ22)</f>
        <v>0</v>
      </c>
      <c r="AC21" s="9">
        <f ca="1">SUMIF(Time!$J326:$BQ326,Time!AC$28,'Asset Finance'!$J22:$BQ22)</f>
        <v>0</v>
      </c>
    </row>
    <row r="22" spans="5:29">
      <c r="E22" s="15" t="str">
        <f>'Asset Finance'!E$29</f>
        <v xml:space="preserve">Asset Finance principal repayment </v>
      </c>
      <c r="F22" s="15">
        <f>'Asset Finance'!F$29</f>
        <v>0</v>
      </c>
      <c r="G22" s="15" t="str">
        <f>'Asset Finance'!G$29</f>
        <v>GBP</v>
      </c>
      <c r="H22" s="9">
        <f ca="1">'Asset Finance'!H$29</f>
        <v>0</v>
      </c>
      <c r="I22" s="15">
        <f>'Asset Finance'!I$29</f>
        <v>0</v>
      </c>
      <c r="J22" s="9">
        <f ca="1">SUMIF(Time!$J326:$BQ326,Time!J$28,'Asset Finance'!$J29:$BQ29)</f>
        <v>0</v>
      </c>
      <c r="K22" s="9">
        <f ca="1">SUMIF(Time!$J326:$BQ326,Time!K$28,'Asset Finance'!$J29:$BQ29)</f>
        <v>0</v>
      </c>
      <c r="L22" s="9">
        <f ca="1">SUMIF(Time!$J326:$BQ326,Time!L$28,'Asset Finance'!$J29:$BQ29)</f>
        <v>0</v>
      </c>
      <c r="M22" s="9">
        <f ca="1">SUMIF(Time!$J326:$BQ326,Time!M$28,'Asset Finance'!$J29:$BQ29)</f>
        <v>0</v>
      </c>
      <c r="N22" s="9">
        <f ca="1">SUMIF(Time!$J326:$BQ326,Time!N$28,'Asset Finance'!$J29:$BQ29)</f>
        <v>0</v>
      </c>
      <c r="O22" s="9">
        <f ca="1">SUMIF(Time!$J326:$BQ326,Time!O$28,'Asset Finance'!$J29:$BQ29)</f>
        <v>0</v>
      </c>
      <c r="P22" s="9">
        <f ca="1">SUMIF(Time!$J326:$BQ326,Time!P$28,'Asset Finance'!$J29:$BQ29)</f>
        <v>0</v>
      </c>
      <c r="Q22" s="9">
        <f ca="1">SUMIF(Time!$J326:$BQ326,Time!Q$28,'Asset Finance'!$J29:$BQ29)</f>
        <v>0</v>
      </c>
      <c r="R22" s="9">
        <f ca="1">SUMIF(Time!$J326:$BQ326,Time!R$28,'Asset Finance'!$J29:$BQ29)</f>
        <v>0</v>
      </c>
      <c r="S22" s="9">
        <f ca="1">SUMIF(Time!$J326:$BQ326,Time!S$28,'Asset Finance'!$J29:$BQ29)</f>
        <v>0</v>
      </c>
      <c r="T22" s="9">
        <f ca="1">SUMIF(Time!$J326:$BQ326,Time!T$28,'Asset Finance'!$J29:$BQ29)</f>
        <v>0</v>
      </c>
      <c r="U22" s="9">
        <f ca="1">SUMIF(Time!$J326:$BQ326,Time!U$28,'Asset Finance'!$J29:$BQ29)</f>
        <v>0</v>
      </c>
      <c r="V22" s="9">
        <f ca="1">SUMIF(Time!$J326:$BQ326,Time!V$28,'Asset Finance'!$J29:$BQ29)</f>
        <v>0</v>
      </c>
      <c r="W22" s="9">
        <f ca="1">SUMIF(Time!$J326:$BQ326,Time!W$28,'Asset Finance'!$J29:$BQ29)</f>
        <v>0</v>
      </c>
      <c r="X22" s="9">
        <f ca="1">SUMIF(Time!$J326:$BQ326,Time!X$28,'Asset Finance'!$J29:$BQ29)</f>
        <v>0</v>
      </c>
      <c r="Y22" s="9">
        <f ca="1">SUMIF(Time!$J326:$BQ326,Time!Y$28,'Asset Finance'!$J29:$BQ29)</f>
        <v>0</v>
      </c>
      <c r="Z22" s="9">
        <f ca="1">SUMIF(Time!$J326:$BQ326,Time!Z$28,'Asset Finance'!$J29:$BQ29)</f>
        <v>0</v>
      </c>
      <c r="AA22" s="9">
        <f ca="1">SUMIF(Time!$J326:$BQ326,Time!AA$28,'Asset Finance'!$J29:$BQ29)</f>
        <v>0</v>
      </c>
      <c r="AB22" s="9">
        <f ca="1">SUMIF(Time!$J326:$BQ326,Time!AB$28,'Asset Finance'!$J29:$BQ29)</f>
        <v>0</v>
      </c>
      <c r="AC22" s="9">
        <f ca="1">SUMIF(Time!$J326:$BQ326,Time!AC$28,'Asset Finance'!$J29:$BQ29)</f>
        <v>0</v>
      </c>
    </row>
    <row r="23" spans="5:29">
      <c r="E23" s="15" t="str">
        <f>'Supply Chain finance'!E$48</f>
        <v xml:space="preserve">Supply Chain Finance interest paid </v>
      </c>
      <c r="F23" s="15">
        <f>'Supply Chain finance'!F$48</f>
        <v>0</v>
      </c>
      <c r="G23" s="15" t="str">
        <f>'Supply Chain finance'!G$48</f>
        <v>GBP</v>
      </c>
      <c r="H23" s="9">
        <f ca="1">'Supply Chain finance'!H$48</f>
        <v>0</v>
      </c>
      <c r="I23" s="15">
        <f>'Supply Chain finance'!I$48</f>
        <v>0</v>
      </c>
      <c r="J23" s="9">
        <f ca="1">SUMIF(Time!$J326:$BQ326,Time!J$28,'Supply Chain finance'!$J48:$BQ48)</f>
        <v>0</v>
      </c>
      <c r="K23" s="9">
        <f ca="1">SUMIF(Time!$J326:$BQ326,Time!K$28,'Supply Chain finance'!$J48:$BQ48)</f>
        <v>0</v>
      </c>
      <c r="L23" s="9">
        <f ca="1">SUMIF(Time!$J326:$BQ326,Time!L$28,'Supply Chain finance'!$J48:$BQ48)</f>
        <v>0</v>
      </c>
      <c r="M23" s="9">
        <f ca="1">SUMIF(Time!$J326:$BQ326,Time!M$28,'Supply Chain finance'!$J48:$BQ48)</f>
        <v>0</v>
      </c>
      <c r="N23" s="9">
        <f ca="1">SUMIF(Time!$J326:$BQ326,Time!N$28,'Supply Chain finance'!$J48:$BQ48)</f>
        <v>0</v>
      </c>
      <c r="O23" s="9">
        <f ca="1">SUMIF(Time!$J326:$BQ326,Time!O$28,'Supply Chain finance'!$J48:$BQ48)</f>
        <v>0</v>
      </c>
      <c r="P23" s="9">
        <f ca="1">SUMIF(Time!$J326:$BQ326,Time!P$28,'Supply Chain finance'!$J48:$BQ48)</f>
        <v>0</v>
      </c>
      <c r="Q23" s="9">
        <f ca="1">SUMIF(Time!$J326:$BQ326,Time!Q$28,'Supply Chain finance'!$J48:$BQ48)</f>
        <v>0</v>
      </c>
      <c r="R23" s="9">
        <f ca="1">SUMIF(Time!$J326:$BQ326,Time!R$28,'Supply Chain finance'!$J48:$BQ48)</f>
        <v>0</v>
      </c>
      <c r="S23" s="9">
        <f ca="1">SUMIF(Time!$J326:$BQ326,Time!S$28,'Supply Chain finance'!$J48:$BQ48)</f>
        <v>0</v>
      </c>
      <c r="T23" s="9">
        <f ca="1">SUMIF(Time!$J326:$BQ326,Time!T$28,'Supply Chain finance'!$J48:$BQ48)</f>
        <v>0</v>
      </c>
      <c r="U23" s="9">
        <f ca="1">SUMIF(Time!$J326:$BQ326,Time!U$28,'Supply Chain finance'!$J48:$BQ48)</f>
        <v>0</v>
      </c>
      <c r="V23" s="9">
        <f ca="1">SUMIF(Time!$J326:$BQ326,Time!V$28,'Supply Chain finance'!$J48:$BQ48)</f>
        <v>0</v>
      </c>
      <c r="W23" s="9">
        <f ca="1">SUMIF(Time!$J326:$BQ326,Time!W$28,'Supply Chain finance'!$J48:$BQ48)</f>
        <v>0</v>
      </c>
      <c r="X23" s="9">
        <f ca="1">SUMIF(Time!$J326:$BQ326,Time!X$28,'Supply Chain finance'!$J48:$BQ48)</f>
        <v>0</v>
      </c>
      <c r="Y23" s="9">
        <f ca="1">SUMIF(Time!$J326:$BQ326,Time!Y$28,'Supply Chain finance'!$J48:$BQ48)</f>
        <v>0</v>
      </c>
      <c r="Z23" s="9">
        <f ca="1">SUMIF(Time!$J326:$BQ326,Time!Z$28,'Supply Chain finance'!$J48:$BQ48)</f>
        <v>0</v>
      </c>
      <c r="AA23" s="9">
        <f ca="1">SUMIF(Time!$J326:$BQ326,Time!AA$28,'Supply Chain finance'!$J48:$BQ48)</f>
        <v>0</v>
      </c>
      <c r="AB23" s="9">
        <f ca="1">SUMIF(Time!$J326:$BQ326,Time!AB$28,'Supply Chain finance'!$J48:$BQ48)</f>
        <v>0</v>
      </c>
      <c r="AC23" s="9">
        <f ca="1">SUMIF(Time!$J326:$BQ326,Time!AC$28,'Supply Chain finance'!$J48:$BQ48)</f>
        <v>0</v>
      </c>
    </row>
    <row r="24" spans="5:29">
      <c r="E24" s="15" t="str">
        <f>'Invoice finance'!E$47</f>
        <v xml:space="preserve">Invoice finance interest paid </v>
      </c>
      <c r="F24" s="15">
        <f>'Invoice finance'!F$47</f>
        <v>0</v>
      </c>
      <c r="G24" s="15" t="str">
        <f>'Invoice finance'!G$47</f>
        <v>GBP</v>
      </c>
      <c r="H24" s="9">
        <f ca="1">'Invoice finance'!H$47</f>
        <v>0</v>
      </c>
      <c r="I24" s="15">
        <f>'Invoice finance'!I$47</f>
        <v>0</v>
      </c>
      <c r="J24" s="9">
        <f ca="1">SUMIF(Time!$J326:$BQ326,Time!J$28,'Invoice finance'!$J47:$BQ47)</f>
        <v>0</v>
      </c>
      <c r="K24" s="9">
        <f ca="1">SUMIF(Time!$J326:$BQ326,Time!K$28,'Invoice finance'!$J47:$BQ47)</f>
        <v>0</v>
      </c>
      <c r="L24" s="9">
        <f ca="1">SUMIF(Time!$J326:$BQ326,Time!L$28,'Invoice finance'!$J47:$BQ47)</f>
        <v>0</v>
      </c>
      <c r="M24" s="9">
        <f ca="1">SUMIF(Time!$J326:$BQ326,Time!M$28,'Invoice finance'!$J47:$BQ47)</f>
        <v>0</v>
      </c>
      <c r="N24" s="9">
        <f ca="1">SUMIF(Time!$J326:$BQ326,Time!N$28,'Invoice finance'!$J47:$BQ47)</f>
        <v>0</v>
      </c>
      <c r="O24" s="9">
        <f ca="1">SUMIF(Time!$J326:$BQ326,Time!O$28,'Invoice finance'!$J47:$BQ47)</f>
        <v>0</v>
      </c>
      <c r="P24" s="9">
        <f ca="1">SUMIF(Time!$J326:$BQ326,Time!P$28,'Invoice finance'!$J47:$BQ47)</f>
        <v>0</v>
      </c>
      <c r="Q24" s="9">
        <f ca="1">SUMIF(Time!$J326:$BQ326,Time!Q$28,'Invoice finance'!$J47:$BQ47)</f>
        <v>0</v>
      </c>
      <c r="R24" s="9">
        <f ca="1">SUMIF(Time!$J326:$BQ326,Time!R$28,'Invoice finance'!$J47:$BQ47)</f>
        <v>0</v>
      </c>
      <c r="S24" s="9">
        <f ca="1">SUMIF(Time!$J326:$BQ326,Time!S$28,'Invoice finance'!$J47:$BQ47)</f>
        <v>0</v>
      </c>
      <c r="T24" s="9">
        <f ca="1">SUMIF(Time!$J326:$BQ326,Time!T$28,'Invoice finance'!$J47:$BQ47)</f>
        <v>0</v>
      </c>
      <c r="U24" s="9">
        <f ca="1">SUMIF(Time!$J326:$BQ326,Time!U$28,'Invoice finance'!$J47:$BQ47)</f>
        <v>0</v>
      </c>
      <c r="V24" s="9">
        <f ca="1">SUMIF(Time!$J326:$BQ326,Time!V$28,'Invoice finance'!$J47:$BQ47)</f>
        <v>0</v>
      </c>
      <c r="W24" s="9">
        <f ca="1">SUMIF(Time!$J326:$BQ326,Time!W$28,'Invoice finance'!$J47:$BQ47)</f>
        <v>0</v>
      </c>
      <c r="X24" s="9">
        <f ca="1">SUMIF(Time!$J326:$BQ326,Time!X$28,'Invoice finance'!$J47:$BQ47)</f>
        <v>0</v>
      </c>
      <c r="Y24" s="9">
        <f ca="1">SUMIF(Time!$J326:$BQ326,Time!Y$28,'Invoice finance'!$J47:$BQ47)</f>
        <v>0</v>
      </c>
      <c r="Z24" s="9">
        <f ca="1">SUMIF(Time!$J326:$BQ326,Time!Z$28,'Invoice finance'!$J47:$BQ47)</f>
        <v>0</v>
      </c>
      <c r="AA24" s="9">
        <f ca="1">SUMIF(Time!$J326:$BQ326,Time!AA$28,'Invoice finance'!$J47:$BQ47)</f>
        <v>0</v>
      </c>
      <c r="AB24" s="9">
        <f ca="1">SUMIF(Time!$J326:$BQ326,Time!AB$28,'Invoice finance'!$J47:$BQ47)</f>
        <v>0</v>
      </c>
      <c r="AC24" s="9">
        <f ca="1">SUMIF(Time!$J326:$BQ326,Time!AC$28,'Invoice finance'!$J47:$BQ47)</f>
        <v>0</v>
      </c>
    </row>
    <row r="25" spans="5:29">
      <c r="E25" s="15" t="str">
        <f>'Asset Finance'!E$48</f>
        <v xml:space="preserve">Asset Finance interest paid </v>
      </c>
      <c r="F25" s="15">
        <f>'Asset Finance'!F$48</f>
        <v>0</v>
      </c>
      <c r="G25" s="15" t="str">
        <f>'Asset Finance'!G$48</f>
        <v>GBP</v>
      </c>
      <c r="H25" s="9">
        <f ca="1">'Asset Finance'!H$48</f>
        <v>0</v>
      </c>
      <c r="I25" s="15">
        <f>'Asset Finance'!I$48</f>
        <v>0</v>
      </c>
      <c r="J25" s="9">
        <f ca="1">SUMIF(Time!$J326:$BQ326,Time!J$28,'Asset Finance'!$J48:$BQ48)</f>
        <v>0</v>
      </c>
      <c r="K25" s="9">
        <f ca="1">SUMIF(Time!$J326:$BQ326,Time!K$28,'Asset Finance'!$J48:$BQ48)</f>
        <v>0</v>
      </c>
      <c r="L25" s="9">
        <f ca="1">SUMIF(Time!$J326:$BQ326,Time!L$28,'Asset Finance'!$J48:$BQ48)</f>
        <v>0</v>
      </c>
      <c r="M25" s="9">
        <f ca="1">SUMIF(Time!$J326:$BQ326,Time!M$28,'Asset Finance'!$J48:$BQ48)</f>
        <v>0</v>
      </c>
      <c r="N25" s="9">
        <f ca="1">SUMIF(Time!$J326:$BQ326,Time!N$28,'Asset Finance'!$J48:$BQ48)</f>
        <v>0</v>
      </c>
      <c r="O25" s="9">
        <f ca="1">SUMIF(Time!$J326:$BQ326,Time!O$28,'Asset Finance'!$J48:$BQ48)</f>
        <v>0</v>
      </c>
      <c r="P25" s="9">
        <f ca="1">SUMIF(Time!$J326:$BQ326,Time!P$28,'Asset Finance'!$J48:$BQ48)</f>
        <v>0</v>
      </c>
      <c r="Q25" s="9">
        <f ca="1">SUMIF(Time!$J326:$BQ326,Time!Q$28,'Asset Finance'!$J48:$BQ48)</f>
        <v>0</v>
      </c>
      <c r="R25" s="9">
        <f ca="1">SUMIF(Time!$J326:$BQ326,Time!R$28,'Asset Finance'!$J48:$BQ48)</f>
        <v>0</v>
      </c>
      <c r="S25" s="9">
        <f ca="1">SUMIF(Time!$J326:$BQ326,Time!S$28,'Asset Finance'!$J48:$BQ48)</f>
        <v>0</v>
      </c>
      <c r="T25" s="9">
        <f ca="1">SUMIF(Time!$J326:$BQ326,Time!T$28,'Asset Finance'!$J48:$BQ48)</f>
        <v>0</v>
      </c>
      <c r="U25" s="9">
        <f ca="1">SUMIF(Time!$J326:$BQ326,Time!U$28,'Asset Finance'!$J48:$BQ48)</f>
        <v>0</v>
      </c>
      <c r="V25" s="9">
        <f ca="1">SUMIF(Time!$J326:$BQ326,Time!V$28,'Asset Finance'!$J48:$BQ48)</f>
        <v>0</v>
      </c>
      <c r="W25" s="9">
        <f ca="1">SUMIF(Time!$J326:$BQ326,Time!W$28,'Asset Finance'!$J48:$BQ48)</f>
        <v>0</v>
      </c>
      <c r="X25" s="9">
        <f ca="1">SUMIF(Time!$J326:$BQ326,Time!X$28,'Asset Finance'!$J48:$BQ48)</f>
        <v>0</v>
      </c>
      <c r="Y25" s="9">
        <f ca="1">SUMIF(Time!$J326:$BQ326,Time!Y$28,'Asset Finance'!$J48:$BQ48)</f>
        <v>0</v>
      </c>
      <c r="Z25" s="9">
        <f ca="1">SUMIF(Time!$J326:$BQ326,Time!Z$28,'Asset Finance'!$J48:$BQ48)</f>
        <v>0</v>
      </c>
      <c r="AA25" s="9">
        <f ca="1">SUMIF(Time!$J326:$BQ326,Time!AA$28,'Asset Finance'!$J48:$BQ48)</f>
        <v>0</v>
      </c>
      <c r="AB25" s="9">
        <f ca="1">SUMIF(Time!$J326:$BQ326,Time!AB$28,'Asset Finance'!$J48:$BQ48)</f>
        <v>0</v>
      </c>
      <c r="AC25" s="9">
        <f ca="1">SUMIF(Time!$J326:$BQ326,Time!AC$28,'Asset Finance'!$J48:$BQ48)</f>
        <v>0</v>
      </c>
    </row>
    <row r="26" spans="5:29">
      <c r="E26" s="12" t="s">
        <v>178</v>
      </c>
      <c r="F26" s="28"/>
      <c r="G26" s="12" t="s">
        <v>252</v>
      </c>
      <c r="H26" s="12">
        <f ca="1">SUM(J26:BQ26)</f>
        <v>107847639.85822079</v>
      </c>
      <c r="I26" s="28"/>
      <c r="J26" s="12">
        <f ca="1">SUMIF(Time!$J326:$BQ326,Time!J$28,Cashflow!$J26:$BQ26)</f>
        <v>-164210.46634351503</v>
      </c>
      <c r="K26" s="12">
        <f ca="1">SUMIF(Time!$J326:$BQ326,Time!K$28,Cashflow!$J26:$BQ26)</f>
        <v>-156949.32807191234</v>
      </c>
      <c r="L26" s="12">
        <f ca="1">SUMIF(Time!$J326:$BQ326,Time!L$28,Cashflow!$J26:$BQ26)</f>
        <v>-691044.54018909647</v>
      </c>
      <c r="M26" s="12">
        <f ca="1">SUMIF(Time!$J326:$BQ326,Time!M$28,Cashflow!$J26:$BQ26)</f>
        <v>2258641.7834311221</v>
      </c>
      <c r="N26" s="12">
        <f ca="1">SUMIF(Time!$J326:$BQ326,Time!N$28,Cashflow!$J26:$BQ26)</f>
        <v>-753171.41106724227</v>
      </c>
      <c r="O26" s="12">
        <f ca="1">SUMIF(Time!$J326:$BQ326,Time!O$28,Cashflow!$J26:$BQ26)</f>
        <v>2036333.3051678671</v>
      </c>
      <c r="P26" s="12">
        <f ca="1">SUMIF(Time!$J326:$BQ326,Time!P$28,Cashflow!$J26:$BQ26)</f>
        <v>-1249326.5468543591</v>
      </c>
      <c r="Q26" s="12">
        <f ca="1">SUMIF(Time!$J326:$BQ326,Time!Q$28,Cashflow!$J26:$BQ26)</f>
        <v>4492746.449152342</v>
      </c>
      <c r="R26" s="12">
        <f ca="1">SUMIF(Time!$J326:$BQ326,Time!R$28,Cashflow!$J26:$BQ26)</f>
        <v>1092746.5827832657</v>
      </c>
      <c r="S26" s="12">
        <f ca="1">SUMIF(Time!$J326:$BQ326,Time!S$28,Cashflow!$J26:$BQ26)</f>
        <v>4233524.8470958667</v>
      </c>
      <c r="T26" s="12">
        <f ca="1">SUMIF(Time!$J326:$BQ326,Time!T$28,Cashflow!$J26:$BQ26)</f>
        <v>2526325.5873097642</v>
      </c>
      <c r="U26" s="12">
        <f ca="1">SUMIF(Time!$J326:$BQ326,Time!U$28,Cashflow!$J26:$BQ26)</f>
        <v>5622902.9031734364</v>
      </c>
      <c r="V26" s="12">
        <f ca="1">SUMIF(Time!$J326:$BQ326,Time!V$28,Cashflow!$J26:$BQ26)</f>
        <v>5400181.3021643814</v>
      </c>
      <c r="W26" s="12">
        <f ca="1">SUMIF(Time!$J326:$BQ326,Time!W$28,Cashflow!$J26:$BQ26)</f>
        <v>3781176.1894760644</v>
      </c>
      <c r="X26" s="12">
        <f ca="1">SUMIF(Time!$J326:$BQ326,Time!X$28,Cashflow!$J26:$BQ26)</f>
        <v>9636114.0014479309</v>
      </c>
      <c r="Y26" s="12">
        <f ca="1">SUMIF(Time!$J326:$BQ326,Time!Y$28,Cashflow!$J26:$BQ26)</f>
        <v>10355543.567190256</v>
      </c>
      <c r="Z26" s="12">
        <f ca="1">SUMIF(Time!$J326:$BQ326,Time!Z$28,Cashflow!$J26:$BQ26)</f>
        <v>10981088.631643435</v>
      </c>
      <c r="AA26" s="12">
        <f ca="1">SUMIF(Time!$J326:$BQ326,Time!AA$28,Cashflow!$J26:$BQ26)</f>
        <v>8967664.4895169381</v>
      </c>
      <c r="AB26" s="12">
        <f ca="1">SUMIF(Time!$J326:$BQ326,Time!AB$28,Cashflow!$J26:$BQ26)</f>
        <v>18883642.824230857</v>
      </c>
      <c r="AC26" s="12">
        <f ca="1">SUMIF(Time!$J326:$BQ326,Time!AC$28,Cashflow!$J26:$BQ26)</f>
        <v>20593709.686963372</v>
      </c>
    </row>
    <row r="28" spans="5:29">
      <c r="E28" s="15" t="str">
        <f>InpS!E$11</f>
        <v>New share capital issued</v>
      </c>
      <c r="F28" s="15">
        <f>InpS!F$11</f>
        <v>0</v>
      </c>
      <c r="G28" s="15" t="str">
        <f>InpS!G$11</f>
        <v>GBP</v>
      </c>
      <c r="H28" s="9">
        <f>InpS!H$11</f>
        <v>0</v>
      </c>
      <c r="I28" s="15">
        <f>InpS!I$11</f>
        <v>0</v>
      </c>
      <c r="J28" s="9">
        <f>SUMIF(Time!$J326:$BQ326,Time!J$28,InpS!$J11:$BQ11)</f>
        <v>0</v>
      </c>
      <c r="K28" s="9">
        <f>SUMIF(Time!$J326:$BQ326,Time!K$28,InpS!$J11:$BQ11)</f>
        <v>0</v>
      </c>
      <c r="L28" s="9">
        <f>SUMIF(Time!$J326:$BQ326,Time!L$28,InpS!$J11:$BQ11)</f>
        <v>0</v>
      </c>
      <c r="M28" s="9">
        <f>SUMIF(Time!$J326:$BQ326,Time!M$28,InpS!$J11:$BQ11)</f>
        <v>0</v>
      </c>
      <c r="N28" s="9">
        <f>SUMIF(Time!$J326:$BQ326,Time!N$28,InpS!$J11:$BQ11)</f>
        <v>0</v>
      </c>
      <c r="O28" s="9">
        <f>SUMIF(Time!$J326:$BQ326,Time!O$28,InpS!$J11:$BQ11)</f>
        <v>0</v>
      </c>
      <c r="P28" s="9">
        <f>SUMIF(Time!$J326:$BQ326,Time!P$28,InpS!$J11:$BQ11)</f>
        <v>0</v>
      </c>
      <c r="Q28" s="9">
        <f>SUMIF(Time!$J326:$BQ326,Time!Q$28,InpS!$J11:$BQ11)</f>
        <v>0</v>
      </c>
      <c r="R28" s="9">
        <f>SUMIF(Time!$J326:$BQ326,Time!R$28,InpS!$J11:$BQ11)</f>
        <v>0</v>
      </c>
      <c r="S28" s="9">
        <f>SUMIF(Time!$J326:$BQ326,Time!S$28,InpS!$J11:$BQ11)</f>
        <v>0</v>
      </c>
      <c r="T28" s="9">
        <f>SUMIF(Time!$J326:$BQ326,Time!T$28,InpS!$J11:$BQ11)</f>
        <v>0</v>
      </c>
      <c r="U28" s="9">
        <f>SUMIF(Time!$J326:$BQ326,Time!U$28,InpS!$J11:$BQ11)</f>
        <v>0</v>
      </c>
      <c r="V28" s="9">
        <f>SUMIF(Time!$J326:$BQ326,Time!V$28,InpS!$J11:$BQ11)</f>
        <v>0</v>
      </c>
      <c r="W28" s="9">
        <f>SUMIF(Time!$J326:$BQ326,Time!W$28,InpS!$J11:$BQ11)</f>
        <v>0</v>
      </c>
      <c r="X28" s="9">
        <f>SUMIF(Time!$J326:$BQ326,Time!X$28,InpS!$J11:$BQ11)</f>
        <v>0</v>
      </c>
      <c r="Y28" s="9">
        <f>SUMIF(Time!$J326:$BQ326,Time!Y$28,InpS!$J11:$BQ11)</f>
        <v>0</v>
      </c>
      <c r="Z28" s="9">
        <f>SUMIF(Time!$J326:$BQ326,Time!Z$28,InpS!$J11:$BQ11)</f>
        <v>0</v>
      </c>
      <c r="AA28" s="9">
        <f>SUMIF(Time!$J326:$BQ326,Time!AA$28,InpS!$J11:$BQ11)</f>
        <v>0</v>
      </c>
      <c r="AB28" s="9">
        <f>SUMIF(Time!$J326:$BQ326,Time!AB$28,InpS!$J11:$BQ11)</f>
        <v>0</v>
      </c>
      <c r="AC28" s="9">
        <f>SUMIF(Time!$J326:$BQ326,Time!AC$28,InpS!$J11:$BQ11)</f>
        <v>0</v>
      </c>
    </row>
    <row r="29" spans="5:29">
      <c r="E29" s="12" t="s">
        <v>114</v>
      </c>
      <c r="F29" s="28"/>
      <c r="G29" s="12" t="s">
        <v>252</v>
      </c>
      <c r="H29" s="12">
        <f ca="1">SUM(J29:BQ29)</f>
        <v>107847639.85822079</v>
      </c>
      <c r="I29" s="28"/>
      <c r="J29" s="12">
        <f ca="1">SUMIF(Time!$J326:$BQ326,Time!J$28,Cashflow!$J29:$BQ29)</f>
        <v>-164210.46634351503</v>
      </c>
      <c r="K29" s="12">
        <f ca="1">SUMIF(Time!$J326:$BQ326,Time!K$28,Cashflow!$J29:$BQ29)</f>
        <v>-156949.32807191234</v>
      </c>
      <c r="L29" s="12">
        <f ca="1">SUMIF(Time!$J326:$BQ326,Time!L$28,Cashflow!$J29:$BQ29)</f>
        <v>-691044.54018909647</v>
      </c>
      <c r="M29" s="12">
        <f ca="1">SUMIF(Time!$J326:$BQ326,Time!M$28,Cashflow!$J29:$BQ29)</f>
        <v>2258641.7834311221</v>
      </c>
      <c r="N29" s="12">
        <f ca="1">SUMIF(Time!$J326:$BQ326,Time!N$28,Cashflow!$J29:$BQ29)</f>
        <v>-753171.41106724227</v>
      </c>
      <c r="O29" s="12">
        <f ca="1">SUMIF(Time!$J326:$BQ326,Time!O$28,Cashflow!$J29:$BQ29)</f>
        <v>2036333.3051678671</v>
      </c>
      <c r="P29" s="12">
        <f ca="1">SUMIF(Time!$J326:$BQ326,Time!P$28,Cashflow!$J29:$BQ29)</f>
        <v>-1249326.5468543591</v>
      </c>
      <c r="Q29" s="12">
        <f ca="1">SUMIF(Time!$J326:$BQ326,Time!Q$28,Cashflow!$J29:$BQ29)</f>
        <v>4492746.449152342</v>
      </c>
      <c r="R29" s="12">
        <f ca="1">SUMIF(Time!$J326:$BQ326,Time!R$28,Cashflow!$J29:$BQ29)</f>
        <v>1092746.5827832657</v>
      </c>
      <c r="S29" s="12">
        <f ca="1">SUMIF(Time!$J326:$BQ326,Time!S$28,Cashflow!$J29:$BQ29)</f>
        <v>4233524.8470958667</v>
      </c>
      <c r="T29" s="12">
        <f ca="1">SUMIF(Time!$J326:$BQ326,Time!T$28,Cashflow!$J29:$BQ29)</f>
        <v>2526325.5873097642</v>
      </c>
      <c r="U29" s="12">
        <f ca="1">SUMIF(Time!$J326:$BQ326,Time!U$28,Cashflow!$J29:$BQ29)</f>
        <v>5622902.9031734364</v>
      </c>
      <c r="V29" s="12">
        <f ca="1">SUMIF(Time!$J326:$BQ326,Time!V$28,Cashflow!$J29:$BQ29)</f>
        <v>5400181.3021643814</v>
      </c>
      <c r="W29" s="12">
        <f ca="1">SUMIF(Time!$J326:$BQ326,Time!W$28,Cashflow!$J29:$BQ29)</f>
        <v>3781176.1894760644</v>
      </c>
      <c r="X29" s="12">
        <f ca="1">SUMIF(Time!$J326:$BQ326,Time!X$28,Cashflow!$J29:$BQ29)</f>
        <v>9636114.0014479309</v>
      </c>
      <c r="Y29" s="12">
        <f ca="1">SUMIF(Time!$J326:$BQ326,Time!Y$28,Cashflow!$J29:$BQ29)</f>
        <v>10355543.567190256</v>
      </c>
      <c r="Z29" s="12">
        <f ca="1">SUMIF(Time!$J326:$BQ326,Time!Z$28,Cashflow!$J29:$BQ29)</f>
        <v>10981088.631643435</v>
      </c>
      <c r="AA29" s="12">
        <f ca="1">SUMIF(Time!$J326:$BQ326,Time!AA$28,Cashflow!$J29:$BQ29)</f>
        <v>8967664.4895169381</v>
      </c>
      <c r="AB29" s="12">
        <f ca="1">SUMIF(Time!$J326:$BQ326,Time!AB$28,Cashflow!$J29:$BQ29)</f>
        <v>18883642.824230857</v>
      </c>
      <c r="AC29" s="12">
        <f ca="1">SUMIF(Time!$J326:$BQ326,Time!AC$28,Cashflow!$J29:$BQ29)</f>
        <v>20593709.686963372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S29"/>
  <sheetViews>
    <sheetView topLeftCell="J6" workbookViewId="0">
      <selection activeCell="J6" sqref="J6"/>
    </sheetView>
  </sheetViews>
  <sheetFormatPr defaultColWidth="0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43.7265625" customWidth="1"/>
    <col min="6" max="6" width="20.7265625" customWidth="1"/>
    <col min="7" max="7" width="13.7265625" customWidth="1"/>
    <col min="8" max="8" width="13.7265625" style="2" customWidth="1"/>
    <col min="9" max="9" width="3.7265625" customWidth="1"/>
    <col min="10" max="16" width="11.7265625" customWidth="1"/>
    <col min="17" max="17" width="12.7265625" customWidth="1"/>
    <col min="18" max="19" width="13.7265625" customWidth="1"/>
    <col min="20" max="20" width="15.7265625" customWidth="1"/>
  </cols>
  <sheetData>
    <row r="1" spans="1:19" s="53" customFormat="1" ht="25">
      <c r="A1" s="37" t="str">
        <f ca="1">RIGHT(CELL("filename",A1),LEN(CELL("filename",A1))-SEARCH("]",CELL("filename",A1)))</f>
        <v>Cashflow SemiAnnually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19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Time!J$95</f>
        <v>45230</v>
      </c>
      <c r="K2" s="6">
        <f>Time!K$95</f>
        <v>45412</v>
      </c>
      <c r="L2" s="6">
        <f>Time!L$95</f>
        <v>45596</v>
      </c>
      <c r="M2" s="6">
        <f>Time!M$95</f>
        <v>45777</v>
      </c>
      <c r="N2" s="6">
        <f>Time!N$95</f>
        <v>45961</v>
      </c>
      <c r="O2" s="6">
        <f>Time!O$95</f>
        <v>46142</v>
      </c>
      <c r="P2" s="6">
        <f>Time!P$95</f>
        <v>46326</v>
      </c>
      <c r="Q2" s="6">
        <f>Time!Q$95</f>
        <v>46507</v>
      </c>
      <c r="R2" s="6">
        <f>Time!R$95</f>
        <v>46691</v>
      </c>
      <c r="S2" s="6">
        <f>Time!S$95</f>
        <v>46873</v>
      </c>
    </row>
    <row r="3" spans="1:19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Time!J$102</f>
        <v>Month6</v>
      </c>
      <c r="K3" s="7" t="str">
        <f>Time!K$102</f>
        <v>Month12</v>
      </c>
      <c r="L3" s="7" t="str">
        <f>Time!L$102</f>
        <v>Month18</v>
      </c>
      <c r="M3" s="7" t="str">
        <f>Time!M$102</f>
        <v>Month24</v>
      </c>
      <c r="N3" s="7" t="str">
        <f>Time!N$102</f>
        <v>Month30</v>
      </c>
      <c r="O3" s="7" t="str">
        <f>Time!O$102</f>
        <v>Month36</v>
      </c>
      <c r="P3" s="7" t="str">
        <f>Time!P$102</f>
        <v>Month42</v>
      </c>
      <c r="Q3" s="7" t="str">
        <f>Time!Q$102</f>
        <v>Month48</v>
      </c>
      <c r="R3" s="7" t="str">
        <f>Time!R$102</f>
        <v>Month54</v>
      </c>
      <c r="S3" s="7" t="str">
        <f>Time!S$102</f>
        <v>Month60</v>
      </c>
    </row>
    <row r="4" spans="1:19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Time!J$108</f>
        <v>6</v>
      </c>
      <c r="K4" s="5">
        <f>Time!K$108</f>
        <v>12</v>
      </c>
      <c r="L4" s="5">
        <f>Time!L$108</f>
        <v>18</v>
      </c>
      <c r="M4" s="5">
        <f>Time!M$108</f>
        <v>24</v>
      </c>
      <c r="N4" s="5">
        <f>Time!N$108</f>
        <v>30</v>
      </c>
      <c r="O4" s="5">
        <f>Time!O$108</f>
        <v>36</v>
      </c>
      <c r="P4" s="5">
        <f>Time!P$108</f>
        <v>42</v>
      </c>
      <c r="Q4" s="5">
        <f>Time!Q$108</f>
        <v>48</v>
      </c>
      <c r="R4" s="5">
        <f>Time!R$108</f>
        <v>54</v>
      </c>
      <c r="S4" s="5">
        <f>Time!S$108</f>
        <v>60</v>
      </c>
    </row>
    <row r="5" spans="1:19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19" s="2" customFormat="1" ht="13">
      <c r="A6" s="22"/>
      <c r="B6" s="22"/>
      <c r="C6" s="40"/>
      <c r="D6" s="54"/>
      <c r="F6" s="22"/>
      <c r="G6" s="22"/>
      <c r="H6" s="22"/>
    </row>
    <row r="8" spans="1:19">
      <c r="A8"/>
      <c r="E8" s="15" t="str">
        <f>'Working Capital'!E$22</f>
        <v>Cash in from Sales</v>
      </c>
      <c r="F8" s="15">
        <f>'Working Capital'!F$22</f>
        <v>0</v>
      </c>
      <c r="G8" s="15" t="str">
        <f>'Working Capital'!G$22</f>
        <v>GBP</v>
      </c>
      <c r="H8" s="9">
        <f ca="1">'Working Capital'!H$22</f>
        <v>167177203.61119482</v>
      </c>
      <c r="I8" s="15">
        <f>'Working Capital'!I$22</f>
        <v>0</v>
      </c>
      <c r="J8" s="9">
        <f ca="1">SUMIF(Time!$J341:$BQ341,Time!J$28,'Working Capital'!$J22:$BQ22)</f>
        <v>0</v>
      </c>
      <c r="K8" s="9">
        <f ca="1">SUMIF(Time!$J341:$BQ341,Time!K$28,'Working Capital'!$J22:$BQ22)</f>
        <v>2520000</v>
      </c>
      <c r="L8" s="9">
        <f ca="1">SUMIF(Time!$J341:$BQ341,Time!L$28,'Working Capital'!$J22:$BQ22)</f>
        <v>2520000</v>
      </c>
      <c r="M8" s="9">
        <f ca="1">SUMIF(Time!$J341:$BQ341,Time!M$28,'Working Capital'!$J22:$BQ22)</f>
        <v>5040000</v>
      </c>
      <c r="N8" s="9">
        <f ca="1">SUMIF(Time!$J341:$BQ341,Time!N$28,'Working Capital'!$J22:$BQ22)</f>
        <v>9164461.1967954356</v>
      </c>
      <c r="O8" s="9">
        <f ca="1">SUMIF(Time!$J341:$BQ341,Time!O$28,'Working Capital'!$J22:$BQ22)</f>
        <v>11744841.312750828</v>
      </c>
      <c r="P8" s="9">
        <f ca="1">SUMIF(Time!$J341:$BQ341,Time!P$28,'Working Capital'!$J22:$BQ22)</f>
        <v>17596811.49410519</v>
      </c>
      <c r="Q8" s="9">
        <f ca="1">SUMIF(Time!$J341:$BQ341,Time!Q$28,'Working Capital'!$J22:$BQ22)</f>
        <v>27679534.48244562</v>
      </c>
      <c r="R8" s="9">
        <f ca="1">SUMIF(Time!$J341:$BQ341,Time!R$28,'Working Capital'!$J22:$BQ22)</f>
        <v>36824231.865763754</v>
      </c>
      <c r="S8" s="9">
        <f ca="1">SUMIF(Time!$J341:$BQ341,Time!S$28,'Working Capital'!$J22:$BQ22)</f>
        <v>54087323.259333983</v>
      </c>
    </row>
    <row r="9" spans="1:19">
      <c r="E9" s="15" t="str">
        <f>'Working Capital'!E$52</f>
        <v xml:space="preserve">Cash out on Operating Expense </v>
      </c>
      <c r="F9" s="15">
        <f>'Working Capital'!F$52</f>
        <v>0</v>
      </c>
      <c r="G9" s="15" t="str">
        <f>'Working Capital'!G$52</f>
        <v>GBP</v>
      </c>
      <c r="H9" s="9">
        <f ca="1">'Working Capital'!H$52</f>
        <v>-16608799.925545277</v>
      </c>
      <c r="I9" s="15">
        <f>'Working Capital'!I$52</f>
        <v>0</v>
      </c>
      <c r="J9" s="9">
        <f ca="1">SUMIF(Time!$J341:$BQ341,Time!J$28,'Working Capital'!$J52:$BQ52)</f>
        <v>-328120.05720327114</v>
      </c>
      <c r="K9" s="9">
        <f ca="1">SUMIF(Time!$J341:$BQ341,Time!K$28,'Working Capital'!$J52:$BQ52)</f>
        <v>-403278.40900607529</v>
      </c>
      <c r="L9" s="9">
        <f ca="1">SUMIF(Time!$J341:$BQ341,Time!L$28,'Working Capital'!$J52:$BQ52)</f>
        <v>-506137.13127840095</v>
      </c>
      <c r="M9" s="9">
        <f ca="1">SUMIF(Time!$J341:$BQ341,Time!M$28,'Working Capital'!$J52:$BQ52)</f>
        <v>-649132.3781007959</v>
      </c>
      <c r="N9" s="9">
        <f ca="1">SUMIF(Time!$J341:$BQ341,Time!N$28,'Working Capital'!$J52:$BQ52)</f>
        <v>-991867.9967554633</v>
      </c>
      <c r="O9" s="9">
        <f ca="1">SUMIF(Time!$J341:$BQ341,Time!O$28,'Working Capital'!$J52:$BQ52)</f>
        <v>-1329857.6539191359</v>
      </c>
      <c r="P9" s="9">
        <f ca="1">SUMIF(Time!$J341:$BQ341,Time!P$28,'Working Capital'!$J52:$BQ52)</f>
        <v>-1801864.4328717121</v>
      </c>
      <c r="Q9" s="9">
        <f ca="1">SUMIF(Time!$J341:$BQ341,Time!Q$28,'Working Capital'!$J52:$BQ52)</f>
        <v>-2468930.2670690585</v>
      </c>
      <c r="R9" s="9">
        <f ca="1">SUMIF(Time!$J341:$BQ341,Time!R$28,'Working Capital'!$J52:$BQ52)</f>
        <v>-3403405.3021025285</v>
      </c>
      <c r="S9" s="9">
        <f ca="1">SUMIF(Time!$J341:$BQ341,Time!S$28,'Working Capital'!$J52:$BQ52)</f>
        <v>-4726206.2972388389</v>
      </c>
    </row>
    <row r="10" spans="1:19">
      <c r="E10" s="15" t="str">
        <f>VAT!E$38</f>
        <v xml:space="preserve">VAT paid </v>
      </c>
      <c r="F10" s="15">
        <f>VAT!F$38</f>
        <v>0</v>
      </c>
      <c r="G10" s="15" t="str">
        <f>VAT!G$38</f>
        <v>GBP</v>
      </c>
      <c r="H10" s="9">
        <f ca="1">VAT!H$38</f>
        <v>-27134220.918038663</v>
      </c>
      <c r="I10" s="15">
        <f>VAT!I$38</f>
        <v>0</v>
      </c>
      <c r="J10" s="9">
        <f ca="1">SUMIF(Time!$J341:$BQ341,Time!J$28,VAT!$J38:$BQ38)</f>
        <v>59460.262787843763</v>
      </c>
      <c r="K10" s="9">
        <f ca="1">SUMIF(Time!$J341:$BQ341,Time!K$28,VAT!$J38:$BQ38)</f>
        <v>-349624.34775189892</v>
      </c>
      <c r="L10" s="9">
        <f ca="1">SUMIF(Time!$J341:$BQ341,Time!L$28,VAT!$J38:$BQ38)</f>
        <v>-305769.00703186821</v>
      </c>
      <c r="M10" s="9">
        <f ca="1">SUMIF(Time!$J341:$BQ341,Time!M$28,VAT!$J38:$BQ38)</f>
        <v>-748447.71960122092</v>
      </c>
      <c r="N10" s="9">
        <f ca="1">SUMIF(Time!$J341:$BQ341,Time!N$28,VAT!$J38:$BQ38)</f>
        <v>-1438242.3865086378</v>
      </c>
      <c r="O10" s="9">
        <f ca="1">SUMIF(Time!$J341:$BQ341,Time!O$28,VAT!$J38:$BQ38)</f>
        <v>-1814255.1683484884</v>
      </c>
      <c r="P10" s="9">
        <f ca="1">SUMIF(Time!$J341:$BQ341,Time!P$28,VAT!$J38:$BQ38)</f>
        <v>-3215605.8872581013</v>
      </c>
      <c r="Q10" s="9">
        <f ca="1">SUMIF(Time!$J341:$BQ341,Time!Q$28,VAT!$J38:$BQ38)</f>
        <v>-4315946.6467383755</v>
      </c>
      <c r="R10" s="9">
        <f ca="1">SUMIF(Time!$J341:$BQ341,Time!R$28,VAT!$J38:$BQ38)</f>
        <v>-6319025.5666869897</v>
      </c>
      <c r="S10" s="9">
        <f ca="1">SUMIF(Time!$J341:$BQ341,Time!S$28,VAT!$J38:$BQ38)</f>
        <v>-8686764.4509009235</v>
      </c>
    </row>
    <row r="11" spans="1:19">
      <c r="E11" s="15" t="str">
        <f>'Corporation tax'!E$69</f>
        <v xml:space="preserve">Corporation tax paid </v>
      </c>
      <c r="F11" s="15">
        <f>'Corporation tax'!F$69</f>
        <v>0</v>
      </c>
      <c r="G11" s="15" t="str">
        <f>'Corporation tax'!G$69</f>
        <v>GBP</v>
      </c>
      <c r="H11" s="9">
        <f ca="1">'Corporation tax'!H$69</f>
        <v>-9885042.9093900993</v>
      </c>
      <c r="I11" s="15">
        <f>'Corporation tax'!I$69</f>
        <v>0</v>
      </c>
      <c r="J11" s="9">
        <f ca="1">SUMIF(Time!$J341:$BQ341,Time!J$28,'Corporation tax'!$J69:$BQ69)</f>
        <v>0</v>
      </c>
      <c r="K11" s="9">
        <f ca="1">SUMIF(Time!$J341:$BQ341,Time!K$28,'Corporation tax'!$J69:$BQ69)</f>
        <v>0</v>
      </c>
      <c r="L11" s="9">
        <f ca="1">SUMIF(Time!$J341:$BQ341,Time!L$28,'Corporation tax'!$J69:$BQ69)</f>
        <v>-172931.96758910635</v>
      </c>
      <c r="M11" s="9">
        <f ca="1">SUMIF(Time!$J341:$BQ341,Time!M$28,'Corporation tax'!$J69:$BQ69)</f>
        <v>0</v>
      </c>
      <c r="N11" s="9">
        <f ca="1">SUMIF(Time!$J341:$BQ341,Time!N$28,'Corporation tax'!$J69:$BQ69)</f>
        <v>-1009079.3836522016</v>
      </c>
      <c r="O11" s="9">
        <f ca="1">SUMIF(Time!$J341:$BQ341,Time!O$28,'Corporation tax'!$J69:$BQ69)</f>
        <v>0</v>
      </c>
      <c r="P11" s="9">
        <f ca="1">SUMIF(Time!$J341:$BQ341,Time!P$28,'Corporation tax'!$J69:$BQ69)</f>
        <v>-2746983.6823349316</v>
      </c>
      <c r="Q11" s="9">
        <f ca="1">SUMIF(Time!$J341:$BQ341,Time!Q$28,'Corporation tax'!$J69:$BQ69)</f>
        <v>0</v>
      </c>
      <c r="R11" s="9">
        <f ca="1">SUMIF(Time!$J341:$BQ341,Time!R$28,'Corporation tax'!$J69:$BQ69)</f>
        <v>-5956047.8758138604</v>
      </c>
      <c r="S11" s="9">
        <f ca="1">SUMIF(Time!$J341:$BQ341,Time!S$28,'Corporation tax'!$J69:$BQ69)</f>
        <v>0</v>
      </c>
    </row>
    <row r="12" spans="1:19">
      <c r="E12" s="12" t="s">
        <v>113</v>
      </c>
      <c r="F12" s="28"/>
      <c r="G12" s="12" t="s">
        <v>252</v>
      </c>
      <c r="H12" s="12">
        <f ca="1">SUM(J12:BQ12)</f>
        <v>113549139.85822077</v>
      </c>
      <c r="I12" s="28"/>
      <c r="J12" s="12">
        <f ca="1">SUMIF(Time!$J341:$BQ341,Time!J$28,Cashflow!$J12:$BQ12)</f>
        <v>-268659.79441542737</v>
      </c>
      <c r="K12" s="12">
        <f ca="1">SUMIF(Time!$J341:$BQ341,Time!K$28,Cashflow!$J12:$BQ12)</f>
        <v>1767097.2432420258</v>
      </c>
      <c r="L12" s="12">
        <f ca="1">SUMIF(Time!$J341:$BQ341,Time!L$28,Cashflow!$J12:$BQ12)</f>
        <v>1535161.8941006248</v>
      </c>
      <c r="M12" s="12">
        <f ca="1">SUMIF(Time!$J341:$BQ341,Time!M$28,Cashflow!$J12:$BQ12)</f>
        <v>3642419.9022979829</v>
      </c>
      <c r="N12" s="12">
        <f ca="1">SUMIF(Time!$J341:$BQ341,Time!N$28,Cashflow!$J12:$BQ12)</f>
        <v>5725271.4298791327</v>
      </c>
      <c r="O12" s="12">
        <f ca="1">SUMIF(Time!$J341:$BQ341,Time!O$28,Cashflow!$J12:$BQ12)</f>
        <v>8600728.490483202</v>
      </c>
      <c r="P12" s="12">
        <f ca="1">SUMIF(Time!$J341:$BQ341,Time!P$28,Cashflow!$J12:$BQ12)</f>
        <v>9832357.4916404448</v>
      </c>
      <c r="Q12" s="12">
        <f ca="1">SUMIF(Time!$J341:$BQ341,Time!Q$28,Cashflow!$J12:$BQ12)</f>
        <v>20894657.568638187</v>
      </c>
      <c r="R12" s="12">
        <f ca="1">SUMIF(Time!$J341:$BQ341,Time!R$28,Cashflow!$J12:$BQ12)</f>
        <v>21145753.121160373</v>
      </c>
      <c r="S12" s="12">
        <f ca="1">SUMIF(Time!$J341:$BQ341,Time!S$28,Cashflow!$J12:$BQ12)</f>
        <v>40674352.511194229</v>
      </c>
    </row>
    <row r="14" spans="1:19">
      <c r="E14" s="15" t="str">
        <f>'Working Capital'!E$15</f>
        <v xml:space="preserve">Cash out on Inventory </v>
      </c>
      <c r="F14" s="15">
        <f>'Working Capital'!F$15</f>
        <v>0</v>
      </c>
      <c r="G14" s="15" t="str">
        <f>'Working Capital'!G$15</f>
        <v>GBP</v>
      </c>
      <c r="H14" s="9">
        <f ca="1">'Working Capital'!H$15</f>
        <v>-5701499.9999999991</v>
      </c>
      <c r="I14" s="15">
        <f>'Working Capital'!I$15</f>
        <v>0</v>
      </c>
      <c r="J14" s="9">
        <f ca="1">SUMIF(Time!$J341:$BQ341,Time!J$28,'Working Capital'!$J15:$BQ15)</f>
        <v>-52500</v>
      </c>
      <c r="K14" s="9">
        <f ca="1">SUMIF(Time!$J341:$BQ341,Time!K$28,'Working Capital'!$J15:$BQ15)</f>
        <v>-199499.99999999997</v>
      </c>
      <c r="L14" s="9">
        <f ca="1">SUMIF(Time!$J341:$BQ341,Time!L$28,'Working Capital'!$J15:$BQ15)</f>
        <v>-251999.99999999997</v>
      </c>
      <c r="M14" s="9">
        <f ca="1">SUMIF(Time!$J341:$BQ341,Time!M$28,'Working Capital'!$J15:$BQ15)</f>
        <v>-398999.99999999994</v>
      </c>
      <c r="N14" s="9">
        <f ca="1">SUMIF(Time!$J341:$BQ341,Time!N$28,'Working Capital'!$J15:$BQ15)</f>
        <v>-398999.99999999994</v>
      </c>
      <c r="O14" s="9">
        <f ca="1">SUMIF(Time!$J341:$BQ341,Time!O$28,'Working Capital'!$J15:$BQ15)</f>
        <v>-451499.99999999994</v>
      </c>
      <c r="P14" s="9">
        <f ca="1">SUMIF(Time!$J341:$BQ341,Time!P$28,'Working Capital'!$J15:$BQ15)</f>
        <v>-650999.99999999988</v>
      </c>
      <c r="Q14" s="9">
        <f ca="1">SUMIF(Time!$J341:$BQ341,Time!Q$28,'Working Capital'!$J15:$BQ15)</f>
        <v>-902999.99999999988</v>
      </c>
      <c r="R14" s="9">
        <f ca="1">SUMIF(Time!$J341:$BQ341,Time!R$28,'Working Capital'!$J15:$BQ15)</f>
        <v>-1196999.9999999998</v>
      </c>
      <c r="S14" s="9">
        <f ca="1">SUMIF(Time!$J341:$BQ341,Time!S$28,'Working Capital'!$J15:$BQ15)</f>
        <v>-1196999.9999999998</v>
      </c>
    </row>
    <row r="15" spans="1:19">
      <c r="E15" s="12" t="s">
        <v>20</v>
      </c>
      <c r="F15" s="28"/>
      <c r="G15" s="12" t="s">
        <v>252</v>
      </c>
      <c r="H15" s="12">
        <f ca="1">SUM(J15:BQ15)</f>
        <v>107847639.85822077</v>
      </c>
      <c r="I15" s="28"/>
      <c r="J15" s="12">
        <f ca="1">SUMIF(Time!$J341:$BQ341,Time!J$28,Cashflow!$J15:$BQ15)</f>
        <v>-321159.79441542737</v>
      </c>
      <c r="K15" s="12">
        <f ca="1">SUMIF(Time!$J341:$BQ341,Time!K$28,Cashflow!$J15:$BQ15)</f>
        <v>1567597.2432420258</v>
      </c>
      <c r="L15" s="12">
        <f ca="1">SUMIF(Time!$J341:$BQ341,Time!L$28,Cashflow!$J15:$BQ15)</f>
        <v>1283161.8941006248</v>
      </c>
      <c r="M15" s="12">
        <f ca="1">SUMIF(Time!$J341:$BQ341,Time!M$28,Cashflow!$J15:$BQ15)</f>
        <v>3243419.9022979829</v>
      </c>
      <c r="N15" s="12">
        <f ca="1">SUMIF(Time!$J341:$BQ341,Time!N$28,Cashflow!$J15:$BQ15)</f>
        <v>5326271.4298791327</v>
      </c>
      <c r="O15" s="12">
        <f ca="1">SUMIF(Time!$J341:$BQ341,Time!O$28,Cashflow!$J15:$BQ15)</f>
        <v>8149228.4904832011</v>
      </c>
      <c r="P15" s="12">
        <f ca="1">SUMIF(Time!$J341:$BQ341,Time!P$28,Cashflow!$J15:$BQ15)</f>
        <v>9181357.4916404448</v>
      </c>
      <c r="Q15" s="12">
        <f ca="1">SUMIF(Time!$J341:$BQ341,Time!Q$28,Cashflow!$J15:$BQ15)</f>
        <v>19991657.568638187</v>
      </c>
      <c r="R15" s="12">
        <f ca="1">SUMIF(Time!$J341:$BQ341,Time!R$28,Cashflow!$J15:$BQ15)</f>
        <v>19948753.121160373</v>
      </c>
      <c r="S15" s="12">
        <f ca="1">SUMIF(Time!$J341:$BQ341,Time!S$28,Cashflow!$J15:$BQ15)</f>
        <v>39477352.511194229</v>
      </c>
    </row>
    <row r="17" spans="5:19">
      <c r="E17" s="15" t="str">
        <f>'Supply Chain finance'!E$22</f>
        <v>Supply Chain Finance drawdown</v>
      </c>
      <c r="F17" s="15">
        <f>'Supply Chain finance'!F$22</f>
        <v>0</v>
      </c>
      <c r="G17" s="15" t="str">
        <f>'Supply Chain finance'!G$22</f>
        <v>GBP</v>
      </c>
      <c r="H17" s="9">
        <f ca="1">'Supply Chain finance'!H$22</f>
        <v>0</v>
      </c>
      <c r="I17" s="15">
        <f>'Supply Chain finance'!I$22</f>
        <v>0</v>
      </c>
      <c r="J17" s="9">
        <f ca="1">SUMIF(Time!$J341:$BQ341,Time!J$28,'Supply Chain finance'!$J22:$BQ22)</f>
        <v>0</v>
      </c>
      <c r="K17" s="9">
        <f ca="1">SUMIF(Time!$J341:$BQ341,Time!K$28,'Supply Chain finance'!$J22:$BQ22)</f>
        <v>0</v>
      </c>
      <c r="L17" s="9">
        <f ca="1">SUMIF(Time!$J341:$BQ341,Time!L$28,'Supply Chain finance'!$J22:$BQ22)</f>
        <v>0</v>
      </c>
      <c r="M17" s="9">
        <f ca="1">SUMIF(Time!$J341:$BQ341,Time!M$28,'Supply Chain finance'!$J22:$BQ22)</f>
        <v>0</v>
      </c>
      <c r="N17" s="9">
        <f ca="1">SUMIF(Time!$J341:$BQ341,Time!N$28,'Supply Chain finance'!$J22:$BQ22)</f>
        <v>0</v>
      </c>
      <c r="O17" s="9">
        <f ca="1">SUMIF(Time!$J341:$BQ341,Time!O$28,'Supply Chain finance'!$J22:$BQ22)</f>
        <v>0</v>
      </c>
      <c r="P17" s="9">
        <f ca="1">SUMIF(Time!$J341:$BQ341,Time!P$28,'Supply Chain finance'!$J22:$BQ22)</f>
        <v>0</v>
      </c>
      <c r="Q17" s="9">
        <f ca="1">SUMIF(Time!$J341:$BQ341,Time!Q$28,'Supply Chain finance'!$J22:$BQ22)</f>
        <v>0</v>
      </c>
      <c r="R17" s="9">
        <f ca="1">SUMIF(Time!$J341:$BQ341,Time!R$28,'Supply Chain finance'!$J22:$BQ22)</f>
        <v>0</v>
      </c>
      <c r="S17" s="9">
        <f ca="1">SUMIF(Time!$J341:$BQ341,Time!S$28,'Supply Chain finance'!$J22:$BQ22)</f>
        <v>0</v>
      </c>
    </row>
    <row r="18" spans="5:19">
      <c r="E18" s="15" t="str">
        <f>'Supply Chain finance'!E$29</f>
        <v xml:space="preserve">Supply Chain Finance principal repayment </v>
      </c>
      <c r="F18" s="15">
        <f>'Supply Chain finance'!F$29</f>
        <v>0</v>
      </c>
      <c r="G18" s="15" t="str">
        <f>'Supply Chain finance'!G$29</f>
        <v>GBP</v>
      </c>
      <c r="H18" s="9">
        <f ca="1">'Supply Chain finance'!H$29</f>
        <v>0</v>
      </c>
      <c r="I18" s="15">
        <f>'Supply Chain finance'!I$29</f>
        <v>0</v>
      </c>
      <c r="J18" s="9">
        <f ca="1">SUMIF(Time!$J341:$BQ341,Time!J$28,'Supply Chain finance'!$J29:$BQ29)</f>
        <v>0</v>
      </c>
      <c r="K18" s="9">
        <f ca="1">SUMIF(Time!$J341:$BQ341,Time!K$28,'Supply Chain finance'!$J29:$BQ29)</f>
        <v>0</v>
      </c>
      <c r="L18" s="9">
        <f ca="1">SUMIF(Time!$J341:$BQ341,Time!L$28,'Supply Chain finance'!$J29:$BQ29)</f>
        <v>0</v>
      </c>
      <c r="M18" s="9">
        <f ca="1">SUMIF(Time!$J341:$BQ341,Time!M$28,'Supply Chain finance'!$J29:$BQ29)</f>
        <v>0</v>
      </c>
      <c r="N18" s="9">
        <f ca="1">SUMIF(Time!$J341:$BQ341,Time!N$28,'Supply Chain finance'!$J29:$BQ29)</f>
        <v>0</v>
      </c>
      <c r="O18" s="9">
        <f ca="1">SUMIF(Time!$J341:$BQ341,Time!O$28,'Supply Chain finance'!$J29:$BQ29)</f>
        <v>0</v>
      </c>
      <c r="P18" s="9">
        <f ca="1">SUMIF(Time!$J341:$BQ341,Time!P$28,'Supply Chain finance'!$J29:$BQ29)</f>
        <v>0</v>
      </c>
      <c r="Q18" s="9">
        <f ca="1">SUMIF(Time!$J341:$BQ341,Time!Q$28,'Supply Chain finance'!$J29:$BQ29)</f>
        <v>0</v>
      </c>
      <c r="R18" s="9">
        <f ca="1">SUMIF(Time!$J341:$BQ341,Time!R$28,'Supply Chain finance'!$J29:$BQ29)</f>
        <v>0</v>
      </c>
      <c r="S18" s="9">
        <f ca="1">SUMIF(Time!$J341:$BQ341,Time!S$28,'Supply Chain finance'!$J29:$BQ29)</f>
        <v>0</v>
      </c>
    </row>
    <row r="19" spans="5:19">
      <c r="E19" s="15" t="str">
        <f>'Invoice finance'!E$21</f>
        <v>Invoice finance drawdown</v>
      </c>
      <c r="F19" s="15">
        <f>'Invoice finance'!F$21</f>
        <v>0</v>
      </c>
      <c r="G19" s="15" t="str">
        <f>'Invoice finance'!G$21</f>
        <v>GBP</v>
      </c>
      <c r="H19" s="9">
        <f ca="1">'Invoice finance'!H$21</f>
        <v>0</v>
      </c>
      <c r="I19" s="15">
        <f>'Invoice finance'!I$21</f>
        <v>0</v>
      </c>
      <c r="J19" s="9">
        <f ca="1">SUMIF(Time!$J341:$BQ341,Time!J$28,'Invoice finance'!$J21:$BQ21)</f>
        <v>0</v>
      </c>
      <c r="K19" s="9">
        <f ca="1">SUMIF(Time!$J341:$BQ341,Time!K$28,'Invoice finance'!$J21:$BQ21)</f>
        <v>0</v>
      </c>
      <c r="L19" s="9">
        <f ca="1">SUMIF(Time!$J341:$BQ341,Time!L$28,'Invoice finance'!$J21:$BQ21)</f>
        <v>0</v>
      </c>
      <c r="M19" s="9">
        <f ca="1">SUMIF(Time!$J341:$BQ341,Time!M$28,'Invoice finance'!$J21:$BQ21)</f>
        <v>0</v>
      </c>
      <c r="N19" s="9">
        <f ca="1">SUMIF(Time!$J341:$BQ341,Time!N$28,'Invoice finance'!$J21:$BQ21)</f>
        <v>0</v>
      </c>
      <c r="O19" s="9">
        <f ca="1">SUMIF(Time!$J341:$BQ341,Time!O$28,'Invoice finance'!$J21:$BQ21)</f>
        <v>0</v>
      </c>
      <c r="P19" s="9">
        <f ca="1">SUMIF(Time!$J341:$BQ341,Time!P$28,'Invoice finance'!$J21:$BQ21)</f>
        <v>0</v>
      </c>
      <c r="Q19" s="9">
        <f ca="1">SUMIF(Time!$J341:$BQ341,Time!Q$28,'Invoice finance'!$J21:$BQ21)</f>
        <v>0</v>
      </c>
      <c r="R19" s="9">
        <f ca="1">SUMIF(Time!$J341:$BQ341,Time!R$28,'Invoice finance'!$J21:$BQ21)</f>
        <v>0</v>
      </c>
      <c r="S19" s="9">
        <f ca="1">SUMIF(Time!$J341:$BQ341,Time!S$28,'Invoice finance'!$J21:$BQ21)</f>
        <v>0</v>
      </c>
    </row>
    <row r="20" spans="5:19">
      <c r="E20" s="15" t="str">
        <f>'Invoice finance'!E$28</f>
        <v xml:space="preserve">Invoice finance principal repayment </v>
      </c>
      <c r="F20" s="15">
        <f>'Invoice finance'!F$28</f>
        <v>0</v>
      </c>
      <c r="G20" s="15" t="str">
        <f>'Invoice finance'!G$28</f>
        <v>GBP</v>
      </c>
      <c r="H20" s="9">
        <f ca="1">'Invoice finance'!H$28</f>
        <v>0</v>
      </c>
      <c r="I20" s="15">
        <f>'Invoice finance'!I$28</f>
        <v>0</v>
      </c>
      <c r="J20" s="9">
        <f ca="1">SUMIF(Time!$J341:$BQ341,Time!J$28,'Invoice finance'!$J28:$BQ28)</f>
        <v>0</v>
      </c>
      <c r="K20" s="9">
        <f ca="1">SUMIF(Time!$J341:$BQ341,Time!K$28,'Invoice finance'!$J28:$BQ28)</f>
        <v>0</v>
      </c>
      <c r="L20" s="9">
        <f ca="1">SUMIF(Time!$J341:$BQ341,Time!L$28,'Invoice finance'!$J28:$BQ28)</f>
        <v>0</v>
      </c>
      <c r="M20" s="9">
        <f ca="1">SUMIF(Time!$J341:$BQ341,Time!M$28,'Invoice finance'!$J28:$BQ28)</f>
        <v>0</v>
      </c>
      <c r="N20" s="9">
        <f ca="1">SUMIF(Time!$J341:$BQ341,Time!N$28,'Invoice finance'!$J28:$BQ28)</f>
        <v>0</v>
      </c>
      <c r="O20" s="9">
        <f ca="1">SUMIF(Time!$J341:$BQ341,Time!O$28,'Invoice finance'!$J28:$BQ28)</f>
        <v>0</v>
      </c>
      <c r="P20" s="9">
        <f ca="1">SUMIF(Time!$J341:$BQ341,Time!P$28,'Invoice finance'!$J28:$BQ28)</f>
        <v>0</v>
      </c>
      <c r="Q20" s="9">
        <f ca="1">SUMIF(Time!$J341:$BQ341,Time!Q$28,'Invoice finance'!$J28:$BQ28)</f>
        <v>0</v>
      </c>
      <c r="R20" s="9">
        <f ca="1">SUMIF(Time!$J341:$BQ341,Time!R$28,'Invoice finance'!$J28:$BQ28)</f>
        <v>0</v>
      </c>
      <c r="S20" s="9">
        <f ca="1">SUMIF(Time!$J341:$BQ341,Time!S$28,'Invoice finance'!$J28:$BQ28)</f>
        <v>0</v>
      </c>
    </row>
    <row r="21" spans="5:19">
      <c r="E21" s="15" t="str">
        <f>'Asset Finance'!E$22</f>
        <v>Asset Finance drawdown</v>
      </c>
      <c r="F21" s="15">
        <f>'Asset Finance'!F$22</f>
        <v>0</v>
      </c>
      <c r="G21" s="15" t="str">
        <f>'Asset Finance'!G$22</f>
        <v>GBP</v>
      </c>
      <c r="H21" s="9">
        <f ca="1">'Asset Finance'!H$22</f>
        <v>0</v>
      </c>
      <c r="I21" s="15">
        <f>'Asset Finance'!I$22</f>
        <v>0</v>
      </c>
      <c r="J21" s="9">
        <f ca="1">SUMIF(Time!$J341:$BQ341,Time!J$28,'Asset Finance'!$J22:$BQ22)</f>
        <v>0</v>
      </c>
      <c r="K21" s="9">
        <f ca="1">SUMIF(Time!$J341:$BQ341,Time!K$28,'Asset Finance'!$J22:$BQ22)</f>
        <v>0</v>
      </c>
      <c r="L21" s="9">
        <f ca="1">SUMIF(Time!$J341:$BQ341,Time!L$28,'Asset Finance'!$J22:$BQ22)</f>
        <v>0</v>
      </c>
      <c r="M21" s="9">
        <f ca="1">SUMIF(Time!$J341:$BQ341,Time!M$28,'Asset Finance'!$J22:$BQ22)</f>
        <v>0</v>
      </c>
      <c r="N21" s="9">
        <f ca="1">SUMIF(Time!$J341:$BQ341,Time!N$28,'Asset Finance'!$J22:$BQ22)</f>
        <v>0</v>
      </c>
      <c r="O21" s="9">
        <f ca="1">SUMIF(Time!$J341:$BQ341,Time!O$28,'Asset Finance'!$J22:$BQ22)</f>
        <v>0</v>
      </c>
      <c r="P21" s="9">
        <f ca="1">SUMIF(Time!$J341:$BQ341,Time!P$28,'Asset Finance'!$J22:$BQ22)</f>
        <v>0</v>
      </c>
      <c r="Q21" s="9">
        <f ca="1">SUMIF(Time!$J341:$BQ341,Time!Q$28,'Asset Finance'!$J22:$BQ22)</f>
        <v>0</v>
      </c>
      <c r="R21" s="9">
        <f ca="1">SUMIF(Time!$J341:$BQ341,Time!R$28,'Asset Finance'!$J22:$BQ22)</f>
        <v>0</v>
      </c>
      <c r="S21" s="9">
        <f ca="1">SUMIF(Time!$J341:$BQ341,Time!S$28,'Asset Finance'!$J22:$BQ22)</f>
        <v>0</v>
      </c>
    </row>
    <row r="22" spans="5:19">
      <c r="E22" s="15" t="str">
        <f>'Asset Finance'!E$29</f>
        <v xml:space="preserve">Asset Finance principal repayment </v>
      </c>
      <c r="F22" s="15">
        <f>'Asset Finance'!F$29</f>
        <v>0</v>
      </c>
      <c r="G22" s="15" t="str">
        <f>'Asset Finance'!G$29</f>
        <v>GBP</v>
      </c>
      <c r="H22" s="9">
        <f ca="1">'Asset Finance'!H$29</f>
        <v>0</v>
      </c>
      <c r="I22" s="15">
        <f>'Asset Finance'!I$29</f>
        <v>0</v>
      </c>
      <c r="J22" s="9">
        <f ca="1">SUMIF(Time!$J341:$BQ341,Time!J$28,'Asset Finance'!$J29:$BQ29)</f>
        <v>0</v>
      </c>
      <c r="K22" s="9">
        <f ca="1">SUMIF(Time!$J341:$BQ341,Time!K$28,'Asset Finance'!$J29:$BQ29)</f>
        <v>0</v>
      </c>
      <c r="L22" s="9">
        <f ca="1">SUMIF(Time!$J341:$BQ341,Time!L$28,'Asset Finance'!$J29:$BQ29)</f>
        <v>0</v>
      </c>
      <c r="M22" s="9">
        <f ca="1">SUMIF(Time!$J341:$BQ341,Time!M$28,'Asset Finance'!$J29:$BQ29)</f>
        <v>0</v>
      </c>
      <c r="N22" s="9">
        <f ca="1">SUMIF(Time!$J341:$BQ341,Time!N$28,'Asset Finance'!$J29:$BQ29)</f>
        <v>0</v>
      </c>
      <c r="O22" s="9">
        <f ca="1">SUMIF(Time!$J341:$BQ341,Time!O$28,'Asset Finance'!$J29:$BQ29)</f>
        <v>0</v>
      </c>
      <c r="P22" s="9">
        <f ca="1">SUMIF(Time!$J341:$BQ341,Time!P$28,'Asset Finance'!$J29:$BQ29)</f>
        <v>0</v>
      </c>
      <c r="Q22" s="9">
        <f ca="1">SUMIF(Time!$J341:$BQ341,Time!Q$28,'Asset Finance'!$J29:$BQ29)</f>
        <v>0</v>
      </c>
      <c r="R22" s="9">
        <f ca="1">SUMIF(Time!$J341:$BQ341,Time!R$28,'Asset Finance'!$J29:$BQ29)</f>
        <v>0</v>
      </c>
      <c r="S22" s="9">
        <f ca="1">SUMIF(Time!$J341:$BQ341,Time!S$28,'Asset Finance'!$J29:$BQ29)</f>
        <v>0</v>
      </c>
    </row>
    <row r="23" spans="5:19">
      <c r="E23" s="15" t="str">
        <f>'Supply Chain finance'!E$48</f>
        <v xml:space="preserve">Supply Chain Finance interest paid </v>
      </c>
      <c r="F23" s="15">
        <f>'Supply Chain finance'!F$48</f>
        <v>0</v>
      </c>
      <c r="G23" s="15" t="str">
        <f>'Supply Chain finance'!G$48</f>
        <v>GBP</v>
      </c>
      <c r="H23" s="9">
        <f ca="1">'Supply Chain finance'!H$48</f>
        <v>0</v>
      </c>
      <c r="I23" s="15">
        <f>'Supply Chain finance'!I$48</f>
        <v>0</v>
      </c>
      <c r="J23" s="9">
        <f ca="1">SUMIF(Time!$J341:$BQ341,Time!J$28,'Supply Chain finance'!$J48:$BQ48)</f>
        <v>0</v>
      </c>
      <c r="K23" s="9">
        <f ca="1">SUMIF(Time!$J341:$BQ341,Time!K$28,'Supply Chain finance'!$J48:$BQ48)</f>
        <v>0</v>
      </c>
      <c r="L23" s="9">
        <f ca="1">SUMIF(Time!$J341:$BQ341,Time!L$28,'Supply Chain finance'!$J48:$BQ48)</f>
        <v>0</v>
      </c>
      <c r="M23" s="9">
        <f ca="1">SUMIF(Time!$J341:$BQ341,Time!M$28,'Supply Chain finance'!$J48:$BQ48)</f>
        <v>0</v>
      </c>
      <c r="N23" s="9">
        <f ca="1">SUMIF(Time!$J341:$BQ341,Time!N$28,'Supply Chain finance'!$J48:$BQ48)</f>
        <v>0</v>
      </c>
      <c r="O23" s="9">
        <f ca="1">SUMIF(Time!$J341:$BQ341,Time!O$28,'Supply Chain finance'!$J48:$BQ48)</f>
        <v>0</v>
      </c>
      <c r="P23" s="9">
        <f ca="1">SUMIF(Time!$J341:$BQ341,Time!P$28,'Supply Chain finance'!$J48:$BQ48)</f>
        <v>0</v>
      </c>
      <c r="Q23" s="9">
        <f ca="1">SUMIF(Time!$J341:$BQ341,Time!Q$28,'Supply Chain finance'!$J48:$BQ48)</f>
        <v>0</v>
      </c>
      <c r="R23" s="9">
        <f ca="1">SUMIF(Time!$J341:$BQ341,Time!R$28,'Supply Chain finance'!$J48:$BQ48)</f>
        <v>0</v>
      </c>
      <c r="S23" s="9">
        <f ca="1">SUMIF(Time!$J341:$BQ341,Time!S$28,'Supply Chain finance'!$J48:$BQ48)</f>
        <v>0</v>
      </c>
    </row>
    <row r="24" spans="5:19">
      <c r="E24" s="15" t="str">
        <f>'Invoice finance'!E$47</f>
        <v xml:space="preserve">Invoice finance interest paid </v>
      </c>
      <c r="F24" s="15">
        <f>'Invoice finance'!F$47</f>
        <v>0</v>
      </c>
      <c r="G24" s="15" t="str">
        <f>'Invoice finance'!G$47</f>
        <v>GBP</v>
      </c>
      <c r="H24" s="9">
        <f ca="1">'Invoice finance'!H$47</f>
        <v>0</v>
      </c>
      <c r="I24" s="15">
        <f>'Invoice finance'!I$47</f>
        <v>0</v>
      </c>
      <c r="J24" s="9">
        <f ca="1">SUMIF(Time!$J341:$BQ341,Time!J$28,'Invoice finance'!$J47:$BQ47)</f>
        <v>0</v>
      </c>
      <c r="K24" s="9">
        <f ca="1">SUMIF(Time!$J341:$BQ341,Time!K$28,'Invoice finance'!$J47:$BQ47)</f>
        <v>0</v>
      </c>
      <c r="L24" s="9">
        <f ca="1">SUMIF(Time!$J341:$BQ341,Time!L$28,'Invoice finance'!$J47:$BQ47)</f>
        <v>0</v>
      </c>
      <c r="M24" s="9">
        <f ca="1">SUMIF(Time!$J341:$BQ341,Time!M$28,'Invoice finance'!$J47:$BQ47)</f>
        <v>0</v>
      </c>
      <c r="N24" s="9">
        <f ca="1">SUMIF(Time!$J341:$BQ341,Time!N$28,'Invoice finance'!$J47:$BQ47)</f>
        <v>0</v>
      </c>
      <c r="O24" s="9">
        <f ca="1">SUMIF(Time!$J341:$BQ341,Time!O$28,'Invoice finance'!$J47:$BQ47)</f>
        <v>0</v>
      </c>
      <c r="P24" s="9">
        <f ca="1">SUMIF(Time!$J341:$BQ341,Time!P$28,'Invoice finance'!$J47:$BQ47)</f>
        <v>0</v>
      </c>
      <c r="Q24" s="9">
        <f ca="1">SUMIF(Time!$J341:$BQ341,Time!Q$28,'Invoice finance'!$J47:$BQ47)</f>
        <v>0</v>
      </c>
      <c r="R24" s="9">
        <f ca="1">SUMIF(Time!$J341:$BQ341,Time!R$28,'Invoice finance'!$J47:$BQ47)</f>
        <v>0</v>
      </c>
      <c r="S24" s="9">
        <f ca="1">SUMIF(Time!$J341:$BQ341,Time!S$28,'Invoice finance'!$J47:$BQ47)</f>
        <v>0</v>
      </c>
    </row>
    <row r="25" spans="5:19">
      <c r="E25" s="15" t="str">
        <f>'Asset Finance'!E$48</f>
        <v xml:space="preserve">Asset Finance interest paid </v>
      </c>
      <c r="F25" s="15">
        <f>'Asset Finance'!F$48</f>
        <v>0</v>
      </c>
      <c r="G25" s="15" t="str">
        <f>'Asset Finance'!G$48</f>
        <v>GBP</v>
      </c>
      <c r="H25" s="9">
        <f ca="1">'Asset Finance'!H$48</f>
        <v>0</v>
      </c>
      <c r="I25" s="15">
        <f>'Asset Finance'!I$48</f>
        <v>0</v>
      </c>
      <c r="J25" s="9">
        <f ca="1">SUMIF(Time!$J341:$BQ341,Time!J$28,'Asset Finance'!$J48:$BQ48)</f>
        <v>0</v>
      </c>
      <c r="K25" s="9">
        <f ca="1">SUMIF(Time!$J341:$BQ341,Time!K$28,'Asset Finance'!$J48:$BQ48)</f>
        <v>0</v>
      </c>
      <c r="L25" s="9">
        <f ca="1">SUMIF(Time!$J341:$BQ341,Time!L$28,'Asset Finance'!$J48:$BQ48)</f>
        <v>0</v>
      </c>
      <c r="M25" s="9">
        <f ca="1">SUMIF(Time!$J341:$BQ341,Time!M$28,'Asset Finance'!$J48:$BQ48)</f>
        <v>0</v>
      </c>
      <c r="N25" s="9">
        <f ca="1">SUMIF(Time!$J341:$BQ341,Time!N$28,'Asset Finance'!$J48:$BQ48)</f>
        <v>0</v>
      </c>
      <c r="O25" s="9">
        <f ca="1">SUMIF(Time!$J341:$BQ341,Time!O$28,'Asset Finance'!$J48:$BQ48)</f>
        <v>0</v>
      </c>
      <c r="P25" s="9">
        <f ca="1">SUMIF(Time!$J341:$BQ341,Time!P$28,'Asset Finance'!$J48:$BQ48)</f>
        <v>0</v>
      </c>
      <c r="Q25" s="9">
        <f ca="1">SUMIF(Time!$J341:$BQ341,Time!Q$28,'Asset Finance'!$J48:$BQ48)</f>
        <v>0</v>
      </c>
      <c r="R25" s="9">
        <f ca="1">SUMIF(Time!$J341:$BQ341,Time!R$28,'Asset Finance'!$J48:$BQ48)</f>
        <v>0</v>
      </c>
      <c r="S25" s="9">
        <f ca="1">SUMIF(Time!$J341:$BQ341,Time!S$28,'Asset Finance'!$J48:$BQ48)</f>
        <v>0</v>
      </c>
    </row>
    <row r="26" spans="5:19">
      <c r="E26" s="12" t="s">
        <v>178</v>
      </c>
      <c r="F26" s="28"/>
      <c r="G26" s="12" t="s">
        <v>252</v>
      </c>
      <c r="H26" s="12">
        <f ca="1">SUM(J26:BQ26)</f>
        <v>107847639.85822077</v>
      </c>
      <c r="I26" s="28"/>
      <c r="J26" s="12">
        <f ca="1">SUMIF(Time!$J341:$BQ341,Time!J$28,Cashflow!$J26:$BQ26)</f>
        <v>-321159.79441542737</v>
      </c>
      <c r="K26" s="12">
        <f ca="1">SUMIF(Time!$J341:$BQ341,Time!K$28,Cashflow!$J26:$BQ26)</f>
        <v>1567597.2432420258</v>
      </c>
      <c r="L26" s="12">
        <f ca="1">SUMIF(Time!$J341:$BQ341,Time!L$28,Cashflow!$J26:$BQ26)</f>
        <v>1283161.8941006248</v>
      </c>
      <c r="M26" s="12">
        <f ca="1">SUMIF(Time!$J341:$BQ341,Time!M$28,Cashflow!$J26:$BQ26)</f>
        <v>3243419.9022979829</v>
      </c>
      <c r="N26" s="12">
        <f ca="1">SUMIF(Time!$J341:$BQ341,Time!N$28,Cashflow!$J26:$BQ26)</f>
        <v>5326271.4298791327</v>
      </c>
      <c r="O26" s="12">
        <f ca="1">SUMIF(Time!$J341:$BQ341,Time!O$28,Cashflow!$J26:$BQ26)</f>
        <v>8149228.4904832011</v>
      </c>
      <c r="P26" s="12">
        <f ca="1">SUMIF(Time!$J341:$BQ341,Time!P$28,Cashflow!$J26:$BQ26)</f>
        <v>9181357.4916404448</v>
      </c>
      <c r="Q26" s="12">
        <f ca="1">SUMIF(Time!$J341:$BQ341,Time!Q$28,Cashflow!$J26:$BQ26)</f>
        <v>19991657.568638187</v>
      </c>
      <c r="R26" s="12">
        <f ca="1">SUMIF(Time!$J341:$BQ341,Time!R$28,Cashflow!$J26:$BQ26)</f>
        <v>19948753.121160373</v>
      </c>
      <c r="S26" s="12">
        <f ca="1">SUMIF(Time!$J341:$BQ341,Time!S$28,Cashflow!$J26:$BQ26)</f>
        <v>39477352.511194229</v>
      </c>
    </row>
    <row r="28" spans="5:19">
      <c r="E28" s="15" t="str">
        <f>InpS!E$11</f>
        <v>New share capital issued</v>
      </c>
      <c r="F28" s="15">
        <f>InpS!F$11</f>
        <v>0</v>
      </c>
      <c r="G28" s="15" t="str">
        <f>InpS!G$11</f>
        <v>GBP</v>
      </c>
      <c r="H28" s="9">
        <f>InpS!H$11</f>
        <v>0</v>
      </c>
      <c r="I28" s="15">
        <f>InpS!I$11</f>
        <v>0</v>
      </c>
      <c r="J28" s="9">
        <f>SUMIF(Time!$J341:$BQ341,Time!J$28,InpS!$J11:$BQ11)</f>
        <v>0</v>
      </c>
      <c r="K28" s="9">
        <f>SUMIF(Time!$J341:$BQ341,Time!K$28,InpS!$J11:$BQ11)</f>
        <v>0</v>
      </c>
      <c r="L28" s="9">
        <f>SUMIF(Time!$J341:$BQ341,Time!L$28,InpS!$J11:$BQ11)</f>
        <v>0</v>
      </c>
      <c r="M28" s="9">
        <f>SUMIF(Time!$J341:$BQ341,Time!M$28,InpS!$J11:$BQ11)</f>
        <v>0</v>
      </c>
      <c r="N28" s="9">
        <f>SUMIF(Time!$J341:$BQ341,Time!N$28,InpS!$J11:$BQ11)</f>
        <v>0</v>
      </c>
      <c r="O28" s="9">
        <f>SUMIF(Time!$J341:$BQ341,Time!O$28,InpS!$J11:$BQ11)</f>
        <v>0</v>
      </c>
      <c r="P28" s="9">
        <f>SUMIF(Time!$J341:$BQ341,Time!P$28,InpS!$J11:$BQ11)</f>
        <v>0</v>
      </c>
      <c r="Q28" s="9">
        <f>SUMIF(Time!$J341:$BQ341,Time!Q$28,InpS!$J11:$BQ11)</f>
        <v>0</v>
      </c>
      <c r="R28" s="9">
        <f>SUMIF(Time!$J341:$BQ341,Time!R$28,InpS!$J11:$BQ11)</f>
        <v>0</v>
      </c>
      <c r="S28" s="9">
        <f>SUMIF(Time!$J341:$BQ341,Time!S$28,InpS!$J11:$BQ11)</f>
        <v>0</v>
      </c>
    </row>
    <row r="29" spans="5:19">
      <c r="E29" s="12" t="s">
        <v>114</v>
      </c>
      <c r="F29" s="28"/>
      <c r="G29" s="12" t="s">
        <v>252</v>
      </c>
      <c r="H29" s="12">
        <f ca="1">SUM(J29:BQ29)</f>
        <v>107847639.85822077</v>
      </c>
      <c r="I29" s="28"/>
      <c r="J29" s="12">
        <f ca="1">SUMIF(Time!$J341:$BQ341,Time!J$28,Cashflow!$J29:$BQ29)</f>
        <v>-321159.79441542737</v>
      </c>
      <c r="K29" s="12">
        <f ca="1">SUMIF(Time!$J341:$BQ341,Time!K$28,Cashflow!$J29:$BQ29)</f>
        <v>1567597.2432420258</v>
      </c>
      <c r="L29" s="12">
        <f ca="1">SUMIF(Time!$J341:$BQ341,Time!L$28,Cashflow!$J29:$BQ29)</f>
        <v>1283161.8941006248</v>
      </c>
      <c r="M29" s="12">
        <f ca="1">SUMIF(Time!$J341:$BQ341,Time!M$28,Cashflow!$J29:$BQ29)</f>
        <v>3243419.9022979829</v>
      </c>
      <c r="N29" s="12">
        <f ca="1">SUMIF(Time!$J341:$BQ341,Time!N$28,Cashflow!$J29:$BQ29)</f>
        <v>5326271.4298791327</v>
      </c>
      <c r="O29" s="12">
        <f ca="1">SUMIF(Time!$J341:$BQ341,Time!O$28,Cashflow!$J29:$BQ29)</f>
        <v>8149228.4904832011</v>
      </c>
      <c r="P29" s="12">
        <f ca="1">SUMIF(Time!$J341:$BQ341,Time!P$28,Cashflow!$J29:$BQ29)</f>
        <v>9181357.4916404448</v>
      </c>
      <c r="Q29" s="12">
        <f ca="1">SUMIF(Time!$J341:$BQ341,Time!Q$28,Cashflow!$J29:$BQ29)</f>
        <v>19991657.568638187</v>
      </c>
      <c r="R29" s="12">
        <f ca="1">SUMIF(Time!$J341:$BQ341,Time!R$28,Cashflow!$J29:$BQ29)</f>
        <v>19948753.121160373</v>
      </c>
      <c r="S29" s="12">
        <f ca="1">SUMIF(Time!$J341:$BQ341,Time!S$28,Cashflow!$J29:$BQ29)</f>
        <v>39477352.511194229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1:BQ18"/>
  <sheetViews>
    <sheetView topLeftCell="A6" workbookViewId="0">
      <selection activeCell="E18" sqref="E18"/>
    </sheetView>
  </sheetViews>
  <sheetFormatPr defaultColWidth="0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38.7265625" customWidth="1"/>
    <col min="6" max="6" width="20.7265625" customWidth="1"/>
    <col min="7" max="7" width="13.7265625" customWidth="1"/>
    <col min="8" max="8" width="9.7265625" style="2" customWidth="1"/>
    <col min="9" max="9" width="3.7265625" customWidth="1"/>
    <col min="10" max="11" width="12.7265625" customWidth="1"/>
    <col min="12" max="12" width="11.7265625" customWidth="1"/>
    <col min="13" max="14" width="12.7265625" customWidth="1"/>
    <col min="15" max="15" width="11.7265625" customWidth="1"/>
    <col min="16" max="17" width="12.7265625" customWidth="1"/>
    <col min="18" max="18" width="11.7265625" customWidth="1"/>
    <col min="19" max="19" width="12.7265625" customWidth="1"/>
    <col min="20" max="21" width="11.7265625" customWidth="1"/>
    <col min="22" max="23" width="12.7265625" customWidth="1"/>
    <col min="24" max="24" width="11.7265625" customWidth="1"/>
    <col min="25" max="26" width="12.7265625" customWidth="1"/>
    <col min="27" max="27" width="11.7265625" customWidth="1"/>
    <col min="28" max="29" width="12.7265625" customWidth="1"/>
    <col min="30" max="30" width="11.7265625" customWidth="1"/>
    <col min="31" max="31" width="12.7265625" customWidth="1"/>
    <col min="32" max="33" width="11.7265625" customWidth="1"/>
    <col min="34" max="35" width="12.7265625" customWidth="1"/>
    <col min="36" max="36" width="11.7265625" customWidth="1"/>
    <col min="37" max="38" width="12.7265625" customWidth="1"/>
    <col min="39" max="39" width="11.7265625" customWidth="1"/>
    <col min="40" max="41" width="12.7265625" customWidth="1"/>
    <col min="42" max="42" width="11.7265625" customWidth="1"/>
    <col min="43" max="43" width="12.7265625" customWidth="1"/>
    <col min="44" max="45" width="11.7265625" customWidth="1"/>
    <col min="46" max="47" width="12.7265625" customWidth="1"/>
    <col min="48" max="48" width="11.7265625" customWidth="1"/>
    <col min="49" max="50" width="12.7265625" customWidth="1"/>
    <col min="51" max="51" width="11.7265625" customWidth="1"/>
    <col min="52" max="53" width="12.7265625" customWidth="1"/>
    <col min="54" max="54" width="11.7265625" customWidth="1"/>
    <col min="55" max="55" width="12.7265625" customWidth="1"/>
    <col min="56" max="57" width="11.7265625" customWidth="1"/>
    <col min="58" max="59" width="12.7265625" customWidth="1"/>
    <col min="60" max="60" width="11.7265625" customWidth="1"/>
    <col min="61" max="62" width="12.7265625" customWidth="1"/>
    <col min="63" max="63" width="11.7265625" customWidth="1"/>
    <col min="64" max="65" width="12.7265625" customWidth="1"/>
    <col min="66" max="66" width="11.7265625" customWidth="1"/>
    <col min="67" max="67" width="12.7265625" customWidth="1"/>
    <col min="68" max="69" width="11.7265625" customWidth="1"/>
    <col min="70" max="70" width="15.7265625" customWidth="1"/>
  </cols>
  <sheetData>
    <row r="1" spans="1:69" s="53" customFormat="1" ht="25">
      <c r="A1" s="37" t="str">
        <f ca="1">RIGHT(CELL("filename",A1),LEN(CELL("filename",A1))-SEARCH("]",CELL("filename",A1)))</f>
        <v>Inventory Report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69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69" s="2" customFormat="1" ht="13">
      <c r="A6" s="22"/>
      <c r="B6" s="22"/>
      <c r="C6" s="40"/>
      <c r="D6" s="54"/>
      <c r="F6" s="22"/>
      <c r="G6" s="22"/>
      <c r="H6" s="22"/>
    </row>
    <row r="8" spans="1:69">
      <c r="A8"/>
      <c r="E8" s="15" t="str">
        <f>Customers!E$11</f>
        <v>New customers orders</v>
      </c>
      <c r="F8" s="15">
        <f>Customers!F$11</f>
        <v>0</v>
      </c>
      <c r="G8" s="15" t="str">
        <f>Customers!G$11</f>
        <v>Units</v>
      </c>
      <c r="H8" s="9">
        <f>Customers!H$11</f>
        <v>261181.72293639058</v>
      </c>
      <c r="I8" s="15">
        <f>Customers!I$11</f>
        <v>0</v>
      </c>
      <c r="J8" s="9">
        <f>Customers!J$11</f>
        <v>500</v>
      </c>
      <c r="K8" s="9">
        <f>Customers!K$11</f>
        <v>530.31869276406599</v>
      </c>
      <c r="L8" s="9">
        <f>Customers!L$11</f>
        <v>561.40868500918316</v>
      </c>
      <c r="M8" s="9">
        <f>Customers!M$11</f>
        <v>595.4510398809266</v>
      </c>
      <c r="N8" s="9">
        <f>Customers!N$11</f>
        <v>631.55763414931334</v>
      </c>
      <c r="O8" s="9">
        <f>Customers!O$11</f>
        <v>668.58277057380337</v>
      </c>
      <c r="P8" s="9">
        <f>Customers!P$11</f>
        <v>709.12388179055358</v>
      </c>
      <c r="Q8" s="9">
        <f>Customers!Q$11</f>
        <v>750.69634809527076</v>
      </c>
      <c r="R8" s="9">
        <f>Customers!R$11</f>
        <v>796.21661196928437</v>
      </c>
      <c r="S8" s="9">
        <f>Customers!S$11</f>
        <v>844.49710563316887</v>
      </c>
      <c r="T8" s="9">
        <f>Customers!T$11</f>
        <v>890.89871814033927</v>
      </c>
      <c r="U8" s="9">
        <f>Customers!U$11</f>
        <v>944.76851169192605</v>
      </c>
      <c r="V8" s="9">
        <f>Customers!V$11</f>
        <v>1000</v>
      </c>
      <c r="W8" s="9">
        <f>Customers!W$11</f>
        <v>1061.5580832031035</v>
      </c>
      <c r="X8" s="9">
        <f>Customers!X$11</f>
        <v>1123.704463583204</v>
      </c>
      <c r="Y8" s="9">
        <f>Customers!Y$11</f>
        <v>1191.7469848656265</v>
      </c>
      <c r="Z8" s="9">
        <f>Customers!Z$11</f>
        <v>1263.9096149956249</v>
      </c>
      <c r="AA8" s="9">
        <f>Customers!AA$11</f>
        <v>1337.9021820933933</v>
      </c>
      <c r="AB8" s="9">
        <f>Customers!AB$11</f>
        <v>1418.9147976423296</v>
      </c>
      <c r="AC8" s="9">
        <f>Customers!AC$11</f>
        <v>1501.9817726260831</v>
      </c>
      <c r="AD8" s="9">
        <f>Customers!AD$11</f>
        <v>1593.7719986646332</v>
      </c>
      <c r="AE8" s="9">
        <f>Customers!AE$11</f>
        <v>1690.3233701094071</v>
      </c>
      <c r="AF8" s="9">
        <f>Customers!AF$11</f>
        <v>1782.5488403365116</v>
      </c>
      <c r="AG8" s="9">
        <f>Customers!AG$11</f>
        <v>1890.5363914705406</v>
      </c>
      <c r="AH8" s="9">
        <f>Customers!AH$11</f>
        <v>2001.2652671743485</v>
      </c>
      <c r="AI8" s="9">
        <f>Customers!AI$11</f>
        <v>2122.5027505360667</v>
      </c>
      <c r="AJ8" s="9">
        <f>Customers!AJ$11</f>
        <v>2246.81791543077</v>
      </c>
      <c r="AK8" s="9">
        <f>Customers!AK$11</f>
        <v>2382.9310804903203</v>
      </c>
      <c r="AL8" s="9">
        <f>Customers!AL$11</f>
        <v>2527.2900377768647</v>
      </c>
      <c r="AM8" s="9">
        <f>Customers!AM$11</f>
        <v>2675.3136281838124</v>
      </c>
      <c r="AN8" s="9">
        <f>Customers!AN$11</f>
        <v>2837.3852419795539</v>
      </c>
      <c r="AO8" s="9">
        <f>Customers!AO$11</f>
        <v>3003.5711346185153</v>
      </c>
      <c r="AP8" s="9">
        <f>Customers!AP$11</f>
        <v>3186.8748572718159</v>
      </c>
      <c r="AQ8" s="9">
        <f>Customers!AQ$11</f>
        <v>3379.98241970861</v>
      </c>
      <c r="AR8" s="9">
        <f>Customers!AR$11</f>
        <v>3564.4403170294318</v>
      </c>
      <c r="AS8" s="9">
        <f>Customers!AS$11</f>
        <v>3780.4263258626238</v>
      </c>
      <c r="AT8" s="9">
        <f>Customers!AT$11</f>
        <v>4001.8981837991764</v>
      </c>
      <c r="AU8" s="9">
        <f>Customers!AU$11</f>
        <v>4244.3917983916417</v>
      </c>
      <c r="AV8" s="9">
        <f>Customers!AV$11</f>
        <v>4493.0445312777838</v>
      </c>
      <c r="AW8" s="9">
        <f>Customers!AW$11</f>
        <v>4765.298986257475</v>
      </c>
      <c r="AX8" s="9">
        <f>Customers!AX$11</f>
        <v>5054.050604294488</v>
      </c>
      <c r="AY8" s="9">
        <f>Customers!AY$11</f>
        <v>5350.1362520376797</v>
      </c>
      <c r="AZ8" s="9">
        <f>Customers!AZ$11</f>
        <v>5674.3258787430632</v>
      </c>
      <c r="BA8" s="9">
        <f>Customers!BA$11</f>
        <v>6006.7496284946019</v>
      </c>
      <c r="BB8" s="9">
        <f>Customers!BB$11</f>
        <v>6372.946588234563</v>
      </c>
      <c r="BC8" s="9">
        <f>Customers!BC$11</f>
        <v>6759.1674891435086</v>
      </c>
      <c r="BD8" s="9">
        <f>Customers!BD$11</f>
        <v>7128.0916261082357</v>
      </c>
      <c r="BE8" s="9">
        <f>Customers!BE$11</f>
        <v>7560.0767261684687</v>
      </c>
      <c r="BF8" s="9">
        <f>Customers!BF$11</f>
        <v>8003.0373658535955</v>
      </c>
      <c r="BG8" s="9">
        <f>Customers!BG$11</f>
        <v>8488.0469699124624</v>
      </c>
      <c r="BH8" s="9">
        <f>Customers!BH$11</f>
        <v>8985.3793187304836</v>
      </c>
      <c r="BI8" s="9">
        <f>Customers!BI$11</f>
        <v>9529.921980031846</v>
      </c>
      <c r="BJ8" s="9">
        <f>Customers!BJ$11</f>
        <v>10107.465664379506</v>
      </c>
      <c r="BK8" s="9">
        <f>Customers!BK$11</f>
        <v>10699.683127039856</v>
      </c>
      <c r="BL8" s="9">
        <f>Customers!BL$11</f>
        <v>11348.118069895754</v>
      </c>
      <c r="BM8" s="9">
        <f>Customers!BM$11</f>
        <v>12013.027940725995</v>
      </c>
      <c r="BN8" s="9">
        <f>Customers!BN$11</f>
        <v>12726.008005999736</v>
      </c>
      <c r="BO8" s="9">
        <f>Customers!BO$11</f>
        <v>13496.954871063208</v>
      </c>
      <c r="BP8" s="9">
        <f>Customers!BP$11</f>
        <v>14260.390722692093</v>
      </c>
      <c r="BQ8" s="9">
        <f>Customers!BQ$11</f>
        <v>15124.291131764327</v>
      </c>
    </row>
    <row r="9" spans="1:69">
      <c r="E9" s="15" t="str">
        <f>Customers!E$32</f>
        <v>Renewing Customer Orders</v>
      </c>
      <c r="F9" s="15">
        <f>Customers!F$32</f>
        <v>0</v>
      </c>
      <c r="G9" s="15" t="str">
        <f>Customers!G$32</f>
        <v>Units</v>
      </c>
      <c r="H9" s="9">
        <f ca="1">Customers!H$32</f>
        <v>53090.297527815921</v>
      </c>
      <c r="I9" s="15">
        <f>Customers!I$32</f>
        <v>0</v>
      </c>
      <c r="J9" s="9">
        <f ca="1">Customers!J$32</f>
        <v>0</v>
      </c>
      <c r="K9" s="9">
        <f ca="1">Customers!K$32</f>
        <v>0</v>
      </c>
      <c r="L9" s="9">
        <f ca="1">Customers!L$32</f>
        <v>0</v>
      </c>
      <c r="M9" s="9">
        <f ca="1">Customers!M$32</f>
        <v>0</v>
      </c>
      <c r="N9" s="9">
        <f ca="1">Customers!N$32</f>
        <v>0</v>
      </c>
      <c r="O9" s="9">
        <f ca="1">Customers!O$32</f>
        <v>0</v>
      </c>
      <c r="P9" s="9">
        <f ca="1">Customers!P$32</f>
        <v>0</v>
      </c>
      <c r="Q9" s="9">
        <f ca="1">Customers!Q$32</f>
        <v>0</v>
      </c>
      <c r="R9" s="9">
        <f ca="1">Customers!R$32</f>
        <v>0</v>
      </c>
      <c r="S9" s="9">
        <f ca="1">Customers!S$32</f>
        <v>0</v>
      </c>
      <c r="T9" s="9">
        <f ca="1">Customers!T$32</f>
        <v>0</v>
      </c>
      <c r="U9" s="9">
        <f ca="1">Customers!U$32</f>
        <v>0</v>
      </c>
      <c r="V9" s="9">
        <f ca="1">Customers!V$32</f>
        <v>0</v>
      </c>
      <c r="W9" s="9">
        <f ca="1">Customers!W$32</f>
        <v>0</v>
      </c>
      <c r="X9" s="9">
        <f ca="1">Customers!X$32</f>
        <v>0</v>
      </c>
      <c r="Y9" s="9">
        <f ca="1">Customers!Y$32</f>
        <v>0</v>
      </c>
      <c r="Z9" s="9">
        <f ca="1">Customers!Z$32</f>
        <v>0</v>
      </c>
      <c r="AA9" s="9">
        <f ca="1">Customers!AA$32</f>
        <v>0</v>
      </c>
      <c r="AB9" s="9">
        <f ca="1">Customers!AB$32</f>
        <v>0</v>
      </c>
      <c r="AC9" s="9">
        <f ca="1">Customers!AC$32</f>
        <v>0</v>
      </c>
      <c r="AD9" s="9">
        <f ca="1">Customers!AD$32</f>
        <v>0</v>
      </c>
      <c r="AE9" s="9">
        <f ca="1">Customers!AE$32</f>
        <v>0</v>
      </c>
      <c r="AF9" s="9">
        <f ca="1">Customers!AF$32</f>
        <v>0</v>
      </c>
      <c r="AG9" s="9">
        <f ca="1">Customers!AG$32</f>
        <v>0</v>
      </c>
      <c r="AH9" s="9">
        <f ca="1">Customers!AH$32</f>
        <v>450</v>
      </c>
      <c r="AI9" s="9">
        <f ca="1">Customers!AI$32</f>
        <v>477.28682348765938</v>
      </c>
      <c r="AJ9" s="9">
        <f ca="1">Customers!AJ$32</f>
        <v>505.26781650826484</v>
      </c>
      <c r="AK9" s="9">
        <f ca="1">Customers!AK$32</f>
        <v>535.90593589283401</v>
      </c>
      <c r="AL9" s="9">
        <f ca="1">Customers!AL$32</f>
        <v>568.40187073438199</v>
      </c>
      <c r="AM9" s="9">
        <f ca="1">Customers!AM$32</f>
        <v>601.72449351642308</v>
      </c>
      <c r="AN9" s="9">
        <f ca="1">Customers!AN$32</f>
        <v>638.21149361149821</v>
      </c>
      <c r="AO9" s="9">
        <f ca="1">Customers!AO$32</f>
        <v>675.62671328574368</v>
      </c>
      <c r="AP9" s="9">
        <f ca="1">Customers!AP$32</f>
        <v>716.5949507723559</v>
      </c>
      <c r="AQ9" s="9">
        <f ca="1">Customers!AQ$32</f>
        <v>760.04739506985197</v>
      </c>
      <c r="AR9" s="9">
        <f ca="1">Customers!AR$32</f>
        <v>801.80884632630534</v>
      </c>
      <c r="AS9" s="9">
        <f ca="1">Customers!AS$32</f>
        <v>850.29166052273342</v>
      </c>
      <c r="AT9" s="9">
        <f ca="1">Customers!AT$32</f>
        <v>900</v>
      </c>
      <c r="AU9" s="9">
        <f ca="1">Customers!AU$32</f>
        <v>955.40227488279311</v>
      </c>
      <c r="AV9" s="9">
        <f ca="1">Customers!AV$32</f>
        <v>1011.3340172248836</v>
      </c>
      <c r="AW9" s="9">
        <f ca="1">Customers!AW$32</f>
        <v>1072.5722863790638</v>
      </c>
      <c r="AX9" s="9">
        <f ca="1">Customers!AX$32</f>
        <v>1137.5186534960624</v>
      </c>
      <c r="AY9" s="9">
        <f ca="1">Customers!AY$32</f>
        <v>1204.1119638840539</v>
      </c>
      <c r="AZ9" s="9">
        <f ca="1">Customers!AZ$32</f>
        <v>1277.0233178780968</v>
      </c>
      <c r="BA9" s="9">
        <f ca="1">Customers!BA$32</f>
        <v>1351.7835953634749</v>
      </c>
      <c r="BB9" s="9">
        <f ca="1">Customers!BB$32</f>
        <v>1434.3947987981699</v>
      </c>
      <c r="BC9" s="9">
        <f ca="1">Customers!BC$32</f>
        <v>1521.2910330984664</v>
      </c>
      <c r="BD9" s="9">
        <f ca="1">Customers!BD$32</f>
        <v>1604.2939563028606</v>
      </c>
      <c r="BE9" s="9">
        <f ca="1">Customers!BE$32</f>
        <v>1701.4827523234865</v>
      </c>
      <c r="BF9" s="9">
        <f ca="1">Customers!BF$32</f>
        <v>1801.1387404569136</v>
      </c>
      <c r="BG9" s="9">
        <f ca="1">Customers!BG$32</f>
        <v>1910.2524754824601</v>
      </c>
      <c r="BH9" s="9">
        <f ca="1">Customers!BH$32</f>
        <v>2022.136123887693</v>
      </c>
      <c r="BI9" s="9">
        <f ca="1">Customers!BI$32</f>
        <v>2144.6379724412882</v>
      </c>
      <c r="BJ9" s="9">
        <f ca="1">Customers!BJ$32</f>
        <v>2274.5610339991781</v>
      </c>
      <c r="BK9" s="9">
        <f ca="1">Customers!BK$32</f>
        <v>2407.7822653654312</v>
      </c>
      <c r="BL9" s="9">
        <f ca="1">Customers!BL$32</f>
        <v>2553.6467177815985</v>
      </c>
      <c r="BM9" s="9">
        <f ca="1">Customers!BM$32</f>
        <v>2703.2140211566639</v>
      </c>
      <c r="BN9" s="9">
        <f ca="1">Customers!BN$32</f>
        <v>2868.1873715446345</v>
      </c>
      <c r="BO9" s="9">
        <f ca="1">Customers!BO$32</f>
        <v>3041.9841777377492</v>
      </c>
      <c r="BP9" s="9">
        <f ca="1">Customers!BP$32</f>
        <v>3207.9962853264888</v>
      </c>
      <c r="BQ9" s="9">
        <f ca="1">Customers!BQ$32</f>
        <v>3402.3836932763616</v>
      </c>
    </row>
    <row r="10" spans="1:69">
      <c r="E10" s="15" t="str">
        <f>Customers!E$21</f>
        <v>Customer Orders Awaiting Fullfilment</v>
      </c>
      <c r="F10" s="15">
        <f>Customers!F$21</f>
        <v>0</v>
      </c>
      <c r="G10" s="15" t="str">
        <f>Customers!G$21</f>
        <v>Units</v>
      </c>
      <c r="H10" s="9">
        <f>Customers!H$21</f>
        <v>0</v>
      </c>
      <c r="I10" s="15">
        <f>Customers!I$21</f>
        <v>0</v>
      </c>
      <c r="J10" s="9">
        <f ca="1">Customers!J$21</f>
        <v>500</v>
      </c>
      <c r="K10" s="9">
        <f ca="1">Customers!K$21</f>
        <v>1030.3186927640659</v>
      </c>
      <c r="L10" s="9">
        <f ca="1">Customers!L$21</f>
        <v>1591.7273777732489</v>
      </c>
      <c r="M10" s="9">
        <f ca="1">Customers!M$21</f>
        <v>2187.1784176541755</v>
      </c>
      <c r="N10" s="9">
        <f ca="1">Customers!N$21</f>
        <v>2818.7360518034889</v>
      </c>
      <c r="O10" s="9">
        <f ca="1">Customers!O$21</f>
        <v>3487.3188223772922</v>
      </c>
      <c r="P10" s="9">
        <f ca="1">Customers!P$21</f>
        <v>4196.4427041678455</v>
      </c>
      <c r="Q10" s="9">
        <f ca="1">Customers!Q$21</f>
        <v>750.69634809527088</v>
      </c>
      <c r="R10" s="9">
        <f ca="1">Customers!R$21</f>
        <v>796.21661196928426</v>
      </c>
      <c r="S10" s="9">
        <f ca="1">Customers!S$21</f>
        <v>1587.8527698655694</v>
      </c>
      <c r="T10" s="9">
        <f ca="1">Customers!T$21</f>
        <v>2478.7514880059089</v>
      </c>
      <c r="U10" s="9">
        <f ca="1">Customers!U$21</f>
        <v>3423.5199996978349</v>
      </c>
      <c r="V10" s="9">
        <f ca="1">Customers!V$21</f>
        <v>4423.5199996978354</v>
      </c>
      <c r="W10" s="9">
        <f ca="1">Customers!W$21</f>
        <v>1061.5580832031037</v>
      </c>
      <c r="X10" s="9">
        <f ca="1">Customers!X$21</f>
        <v>1608.782546484143</v>
      </c>
      <c r="Y10" s="9">
        <f ca="1">Customers!Y$21</f>
        <v>2800.5295313497695</v>
      </c>
      <c r="Z10" s="9">
        <f ca="1">Customers!Z$21</f>
        <v>4064.4391463453944</v>
      </c>
      <c r="AA10" s="9">
        <f ca="1">Customers!AA$21</f>
        <v>5402.341328438788</v>
      </c>
      <c r="AB10" s="9">
        <f ca="1">Customers!AB$21</f>
        <v>6821.2561260811181</v>
      </c>
      <c r="AC10" s="9">
        <f ca="1">Customers!AC$21</f>
        <v>3323.2378987072007</v>
      </c>
      <c r="AD10" s="9">
        <f ca="1">Customers!AD$21</f>
        <v>4917.0098973718341</v>
      </c>
      <c r="AE10" s="9">
        <f ca="1">Customers!AE$21</f>
        <v>6607.3332674812409</v>
      </c>
      <c r="AF10" s="9">
        <f ca="1">Customers!AF$21</f>
        <v>8389.8821078177534</v>
      </c>
      <c r="AG10" s="9">
        <f ca="1">Customers!AG$21</f>
        <v>5280.4184992882947</v>
      </c>
      <c r="AH10" s="9">
        <f ca="1">Customers!AH$21</f>
        <v>7731.6837664626437</v>
      </c>
      <c r="AI10" s="9">
        <f ca="1">Customers!AI$21</f>
        <v>9331.4733404863691</v>
      </c>
      <c r="AJ10" s="9">
        <f ca="1">Customers!AJ$21</f>
        <v>11022.921686897271</v>
      </c>
      <c r="AK10" s="9">
        <f ca="1">Customers!AK$21</f>
        <v>7818.941333262057</v>
      </c>
      <c r="AL10" s="9">
        <f ca="1">Customers!AL$21</f>
        <v>9723.7311620114488</v>
      </c>
      <c r="AM10" s="9">
        <f ca="1">Customers!AM$21</f>
        <v>11737.654015413058</v>
      </c>
      <c r="AN10" s="9">
        <f ca="1">Customers!AN$21</f>
        <v>8876.0852098565028</v>
      </c>
      <c r="AO10" s="9">
        <f ca="1">Customers!AO$21</f>
        <v>11137.035294179654</v>
      </c>
      <c r="AP10" s="9">
        <f ca="1">Customers!AP$21</f>
        <v>8539.1124060332841</v>
      </c>
      <c r="AQ10" s="9">
        <f ca="1">Customers!AQ$21</f>
        <v>11086.708996873176</v>
      </c>
      <c r="AR10" s="9">
        <f ca="1">Customers!AR$21</f>
        <v>13763.963948962575</v>
      </c>
      <c r="AS10" s="9">
        <f ca="1">Customers!AS$21</f>
        <v>11612.884499067255</v>
      </c>
      <c r="AT10" s="9">
        <f ca="1">Customers!AT$21</f>
        <v>14625.245659482582</v>
      </c>
      <c r="AU10" s="9">
        <f ca="1">Customers!AU$21</f>
        <v>17825.039732757017</v>
      </c>
      <c r="AV10" s="9">
        <f ca="1">Customers!AV$21</f>
        <v>16206.302114853477</v>
      </c>
      <c r="AW10" s="9">
        <f ca="1">Customers!AW$21</f>
        <v>19796.764460323608</v>
      </c>
      <c r="AX10" s="9">
        <f ca="1">Customers!AX$21</f>
        <v>18604.839748382903</v>
      </c>
      <c r="AY10" s="9">
        <f ca="1">Customers!AY$21</f>
        <v>22631.268734313388</v>
      </c>
      <c r="AZ10" s="9">
        <f ca="1">Customers!AZ$21</f>
        <v>21906.813566747762</v>
      </c>
      <c r="BA10" s="9">
        <f ca="1">Customers!BA$21</f>
        <v>21427.517195321179</v>
      </c>
      <c r="BB10" s="9">
        <f ca="1">Customers!BB$21</f>
        <v>26230.895037101749</v>
      </c>
      <c r="BC10" s="9">
        <f ca="1">Customers!BC$21</f>
        <v>26323.80956201446</v>
      </c>
      <c r="BD10" s="9">
        <f ca="1">Customers!BD$21</f>
        <v>26675.548404206747</v>
      </c>
      <c r="BE10" s="9">
        <f ca="1">Customers!BE$21</f>
        <v>32372.010202025675</v>
      </c>
      <c r="BF10" s="9">
        <f ca="1">Customers!BF$21</f>
        <v>33395.1135253951</v>
      </c>
      <c r="BG10" s="9">
        <f ca="1">Customers!BG$21</f>
        <v>33890.882436441323</v>
      </c>
      <c r="BH10" s="9">
        <f ca="1">Customers!BH$21</f>
        <v>34698.818731012048</v>
      </c>
      <c r="BI10" s="9">
        <f ca="1">Customers!BI$21</f>
        <v>35869.207219607117</v>
      </c>
      <c r="BJ10" s="9">
        <f ca="1">Customers!BJ$21</f>
        <v>37413.559885219496</v>
      </c>
      <c r="BK10" s="9">
        <f ca="1">Customers!BK$21</f>
        <v>39329.641460602288</v>
      </c>
      <c r="BL10" s="9">
        <f ca="1">Customers!BL$21</f>
        <v>41677.330004879172</v>
      </c>
      <c r="BM10" s="9">
        <f ca="1">Customers!BM$21</f>
        <v>44442.378495579731</v>
      </c>
      <c r="BN10" s="9">
        <f ca="1">Customers!BN$21</f>
        <v>47678.178177315582</v>
      </c>
      <c r="BO10" s="9">
        <f ca="1">Customers!BO$21</f>
        <v>51410.1776100282</v>
      </c>
      <c r="BP10" s="9">
        <f ca="1">Customers!BP$21</f>
        <v>55598.504988489847</v>
      </c>
      <c r="BQ10" s="9">
        <f ca="1">Customers!BQ$21</f>
        <v>60392.68148681907</v>
      </c>
    </row>
    <row r="11" spans="1:69">
      <c r="E11" s="15" t="str">
        <f>Inventory!E$26</f>
        <v>Units ordered</v>
      </c>
      <c r="F11" s="15">
        <f>Inventory!F$26</f>
        <v>0</v>
      </c>
      <c r="G11" s="15" t="str">
        <f>Inventory!G$26</f>
        <v>Units</v>
      </c>
      <c r="H11" s="9">
        <f ca="1">Inventory!H$26</f>
        <v>165000</v>
      </c>
      <c r="I11" s="15">
        <f>Inventory!I$26</f>
        <v>0</v>
      </c>
      <c r="J11" s="9">
        <f ca="1">Inventory!J$26</f>
        <v>5000</v>
      </c>
      <c r="K11" s="9">
        <f ca="1">Inventory!K$26</f>
        <v>0</v>
      </c>
      <c r="L11" s="9">
        <f ca="1">Inventory!L$26</f>
        <v>0</v>
      </c>
      <c r="M11" s="9">
        <f ca="1">Inventory!M$26</f>
        <v>0</v>
      </c>
      <c r="N11" s="9">
        <f ca="1">Inventory!N$26</f>
        <v>0</v>
      </c>
      <c r="O11" s="9">
        <f ca="1">Inventory!O$26</f>
        <v>0</v>
      </c>
      <c r="P11" s="9">
        <f ca="1">Inventory!P$26</f>
        <v>5000</v>
      </c>
      <c r="Q11" s="9">
        <f ca="1">Inventory!Q$26</f>
        <v>0</v>
      </c>
      <c r="R11" s="9">
        <f ca="1">Inventory!R$26</f>
        <v>0</v>
      </c>
      <c r="S11" s="9">
        <f ca="1">Inventory!S$26</f>
        <v>0</v>
      </c>
      <c r="T11" s="9">
        <f ca="1">Inventory!T$26</f>
        <v>0</v>
      </c>
      <c r="U11" s="9">
        <f ca="1">Inventory!U$26</f>
        <v>0</v>
      </c>
      <c r="V11" s="9">
        <f ca="1">Inventory!V$26</f>
        <v>5000</v>
      </c>
      <c r="W11" s="9">
        <f ca="1">Inventory!W$26</f>
        <v>0</v>
      </c>
      <c r="X11" s="9">
        <f ca="1">Inventory!X$26</f>
        <v>0</v>
      </c>
      <c r="Y11" s="9">
        <f ca="1">Inventory!Y$26</f>
        <v>0</v>
      </c>
      <c r="Z11" s="9">
        <f ca="1">Inventory!Z$26</f>
        <v>5000</v>
      </c>
      <c r="AA11" s="9">
        <f ca="1">Inventory!AA$26</f>
        <v>0</v>
      </c>
      <c r="AB11" s="9">
        <f ca="1">Inventory!AB$26</f>
        <v>0</v>
      </c>
      <c r="AC11" s="9">
        <f ca="1">Inventory!AC$26</f>
        <v>0</v>
      </c>
      <c r="AD11" s="9">
        <f ca="1">Inventory!AD$26</f>
        <v>5000</v>
      </c>
      <c r="AE11" s="9">
        <f ca="1">Inventory!AE$26</f>
        <v>0</v>
      </c>
      <c r="AF11" s="9">
        <f ca="1">Inventory!AF$26</f>
        <v>0</v>
      </c>
      <c r="AG11" s="9">
        <f ca="1">Inventory!AG$26</f>
        <v>5000</v>
      </c>
      <c r="AH11" s="9">
        <f ca="1">Inventory!AH$26</f>
        <v>0</v>
      </c>
      <c r="AI11" s="9">
        <f ca="1">Inventory!AI$26</f>
        <v>5000</v>
      </c>
      <c r="AJ11" s="9">
        <f ca="1">Inventory!AJ$26</f>
        <v>0</v>
      </c>
      <c r="AK11" s="9">
        <f ca="1">Inventory!AK$26</f>
        <v>0</v>
      </c>
      <c r="AL11" s="9">
        <f ca="1">Inventory!AL$26</f>
        <v>5000</v>
      </c>
      <c r="AM11" s="9">
        <f ca="1">Inventory!AM$26</f>
        <v>0</v>
      </c>
      <c r="AN11" s="9">
        <f ca="1">Inventory!AN$26</f>
        <v>0</v>
      </c>
      <c r="AO11" s="9">
        <f ca="1">Inventory!AO$26</f>
        <v>5000</v>
      </c>
      <c r="AP11" s="9">
        <f ca="1">Inventory!AP$26</f>
        <v>0</v>
      </c>
      <c r="AQ11" s="9">
        <f ca="1">Inventory!AQ$26</f>
        <v>5000</v>
      </c>
      <c r="AR11" s="9">
        <f ca="1">Inventory!AR$26</f>
        <v>0</v>
      </c>
      <c r="AS11" s="9">
        <f ca="1">Inventory!AS$26</f>
        <v>5000</v>
      </c>
      <c r="AT11" s="9">
        <f ca="1">Inventory!AT$26</f>
        <v>5000</v>
      </c>
      <c r="AU11" s="9">
        <f ca="1">Inventory!AU$26</f>
        <v>0</v>
      </c>
      <c r="AV11" s="9">
        <f ca="1">Inventory!AV$26</f>
        <v>5000</v>
      </c>
      <c r="AW11" s="9">
        <f ca="1">Inventory!AW$26</f>
        <v>5000</v>
      </c>
      <c r="AX11" s="9">
        <f ca="1">Inventory!AX$26</f>
        <v>0</v>
      </c>
      <c r="AY11" s="9">
        <f ca="1">Inventory!AY$26</f>
        <v>5000</v>
      </c>
      <c r="AZ11" s="9">
        <f ca="1">Inventory!AZ$26</f>
        <v>5000</v>
      </c>
      <c r="BA11" s="9">
        <f ca="1">Inventory!BA$26</f>
        <v>5000</v>
      </c>
      <c r="BB11" s="9">
        <f ca="1">Inventory!BB$26</f>
        <v>5000</v>
      </c>
      <c r="BC11" s="9">
        <f ca="1">Inventory!BC$26</f>
        <v>5000</v>
      </c>
      <c r="BD11" s="9">
        <f ca="1">Inventory!BD$26</f>
        <v>5000</v>
      </c>
      <c r="BE11" s="9">
        <f ca="1">Inventory!BE$26</f>
        <v>5000</v>
      </c>
      <c r="BF11" s="9">
        <f ca="1">Inventory!BF$26</f>
        <v>5000</v>
      </c>
      <c r="BG11" s="9">
        <f ca="1">Inventory!BG$26</f>
        <v>5000</v>
      </c>
      <c r="BH11" s="9">
        <f ca="1">Inventory!BH$26</f>
        <v>5000</v>
      </c>
      <c r="BI11" s="9">
        <f ca="1">Inventory!BI$26</f>
        <v>5000</v>
      </c>
      <c r="BJ11" s="9">
        <f ca="1">Inventory!BJ$26</f>
        <v>5000</v>
      </c>
      <c r="BK11" s="9">
        <f ca="1">Inventory!BK$26</f>
        <v>5000</v>
      </c>
      <c r="BL11" s="9">
        <f ca="1">Inventory!BL$26</f>
        <v>5000</v>
      </c>
      <c r="BM11" s="9">
        <f ca="1">Inventory!BM$26</f>
        <v>5000</v>
      </c>
      <c r="BN11" s="9">
        <f ca="1">Inventory!BN$26</f>
        <v>5000</v>
      </c>
      <c r="BO11" s="9">
        <f ca="1">Inventory!BO$26</f>
        <v>5000</v>
      </c>
      <c r="BP11" s="9">
        <f ca="1">Inventory!BP$26</f>
        <v>5000</v>
      </c>
      <c r="BQ11" s="9">
        <f ca="1">Inventory!BQ$26</f>
        <v>5000</v>
      </c>
    </row>
    <row r="12" spans="1:69">
      <c r="E12" s="15" t="str">
        <f>Inventory!E$41</f>
        <v>Units on order</v>
      </c>
      <c r="F12" s="15">
        <f>Inventory!F$41</f>
        <v>0</v>
      </c>
      <c r="G12" s="15" t="str">
        <f>Inventory!G$41</f>
        <v>Units</v>
      </c>
      <c r="H12" s="9">
        <f>Inventory!H$41</f>
        <v>0</v>
      </c>
      <c r="I12" s="15">
        <f>Inventory!I$41</f>
        <v>0</v>
      </c>
      <c r="J12" s="9">
        <f ca="1">Inventory!J$41</f>
        <v>5000</v>
      </c>
      <c r="K12" s="9">
        <f ca="1">Inventory!K$41</f>
        <v>5000</v>
      </c>
      <c r="L12" s="9">
        <f ca="1">Inventory!L$41</f>
        <v>5000</v>
      </c>
      <c r="M12" s="9">
        <f ca="1">Inventory!M$41</f>
        <v>5000</v>
      </c>
      <c r="N12" s="9">
        <f ca="1">Inventory!N$41</f>
        <v>5000</v>
      </c>
      <c r="O12" s="9">
        <f ca="1">Inventory!O$41</f>
        <v>5000</v>
      </c>
      <c r="P12" s="9">
        <f ca="1">Inventory!P$41</f>
        <v>5000</v>
      </c>
      <c r="Q12" s="9">
        <f ca="1">Inventory!Q$41</f>
        <v>5000</v>
      </c>
      <c r="R12" s="9">
        <f ca="1">Inventory!R$41</f>
        <v>5000</v>
      </c>
      <c r="S12" s="9">
        <f ca="1">Inventory!S$41</f>
        <v>5000</v>
      </c>
      <c r="T12" s="9">
        <f ca="1">Inventory!T$41</f>
        <v>5000</v>
      </c>
      <c r="U12" s="9">
        <f ca="1">Inventory!U$41</f>
        <v>5000</v>
      </c>
      <c r="V12" s="9">
        <f ca="1">Inventory!V$41</f>
        <v>5000</v>
      </c>
      <c r="W12" s="9">
        <f ca="1">Inventory!W$41</f>
        <v>5000</v>
      </c>
      <c r="X12" s="9">
        <f ca="1">Inventory!X$41</f>
        <v>5000</v>
      </c>
      <c r="Y12" s="9">
        <f ca="1">Inventory!Y$41</f>
        <v>5000</v>
      </c>
      <c r="Z12" s="9">
        <f ca="1">Inventory!Z$41</f>
        <v>10000</v>
      </c>
      <c r="AA12" s="9">
        <f ca="1">Inventory!AA$41</f>
        <v>10000</v>
      </c>
      <c r="AB12" s="9">
        <f ca="1">Inventory!AB$41</f>
        <v>5000</v>
      </c>
      <c r="AC12" s="9">
        <f ca="1">Inventory!AC$41</f>
        <v>5000</v>
      </c>
      <c r="AD12" s="9">
        <f ca="1">Inventory!AD$41</f>
        <v>10000</v>
      </c>
      <c r="AE12" s="9">
        <f ca="1">Inventory!AE$41</f>
        <v>10000</v>
      </c>
      <c r="AF12" s="9">
        <f ca="1">Inventory!AF$41</f>
        <v>5000</v>
      </c>
      <c r="AG12" s="9">
        <f ca="1">Inventory!AG$41</f>
        <v>10000</v>
      </c>
      <c r="AH12" s="9">
        <f ca="1">Inventory!AH$41</f>
        <v>10000</v>
      </c>
      <c r="AI12" s="9">
        <f ca="1">Inventory!AI$41</f>
        <v>15000</v>
      </c>
      <c r="AJ12" s="9">
        <f ca="1">Inventory!AJ$41</f>
        <v>10000</v>
      </c>
      <c r="AK12" s="9">
        <f ca="1">Inventory!AK$41</f>
        <v>10000</v>
      </c>
      <c r="AL12" s="9">
        <f ca="1">Inventory!AL$41</f>
        <v>15000</v>
      </c>
      <c r="AM12" s="9">
        <f ca="1">Inventory!AM$41</f>
        <v>10000</v>
      </c>
      <c r="AN12" s="9">
        <f ca="1">Inventory!AN$41</f>
        <v>10000</v>
      </c>
      <c r="AO12" s="9">
        <f ca="1">Inventory!AO$41</f>
        <v>10000</v>
      </c>
      <c r="AP12" s="9">
        <f ca="1">Inventory!AP$41</f>
        <v>10000</v>
      </c>
      <c r="AQ12" s="9">
        <f ca="1">Inventory!AQ$41</f>
        <v>15000</v>
      </c>
      <c r="AR12" s="9">
        <f ca="1">Inventory!AR$41</f>
        <v>10000</v>
      </c>
      <c r="AS12" s="9">
        <f ca="1">Inventory!AS$41</f>
        <v>15000</v>
      </c>
      <c r="AT12" s="9">
        <f ca="1">Inventory!AT$41</f>
        <v>20000</v>
      </c>
      <c r="AU12" s="9">
        <f ca="1">Inventory!AU$41</f>
        <v>15000</v>
      </c>
      <c r="AV12" s="9">
        <f ca="1">Inventory!AV$41</f>
        <v>20000</v>
      </c>
      <c r="AW12" s="9">
        <f ca="1">Inventory!AW$41</f>
        <v>20000</v>
      </c>
      <c r="AX12" s="9">
        <f ca="1">Inventory!AX$41</f>
        <v>20000</v>
      </c>
      <c r="AY12" s="9">
        <f ca="1">Inventory!AY$41</f>
        <v>20000</v>
      </c>
      <c r="AZ12" s="9">
        <f ca="1">Inventory!AZ$41</f>
        <v>20000</v>
      </c>
      <c r="BA12" s="9">
        <f ca="1">Inventory!BA$41</f>
        <v>25000</v>
      </c>
      <c r="BB12" s="9">
        <f ca="1">Inventory!BB$41</f>
        <v>25000</v>
      </c>
      <c r="BC12" s="9">
        <f ca="1">Inventory!BC$41</f>
        <v>25000</v>
      </c>
      <c r="BD12" s="9">
        <f ca="1">Inventory!BD$41</f>
        <v>30000</v>
      </c>
      <c r="BE12" s="9">
        <f ca="1">Inventory!BE$41</f>
        <v>30000</v>
      </c>
      <c r="BF12" s="9">
        <f ca="1">Inventory!BF$41</f>
        <v>30000</v>
      </c>
      <c r="BG12" s="9">
        <f ca="1">Inventory!BG$41</f>
        <v>30000</v>
      </c>
      <c r="BH12" s="9">
        <f ca="1">Inventory!BH$41</f>
        <v>30000</v>
      </c>
      <c r="BI12" s="9">
        <f ca="1">Inventory!BI$41</f>
        <v>30000</v>
      </c>
      <c r="BJ12" s="9">
        <f ca="1">Inventory!BJ$41</f>
        <v>30000</v>
      </c>
      <c r="BK12" s="9">
        <f ca="1">Inventory!BK$41</f>
        <v>30000</v>
      </c>
      <c r="BL12" s="9">
        <f ca="1">Inventory!BL$41</f>
        <v>30000</v>
      </c>
      <c r="BM12" s="9">
        <f ca="1">Inventory!BM$41</f>
        <v>30000</v>
      </c>
      <c r="BN12" s="9">
        <f ca="1">Inventory!BN$41</f>
        <v>30000</v>
      </c>
      <c r="BO12" s="9">
        <f ca="1">Inventory!BO$41</f>
        <v>30000</v>
      </c>
      <c r="BP12" s="9">
        <f ca="1">Inventory!BP$41</f>
        <v>30000</v>
      </c>
      <c r="BQ12" s="9">
        <f ca="1">Inventory!BQ$41</f>
        <v>30000</v>
      </c>
    </row>
    <row r="13" spans="1:69">
      <c r="E13" s="15" t="str">
        <f>Inventory!E$32</f>
        <v>Units delivered</v>
      </c>
      <c r="F13" s="15">
        <f>Inventory!F$32</f>
        <v>0</v>
      </c>
      <c r="G13" s="15" t="str">
        <f>Inventory!G$32</f>
        <v>Units</v>
      </c>
      <c r="H13" s="9">
        <f ca="1">Inventory!H$32</f>
        <v>135000</v>
      </c>
      <c r="I13" s="15">
        <f>Inventory!I$32</f>
        <v>0</v>
      </c>
      <c r="J13" s="9">
        <f ca="1">Inventory!J$32</f>
        <v>0</v>
      </c>
      <c r="K13" s="9">
        <f ca="1">Inventory!K$32</f>
        <v>0</v>
      </c>
      <c r="L13" s="9">
        <f ca="1">Inventory!L$32</f>
        <v>0</v>
      </c>
      <c r="M13" s="9">
        <f ca="1">Inventory!M$32</f>
        <v>0</v>
      </c>
      <c r="N13" s="9">
        <f ca="1">Inventory!N$32</f>
        <v>0</v>
      </c>
      <c r="O13" s="9">
        <f ca="1">Inventory!O$32</f>
        <v>0</v>
      </c>
      <c r="P13" s="9">
        <f ca="1">Inventory!P$32</f>
        <v>5000</v>
      </c>
      <c r="Q13" s="9">
        <f ca="1">Inventory!Q$32</f>
        <v>0</v>
      </c>
      <c r="R13" s="9">
        <f ca="1">Inventory!R$32</f>
        <v>0</v>
      </c>
      <c r="S13" s="9">
        <f ca="1">Inventory!S$32</f>
        <v>0</v>
      </c>
      <c r="T13" s="9">
        <f ca="1">Inventory!T$32</f>
        <v>0</v>
      </c>
      <c r="U13" s="9">
        <f ca="1">Inventory!U$32</f>
        <v>0</v>
      </c>
      <c r="V13" s="9">
        <f ca="1">Inventory!V$32</f>
        <v>5000</v>
      </c>
      <c r="W13" s="9">
        <f ca="1">Inventory!W$32</f>
        <v>0</v>
      </c>
      <c r="X13" s="9">
        <f ca="1">Inventory!X$32</f>
        <v>0</v>
      </c>
      <c r="Y13" s="9">
        <f ca="1">Inventory!Y$32</f>
        <v>0</v>
      </c>
      <c r="Z13" s="9">
        <f ca="1">Inventory!Z$32</f>
        <v>0</v>
      </c>
      <c r="AA13" s="9">
        <f ca="1">Inventory!AA$32</f>
        <v>0</v>
      </c>
      <c r="AB13" s="9">
        <f ca="1">Inventory!AB$32</f>
        <v>5000</v>
      </c>
      <c r="AC13" s="9">
        <f ca="1">Inventory!AC$32</f>
        <v>0</v>
      </c>
      <c r="AD13" s="9">
        <f ca="1">Inventory!AD$32</f>
        <v>0</v>
      </c>
      <c r="AE13" s="9">
        <f ca="1">Inventory!AE$32</f>
        <v>0</v>
      </c>
      <c r="AF13" s="9">
        <f ca="1">Inventory!AF$32</f>
        <v>5000</v>
      </c>
      <c r="AG13" s="9">
        <f ca="1">Inventory!AG$32</f>
        <v>0</v>
      </c>
      <c r="AH13" s="9">
        <f ca="1">Inventory!AH$32</f>
        <v>0</v>
      </c>
      <c r="AI13" s="9">
        <f ca="1">Inventory!AI$32</f>
        <v>0</v>
      </c>
      <c r="AJ13" s="9">
        <f ca="1">Inventory!AJ$32</f>
        <v>5000</v>
      </c>
      <c r="AK13" s="9">
        <f ca="1">Inventory!AK$32</f>
        <v>0</v>
      </c>
      <c r="AL13" s="9">
        <f ca="1">Inventory!AL$32</f>
        <v>0</v>
      </c>
      <c r="AM13" s="9">
        <f ca="1">Inventory!AM$32</f>
        <v>5000</v>
      </c>
      <c r="AN13" s="9">
        <f ca="1">Inventory!AN$32</f>
        <v>0</v>
      </c>
      <c r="AO13" s="9">
        <f ca="1">Inventory!AO$32</f>
        <v>5000</v>
      </c>
      <c r="AP13" s="9">
        <f ca="1">Inventory!AP$32</f>
        <v>0</v>
      </c>
      <c r="AQ13" s="9">
        <f ca="1">Inventory!AQ$32</f>
        <v>0</v>
      </c>
      <c r="AR13" s="9">
        <f ca="1">Inventory!AR$32</f>
        <v>5000</v>
      </c>
      <c r="AS13" s="9">
        <f ca="1">Inventory!AS$32</f>
        <v>0</v>
      </c>
      <c r="AT13" s="9">
        <f ca="1">Inventory!AT$32</f>
        <v>0</v>
      </c>
      <c r="AU13" s="9">
        <f ca="1">Inventory!AU$32</f>
        <v>5000</v>
      </c>
      <c r="AV13" s="9">
        <f ca="1">Inventory!AV$32</f>
        <v>0</v>
      </c>
      <c r="AW13" s="9">
        <f ca="1">Inventory!AW$32</f>
        <v>5000</v>
      </c>
      <c r="AX13" s="9">
        <f ca="1">Inventory!AX$32</f>
        <v>0</v>
      </c>
      <c r="AY13" s="9">
        <f ca="1">Inventory!AY$32</f>
        <v>5000</v>
      </c>
      <c r="AZ13" s="9">
        <f ca="1">Inventory!AZ$32</f>
        <v>5000</v>
      </c>
      <c r="BA13" s="9">
        <f ca="1">Inventory!BA$32</f>
        <v>0</v>
      </c>
      <c r="BB13" s="9">
        <f ca="1">Inventory!BB$32</f>
        <v>5000</v>
      </c>
      <c r="BC13" s="9">
        <f ca="1">Inventory!BC$32</f>
        <v>5000</v>
      </c>
      <c r="BD13" s="9">
        <f ca="1">Inventory!BD$32</f>
        <v>0</v>
      </c>
      <c r="BE13" s="9">
        <f ca="1">Inventory!BE$32</f>
        <v>5000</v>
      </c>
      <c r="BF13" s="9">
        <f ca="1">Inventory!BF$32</f>
        <v>5000</v>
      </c>
      <c r="BG13" s="9">
        <f ca="1">Inventory!BG$32</f>
        <v>5000</v>
      </c>
      <c r="BH13" s="9">
        <f ca="1">Inventory!BH$32</f>
        <v>5000</v>
      </c>
      <c r="BI13" s="9">
        <f ca="1">Inventory!BI$32</f>
        <v>5000</v>
      </c>
      <c r="BJ13" s="9">
        <f ca="1">Inventory!BJ$32</f>
        <v>5000</v>
      </c>
      <c r="BK13" s="9">
        <f ca="1">Inventory!BK$32</f>
        <v>5000</v>
      </c>
      <c r="BL13" s="9">
        <f ca="1">Inventory!BL$32</f>
        <v>5000</v>
      </c>
      <c r="BM13" s="9">
        <f ca="1">Inventory!BM$32</f>
        <v>5000</v>
      </c>
      <c r="BN13" s="9">
        <f ca="1">Inventory!BN$32</f>
        <v>5000</v>
      </c>
      <c r="BO13" s="9">
        <f ca="1">Inventory!BO$32</f>
        <v>5000</v>
      </c>
      <c r="BP13" s="9">
        <f ca="1">Inventory!BP$32</f>
        <v>5000</v>
      </c>
      <c r="BQ13" s="9">
        <f ca="1">Inventory!BQ$32</f>
        <v>5000</v>
      </c>
    </row>
    <row r="14" spans="1:69">
      <c r="E14" s="15" t="str">
        <f>Inventory!E$18</f>
        <v>Deployed units returned</v>
      </c>
      <c r="F14" s="15">
        <f>Inventory!F$18</f>
        <v>0</v>
      </c>
      <c r="G14" s="15" t="str">
        <f>Inventory!G$18</f>
        <v>Units</v>
      </c>
      <c r="H14" s="9">
        <f ca="1">Inventory!H$18</f>
        <v>66570.387475079086</v>
      </c>
      <c r="I14" s="15">
        <f>Inventory!I$18</f>
        <v>0</v>
      </c>
      <c r="J14" s="9">
        <f ca="1">Inventory!J$18</f>
        <v>0</v>
      </c>
      <c r="K14" s="9">
        <f ca="1">Inventory!K$18</f>
        <v>0</v>
      </c>
      <c r="L14" s="9">
        <f ca="1">Inventory!L$18</f>
        <v>0</v>
      </c>
      <c r="M14" s="9">
        <f ca="1">Inventory!M$18</f>
        <v>0</v>
      </c>
      <c r="N14" s="9">
        <f ca="1">Inventory!N$18</f>
        <v>0</v>
      </c>
      <c r="O14" s="9">
        <f ca="1">Inventory!O$18</f>
        <v>0</v>
      </c>
      <c r="P14" s="9">
        <f ca="1">Inventory!P$18</f>
        <v>0</v>
      </c>
      <c r="Q14" s="9">
        <f ca="1">Inventory!Q$18</f>
        <v>0</v>
      </c>
      <c r="R14" s="9">
        <f ca="1">Inventory!R$18</f>
        <v>0</v>
      </c>
      <c r="S14" s="9">
        <f ca="1">Inventory!S$18</f>
        <v>0</v>
      </c>
      <c r="T14" s="9">
        <f ca="1">Inventory!T$18</f>
        <v>0</v>
      </c>
      <c r="U14" s="9">
        <f ca="1">Inventory!U$18</f>
        <v>0</v>
      </c>
      <c r="V14" s="9">
        <f ca="1">Inventory!V$18</f>
        <v>0</v>
      </c>
      <c r="W14" s="9">
        <f ca="1">Inventory!W$18</f>
        <v>0</v>
      </c>
      <c r="X14" s="9">
        <f ca="1">Inventory!X$18</f>
        <v>0</v>
      </c>
      <c r="Y14" s="9">
        <f ca="1">Inventory!Y$18</f>
        <v>0</v>
      </c>
      <c r="Z14" s="9">
        <f ca="1">Inventory!Z$18</f>
        <v>0</v>
      </c>
      <c r="AA14" s="9">
        <f ca="1">Inventory!AA$18</f>
        <v>0</v>
      </c>
      <c r="AB14" s="9">
        <f ca="1">Inventory!AB$18</f>
        <v>0</v>
      </c>
      <c r="AC14" s="9">
        <f ca="1">Inventory!AC$18</f>
        <v>0</v>
      </c>
      <c r="AD14" s="9">
        <f ca="1">Inventory!AD$18</f>
        <v>0</v>
      </c>
      <c r="AE14" s="9">
        <f ca="1">Inventory!AE$18</f>
        <v>0</v>
      </c>
      <c r="AF14" s="9">
        <f ca="1">Inventory!AF$18</f>
        <v>0</v>
      </c>
      <c r="AG14" s="9">
        <f ca="1">Inventory!AG$18</f>
        <v>0</v>
      </c>
      <c r="AH14" s="9">
        <f ca="1">Inventory!AH$18</f>
        <v>500</v>
      </c>
      <c r="AI14" s="9">
        <f ca="1">Inventory!AI$18</f>
        <v>530.31869276406599</v>
      </c>
      <c r="AJ14" s="9">
        <f ca="1">Inventory!AJ$18</f>
        <v>561.40868500918316</v>
      </c>
      <c r="AK14" s="9">
        <f ca="1">Inventory!AK$18</f>
        <v>595.4510398809266</v>
      </c>
      <c r="AL14" s="9">
        <f ca="1">Inventory!AL$18</f>
        <v>631.55763414931334</v>
      </c>
      <c r="AM14" s="9">
        <f ca="1">Inventory!AM$18</f>
        <v>668.58277057380337</v>
      </c>
      <c r="AN14" s="9">
        <f ca="1">Inventory!AN$18</f>
        <v>709.12388179055358</v>
      </c>
      <c r="AO14" s="9">
        <f ca="1">Inventory!AO$18</f>
        <v>750.69634809527076</v>
      </c>
      <c r="AP14" s="9">
        <f ca="1">Inventory!AP$18</f>
        <v>796.21661196928437</v>
      </c>
      <c r="AQ14" s="9">
        <f ca="1">Inventory!AQ$18</f>
        <v>844.49710563316887</v>
      </c>
      <c r="AR14" s="9">
        <f ca="1">Inventory!AR$18</f>
        <v>890.89871814033927</v>
      </c>
      <c r="AS14" s="9">
        <f ca="1">Inventory!AS$18</f>
        <v>944.76851169192605</v>
      </c>
      <c r="AT14" s="9">
        <f ca="1">Inventory!AT$18</f>
        <v>1000</v>
      </c>
      <c r="AU14" s="9">
        <f ca="1">Inventory!AU$18</f>
        <v>1061.5580832031035</v>
      </c>
      <c r="AV14" s="9">
        <f ca="1">Inventory!AV$18</f>
        <v>1123.704463583204</v>
      </c>
      <c r="AW14" s="9">
        <f ca="1">Inventory!AW$18</f>
        <v>1191.7469848656265</v>
      </c>
      <c r="AX14" s="9">
        <f ca="1">Inventory!AX$18</f>
        <v>1263.9096149956249</v>
      </c>
      <c r="AY14" s="9">
        <f ca="1">Inventory!AY$18</f>
        <v>1337.9021820933933</v>
      </c>
      <c r="AZ14" s="9">
        <f ca="1">Inventory!AZ$18</f>
        <v>1418.9147976423296</v>
      </c>
      <c r="BA14" s="9">
        <f ca="1">Inventory!BA$18</f>
        <v>1501.9817726260831</v>
      </c>
      <c r="BB14" s="9">
        <f ca="1">Inventory!BB$18</f>
        <v>1593.7719986646332</v>
      </c>
      <c r="BC14" s="9">
        <f ca="1">Inventory!BC$18</f>
        <v>1690.3233701094071</v>
      </c>
      <c r="BD14" s="9">
        <f ca="1">Inventory!BD$18</f>
        <v>1782.5488403365116</v>
      </c>
      <c r="BE14" s="9">
        <f ca="1">Inventory!BE$18</f>
        <v>1890.5363914705406</v>
      </c>
      <c r="BF14" s="9">
        <f ca="1">Inventory!BF$18</f>
        <v>2451.2652671743485</v>
      </c>
      <c r="BG14" s="9">
        <f ca="1">Inventory!BG$18</f>
        <v>2599.7895740237263</v>
      </c>
      <c r="BH14" s="9">
        <f ca="1">Inventory!BH$18</f>
        <v>2752.0857319390348</v>
      </c>
      <c r="BI14" s="9">
        <f ca="1">Inventory!BI$18</f>
        <v>2918.8370163831542</v>
      </c>
      <c r="BJ14" s="9">
        <f ca="1">Inventory!BJ$18</f>
        <v>3095.6919085112468</v>
      </c>
      <c r="BK14" s="9">
        <f ca="1">Inventory!BK$18</f>
        <v>3277.0381217002355</v>
      </c>
      <c r="BL14" s="9">
        <f ca="1">Inventory!BL$18</f>
        <v>3475.596735591052</v>
      </c>
      <c r="BM14" s="9">
        <f ca="1">Inventory!BM$18</f>
        <v>3679.1978479042591</v>
      </c>
      <c r="BN14" s="9">
        <f ca="1">Inventory!BN$18</f>
        <v>3903.4698080441717</v>
      </c>
      <c r="BO14" s="9">
        <f ca="1">Inventory!BO$18</f>
        <v>4140.0298147784615</v>
      </c>
      <c r="BP14" s="9">
        <f ca="1">Inventory!BP$18</f>
        <v>4366.2491633557374</v>
      </c>
      <c r="BQ14" s="9">
        <f ca="1">Inventory!BQ$18</f>
        <v>4630.7179863853571</v>
      </c>
    </row>
    <row r="15" spans="1:69">
      <c r="E15" s="15" t="str">
        <f>Inventory!E$56</f>
        <v>Units in stock</v>
      </c>
      <c r="F15" s="15">
        <f>Inventory!F$56</f>
        <v>0</v>
      </c>
      <c r="G15" s="15" t="str">
        <f>Inventory!G$56</f>
        <v>Units</v>
      </c>
      <c r="H15" s="9">
        <f>Inventory!H$56</f>
        <v>0</v>
      </c>
      <c r="I15" s="15">
        <f>Inventory!I$56</f>
        <v>0</v>
      </c>
      <c r="J15" s="9">
        <f ca="1">Inventory!J$56</f>
        <v>0</v>
      </c>
      <c r="K15" s="9">
        <f ca="1">Inventory!K$56</f>
        <v>0</v>
      </c>
      <c r="L15" s="9">
        <f ca="1">Inventory!L$56</f>
        <v>0</v>
      </c>
      <c r="M15" s="9">
        <f ca="1">Inventory!M$56</f>
        <v>0</v>
      </c>
      <c r="N15" s="9">
        <f ca="1">Inventory!N$56</f>
        <v>0</v>
      </c>
      <c r="O15" s="9">
        <f ca="1">Inventory!O$56</f>
        <v>0</v>
      </c>
      <c r="P15" s="9">
        <f ca="1">Inventory!P$56</f>
        <v>5000</v>
      </c>
      <c r="Q15" s="9">
        <f ca="1">Inventory!Q$56</f>
        <v>803.55729583215452</v>
      </c>
      <c r="R15" s="9">
        <f ca="1">Inventory!R$56</f>
        <v>52.860947736883645</v>
      </c>
      <c r="S15" s="9">
        <f ca="1">Inventory!S$56</f>
        <v>0</v>
      </c>
      <c r="T15" s="9">
        <f ca="1">Inventory!T$56</f>
        <v>0</v>
      </c>
      <c r="U15" s="9">
        <f ca="1">Inventory!U$56</f>
        <v>0</v>
      </c>
      <c r="V15" s="9">
        <f ca="1">Inventory!V$56</f>
        <v>5000</v>
      </c>
      <c r="W15" s="9">
        <f ca="1">Inventory!W$56</f>
        <v>576.48000030216463</v>
      </c>
      <c r="X15" s="9">
        <f ca="1">Inventory!X$56</f>
        <v>0</v>
      </c>
      <c r="Y15" s="9">
        <f ca="1">Inventory!Y$56</f>
        <v>0</v>
      </c>
      <c r="Z15" s="9">
        <f ca="1">Inventory!Z$56</f>
        <v>0</v>
      </c>
      <c r="AA15" s="9">
        <f ca="1">Inventory!AA$56</f>
        <v>0</v>
      </c>
      <c r="AB15" s="9">
        <f ca="1">Inventory!AB$56</f>
        <v>5000</v>
      </c>
      <c r="AC15" s="9">
        <f ca="1">Inventory!AC$56</f>
        <v>0</v>
      </c>
      <c r="AD15" s="9">
        <f ca="1">Inventory!AD$56</f>
        <v>0</v>
      </c>
      <c r="AE15" s="9">
        <f ca="1">Inventory!AE$56</f>
        <v>0</v>
      </c>
      <c r="AF15" s="9">
        <f ca="1">Inventory!AF$56</f>
        <v>5000</v>
      </c>
      <c r="AG15" s="9">
        <f ca="1">Inventory!AG$56</f>
        <v>0</v>
      </c>
      <c r="AH15" s="9">
        <f ca="1">Inventory!AH$56</f>
        <v>1000</v>
      </c>
      <c r="AI15" s="9">
        <f ca="1">Inventory!AI$56</f>
        <v>1060.637385528132</v>
      </c>
      <c r="AJ15" s="9">
        <f ca="1">Inventory!AJ$56</f>
        <v>6122.817370018367</v>
      </c>
      <c r="AK15" s="9">
        <f ca="1">Inventory!AK$56</f>
        <v>1190.9020797618532</v>
      </c>
      <c r="AL15" s="9">
        <f ca="1">Inventory!AL$56</f>
        <v>1263.1152682986267</v>
      </c>
      <c r="AM15" s="9">
        <f ca="1">Inventory!AM$56</f>
        <v>6337.1655411476058</v>
      </c>
      <c r="AN15" s="9">
        <f ca="1">Inventory!AN$56</f>
        <v>1418.2477635811072</v>
      </c>
      <c r="AO15" s="9">
        <f ca="1">Inventory!AO$56</f>
        <v>6501.3926961905418</v>
      </c>
      <c r="AP15" s="9">
        <f ca="1">Inventory!AP$56</f>
        <v>1592.4332239385687</v>
      </c>
      <c r="AQ15" s="9">
        <f ca="1">Inventory!AQ$56</f>
        <v>1688.9942112663377</v>
      </c>
      <c r="AR15" s="9">
        <f ca="1">Inventory!AR$56</f>
        <v>6781.7974362806781</v>
      </c>
      <c r="AS15" s="9">
        <f ca="1">Inventory!AS$56</f>
        <v>1889.5370233838521</v>
      </c>
      <c r="AT15" s="9">
        <f ca="1">Inventory!AT$56</f>
        <v>2000</v>
      </c>
      <c r="AU15" s="9">
        <f ca="1">Inventory!AU$56</f>
        <v>7123.1161664062074</v>
      </c>
      <c r="AV15" s="9">
        <f ca="1">Inventory!AV$56</f>
        <v>2247.4089271664079</v>
      </c>
      <c r="AW15" s="9">
        <f ca="1">Inventory!AW$56</f>
        <v>7383.4939697312529</v>
      </c>
      <c r="AX15" s="9">
        <f ca="1">Inventory!AX$56</f>
        <v>2527.8192299912498</v>
      </c>
      <c r="AY15" s="9">
        <f ca="1">Inventory!AY$56</f>
        <v>7675.8043641867862</v>
      </c>
      <c r="AZ15" s="9">
        <f ca="1">Inventory!AZ$56</f>
        <v>7837.8295952846602</v>
      </c>
      <c r="BA15" s="9">
        <f ca="1">Inventory!BA$56</f>
        <v>3003.9635452521661</v>
      </c>
      <c r="BB15" s="9">
        <f ca="1">Inventory!BB$56</f>
        <v>8187.5439973292669</v>
      </c>
      <c r="BC15" s="9">
        <f ca="1">Inventory!BC$56</f>
        <v>8380.6467402188136</v>
      </c>
      <c r="BD15" s="9">
        <f ca="1">Inventory!BD$56</f>
        <v>3565.0976806730232</v>
      </c>
      <c r="BE15" s="9">
        <f ca="1">Inventory!BE$56</f>
        <v>8781.0727829410807</v>
      </c>
      <c r="BF15" s="9">
        <f ca="1">Inventory!BF$56</f>
        <v>9902.530534348698</v>
      </c>
      <c r="BG15" s="9">
        <f ca="1">Inventory!BG$56</f>
        <v>10199.579148047453</v>
      </c>
      <c r="BH15" s="9">
        <f ca="1">Inventory!BH$56</f>
        <v>10504.171463878069</v>
      </c>
      <c r="BI15" s="9">
        <f ca="1">Inventory!BI$56</f>
        <v>10837.674032766308</v>
      </c>
      <c r="BJ15" s="9">
        <f ca="1">Inventory!BJ$56</f>
        <v>11191.383817022494</v>
      </c>
      <c r="BK15" s="9">
        <f ca="1">Inventory!BK$56</f>
        <v>11554.076243400472</v>
      </c>
      <c r="BL15" s="9">
        <f ca="1">Inventory!BL$56</f>
        <v>11951.193471182105</v>
      </c>
      <c r="BM15" s="9">
        <f ca="1">Inventory!BM$56</f>
        <v>12358.395695808518</v>
      </c>
      <c r="BN15" s="9">
        <f ca="1">Inventory!BN$56</f>
        <v>12806.939616088344</v>
      </c>
      <c r="BO15" s="9">
        <f ca="1">Inventory!BO$56</f>
        <v>13280.059629556923</v>
      </c>
      <c r="BP15" s="9">
        <f ca="1">Inventory!BP$56</f>
        <v>13732.498326711473</v>
      </c>
      <c r="BQ15" s="9">
        <f ca="1">Inventory!BQ$56</f>
        <v>14261.435972770712</v>
      </c>
    </row>
    <row r="16" spans="1:69">
      <c r="E16" s="15" t="str">
        <f>Inventory!E$45</f>
        <v>Units deployed</v>
      </c>
      <c r="F16" s="15">
        <f>Inventory!F$45</f>
        <v>0</v>
      </c>
      <c r="G16" s="15" t="str">
        <f>Inventory!G$45</f>
        <v>Units</v>
      </c>
      <c r="H16" s="9">
        <f ca="1">Inventory!H$45</f>
        <v>253879.33897738747</v>
      </c>
      <c r="I16" s="15">
        <f>Inventory!I$45</f>
        <v>0</v>
      </c>
      <c r="J16" s="9">
        <f>Inventory!J$45</f>
        <v>0</v>
      </c>
      <c r="K16" s="9">
        <f ca="1">Inventory!K$45</f>
        <v>0</v>
      </c>
      <c r="L16" s="9">
        <f ca="1">Inventory!L$45</f>
        <v>0</v>
      </c>
      <c r="M16" s="9">
        <f ca="1">Inventory!M$45</f>
        <v>0</v>
      </c>
      <c r="N16" s="9">
        <f ca="1">Inventory!N$45</f>
        <v>0</v>
      </c>
      <c r="O16" s="9">
        <f ca="1">Inventory!O$45</f>
        <v>0</v>
      </c>
      <c r="P16" s="9">
        <f ca="1">Inventory!P$45</f>
        <v>0</v>
      </c>
      <c r="Q16" s="9">
        <f ca="1">Inventory!Q$45</f>
        <v>4196.4427041678455</v>
      </c>
      <c r="R16" s="9">
        <f ca="1">Inventory!R$45</f>
        <v>750.69634809527088</v>
      </c>
      <c r="S16" s="9">
        <f ca="1">Inventory!S$45</f>
        <v>52.860947736883645</v>
      </c>
      <c r="T16" s="9">
        <f ca="1">Inventory!T$45</f>
        <v>0</v>
      </c>
      <c r="U16" s="9">
        <f ca="1">Inventory!U$45</f>
        <v>0</v>
      </c>
      <c r="V16" s="9">
        <f ca="1">Inventory!V$45</f>
        <v>0</v>
      </c>
      <c r="W16" s="9">
        <f ca="1">Inventory!W$45</f>
        <v>4423.5199996978354</v>
      </c>
      <c r="X16" s="9">
        <f ca="1">Inventory!X$45</f>
        <v>576.48000030216463</v>
      </c>
      <c r="Y16" s="9">
        <f ca="1">Inventory!Y$45</f>
        <v>0</v>
      </c>
      <c r="Z16" s="9">
        <f ca="1">Inventory!Z$45</f>
        <v>0</v>
      </c>
      <c r="AA16" s="9">
        <f ca="1">Inventory!AA$45</f>
        <v>0</v>
      </c>
      <c r="AB16" s="9">
        <f ca="1">Inventory!AB$45</f>
        <v>0</v>
      </c>
      <c r="AC16" s="9">
        <f ca="1">Inventory!AC$45</f>
        <v>5000</v>
      </c>
      <c r="AD16" s="9">
        <f ca="1">Inventory!AD$45</f>
        <v>0</v>
      </c>
      <c r="AE16" s="9">
        <f ca="1">Inventory!AE$45</f>
        <v>0</v>
      </c>
      <c r="AF16" s="9">
        <f ca="1">Inventory!AF$45</f>
        <v>0</v>
      </c>
      <c r="AG16" s="9">
        <f ca="1">Inventory!AG$45</f>
        <v>5000</v>
      </c>
      <c r="AH16" s="9">
        <f ca="1">Inventory!AH$45</f>
        <v>0</v>
      </c>
      <c r="AI16" s="9">
        <f ca="1">Inventory!AI$45</f>
        <v>1000</v>
      </c>
      <c r="AJ16" s="9">
        <f ca="1">Inventory!AJ$45</f>
        <v>1060.637385528132</v>
      </c>
      <c r="AK16" s="9">
        <f ca="1">Inventory!AK$45</f>
        <v>6122.817370018367</v>
      </c>
      <c r="AL16" s="9">
        <f ca="1">Inventory!AL$45</f>
        <v>1190.9020797618532</v>
      </c>
      <c r="AM16" s="9">
        <f ca="1">Inventory!AM$45</f>
        <v>1263.1152682986267</v>
      </c>
      <c r="AN16" s="9">
        <f ca="1">Inventory!AN$45</f>
        <v>6337.1655411476058</v>
      </c>
      <c r="AO16" s="9">
        <f ca="1">Inventory!AO$45</f>
        <v>1418.2477635811072</v>
      </c>
      <c r="AP16" s="9">
        <f ca="1">Inventory!AP$45</f>
        <v>6501.3926961905418</v>
      </c>
      <c r="AQ16" s="9">
        <f ca="1">Inventory!AQ$45</f>
        <v>1592.4332239385687</v>
      </c>
      <c r="AR16" s="9">
        <f ca="1">Inventory!AR$45</f>
        <v>1688.9942112663377</v>
      </c>
      <c r="AS16" s="9">
        <f ca="1">Inventory!AS$45</f>
        <v>6781.7974362806781</v>
      </c>
      <c r="AT16" s="9">
        <f ca="1">Inventory!AT$45</f>
        <v>1889.5370233838521</v>
      </c>
      <c r="AU16" s="9">
        <f ca="1">Inventory!AU$45</f>
        <v>2000</v>
      </c>
      <c r="AV16" s="9">
        <f ca="1">Inventory!AV$45</f>
        <v>7123.1161664062074</v>
      </c>
      <c r="AW16" s="9">
        <f ca="1">Inventory!AW$45</f>
        <v>2247.4089271664079</v>
      </c>
      <c r="AX16" s="9">
        <f ca="1">Inventory!AX$45</f>
        <v>7383.4939697312529</v>
      </c>
      <c r="AY16" s="9">
        <f ca="1">Inventory!AY$45</f>
        <v>2527.8192299912498</v>
      </c>
      <c r="AZ16" s="9">
        <f ca="1">Inventory!AZ$45</f>
        <v>7675.8043641867862</v>
      </c>
      <c r="BA16" s="9">
        <f ca="1">Inventory!BA$45</f>
        <v>7837.8295952846602</v>
      </c>
      <c r="BB16" s="9">
        <f ca="1">Inventory!BB$45</f>
        <v>3003.9635452521661</v>
      </c>
      <c r="BC16" s="9">
        <f ca="1">Inventory!BC$45</f>
        <v>8187.5439973292669</v>
      </c>
      <c r="BD16" s="9">
        <f ca="1">Inventory!BD$45</f>
        <v>8380.6467402188136</v>
      </c>
      <c r="BE16" s="9">
        <f ca="1">Inventory!BE$45</f>
        <v>3565.0976806730232</v>
      </c>
      <c r="BF16" s="9">
        <f ca="1">Inventory!BF$45</f>
        <v>8781.0727829410807</v>
      </c>
      <c r="BG16" s="9">
        <f ca="1">Inventory!BG$45</f>
        <v>9902.530534348698</v>
      </c>
      <c r="BH16" s="9">
        <f ca="1">Inventory!BH$45</f>
        <v>10199.579148047453</v>
      </c>
      <c r="BI16" s="9">
        <f ca="1">Inventory!BI$45</f>
        <v>10504.171463878069</v>
      </c>
      <c r="BJ16" s="9">
        <f ca="1">Inventory!BJ$45</f>
        <v>10837.674032766308</v>
      </c>
      <c r="BK16" s="9">
        <f ca="1">Inventory!BK$45</f>
        <v>11191.383817022494</v>
      </c>
      <c r="BL16" s="9">
        <f ca="1">Inventory!BL$45</f>
        <v>11554.076243400472</v>
      </c>
      <c r="BM16" s="9">
        <f ca="1">Inventory!BM$45</f>
        <v>11951.193471182105</v>
      </c>
      <c r="BN16" s="9">
        <f ca="1">Inventory!BN$45</f>
        <v>12358.395695808518</v>
      </c>
      <c r="BO16" s="9">
        <f ca="1">Inventory!BO$45</f>
        <v>12806.939616088344</v>
      </c>
      <c r="BP16" s="9">
        <f ca="1">Inventory!BP$45</f>
        <v>13280.059629556923</v>
      </c>
      <c r="BQ16" s="9">
        <f ca="1">Inventory!BQ$45</f>
        <v>13732.498326711473</v>
      </c>
    </row>
    <row r="17" spans="5:69">
      <c r="E17" s="15" t="str">
        <f>Inventory!E$64</f>
        <v>Units in use</v>
      </c>
      <c r="F17" s="15">
        <f>Inventory!F$64</f>
        <v>0</v>
      </c>
      <c r="G17" s="15" t="str">
        <f>Inventory!G$64</f>
        <v>Units</v>
      </c>
      <c r="H17" s="9">
        <f>Inventory!H$64</f>
        <v>0</v>
      </c>
      <c r="I17" s="15">
        <f>Inventory!I$64</f>
        <v>0</v>
      </c>
      <c r="J17" s="9">
        <f ca="1">Inventory!J$64</f>
        <v>0</v>
      </c>
      <c r="K17" s="9">
        <f ca="1">Inventory!K$64</f>
        <v>0</v>
      </c>
      <c r="L17" s="9">
        <f ca="1">Inventory!L$64</f>
        <v>0</v>
      </c>
      <c r="M17" s="9">
        <f ca="1">Inventory!M$64</f>
        <v>0</v>
      </c>
      <c r="N17" s="9">
        <f ca="1">Inventory!N$64</f>
        <v>0</v>
      </c>
      <c r="O17" s="9">
        <f ca="1">Inventory!O$64</f>
        <v>0</v>
      </c>
      <c r="P17" s="9">
        <f ca="1">Inventory!P$64</f>
        <v>0</v>
      </c>
      <c r="Q17" s="9">
        <f ca="1">Inventory!Q$64</f>
        <v>4196.4427041678455</v>
      </c>
      <c r="R17" s="9">
        <f ca="1">Inventory!R$64</f>
        <v>4947.1390522631164</v>
      </c>
      <c r="S17" s="9">
        <f ca="1">Inventory!S$64</f>
        <v>5000</v>
      </c>
      <c r="T17" s="9">
        <f ca="1">Inventory!T$64</f>
        <v>5000</v>
      </c>
      <c r="U17" s="9">
        <f ca="1">Inventory!U$64</f>
        <v>5000</v>
      </c>
      <c r="V17" s="9">
        <f ca="1">Inventory!V$64</f>
        <v>5000</v>
      </c>
      <c r="W17" s="9">
        <f ca="1">Inventory!W$64</f>
        <v>9423.5199996978354</v>
      </c>
      <c r="X17" s="9">
        <f ca="1">Inventory!X$64</f>
        <v>10000</v>
      </c>
      <c r="Y17" s="9">
        <f ca="1">Inventory!Y$64</f>
        <v>10000</v>
      </c>
      <c r="Z17" s="9">
        <f ca="1">Inventory!Z$64</f>
        <v>10000</v>
      </c>
      <c r="AA17" s="9">
        <f ca="1">Inventory!AA$64</f>
        <v>10000</v>
      </c>
      <c r="AB17" s="9">
        <f ca="1">Inventory!AB$64</f>
        <v>10000</v>
      </c>
      <c r="AC17" s="9">
        <f ca="1">Inventory!AC$64</f>
        <v>15000</v>
      </c>
      <c r="AD17" s="9">
        <f ca="1">Inventory!AD$64</f>
        <v>15000</v>
      </c>
      <c r="AE17" s="9">
        <f ca="1">Inventory!AE$64</f>
        <v>15000</v>
      </c>
      <c r="AF17" s="9">
        <f ca="1">Inventory!AF$64</f>
        <v>15000</v>
      </c>
      <c r="AG17" s="9">
        <f ca="1">Inventory!AG$64</f>
        <v>20000</v>
      </c>
      <c r="AH17" s="9">
        <f ca="1">Inventory!AH$64</f>
        <v>19500</v>
      </c>
      <c r="AI17" s="9">
        <f ca="1">Inventory!AI$64</f>
        <v>19969.681307235933</v>
      </c>
      <c r="AJ17" s="9">
        <f ca="1">Inventory!AJ$64</f>
        <v>20468.910007754879</v>
      </c>
      <c r="AK17" s="9">
        <f ca="1">Inventory!AK$64</f>
        <v>25996.276337892323</v>
      </c>
      <c r="AL17" s="9">
        <f ca="1">Inventory!AL$64</f>
        <v>26555.620783504863</v>
      </c>
      <c r="AM17" s="9">
        <f ca="1">Inventory!AM$64</f>
        <v>27150.153281229686</v>
      </c>
      <c r="AN17" s="9">
        <f ca="1">Inventory!AN$64</f>
        <v>32778.194940586734</v>
      </c>
      <c r="AO17" s="9">
        <f ca="1">Inventory!AO$64</f>
        <v>33445.746356072574</v>
      </c>
      <c r="AP17" s="9">
        <f ca="1">Inventory!AP$64</f>
        <v>39150.922440293827</v>
      </c>
      <c r="AQ17" s="9">
        <f ca="1">Inventory!AQ$64</f>
        <v>39898.858558599226</v>
      </c>
      <c r="AR17" s="9">
        <f ca="1">Inventory!AR$64</f>
        <v>40696.954051725224</v>
      </c>
      <c r="AS17" s="9">
        <f ca="1">Inventory!AS$64</f>
        <v>46533.982976313979</v>
      </c>
      <c r="AT17" s="9">
        <f ca="1">Inventory!AT$64</f>
        <v>47423.519999697834</v>
      </c>
      <c r="AU17" s="9">
        <f ca="1">Inventory!AU$64</f>
        <v>48361.961916494729</v>
      </c>
      <c r="AV17" s="9">
        <f ca="1">Inventory!AV$64</f>
        <v>54361.373619317732</v>
      </c>
      <c r="AW17" s="9">
        <f ca="1">Inventory!AW$64</f>
        <v>55417.035561618512</v>
      </c>
      <c r="AX17" s="9">
        <f ca="1">Inventory!AX$64</f>
        <v>61536.619916354139</v>
      </c>
      <c r="AY17" s="9">
        <f ca="1">Inventory!AY$64</f>
        <v>62726.536964251995</v>
      </c>
      <c r="AZ17" s="9">
        <f ca="1">Inventory!AZ$64</f>
        <v>68983.426530796452</v>
      </c>
      <c r="BA17" s="9">
        <f ca="1">Inventory!BA$64</f>
        <v>75319.274353455025</v>
      </c>
      <c r="BB17" s="9">
        <f ca="1">Inventory!BB$64</f>
        <v>76729.46590004256</v>
      </c>
      <c r="BC17" s="9">
        <f ca="1">Inventory!BC$64</f>
        <v>83226.686527262413</v>
      </c>
      <c r="BD17" s="9">
        <f ca="1">Inventory!BD$64</f>
        <v>89824.78442714471</v>
      </c>
      <c r="BE17" s="9">
        <f ca="1">Inventory!BE$64</f>
        <v>91499.34571634719</v>
      </c>
      <c r="BF17" s="9">
        <f ca="1">Inventory!BF$64</f>
        <v>97829.153232113924</v>
      </c>
      <c r="BG17" s="9">
        <f ca="1">Inventory!BG$64</f>
        <v>105131.89419243889</v>
      </c>
      <c r="BH17" s="9">
        <f ca="1">Inventory!BH$64</f>
        <v>112579.38760854732</v>
      </c>
      <c r="BI17" s="9">
        <f ca="1">Inventory!BI$64</f>
        <v>120164.72205604223</v>
      </c>
      <c r="BJ17" s="9">
        <f ca="1">Inventory!BJ$64</f>
        <v>127906.7041802973</v>
      </c>
      <c r="BK17" s="9">
        <f ca="1">Inventory!BK$64</f>
        <v>135821.04987561956</v>
      </c>
      <c r="BL17" s="9">
        <f ca="1">Inventory!BL$64</f>
        <v>143899.52938342901</v>
      </c>
      <c r="BM17" s="9">
        <f ca="1">Inventory!BM$64</f>
        <v>152171.52500670686</v>
      </c>
      <c r="BN17" s="9">
        <f ca="1">Inventory!BN$64</f>
        <v>160626.4508944712</v>
      </c>
      <c r="BO17" s="9">
        <f ca="1">Inventory!BO$64</f>
        <v>169293.3606957811</v>
      </c>
      <c r="BP17" s="9">
        <f ca="1">Inventory!BP$64</f>
        <v>178207.17116198229</v>
      </c>
      <c r="BQ17" s="9">
        <f ca="1">Inventory!BQ$64</f>
        <v>187308.95150230839</v>
      </c>
    </row>
    <row r="18" spans="5:69">
      <c r="E18" s="15" t="str">
        <f>Inventory!E$68</f>
        <v>Units retired</v>
      </c>
      <c r="F18" s="15">
        <f>Inventory!F$68</f>
        <v>0</v>
      </c>
      <c r="G18" s="15" t="str">
        <f>Inventory!G$68</f>
        <v>Units</v>
      </c>
      <c r="H18" s="9">
        <f ca="1">Inventory!H$68</f>
        <v>66570.387475079086</v>
      </c>
      <c r="I18" s="15">
        <f>Inventory!I$68</f>
        <v>0</v>
      </c>
      <c r="J18" s="9">
        <f ca="1">Inventory!J$68</f>
        <v>0</v>
      </c>
      <c r="K18" s="9">
        <f ca="1">Inventory!K$68</f>
        <v>0</v>
      </c>
      <c r="L18" s="9">
        <f ca="1">Inventory!L$68</f>
        <v>0</v>
      </c>
      <c r="M18" s="9">
        <f ca="1">Inventory!M$68</f>
        <v>0</v>
      </c>
      <c r="N18" s="9">
        <f ca="1">Inventory!N$68</f>
        <v>0</v>
      </c>
      <c r="O18" s="9">
        <f ca="1">Inventory!O$68</f>
        <v>0</v>
      </c>
      <c r="P18" s="9">
        <f ca="1">Inventory!P$68</f>
        <v>0</v>
      </c>
      <c r="Q18" s="9">
        <f ca="1">Inventory!Q$68</f>
        <v>0</v>
      </c>
      <c r="R18" s="9">
        <f ca="1">Inventory!R$68</f>
        <v>0</v>
      </c>
      <c r="S18" s="9">
        <f ca="1">Inventory!S$68</f>
        <v>0</v>
      </c>
      <c r="T18" s="9">
        <f ca="1">Inventory!T$68</f>
        <v>0</v>
      </c>
      <c r="U18" s="9">
        <f ca="1">Inventory!U$68</f>
        <v>0</v>
      </c>
      <c r="V18" s="9">
        <f ca="1">Inventory!V$68</f>
        <v>0</v>
      </c>
      <c r="W18" s="9">
        <f ca="1">Inventory!W$68</f>
        <v>0</v>
      </c>
      <c r="X18" s="9">
        <f ca="1">Inventory!X$68</f>
        <v>0</v>
      </c>
      <c r="Y18" s="9">
        <f ca="1">Inventory!Y$68</f>
        <v>0</v>
      </c>
      <c r="Z18" s="9">
        <f ca="1">Inventory!Z$68</f>
        <v>0</v>
      </c>
      <c r="AA18" s="9">
        <f ca="1">Inventory!AA$68</f>
        <v>0</v>
      </c>
      <c r="AB18" s="9">
        <f ca="1">Inventory!AB$68</f>
        <v>0</v>
      </c>
      <c r="AC18" s="9">
        <f ca="1">Inventory!AC$68</f>
        <v>0</v>
      </c>
      <c r="AD18" s="9">
        <f ca="1">Inventory!AD$68</f>
        <v>0</v>
      </c>
      <c r="AE18" s="9">
        <f ca="1">Inventory!AE$68</f>
        <v>0</v>
      </c>
      <c r="AF18" s="9">
        <f ca="1">Inventory!AF$68</f>
        <v>0</v>
      </c>
      <c r="AG18" s="9">
        <f ca="1">Inventory!AG$68</f>
        <v>0</v>
      </c>
      <c r="AH18" s="9">
        <f ca="1">Inventory!AH$68</f>
        <v>500</v>
      </c>
      <c r="AI18" s="9">
        <f ca="1">Inventory!AI$68</f>
        <v>530.31869276406599</v>
      </c>
      <c r="AJ18" s="9">
        <f ca="1">Inventory!AJ$68</f>
        <v>561.40868500918316</v>
      </c>
      <c r="AK18" s="9">
        <f ca="1">Inventory!AK$68</f>
        <v>595.4510398809266</v>
      </c>
      <c r="AL18" s="9">
        <f ca="1">Inventory!AL$68</f>
        <v>631.55763414931334</v>
      </c>
      <c r="AM18" s="9">
        <f ca="1">Inventory!AM$68</f>
        <v>668.58277057380337</v>
      </c>
      <c r="AN18" s="9">
        <f ca="1">Inventory!AN$68</f>
        <v>709.12388179055358</v>
      </c>
      <c r="AO18" s="9">
        <f ca="1">Inventory!AO$68</f>
        <v>750.69634809527076</v>
      </c>
      <c r="AP18" s="9">
        <f ca="1">Inventory!AP$68</f>
        <v>796.21661196928437</v>
      </c>
      <c r="AQ18" s="9">
        <f ca="1">Inventory!AQ$68</f>
        <v>844.49710563316887</v>
      </c>
      <c r="AR18" s="9">
        <f ca="1">Inventory!AR$68</f>
        <v>890.89871814033927</v>
      </c>
      <c r="AS18" s="9">
        <f ca="1">Inventory!AS$68</f>
        <v>944.76851169192605</v>
      </c>
      <c r="AT18" s="9">
        <f ca="1">Inventory!AT$68</f>
        <v>1000</v>
      </c>
      <c r="AU18" s="9">
        <f ca="1">Inventory!AU$68</f>
        <v>1061.5580832031035</v>
      </c>
      <c r="AV18" s="9">
        <f ca="1">Inventory!AV$68</f>
        <v>1123.704463583204</v>
      </c>
      <c r="AW18" s="9">
        <f ca="1">Inventory!AW$68</f>
        <v>1191.7469848656265</v>
      </c>
      <c r="AX18" s="9">
        <f ca="1">Inventory!AX$68</f>
        <v>1263.9096149956249</v>
      </c>
      <c r="AY18" s="9">
        <f ca="1">Inventory!AY$68</f>
        <v>1337.9021820933933</v>
      </c>
      <c r="AZ18" s="9">
        <f ca="1">Inventory!AZ$68</f>
        <v>1418.9147976423296</v>
      </c>
      <c r="BA18" s="9">
        <f ca="1">Inventory!BA$68</f>
        <v>1501.9817726260831</v>
      </c>
      <c r="BB18" s="9">
        <f ca="1">Inventory!BB$68</f>
        <v>1593.7719986646332</v>
      </c>
      <c r="BC18" s="9">
        <f ca="1">Inventory!BC$68</f>
        <v>1690.3233701094071</v>
      </c>
      <c r="BD18" s="9">
        <f ca="1">Inventory!BD$68</f>
        <v>1782.5488403365116</v>
      </c>
      <c r="BE18" s="9">
        <f ca="1">Inventory!BE$68</f>
        <v>1890.5363914705406</v>
      </c>
      <c r="BF18" s="9">
        <f ca="1">Inventory!BF$68</f>
        <v>2451.2652671743485</v>
      </c>
      <c r="BG18" s="9">
        <f ca="1">Inventory!BG$68</f>
        <v>2599.7895740237263</v>
      </c>
      <c r="BH18" s="9">
        <f ca="1">Inventory!BH$68</f>
        <v>2752.0857319390348</v>
      </c>
      <c r="BI18" s="9">
        <f ca="1">Inventory!BI$68</f>
        <v>2918.8370163831542</v>
      </c>
      <c r="BJ18" s="9">
        <f ca="1">Inventory!BJ$68</f>
        <v>3095.6919085112468</v>
      </c>
      <c r="BK18" s="9">
        <f ca="1">Inventory!BK$68</f>
        <v>3277.0381217002355</v>
      </c>
      <c r="BL18" s="9">
        <f ca="1">Inventory!BL$68</f>
        <v>3475.596735591052</v>
      </c>
      <c r="BM18" s="9">
        <f ca="1">Inventory!BM$68</f>
        <v>3679.1978479042591</v>
      </c>
      <c r="BN18" s="9">
        <f ca="1">Inventory!BN$68</f>
        <v>3903.4698080441717</v>
      </c>
      <c r="BO18" s="9">
        <f ca="1">Inventory!BO$68</f>
        <v>4140.0298147784615</v>
      </c>
      <c r="BP18" s="9">
        <f ca="1">Inventory!BP$68</f>
        <v>4366.2491633557374</v>
      </c>
      <c r="BQ18" s="9">
        <f ca="1">Inventory!BQ$68</f>
        <v>4630.7179863853571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AC18"/>
  <sheetViews>
    <sheetView topLeftCell="J6" workbookViewId="0">
      <selection activeCell="J6" sqref="J6"/>
    </sheetView>
  </sheetViews>
  <sheetFormatPr defaultColWidth="0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38.7265625" customWidth="1"/>
    <col min="6" max="6" width="20.7265625" customWidth="1"/>
    <col min="7" max="7" width="13.7265625" customWidth="1"/>
    <col min="8" max="8" width="9.7265625" style="2" customWidth="1"/>
    <col min="9" max="9" width="3.7265625" customWidth="1"/>
    <col min="10" max="29" width="11.7265625" customWidth="1"/>
    <col min="30" max="30" width="15.7265625" customWidth="1"/>
  </cols>
  <sheetData>
    <row r="1" spans="1:29" s="53" customFormat="1" ht="25">
      <c r="A1" s="37" t="str">
        <f ca="1">RIGHT(CELL("filename",A1),LEN(CELL("filename",A1))-SEARCH("]",CELL("filename",A1)))</f>
        <v>Inventory Report Qly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29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Time!J$75</f>
        <v>45138</v>
      </c>
      <c r="K2" s="6">
        <f>Time!K$75</f>
        <v>45230</v>
      </c>
      <c r="L2" s="6">
        <f>Time!L$75</f>
        <v>45322</v>
      </c>
      <c r="M2" s="6">
        <f>Time!M$75</f>
        <v>45412</v>
      </c>
      <c r="N2" s="6">
        <f>Time!N$75</f>
        <v>45504</v>
      </c>
      <c r="O2" s="6">
        <f>Time!O$75</f>
        <v>45596</v>
      </c>
      <c r="P2" s="6">
        <f>Time!P$75</f>
        <v>45688</v>
      </c>
      <c r="Q2" s="6">
        <f>Time!Q$75</f>
        <v>45777</v>
      </c>
      <c r="R2" s="6">
        <f>Time!R$75</f>
        <v>45869</v>
      </c>
      <c r="S2" s="6">
        <f>Time!S$75</f>
        <v>45961</v>
      </c>
      <c r="T2" s="6">
        <f>Time!T$75</f>
        <v>46053</v>
      </c>
      <c r="U2" s="6">
        <f>Time!U$75</f>
        <v>46142</v>
      </c>
      <c r="V2" s="6">
        <f>Time!V$75</f>
        <v>46234</v>
      </c>
      <c r="W2" s="6">
        <f>Time!W$75</f>
        <v>46326</v>
      </c>
      <c r="X2" s="6">
        <f>Time!X$75</f>
        <v>46418</v>
      </c>
      <c r="Y2" s="6">
        <f>Time!Y$75</f>
        <v>46507</v>
      </c>
      <c r="Z2" s="6">
        <f>Time!Z$75</f>
        <v>46599</v>
      </c>
      <c r="AA2" s="6">
        <f>Time!AA$75</f>
        <v>46691</v>
      </c>
      <c r="AB2" s="6">
        <f>Time!AB$75</f>
        <v>46783</v>
      </c>
      <c r="AC2" s="6">
        <f>Time!AC$75</f>
        <v>46873</v>
      </c>
    </row>
    <row r="3" spans="1:29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Time!J$82</f>
        <v>Month3</v>
      </c>
      <c r="K3" s="7" t="str">
        <f>Time!K$82</f>
        <v>Month6</v>
      </c>
      <c r="L3" s="7" t="str">
        <f>Time!L$82</f>
        <v>Month9</v>
      </c>
      <c r="M3" s="7" t="str">
        <f>Time!M$82</f>
        <v>Month12</v>
      </c>
      <c r="N3" s="7" t="str">
        <f>Time!N$82</f>
        <v>Month15</v>
      </c>
      <c r="O3" s="7" t="str">
        <f>Time!O$82</f>
        <v>Month18</v>
      </c>
      <c r="P3" s="7" t="str">
        <f>Time!P$82</f>
        <v>Month21</v>
      </c>
      <c r="Q3" s="7" t="str">
        <f>Time!Q$82</f>
        <v>Month24</v>
      </c>
      <c r="R3" s="7" t="str">
        <f>Time!R$82</f>
        <v>Month27</v>
      </c>
      <c r="S3" s="7" t="str">
        <f>Time!S$82</f>
        <v>Month30</v>
      </c>
      <c r="T3" s="7" t="str">
        <f>Time!T$82</f>
        <v>Month33</v>
      </c>
      <c r="U3" s="7" t="str">
        <f>Time!U$82</f>
        <v>Month36</v>
      </c>
      <c r="V3" s="7" t="str">
        <f>Time!V$82</f>
        <v>Month39</v>
      </c>
      <c r="W3" s="7" t="str">
        <f>Time!W$82</f>
        <v>Month42</v>
      </c>
      <c r="X3" s="7" t="str">
        <f>Time!X$82</f>
        <v>Month45</v>
      </c>
      <c r="Y3" s="7" t="str">
        <f>Time!Y$82</f>
        <v>Month48</v>
      </c>
      <c r="Z3" s="7" t="str">
        <f>Time!Z$82</f>
        <v>Month51</v>
      </c>
      <c r="AA3" s="7" t="str">
        <f>Time!AA$82</f>
        <v>Month54</v>
      </c>
      <c r="AB3" s="7" t="str">
        <f>Time!AB$82</f>
        <v>Month57</v>
      </c>
      <c r="AC3" s="7" t="str">
        <f>Time!AC$82</f>
        <v>Month60</v>
      </c>
    </row>
    <row r="4" spans="1:29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Time!J$88</f>
        <v>3</v>
      </c>
      <c r="K4" s="5">
        <f>Time!K$88</f>
        <v>6</v>
      </c>
      <c r="L4" s="5">
        <f>Time!L$88</f>
        <v>9</v>
      </c>
      <c r="M4" s="5">
        <f>Time!M$88</f>
        <v>12</v>
      </c>
      <c r="N4" s="5">
        <f>Time!N$88</f>
        <v>15</v>
      </c>
      <c r="O4" s="5">
        <f>Time!O$88</f>
        <v>18</v>
      </c>
      <c r="P4" s="5">
        <f>Time!P$88</f>
        <v>21</v>
      </c>
      <c r="Q4" s="5">
        <f>Time!Q$88</f>
        <v>24</v>
      </c>
      <c r="R4" s="5">
        <f>Time!R$88</f>
        <v>27</v>
      </c>
      <c r="S4" s="5">
        <f>Time!S$88</f>
        <v>30</v>
      </c>
      <c r="T4" s="5">
        <f>Time!T$88</f>
        <v>33</v>
      </c>
      <c r="U4" s="5">
        <f>Time!U$88</f>
        <v>36</v>
      </c>
      <c r="V4" s="5">
        <f>Time!V$88</f>
        <v>39</v>
      </c>
      <c r="W4" s="5">
        <f>Time!W$88</f>
        <v>42</v>
      </c>
      <c r="X4" s="5">
        <f>Time!X$88</f>
        <v>45</v>
      </c>
      <c r="Y4" s="5">
        <f>Time!Y$88</f>
        <v>48</v>
      </c>
      <c r="Z4" s="5">
        <f>Time!Z$88</f>
        <v>51</v>
      </c>
      <c r="AA4" s="5">
        <f>Time!AA$88</f>
        <v>54</v>
      </c>
      <c r="AB4" s="5">
        <f>Time!AB$88</f>
        <v>57</v>
      </c>
      <c r="AC4" s="5">
        <f>Time!AC$88</f>
        <v>60</v>
      </c>
    </row>
    <row r="5" spans="1:29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29" s="2" customFormat="1" ht="13">
      <c r="A6" s="22"/>
      <c r="B6" s="22"/>
      <c r="C6" s="40"/>
      <c r="D6" s="54"/>
      <c r="F6" s="22"/>
      <c r="G6" s="22"/>
      <c r="H6" s="22"/>
    </row>
    <row r="8" spans="1:29">
      <c r="A8"/>
      <c r="E8" s="15" t="str">
        <f>Customers!E$11</f>
        <v>New customers orders</v>
      </c>
      <c r="F8" s="15">
        <f>Customers!F$11</f>
        <v>0</v>
      </c>
      <c r="G8" s="15" t="str">
        <f>Customers!G$11</f>
        <v>Units</v>
      </c>
      <c r="H8" s="9">
        <f>Customers!H$11</f>
        <v>261181.72293639058</v>
      </c>
      <c r="I8" s="15">
        <f>Customers!I$11</f>
        <v>0</v>
      </c>
      <c r="J8" s="9">
        <f>SUMIF(Time!$J326:$BQ326,Time!J$28,Customers!$J11:$BQ11)</f>
        <v>1591.7273777732489</v>
      </c>
      <c r="K8" s="9">
        <f>SUMIF(Time!$J326:$BQ326,Time!K$28,Customers!$J11:$BQ11)</f>
        <v>1895.5914446040433</v>
      </c>
      <c r="L8" s="9">
        <f>SUMIF(Time!$J326:$BQ326,Time!L$28,Customers!$J11:$BQ11)</f>
        <v>2256.0368418551088</v>
      </c>
      <c r="M8" s="9">
        <f>SUMIF(Time!$J326:$BQ326,Time!M$28,Customers!$J11:$BQ11)</f>
        <v>2680.1643354654343</v>
      </c>
      <c r="N8" s="9">
        <f>SUMIF(Time!$J326:$BQ326,Time!N$28,Customers!$J11:$BQ11)</f>
        <v>3185.2625467863077</v>
      </c>
      <c r="O8" s="9">
        <f>SUMIF(Time!$J326:$BQ326,Time!O$28,Customers!$J11:$BQ11)</f>
        <v>3793.5587819546445</v>
      </c>
      <c r="P8" s="9">
        <f>SUMIF(Time!$J326:$BQ326,Time!P$28,Customers!$J11:$BQ11)</f>
        <v>4514.6685689330461</v>
      </c>
      <c r="Q8" s="9">
        <f>SUMIF(Time!$J326:$BQ326,Time!Q$28,Customers!$J11:$BQ11)</f>
        <v>5363.4086019164588</v>
      </c>
      <c r="R8" s="9">
        <f>SUMIF(Time!$J326:$BQ326,Time!R$28,Customers!$J11:$BQ11)</f>
        <v>6370.5859331411857</v>
      </c>
      <c r="S8" s="9">
        <f>SUMIF(Time!$J326:$BQ326,Time!S$28,Customers!$J11:$BQ11)</f>
        <v>7585.5347464509978</v>
      </c>
      <c r="T8" s="9">
        <f>SUMIF(Time!$J326:$BQ326,Time!T$28,Customers!$J11:$BQ11)</f>
        <v>9027.8312338698852</v>
      </c>
      <c r="U8" s="9">
        <f>SUMIF(Time!$J326:$BQ326,Time!U$28,Customers!$J11:$BQ11)</f>
        <v>10724.849062600666</v>
      </c>
      <c r="V8" s="9">
        <f>SUMIF(Time!$J326:$BQ326,Time!V$28,Customers!$J11:$BQ11)</f>
        <v>12739.334513468602</v>
      </c>
      <c r="W8" s="9">
        <f>SUMIF(Time!$J326:$BQ326,Time!W$28,Customers!$J11:$BQ11)</f>
        <v>15169.485842589642</v>
      </c>
      <c r="X8" s="9">
        <f>SUMIF(Time!$J326:$BQ326,Time!X$28,Customers!$J11:$BQ11)</f>
        <v>18054.022095472228</v>
      </c>
      <c r="Y8" s="9">
        <f>SUMIF(Time!$J326:$BQ326,Time!Y$28,Customers!$J11:$BQ11)</f>
        <v>21447.335841420216</v>
      </c>
      <c r="Z8" s="9">
        <f>SUMIF(Time!$J326:$BQ326,Time!Z$28,Customers!$J11:$BQ11)</f>
        <v>25476.46365449654</v>
      </c>
      <c r="AA8" s="9">
        <f>SUMIF(Time!$J326:$BQ326,Time!AA$28,Customers!$J11:$BQ11)</f>
        <v>30337.07077145121</v>
      </c>
      <c r="AB8" s="9">
        <f>SUMIF(Time!$J326:$BQ326,Time!AB$28,Customers!$J11:$BQ11)</f>
        <v>36087.154016621484</v>
      </c>
      <c r="AC8" s="9">
        <f>SUMIF(Time!$J326:$BQ326,Time!AC$28,Customers!$J11:$BQ11)</f>
        <v>42881.636725519624</v>
      </c>
    </row>
    <row r="9" spans="1:29">
      <c r="E9" s="15" t="str">
        <f>Customers!E$32</f>
        <v>Renewing Customer Orders</v>
      </c>
      <c r="F9" s="15">
        <f>Customers!F$32</f>
        <v>0</v>
      </c>
      <c r="G9" s="15" t="str">
        <f>Customers!G$32</f>
        <v>Units</v>
      </c>
      <c r="H9" s="9">
        <f ca="1">Customers!H$32</f>
        <v>53090.297527815921</v>
      </c>
      <c r="I9" s="15">
        <f>Customers!I$32</f>
        <v>0</v>
      </c>
      <c r="J9" s="9">
        <f ca="1">SUMIF(Time!$J326:$BQ326,Time!J$28,Customers!$J32:$BQ32)</f>
        <v>0</v>
      </c>
      <c r="K9" s="9">
        <f ca="1">SUMIF(Time!$J326:$BQ326,Time!K$28,Customers!$J32:$BQ32)</f>
        <v>0</v>
      </c>
      <c r="L9" s="9">
        <f ca="1">SUMIF(Time!$J326:$BQ326,Time!L$28,Customers!$J32:$BQ32)</f>
        <v>0</v>
      </c>
      <c r="M9" s="9">
        <f ca="1">SUMIF(Time!$J326:$BQ326,Time!M$28,Customers!$J32:$BQ32)</f>
        <v>0</v>
      </c>
      <c r="N9" s="9">
        <f ca="1">SUMIF(Time!$J326:$BQ326,Time!N$28,Customers!$J32:$BQ32)</f>
        <v>0</v>
      </c>
      <c r="O9" s="9">
        <f ca="1">SUMIF(Time!$J326:$BQ326,Time!O$28,Customers!$J32:$BQ32)</f>
        <v>0</v>
      </c>
      <c r="P9" s="9">
        <f ca="1">SUMIF(Time!$J326:$BQ326,Time!P$28,Customers!$J32:$BQ32)</f>
        <v>0</v>
      </c>
      <c r="Q9" s="9">
        <f ca="1">SUMIF(Time!$J326:$BQ326,Time!Q$28,Customers!$J32:$BQ32)</f>
        <v>0</v>
      </c>
      <c r="R9" s="9">
        <f ca="1">SUMIF(Time!$J326:$BQ326,Time!R$28,Customers!$J32:$BQ32)</f>
        <v>1432.5546399959242</v>
      </c>
      <c r="S9" s="9">
        <f ca="1">SUMIF(Time!$J326:$BQ326,Time!S$28,Customers!$J32:$BQ32)</f>
        <v>1706.0323001436391</v>
      </c>
      <c r="T9" s="9">
        <f ca="1">SUMIF(Time!$J326:$BQ326,Time!T$28,Customers!$J32:$BQ32)</f>
        <v>2030.4331576695977</v>
      </c>
      <c r="U9" s="9">
        <f ca="1">SUMIF(Time!$J326:$BQ326,Time!U$28,Customers!$J32:$BQ32)</f>
        <v>2412.1479019188905</v>
      </c>
      <c r="V9" s="9">
        <f ca="1">SUMIF(Time!$J326:$BQ326,Time!V$28,Customers!$J32:$BQ32)</f>
        <v>2866.7362921076765</v>
      </c>
      <c r="W9" s="9">
        <f ca="1">SUMIF(Time!$J326:$BQ326,Time!W$28,Customers!$J32:$BQ32)</f>
        <v>3414.2029037591801</v>
      </c>
      <c r="X9" s="9">
        <f ca="1">SUMIF(Time!$J326:$BQ326,Time!X$28,Customers!$J32:$BQ32)</f>
        <v>4063.2017120397413</v>
      </c>
      <c r="Y9" s="9">
        <f ca="1">SUMIF(Time!$J326:$BQ326,Time!Y$28,Customers!$J32:$BQ32)</f>
        <v>4827.0677417248135</v>
      </c>
      <c r="Z9" s="9">
        <f ca="1">SUMIF(Time!$J326:$BQ326,Time!Z$28,Customers!$J32:$BQ32)</f>
        <v>5733.5273398270674</v>
      </c>
      <c r="AA9" s="9">
        <f ca="1">SUMIF(Time!$J326:$BQ326,Time!AA$28,Customers!$J32:$BQ32)</f>
        <v>6826.9812718058974</v>
      </c>
      <c r="AB9" s="9">
        <f ca="1">SUMIF(Time!$J326:$BQ326,Time!AB$28,Customers!$J32:$BQ32)</f>
        <v>8125.0481104828968</v>
      </c>
      <c r="AC9" s="9">
        <f ca="1">SUMIF(Time!$J326:$BQ326,Time!AC$28,Customers!$J32:$BQ32)</f>
        <v>9652.3641563405981</v>
      </c>
    </row>
    <row r="10" spans="1:29">
      <c r="E10" s="15" t="str">
        <f>Customers!E$21</f>
        <v>Customer Orders Awaiting Fullfilment</v>
      </c>
      <c r="F10" s="15">
        <f>Customers!F$21</f>
        <v>0</v>
      </c>
      <c r="G10" s="15" t="str">
        <f>Customers!G$21</f>
        <v>Units</v>
      </c>
      <c r="H10" s="9">
        <f>Customers!H$21</f>
        <v>0</v>
      </c>
      <c r="I10" s="15">
        <f>Customers!I$21</f>
        <v>0</v>
      </c>
      <c r="J10" s="9">
        <f ca="1">SUMIF(Time!$J331:$BQ331,Time!J$28,Customers!$J21:$BQ21)</f>
        <v>1591.7273777732489</v>
      </c>
      <c r="K10" s="9">
        <f ca="1">SUMIF(Time!$J331:$BQ331,Time!K$28,Customers!$J21:$BQ21)</f>
        <v>3487.3188223772922</v>
      </c>
      <c r="L10" s="9">
        <f ca="1">SUMIF(Time!$J331:$BQ331,Time!L$28,Customers!$J21:$BQ21)</f>
        <v>796.21661196928426</v>
      </c>
      <c r="M10" s="9">
        <f ca="1">SUMIF(Time!$J331:$BQ331,Time!M$28,Customers!$J21:$BQ21)</f>
        <v>3423.5199996978349</v>
      </c>
      <c r="N10" s="9">
        <f ca="1">SUMIF(Time!$J331:$BQ331,Time!N$28,Customers!$J21:$BQ21)</f>
        <v>1608.782546484143</v>
      </c>
      <c r="O10" s="9">
        <f ca="1">SUMIF(Time!$J331:$BQ331,Time!O$28,Customers!$J21:$BQ21)</f>
        <v>5402.341328438788</v>
      </c>
      <c r="P10" s="9">
        <f ca="1">SUMIF(Time!$J331:$BQ331,Time!P$28,Customers!$J21:$BQ21)</f>
        <v>4917.0098973718341</v>
      </c>
      <c r="Q10" s="9">
        <f ca="1">SUMIF(Time!$J331:$BQ331,Time!Q$28,Customers!$J21:$BQ21)</f>
        <v>5280.4184992882947</v>
      </c>
      <c r="R10" s="9">
        <f ca="1">SUMIF(Time!$J331:$BQ331,Time!R$28,Customers!$J21:$BQ21)</f>
        <v>11022.921686897271</v>
      </c>
      <c r="S10" s="9">
        <f ca="1">SUMIF(Time!$J331:$BQ331,Time!S$28,Customers!$J21:$BQ21)</f>
        <v>11737.654015413058</v>
      </c>
      <c r="T10" s="9">
        <f ca="1">SUMIF(Time!$J331:$BQ331,Time!T$28,Customers!$J21:$BQ21)</f>
        <v>8539.1124060332841</v>
      </c>
      <c r="U10" s="9">
        <f ca="1">SUMIF(Time!$J331:$BQ331,Time!U$28,Customers!$J21:$BQ21)</f>
        <v>11612.884499067255</v>
      </c>
      <c r="V10" s="9">
        <f ca="1">SUMIF(Time!$J331:$BQ331,Time!V$28,Customers!$J21:$BQ21)</f>
        <v>16206.302114853477</v>
      </c>
      <c r="W10" s="9">
        <f ca="1">SUMIF(Time!$J331:$BQ331,Time!W$28,Customers!$J21:$BQ21)</f>
        <v>22631.268734313388</v>
      </c>
      <c r="X10" s="9">
        <f ca="1">SUMIF(Time!$J331:$BQ331,Time!X$28,Customers!$J21:$BQ21)</f>
        <v>26230.895037101749</v>
      </c>
      <c r="Y10" s="9">
        <f ca="1">SUMIF(Time!$J331:$BQ331,Time!Y$28,Customers!$J21:$BQ21)</f>
        <v>32372.010202025675</v>
      </c>
      <c r="Z10" s="9">
        <f ca="1">SUMIF(Time!$J331:$BQ331,Time!Z$28,Customers!$J21:$BQ21)</f>
        <v>34698.818731012048</v>
      </c>
      <c r="AA10" s="9">
        <f ca="1">SUMIF(Time!$J331:$BQ331,Time!AA$28,Customers!$J21:$BQ21)</f>
        <v>39329.641460602288</v>
      </c>
      <c r="AB10" s="9">
        <f ca="1">SUMIF(Time!$J331:$BQ331,Time!AB$28,Customers!$J21:$BQ21)</f>
        <v>47678.178177315582</v>
      </c>
      <c r="AC10" s="9">
        <f ca="1">SUMIF(Time!$J331:$BQ331,Time!AC$28,Customers!$J21:$BQ21)</f>
        <v>60392.68148681907</v>
      </c>
    </row>
    <row r="11" spans="1:29">
      <c r="E11" s="15" t="str">
        <f>Inventory!E$26</f>
        <v>Units ordered</v>
      </c>
      <c r="F11" s="15">
        <f>Inventory!F$26</f>
        <v>0</v>
      </c>
      <c r="G11" s="15" t="str">
        <f>Inventory!G$26</f>
        <v>Units</v>
      </c>
      <c r="H11" s="9">
        <f ca="1">Inventory!H$26</f>
        <v>165000</v>
      </c>
      <c r="I11" s="15">
        <f>Inventory!I$26</f>
        <v>0</v>
      </c>
      <c r="J11" s="9">
        <f ca="1">SUMIF(Time!$J326:$BQ326,Time!J$28,Inventory!$J26:$BQ26)</f>
        <v>5000</v>
      </c>
      <c r="K11" s="9">
        <f ca="1">SUMIF(Time!$J326:$BQ326,Time!K$28,Inventory!$J26:$BQ26)</f>
        <v>0</v>
      </c>
      <c r="L11" s="9">
        <f ca="1">SUMIF(Time!$J326:$BQ326,Time!L$28,Inventory!$J26:$BQ26)</f>
        <v>5000</v>
      </c>
      <c r="M11" s="9">
        <f ca="1">SUMIF(Time!$J326:$BQ326,Time!M$28,Inventory!$J26:$BQ26)</f>
        <v>0</v>
      </c>
      <c r="N11" s="9">
        <f ca="1">SUMIF(Time!$J326:$BQ326,Time!N$28,Inventory!$J26:$BQ26)</f>
        <v>5000</v>
      </c>
      <c r="O11" s="9">
        <f ca="1">SUMIF(Time!$J326:$BQ326,Time!O$28,Inventory!$J26:$BQ26)</f>
        <v>5000</v>
      </c>
      <c r="P11" s="9">
        <f ca="1">SUMIF(Time!$J326:$BQ326,Time!P$28,Inventory!$J26:$BQ26)</f>
        <v>5000</v>
      </c>
      <c r="Q11" s="9">
        <f ca="1">SUMIF(Time!$J326:$BQ326,Time!Q$28,Inventory!$J26:$BQ26)</f>
        <v>5000</v>
      </c>
      <c r="R11" s="9">
        <f ca="1">SUMIF(Time!$J326:$BQ326,Time!R$28,Inventory!$J26:$BQ26)</f>
        <v>5000</v>
      </c>
      <c r="S11" s="9">
        <f ca="1">SUMIF(Time!$J326:$BQ326,Time!S$28,Inventory!$J26:$BQ26)</f>
        <v>5000</v>
      </c>
      <c r="T11" s="9">
        <f ca="1">SUMIF(Time!$J326:$BQ326,Time!T$28,Inventory!$J26:$BQ26)</f>
        <v>5000</v>
      </c>
      <c r="U11" s="9">
        <f ca="1">SUMIF(Time!$J326:$BQ326,Time!U$28,Inventory!$J26:$BQ26)</f>
        <v>10000</v>
      </c>
      <c r="V11" s="9">
        <f ca="1">SUMIF(Time!$J326:$BQ326,Time!V$28,Inventory!$J26:$BQ26)</f>
        <v>10000</v>
      </c>
      <c r="W11" s="9">
        <f ca="1">SUMIF(Time!$J326:$BQ326,Time!W$28,Inventory!$J26:$BQ26)</f>
        <v>10000</v>
      </c>
      <c r="X11" s="9">
        <f ca="1">SUMIF(Time!$J326:$BQ326,Time!X$28,Inventory!$J26:$BQ26)</f>
        <v>15000</v>
      </c>
      <c r="Y11" s="9">
        <f ca="1">SUMIF(Time!$J326:$BQ326,Time!Y$28,Inventory!$J26:$BQ26)</f>
        <v>15000</v>
      </c>
      <c r="Z11" s="9">
        <f ca="1">SUMIF(Time!$J326:$BQ326,Time!Z$28,Inventory!$J26:$BQ26)</f>
        <v>15000</v>
      </c>
      <c r="AA11" s="9">
        <f ca="1">SUMIF(Time!$J326:$BQ326,Time!AA$28,Inventory!$J26:$BQ26)</f>
        <v>15000</v>
      </c>
      <c r="AB11" s="9">
        <f ca="1">SUMIF(Time!$J326:$BQ326,Time!AB$28,Inventory!$J26:$BQ26)</f>
        <v>15000</v>
      </c>
      <c r="AC11" s="9">
        <f ca="1">SUMIF(Time!$J326:$BQ326,Time!AC$28,Inventory!$J26:$BQ26)</f>
        <v>15000</v>
      </c>
    </row>
    <row r="12" spans="1:29">
      <c r="E12" s="15" t="str">
        <f>Inventory!E$41</f>
        <v>Units on order</v>
      </c>
      <c r="F12" s="15">
        <f>Inventory!F$41</f>
        <v>0</v>
      </c>
      <c r="G12" s="15" t="str">
        <f>Inventory!G$41</f>
        <v>Units</v>
      </c>
      <c r="H12" s="9">
        <f>Inventory!H$41</f>
        <v>0</v>
      </c>
      <c r="I12" s="15">
        <f>Inventory!I$41</f>
        <v>0</v>
      </c>
      <c r="J12" s="9">
        <f ca="1">SUMIF(Time!$J331:$BQ331,Time!J$28,Inventory!$J41:$BQ41)</f>
        <v>5000</v>
      </c>
      <c r="K12" s="9">
        <f ca="1">SUMIF(Time!$J331:$BQ331,Time!K$28,Inventory!$J41:$BQ41)</f>
        <v>5000</v>
      </c>
      <c r="L12" s="9">
        <f ca="1">SUMIF(Time!$J331:$BQ331,Time!L$28,Inventory!$J41:$BQ41)</f>
        <v>5000</v>
      </c>
      <c r="M12" s="9">
        <f ca="1">SUMIF(Time!$J331:$BQ331,Time!M$28,Inventory!$J41:$BQ41)</f>
        <v>5000</v>
      </c>
      <c r="N12" s="9">
        <f ca="1">SUMIF(Time!$J331:$BQ331,Time!N$28,Inventory!$J41:$BQ41)</f>
        <v>5000</v>
      </c>
      <c r="O12" s="9">
        <f ca="1">SUMIF(Time!$J331:$BQ331,Time!O$28,Inventory!$J41:$BQ41)</f>
        <v>10000</v>
      </c>
      <c r="P12" s="9">
        <f ca="1">SUMIF(Time!$J331:$BQ331,Time!P$28,Inventory!$J41:$BQ41)</f>
        <v>10000</v>
      </c>
      <c r="Q12" s="9">
        <f ca="1">SUMIF(Time!$J331:$BQ331,Time!Q$28,Inventory!$J41:$BQ41)</f>
        <v>10000</v>
      </c>
      <c r="R12" s="9">
        <f ca="1">SUMIF(Time!$J331:$BQ331,Time!R$28,Inventory!$J41:$BQ41)</f>
        <v>10000</v>
      </c>
      <c r="S12" s="9">
        <f ca="1">SUMIF(Time!$J331:$BQ331,Time!S$28,Inventory!$J41:$BQ41)</f>
        <v>10000</v>
      </c>
      <c r="T12" s="9">
        <f ca="1">SUMIF(Time!$J331:$BQ331,Time!T$28,Inventory!$J41:$BQ41)</f>
        <v>10000</v>
      </c>
      <c r="U12" s="9">
        <f ca="1">SUMIF(Time!$J331:$BQ331,Time!U$28,Inventory!$J41:$BQ41)</f>
        <v>15000</v>
      </c>
      <c r="V12" s="9">
        <f ca="1">SUMIF(Time!$J331:$BQ331,Time!V$28,Inventory!$J41:$BQ41)</f>
        <v>20000</v>
      </c>
      <c r="W12" s="9">
        <f ca="1">SUMIF(Time!$J331:$BQ331,Time!W$28,Inventory!$J41:$BQ41)</f>
        <v>20000</v>
      </c>
      <c r="X12" s="9">
        <f ca="1">SUMIF(Time!$J331:$BQ331,Time!X$28,Inventory!$J41:$BQ41)</f>
        <v>25000</v>
      </c>
      <c r="Y12" s="9">
        <f ca="1">SUMIF(Time!$J331:$BQ331,Time!Y$28,Inventory!$J41:$BQ41)</f>
        <v>30000</v>
      </c>
      <c r="Z12" s="9">
        <f ca="1">SUMIF(Time!$J331:$BQ331,Time!Z$28,Inventory!$J41:$BQ41)</f>
        <v>30000</v>
      </c>
      <c r="AA12" s="9">
        <f ca="1">SUMIF(Time!$J331:$BQ331,Time!AA$28,Inventory!$J41:$BQ41)</f>
        <v>30000</v>
      </c>
      <c r="AB12" s="9">
        <f ca="1">SUMIF(Time!$J331:$BQ331,Time!AB$28,Inventory!$J41:$BQ41)</f>
        <v>30000</v>
      </c>
      <c r="AC12" s="9">
        <f ca="1">SUMIF(Time!$J331:$BQ331,Time!AC$28,Inventory!$J41:$BQ41)</f>
        <v>30000</v>
      </c>
    </row>
    <row r="13" spans="1:29">
      <c r="E13" s="15" t="str">
        <f>Inventory!E$32</f>
        <v>Units delivered</v>
      </c>
      <c r="F13" s="15">
        <f>Inventory!F$32</f>
        <v>0</v>
      </c>
      <c r="G13" s="15" t="str">
        <f>Inventory!G$32</f>
        <v>Units</v>
      </c>
      <c r="H13" s="9">
        <f ca="1">Inventory!H$32</f>
        <v>135000</v>
      </c>
      <c r="I13" s="15">
        <f>Inventory!I$32</f>
        <v>0</v>
      </c>
      <c r="J13" s="9">
        <f ca="1">SUMIF(Time!$J326:$BQ326,Time!J$28,Inventory!$J32:$BQ32)</f>
        <v>0</v>
      </c>
      <c r="K13" s="9">
        <f ca="1">SUMIF(Time!$J326:$BQ326,Time!K$28,Inventory!$J32:$BQ32)</f>
        <v>0</v>
      </c>
      <c r="L13" s="9">
        <f ca="1">SUMIF(Time!$J326:$BQ326,Time!L$28,Inventory!$J32:$BQ32)</f>
        <v>5000</v>
      </c>
      <c r="M13" s="9">
        <f ca="1">SUMIF(Time!$J326:$BQ326,Time!M$28,Inventory!$J32:$BQ32)</f>
        <v>0</v>
      </c>
      <c r="N13" s="9">
        <f ca="1">SUMIF(Time!$J326:$BQ326,Time!N$28,Inventory!$J32:$BQ32)</f>
        <v>5000</v>
      </c>
      <c r="O13" s="9">
        <f ca="1">SUMIF(Time!$J326:$BQ326,Time!O$28,Inventory!$J32:$BQ32)</f>
        <v>0</v>
      </c>
      <c r="P13" s="9">
        <f ca="1">SUMIF(Time!$J326:$BQ326,Time!P$28,Inventory!$J32:$BQ32)</f>
        <v>5000</v>
      </c>
      <c r="Q13" s="9">
        <f ca="1">SUMIF(Time!$J326:$BQ326,Time!Q$28,Inventory!$J32:$BQ32)</f>
        <v>5000</v>
      </c>
      <c r="R13" s="9">
        <f ca="1">SUMIF(Time!$J326:$BQ326,Time!R$28,Inventory!$J32:$BQ32)</f>
        <v>5000</v>
      </c>
      <c r="S13" s="9">
        <f ca="1">SUMIF(Time!$J326:$BQ326,Time!S$28,Inventory!$J32:$BQ32)</f>
        <v>5000</v>
      </c>
      <c r="T13" s="9">
        <f ca="1">SUMIF(Time!$J326:$BQ326,Time!T$28,Inventory!$J32:$BQ32)</f>
        <v>5000</v>
      </c>
      <c r="U13" s="9">
        <f ca="1">SUMIF(Time!$J326:$BQ326,Time!U$28,Inventory!$J32:$BQ32)</f>
        <v>5000</v>
      </c>
      <c r="V13" s="9">
        <f ca="1">SUMIF(Time!$J326:$BQ326,Time!V$28,Inventory!$J32:$BQ32)</f>
        <v>5000</v>
      </c>
      <c r="W13" s="9">
        <f ca="1">SUMIF(Time!$J326:$BQ326,Time!W$28,Inventory!$J32:$BQ32)</f>
        <v>10000</v>
      </c>
      <c r="X13" s="9">
        <f ca="1">SUMIF(Time!$J326:$BQ326,Time!X$28,Inventory!$J32:$BQ32)</f>
        <v>10000</v>
      </c>
      <c r="Y13" s="9">
        <f ca="1">SUMIF(Time!$J326:$BQ326,Time!Y$28,Inventory!$J32:$BQ32)</f>
        <v>10000</v>
      </c>
      <c r="Z13" s="9">
        <f ca="1">SUMIF(Time!$J326:$BQ326,Time!Z$28,Inventory!$J32:$BQ32)</f>
        <v>15000</v>
      </c>
      <c r="AA13" s="9">
        <f ca="1">SUMIF(Time!$J326:$BQ326,Time!AA$28,Inventory!$J32:$BQ32)</f>
        <v>15000</v>
      </c>
      <c r="AB13" s="9">
        <f ca="1">SUMIF(Time!$J326:$BQ326,Time!AB$28,Inventory!$J32:$BQ32)</f>
        <v>15000</v>
      </c>
      <c r="AC13" s="9">
        <f ca="1">SUMIF(Time!$J326:$BQ326,Time!AC$28,Inventory!$J32:$BQ32)</f>
        <v>15000</v>
      </c>
    </row>
    <row r="14" spans="1:29">
      <c r="E14" s="15" t="str">
        <f>Inventory!E$18</f>
        <v>Deployed units returned</v>
      </c>
      <c r="F14" s="15">
        <f>Inventory!F$18</f>
        <v>0</v>
      </c>
      <c r="G14" s="15" t="str">
        <f>Inventory!G$18</f>
        <v>Units</v>
      </c>
      <c r="H14" s="9">
        <f ca="1">Inventory!H$18</f>
        <v>66570.387475079086</v>
      </c>
      <c r="I14" s="15">
        <f>Inventory!I$18</f>
        <v>0</v>
      </c>
      <c r="J14" s="9">
        <f ca="1">SUMIF(Time!$J326:$BQ326,Time!J$28,Inventory!$J18:$BQ18)</f>
        <v>0</v>
      </c>
      <c r="K14" s="9">
        <f ca="1">SUMIF(Time!$J326:$BQ326,Time!K$28,Inventory!$J18:$BQ18)</f>
        <v>0</v>
      </c>
      <c r="L14" s="9">
        <f ca="1">SUMIF(Time!$J326:$BQ326,Time!L$28,Inventory!$J18:$BQ18)</f>
        <v>0</v>
      </c>
      <c r="M14" s="9">
        <f ca="1">SUMIF(Time!$J326:$BQ326,Time!M$28,Inventory!$J18:$BQ18)</f>
        <v>0</v>
      </c>
      <c r="N14" s="9">
        <f ca="1">SUMIF(Time!$J326:$BQ326,Time!N$28,Inventory!$J18:$BQ18)</f>
        <v>0</v>
      </c>
      <c r="O14" s="9">
        <f ca="1">SUMIF(Time!$J326:$BQ326,Time!O$28,Inventory!$J18:$BQ18)</f>
        <v>0</v>
      </c>
      <c r="P14" s="9">
        <f ca="1">SUMIF(Time!$J326:$BQ326,Time!P$28,Inventory!$J18:$BQ18)</f>
        <v>0</v>
      </c>
      <c r="Q14" s="9">
        <f ca="1">SUMIF(Time!$J326:$BQ326,Time!Q$28,Inventory!$J18:$BQ18)</f>
        <v>0</v>
      </c>
      <c r="R14" s="9">
        <f ca="1">SUMIF(Time!$J326:$BQ326,Time!R$28,Inventory!$J18:$BQ18)</f>
        <v>1591.7273777732489</v>
      </c>
      <c r="S14" s="9">
        <f ca="1">SUMIF(Time!$J326:$BQ326,Time!S$28,Inventory!$J18:$BQ18)</f>
        <v>1895.5914446040433</v>
      </c>
      <c r="T14" s="9">
        <f ca="1">SUMIF(Time!$J326:$BQ326,Time!T$28,Inventory!$J18:$BQ18)</f>
        <v>2256.0368418551088</v>
      </c>
      <c r="U14" s="9">
        <f ca="1">SUMIF(Time!$J326:$BQ326,Time!U$28,Inventory!$J18:$BQ18)</f>
        <v>2680.1643354654343</v>
      </c>
      <c r="V14" s="9">
        <f ca="1">SUMIF(Time!$J326:$BQ326,Time!V$28,Inventory!$J18:$BQ18)</f>
        <v>3185.2625467863077</v>
      </c>
      <c r="W14" s="9">
        <f ca="1">SUMIF(Time!$J326:$BQ326,Time!W$28,Inventory!$J18:$BQ18)</f>
        <v>3793.5587819546445</v>
      </c>
      <c r="X14" s="9">
        <f ca="1">SUMIF(Time!$J326:$BQ326,Time!X$28,Inventory!$J18:$BQ18)</f>
        <v>4514.6685689330461</v>
      </c>
      <c r="Y14" s="9">
        <f ca="1">SUMIF(Time!$J326:$BQ326,Time!Y$28,Inventory!$J18:$BQ18)</f>
        <v>5363.4086019164588</v>
      </c>
      <c r="Z14" s="9">
        <f ca="1">SUMIF(Time!$J326:$BQ326,Time!Z$28,Inventory!$J18:$BQ18)</f>
        <v>7803.1405731371087</v>
      </c>
      <c r="AA14" s="9">
        <f ca="1">SUMIF(Time!$J326:$BQ326,Time!AA$28,Inventory!$J18:$BQ18)</f>
        <v>9291.5670465946368</v>
      </c>
      <c r="AB14" s="9">
        <f ca="1">SUMIF(Time!$J326:$BQ326,Time!AB$28,Inventory!$J18:$BQ18)</f>
        <v>11058.264391539484</v>
      </c>
      <c r="AC14" s="9">
        <f ca="1">SUMIF(Time!$J326:$BQ326,Time!AC$28,Inventory!$J18:$BQ18)</f>
        <v>13136.996964519556</v>
      </c>
    </row>
    <row r="15" spans="1:29">
      <c r="E15" s="15" t="str">
        <f>Inventory!E$56</f>
        <v>Units in stock</v>
      </c>
      <c r="F15" s="15">
        <f>Inventory!F$56</f>
        <v>0</v>
      </c>
      <c r="G15" s="15" t="str">
        <f>Inventory!G$56</f>
        <v>Units</v>
      </c>
      <c r="H15" s="9">
        <f>Inventory!H$56</f>
        <v>0</v>
      </c>
      <c r="I15" s="15">
        <f>Inventory!I$56</f>
        <v>0</v>
      </c>
      <c r="J15" s="9">
        <f ca="1">SUMIF(Time!$J331:$BQ331,Time!J$28,Inventory!$J56:$BQ56)</f>
        <v>0</v>
      </c>
      <c r="K15" s="9">
        <f ca="1">SUMIF(Time!$J331:$BQ331,Time!K$28,Inventory!$J56:$BQ56)</f>
        <v>0</v>
      </c>
      <c r="L15" s="9">
        <f ca="1">SUMIF(Time!$J331:$BQ331,Time!L$28,Inventory!$J56:$BQ56)</f>
        <v>52.860947736883645</v>
      </c>
      <c r="M15" s="9">
        <f ca="1">SUMIF(Time!$J331:$BQ331,Time!M$28,Inventory!$J56:$BQ56)</f>
        <v>0</v>
      </c>
      <c r="N15" s="9">
        <f ca="1">SUMIF(Time!$J331:$BQ331,Time!N$28,Inventory!$J56:$BQ56)</f>
        <v>0</v>
      </c>
      <c r="O15" s="9">
        <f ca="1">SUMIF(Time!$J331:$BQ331,Time!O$28,Inventory!$J56:$BQ56)</f>
        <v>0</v>
      </c>
      <c r="P15" s="9">
        <f ca="1">SUMIF(Time!$J331:$BQ331,Time!P$28,Inventory!$J56:$BQ56)</f>
        <v>0</v>
      </c>
      <c r="Q15" s="9">
        <f ca="1">SUMIF(Time!$J331:$BQ331,Time!Q$28,Inventory!$J56:$BQ56)</f>
        <v>0</v>
      </c>
      <c r="R15" s="9">
        <f ca="1">SUMIF(Time!$J331:$BQ331,Time!R$28,Inventory!$J56:$BQ56)</f>
        <v>6122.817370018367</v>
      </c>
      <c r="S15" s="9">
        <f ca="1">SUMIF(Time!$J331:$BQ331,Time!S$28,Inventory!$J56:$BQ56)</f>
        <v>6337.1655411476058</v>
      </c>
      <c r="T15" s="9">
        <f ca="1">SUMIF(Time!$J331:$BQ331,Time!T$28,Inventory!$J56:$BQ56)</f>
        <v>1592.4332239385687</v>
      </c>
      <c r="U15" s="9">
        <f ca="1">SUMIF(Time!$J331:$BQ331,Time!U$28,Inventory!$J56:$BQ56)</f>
        <v>1889.5370233838521</v>
      </c>
      <c r="V15" s="9">
        <f ca="1">SUMIF(Time!$J331:$BQ331,Time!V$28,Inventory!$J56:$BQ56)</f>
        <v>2247.4089271664079</v>
      </c>
      <c r="W15" s="9">
        <f ca="1">SUMIF(Time!$J331:$BQ331,Time!W$28,Inventory!$J56:$BQ56)</f>
        <v>7675.8043641867862</v>
      </c>
      <c r="X15" s="9">
        <f ca="1">SUMIF(Time!$J331:$BQ331,Time!X$28,Inventory!$J56:$BQ56)</f>
        <v>8187.5439973292669</v>
      </c>
      <c r="Y15" s="9">
        <f ca="1">SUMIF(Time!$J331:$BQ331,Time!Y$28,Inventory!$J56:$BQ56)</f>
        <v>8781.0727829410807</v>
      </c>
      <c r="Z15" s="9">
        <f ca="1">SUMIF(Time!$J331:$BQ331,Time!Z$28,Inventory!$J56:$BQ56)</f>
        <v>10504.171463878069</v>
      </c>
      <c r="AA15" s="9">
        <f ca="1">SUMIF(Time!$J331:$BQ331,Time!AA$28,Inventory!$J56:$BQ56)</f>
        <v>11554.076243400472</v>
      </c>
      <c r="AB15" s="9">
        <f ca="1">SUMIF(Time!$J331:$BQ331,Time!AB$28,Inventory!$J56:$BQ56)</f>
        <v>12806.939616088344</v>
      </c>
      <c r="AC15" s="9">
        <f ca="1">SUMIF(Time!$J331:$BQ331,Time!AC$28,Inventory!$J56:$BQ56)</f>
        <v>14261.435972770712</v>
      </c>
    </row>
    <row r="16" spans="1:29">
      <c r="E16" s="15" t="str">
        <f>Inventory!E$45</f>
        <v>Units deployed</v>
      </c>
      <c r="F16" s="15">
        <f>Inventory!F$45</f>
        <v>0</v>
      </c>
      <c r="G16" s="15" t="str">
        <f>Inventory!G$45</f>
        <v>Units</v>
      </c>
      <c r="H16" s="9">
        <f ca="1">Inventory!H$45</f>
        <v>253879.33897738747</v>
      </c>
      <c r="I16" s="15">
        <f>Inventory!I$45</f>
        <v>0</v>
      </c>
      <c r="J16" s="9">
        <f ca="1">SUMIF(Time!$J326:$BQ326,Time!J$28,Inventory!$J45:$BQ45)</f>
        <v>0</v>
      </c>
      <c r="K16" s="9">
        <f ca="1">SUMIF(Time!$J326:$BQ326,Time!K$28,Inventory!$J45:$BQ45)</f>
        <v>0</v>
      </c>
      <c r="L16" s="9">
        <f ca="1">SUMIF(Time!$J326:$BQ326,Time!L$28,Inventory!$J45:$BQ45)</f>
        <v>4947.1390522631164</v>
      </c>
      <c r="M16" s="9">
        <f ca="1">SUMIF(Time!$J326:$BQ326,Time!M$28,Inventory!$J45:$BQ45)</f>
        <v>52.860947736883645</v>
      </c>
      <c r="N16" s="9">
        <f ca="1">SUMIF(Time!$J326:$BQ326,Time!N$28,Inventory!$J45:$BQ45)</f>
        <v>5000</v>
      </c>
      <c r="O16" s="9">
        <f ca="1">SUMIF(Time!$J326:$BQ326,Time!O$28,Inventory!$J45:$BQ45)</f>
        <v>0</v>
      </c>
      <c r="P16" s="9">
        <f ca="1">SUMIF(Time!$J326:$BQ326,Time!P$28,Inventory!$J45:$BQ45)</f>
        <v>5000</v>
      </c>
      <c r="Q16" s="9">
        <f ca="1">SUMIF(Time!$J326:$BQ326,Time!Q$28,Inventory!$J45:$BQ45)</f>
        <v>5000</v>
      </c>
      <c r="R16" s="9">
        <f ca="1">SUMIF(Time!$J326:$BQ326,Time!R$28,Inventory!$J45:$BQ45)</f>
        <v>2060.6373855281317</v>
      </c>
      <c r="S16" s="9">
        <f ca="1">SUMIF(Time!$J326:$BQ326,Time!S$28,Inventory!$J45:$BQ45)</f>
        <v>8576.8347180788478</v>
      </c>
      <c r="T16" s="9">
        <f ca="1">SUMIF(Time!$J326:$BQ326,Time!T$28,Inventory!$J45:$BQ45)</f>
        <v>14256.806000919256</v>
      </c>
      <c r="U16" s="9">
        <f ca="1">SUMIF(Time!$J326:$BQ326,Time!U$28,Inventory!$J45:$BQ45)</f>
        <v>10063.224871485585</v>
      </c>
      <c r="V16" s="9">
        <f ca="1">SUMIF(Time!$J326:$BQ326,Time!V$28,Inventory!$J45:$BQ45)</f>
        <v>11012.65318979006</v>
      </c>
      <c r="W16" s="9">
        <f ca="1">SUMIF(Time!$J326:$BQ326,Time!W$28,Inventory!$J45:$BQ45)</f>
        <v>12158.72212688891</v>
      </c>
      <c r="X16" s="9">
        <f ca="1">SUMIF(Time!$J326:$BQ326,Time!X$28,Inventory!$J45:$BQ45)</f>
        <v>18517.597504723613</v>
      </c>
      <c r="Y16" s="9">
        <f ca="1">SUMIF(Time!$J326:$BQ326,Time!Y$28,Inventory!$J45:$BQ45)</f>
        <v>20133.288418221106</v>
      </c>
      <c r="Z16" s="9">
        <f ca="1">SUMIF(Time!$J326:$BQ326,Time!Z$28,Inventory!$J45:$BQ45)</f>
        <v>28883.182465337231</v>
      </c>
      <c r="AA16" s="9">
        <f ca="1">SUMIF(Time!$J326:$BQ326,Time!AA$28,Inventory!$J45:$BQ45)</f>
        <v>32533.229313666867</v>
      </c>
      <c r="AB16" s="9">
        <f ca="1">SUMIF(Time!$J326:$BQ326,Time!AB$28,Inventory!$J45:$BQ45)</f>
        <v>35863.665410391099</v>
      </c>
      <c r="AC16" s="9">
        <f ca="1">SUMIF(Time!$J326:$BQ326,Time!AC$28,Inventory!$J45:$BQ45)</f>
        <v>39819.49757235674</v>
      </c>
    </row>
    <row r="17" spans="5:29">
      <c r="E17" s="15" t="str">
        <f>Inventory!E$64</f>
        <v>Units in use</v>
      </c>
      <c r="F17" s="15">
        <f>Inventory!F$64</f>
        <v>0</v>
      </c>
      <c r="G17" s="15" t="str">
        <f>Inventory!G$64</f>
        <v>Units</v>
      </c>
      <c r="H17" s="9">
        <f>Inventory!H$64</f>
        <v>0</v>
      </c>
      <c r="I17" s="15">
        <f>Inventory!I$64</f>
        <v>0</v>
      </c>
      <c r="J17" s="9">
        <f ca="1">SUMIF(Time!$J331:$BQ331,Time!J$28,Inventory!$J64:$BQ64)</f>
        <v>0</v>
      </c>
      <c r="K17" s="9">
        <f ca="1">SUMIF(Time!$J331:$BQ331,Time!K$28,Inventory!$J64:$BQ64)</f>
        <v>0</v>
      </c>
      <c r="L17" s="9">
        <f ca="1">SUMIF(Time!$J331:$BQ331,Time!L$28,Inventory!$J64:$BQ64)</f>
        <v>4947.1390522631164</v>
      </c>
      <c r="M17" s="9">
        <f ca="1">SUMIF(Time!$J331:$BQ331,Time!M$28,Inventory!$J64:$BQ64)</f>
        <v>5000</v>
      </c>
      <c r="N17" s="9">
        <f ca="1">SUMIF(Time!$J331:$BQ331,Time!N$28,Inventory!$J64:$BQ64)</f>
        <v>10000</v>
      </c>
      <c r="O17" s="9">
        <f ca="1">SUMIF(Time!$J331:$BQ331,Time!O$28,Inventory!$J64:$BQ64)</f>
        <v>10000</v>
      </c>
      <c r="P17" s="9">
        <f ca="1">SUMIF(Time!$J331:$BQ331,Time!P$28,Inventory!$J64:$BQ64)</f>
        <v>15000</v>
      </c>
      <c r="Q17" s="9">
        <f ca="1">SUMIF(Time!$J331:$BQ331,Time!Q$28,Inventory!$J64:$BQ64)</f>
        <v>20000</v>
      </c>
      <c r="R17" s="9">
        <f ca="1">SUMIF(Time!$J331:$BQ331,Time!R$28,Inventory!$J64:$BQ64)</f>
        <v>20468.910007754879</v>
      </c>
      <c r="S17" s="9">
        <f ca="1">SUMIF(Time!$J331:$BQ331,Time!S$28,Inventory!$J64:$BQ64)</f>
        <v>27150.153281229686</v>
      </c>
      <c r="T17" s="9">
        <f ca="1">SUMIF(Time!$J331:$BQ331,Time!T$28,Inventory!$J64:$BQ64)</f>
        <v>39150.922440293827</v>
      </c>
      <c r="U17" s="9">
        <f ca="1">SUMIF(Time!$J331:$BQ331,Time!U$28,Inventory!$J64:$BQ64)</f>
        <v>46533.982976313979</v>
      </c>
      <c r="V17" s="9">
        <f ca="1">SUMIF(Time!$J331:$BQ331,Time!V$28,Inventory!$J64:$BQ64)</f>
        <v>54361.373619317732</v>
      </c>
      <c r="W17" s="9">
        <f ca="1">SUMIF(Time!$J331:$BQ331,Time!W$28,Inventory!$J64:$BQ64)</f>
        <v>62726.536964251995</v>
      </c>
      <c r="X17" s="9">
        <f ca="1">SUMIF(Time!$J331:$BQ331,Time!X$28,Inventory!$J64:$BQ64)</f>
        <v>76729.46590004256</v>
      </c>
      <c r="Y17" s="9">
        <f ca="1">SUMIF(Time!$J331:$BQ331,Time!Y$28,Inventory!$J64:$BQ64)</f>
        <v>91499.34571634719</v>
      </c>
      <c r="Z17" s="9">
        <f ca="1">SUMIF(Time!$J331:$BQ331,Time!Z$28,Inventory!$J64:$BQ64)</f>
        <v>112579.38760854732</v>
      </c>
      <c r="AA17" s="9">
        <f ca="1">SUMIF(Time!$J331:$BQ331,Time!AA$28,Inventory!$J64:$BQ64)</f>
        <v>135821.04987561956</v>
      </c>
      <c r="AB17" s="9">
        <f ca="1">SUMIF(Time!$J331:$BQ331,Time!AB$28,Inventory!$J64:$BQ64)</f>
        <v>160626.4508944712</v>
      </c>
      <c r="AC17" s="9">
        <f ca="1">SUMIF(Time!$J331:$BQ331,Time!AC$28,Inventory!$J64:$BQ64)</f>
        <v>187308.95150230839</v>
      </c>
    </row>
    <row r="18" spans="5:29">
      <c r="E18" s="15" t="str">
        <f>Inventory!E$68</f>
        <v>Units retired</v>
      </c>
      <c r="F18" s="15">
        <f>Inventory!F$68</f>
        <v>0</v>
      </c>
      <c r="G18" s="15" t="str">
        <f>Inventory!G$68</f>
        <v>Units</v>
      </c>
      <c r="H18" s="9">
        <f ca="1">Inventory!H$68</f>
        <v>66570.387475079086</v>
      </c>
      <c r="I18" s="15">
        <f>Inventory!I$68</f>
        <v>0</v>
      </c>
      <c r="J18" s="9">
        <f ca="1">SUMIF(Time!$J326:$BQ326,Time!J$28,Inventory!$J68:$BQ68)</f>
        <v>0</v>
      </c>
      <c r="K18" s="9">
        <f ca="1">SUMIF(Time!$J326:$BQ326,Time!K$28,Inventory!$J68:$BQ68)</f>
        <v>0</v>
      </c>
      <c r="L18" s="9">
        <f ca="1">SUMIF(Time!$J326:$BQ326,Time!L$28,Inventory!$J68:$BQ68)</f>
        <v>0</v>
      </c>
      <c r="M18" s="9">
        <f ca="1">SUMIF(Time!$J326:$BQ326,Time!M$28,Inventory!$J68:$BQ68)</f>
        <v>0</v>
      </c>
      <c r="N18" s="9">
        <f ca="1">SUMIF(Time!$J326:$BQ326,Time!N$28,Inventory!$J68:$BQ68)</f>
        <v>0</v>
      </c>
      <c r="O18" s="9">
        <f ca="1">SUMIF(Time!$J326:$BQ326,Time!O$28,Inventory!$J68:$BQ68)</f>
        <v>0</v>
      </c>
      <c r="P18" s="9">
        <f ca="1">SUMIF(Time!$J326:$BQ326,Time!P$28,Inventory!$J68:$BQ68)</f>
        <v>0</v>
      </c>
      <c r="Q18" s="9">
        <f ca="1">SUMIF(Time!$J326:$BQ326,Time!Q$28,Inventory!$J68:$BQ68)</f>
        <v>0</v>
      </c>
      <c r="R18" s="9">
        <f ca="1">SUMIF(Time!$J326:$BQ326,Time!R$28,Inventory!$J68:$BQ68)</f>
        <v>1591.7273777732489</v>
      </c>
      <c r="S18" s="9">
        <f ca="1">SUMIF(Time!$J326:$BQ326,Time!S$28,Inventory!$J68:$BQ68)</f>
        <v>1895.5914446040433</v>
      </c>
      <c r="T18" s="9">
        <f ca="1">SUMIF(Time!$J326:$BQ326,Time!T$28,Inventory!$J68:$BQ68)</f>
        <v>2256.0368418551088</v>
      </c>
      <c r="U18" s="9">
        <f ca="1">SUMIF(Time!$J326:$BQ326,Time!U$28,Inventory!$J68:$BQ68)</f>
        <v>2680.1643354654343</v>
      </c>
      <c r="V18" s="9">
        <f ca="1">SUMIF(Time!$J326:$BQ326,Time!V$28,Inventory!$J68:$BQ68)</f>
        <v>3185.2625467863077</v>
      </c>
      <c r="W18" s="9">
        <f ca="1">SUMIF(Time!$J326:$BQ326,Time!W$28,Inventory!$J68:$BQ68)</f>
        <v>3793.5587819546445</v>
      </c>
      <c r="X18" s="9">
        <f ca="1">SUMIF(Time!$J326:$BQ326,Time!X$28,Inventory!$J68:$BQ68)</f>
        <v>4514.6685689330461</v>
      </c>
      <c r="Y18" s="9">
        <f ca="1">SUMIF(Time!$J326:$BQ326,Time!Y$28,Inventory!$J68:$BQ68)</f>
        <v>5363.4086019164588</v>
      </c>
      <c r="Z18" s="9">
        <f ca="1">SUMIF(Time!$J326:$BQ326,Time!Z$28,Inventory!$J68:$BQ68)</f>
        <v>7803.1405731371087</v>
      </c>
      <c r="AA18" s="9">
        <f ca="1">SUMIF(Time!$J326:$BQ326,Time!AA$28,Inventory!$J68:$BQ68)</f>
        <v>9291.5670465946368</v>
      </c>
      <c r="AB18" s="9">
        <f ca="1">SUMIF(Time!$J326:$BQ326,Time!AB$28,Inventory!$J68:$BQ68)</f>
        <v>11058.264391539484</v>
      </c>
      <c r="AC18" s="9">
        <f ca="1">SUMIF(Time!$J326:$BQ326,Time!AC$28,Inventory!$J68:$BQ68)</f>
        <v>13136.996964519556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S18"/>
  <sheetViews>
    <sheetView topLeftCell="J6" workbookViewId="0">
      <selection activeCell="J6" sqref="J6"/>
    </sheetView>
  </sheetViews>
  <sheetFormatPr defaultColWidth="0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38.7265625" customWidth="1"/>
    <col min="6" max="6" width="20.7265625" customWidth="1"/>
    <col min="7" max="7" width="13.7265625" customWidth="1"/>
    <col min="8" max="8" width="9.7265625" style="2" customWidth="1"/>
    <col min="9" max="9" width="3.7265625" customWidth="1"/>
    <col min="10" max="19" width="11.7265625" customWidth="1"/>
    <col min="20" max="20" width="15.7265625" customWidth="1"/>
  </cols>
  <sheetData>
    <row r="1" spans="1:19" s="53" customFormat="1" ht="25">
      <c r="A1" s="37" t="str">
        <f ca="1">RIGHT(CELL("filename",A1),LEN(CELL("filename",A1))-SEARCH("]",CELL("filename",A1)))</f>
        <v>Inventory Report SemiAnnually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19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Time!J$95</f>
        <v>45230</v>
      </c>
      <c r="K2" s="6">
        <f>Time!K$95</f>
        <v>45412</v>
      </c>
      <c r="L2" s="6">
        <f>Time!L$95</f>
        <v>45596</v>
      </c>
      <c r="M2" s="6">
        <f>Time!M$95</f>
        <v>45777</v>
      </c>
      <c r="N2" s="6">
        <f>Time!N$95</f>
        <v>45961</v>
      </c>
      <c r="O2" s="6">
        <f>Time!O$95</f>
        <v>46142</v>
      </c>
      <c r="P2" s="6">
        <f>Time!P$95</f>
        <v>46326</v>
      </c>
      <c r="Q2" s="6">
        <f>Time!Q$95</f>
        <v>46507</v>
      </c>
      <c r="R2" s="6">
        <f>Time!R$95</f>
        <v>46691</v>
      </c>
      <c r="S2" s="6">
        <f>Time!S$95</f>
        <v>46873</v>
      </c>
    </row>
    <row r="3" spans="1:19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Time!J$102</f>
        <v>Month6</v>
      </c>
      <c r="K3" s="7" t="str">
        <f>Time!K$102</f>
        <v>Month12</v>
      </c>
      <c r="L3" s="7" t="str">
        <f>Time!L$102</f>
        <v>Month18</v>
      </c>
      <c r="M3" s="7" t="str">
        <f>Time!M$102</f>
        <v>Month24</v>
      </c>
      <c r="N3" s="7" t="str">
        <f>Time!N$102</f>
        <v>Month30</v>
      </c>
      <c r="O3" s="7" t="str">
        <f>Time!O$102</f>
        <v>Month36</v>
      </c>
      <c r="P3" s="7" t="str">
        <f>Time!P$102</f>
        <v>Month42</v>
      </c>
      <c r="Q3" s="7" t="str">
        <f>Time!Q$102</f>
        <v>Month48</v>
      </c>
      <c r="R3" s="7" t="str">
        <f>Time!R$102</f>
        <v>Month54</v>
      </c>
      <c r="S3" s="7" t="str">
        <f>Time!S$102</f>
        <v>Month60</v>
      </c>
    </row>
    <row r="4" spans="1:19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Time!J$108</f>
        <v>6</v>
      </c>
      <c r="K4" s="5">
        <f>Time!K$108</f>
        <v>12</v>
      </c>
      <c r="L4" s="5">
        <f>Time!L$108</f>
        <v>18</v>
      </c>
      <c r="M4" s="5">
        <f>Time!M$108</f>
        <v>24</v>
      </c>
      <c r="N4" s="5">
        <f>Time!N$108</f>
        <v>30</v>
      </c>
      <c r="O4" s="5">
        <f>Time!O$108</f>
        <v>36</v>
      </c>
      <c r="P4" s="5">
        <f>Time!P$108</f>
        <v>42</v>
      </c>
      <c r="Q4" s="5">
        <f>Time!Q$108</f>
        <v>48</v>
      </c>
      <c r="R4" s="5">
        <f>Time!R$108</f>
        <v>54</v>
      </c>
      <c r="S4" s="5">
        <f>Time!S$108</f>
        <v>60</v>
      </c>
    </row>
    <row r="5" spans="1:19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19" s="2" customFormat="1" ht="13">
      <c r="A6" s="22"/>
      <c r="B6" s="22"/>
      <c r="C6" s="40"/>
      <c r="D6" s="54"/>
      <c r="F6" s="22"/>
      <c r="G6" s="22"/>
      <c r="H6" s="22"/>
    </row>
    <row r="8" spans="1:19">
      <c r="A8"/>
      <c r="E8" s="15" t="str">
        <f>Customers!E$11</f>
        <v>New customers orders</v>
      </c>
      <c r="F8" s="15">
        <f>Customers!F$11</f>
        <v>0</v>
      </c>
      <c r="G8" s="15" t="str">
        <f>Customers!G$11</f>
        <v>Units</v>
      </c>
      <c r="H8" s="9">
        <f>Customers!H$11</f>
        <v>261181.72293639058</v>
      </c>
      <c r="I8" s="15">
        <f>Customers!I$11</f>
        <v>0</v>
      </c>
      <c r="J8" s="9">
        <f>SUMIF(Time!$J341:$BQ341,Time!J$28,Customers!$J11:$BQ11)</f>
        <v>3487.3188223772922</v>
      </c>
      <c r="K8" s="9">
        <f>SUMIF(Time!$J341:$BQ341,Time!K$28,Customers!$J11:$BQ11)</f>
        <v>4936.2011773205431</v>
      </c>
      <c r="L8" s="9">
        <f>SUMIF(Time!$J341:$BQ341,Time!L$28,Customers!$J11:$BQ11)</f>
        <v>6978.8213287409526</v>
      </c>
      <c r="M8" s="9">
        <f>SUMIF(Time!$J341:$BQ341,Time!M$28,Customers!$J11:$BQ11)</f>
        <v>9878.0771708495049</v>
      </c>
      <c r="N8" s="9">
        <f>SUMIF(Time!$J341:$BQ341,Time!N$28,Customers!$J11:$BQ11)</f>
        <v>13956.120679592183</v>
      </c>
      <c r="O8" s="9">
        <f>SUMIF(Time!$J341:$BQ341,Time!O$28,Customers!$J11:$BQ11)</f>
        <v>19752.680296470549</v>
      </c>
      <c r="P8" s="9">
        <f>SUMIF(Time!$J341:$BQ341,Time!P$28,Customers!$J11:$BQ11)</f>
        <v>27908.820356058244</v>
      </c>
      <c r="Q8" s="9">
        <f>SUMIF(Time!$J341:$BQ341,Time!Q$28,Customers!$J11:$BQ11)</f>
        <v>39501.35793689244</v>
      </c>
      <c r="R8" s="9">
        <f>SUMIF(Time!$J341:$BQ341,Time!R$28,Customers!$J11:$BQ11)</f>
        <v>55813.534425947742</v>
      </c>
      <c r="S8" s="9">
        <f>SUMIF(Time!$J341:$BQ341,Time!S$28,Customers!$J11:$BQ11)</f>
        <v>78968.790742141107</v>
      </c>
    </row>
    <row r="9" spans="1:19">
      <c r="E9" s="15" t="str">
        <f>Customers!E$32</f>
        <v>Renewing Customer Orders</v>
      </c>
      <c r="F9" s="15">
        <f>Customers!F$32</f>
        <v>0</v>
      </c>
      <c r="G9" s="15" t="str">
        <f>Customers!G$32</f>
        <v>Units</v>
      </c>
      <c r="H9" s="9">
        <f ca="1">Customers!H$32</f>
        <v>53090.297527815921</v>
      </c>
      <c r="I9" s="15">
        <f>Customers!I$32</f>
        <v>0</v>
      </c>
      <c r="J9" s="9">
        <f ca="1">SUMIF(Time!$J341:$BQ341,Time!J$28,Customers!$J32:$BQ32)</f>
        <v>0</v>
      </c>
      <c r="K9" s="9">
        <f ca="1">SUMIF(Time!$J341:$BQ341,Time!K$28,Customers!$J32:$BQ32)</f>
        <v>0</v>
      </c>
      <c r="L9" s="9">
        <f ca="1">SUMIF(Time!$J341:$BQ341,Time!L$28,Customers!$J32:$BQ32)</f>
        <v>0</v>
      </c>
      <c r="M9" s="9">
        <f ca="1">SUMIF(Time!$J341:$BQ341,Time!M$28,Customers!$J32:$BQ32)</f>
        <v>0</v>
      </c>
      <c r="N9" s="9">
        <f ca="1">SUMIF(Time!$J341:$BQ341,Time!N$28,Customers!$J32:$BQ32)</f>
        <v>3138.5869401395635</v>
      </c>
      <c r="O9" s="9">
        <f ca="1">SUMIF(Time!$J341:$BQ341,Time!O$28,Customers!$J32:$BQ32)</f>
        <v>4442.5810595884886</v>
      </c>
      <c r="P9" s="9">
        <f ca="1">SUMIF(Time!$J341:$BQ341,Time!P$28,Customers!$J32:$BQ32)</f>
        <v>6280.9391958668566</v>
      </c>
      <c r="Q9" s="9">
        <f ca="1">SUMIF(Time!$J341:$BQ341,Time!Q$28,Customers!$J32:$BQ32)</f>
        <v>8890.2694537645548</v>
      </c>
      <c r="R9" s="9">
        <f ca="1">SUMIF(Time!$J341:$BQ341,Time!R$28,Customers!$J32:$BQ32)</f>
        <v>12560.508611632964</v>
      </c>
      <c r="S9" s="9">
        <f ca="1">SUMIF(Time!$J341:$BQ341,Time!S$28,Customers!$J32:$BQ32)</f>
        <v>17777.412266823496</v>
      </c>
    </row>
    <row r="10" spans="1:19">
      <c r="E10" s="15" t="str">
        <f>Customers!E$21</f>
        <v>Customer Orders Awaiting Fullfilment</v>
      </c>
      <c r="F10" s="15">
        <f>Customers!F$21</f>
        <v>0</v>
      </c>
      <c r="G10" s="15" t="str">
        <f>Customers!G$21</f>
        <v>Units</v>
      </c>
      <c r="H10" s="9">
        <f>Customers!H$21</f>
        <v>0</v>
      </c>
      <c r="I10" s="15">
        <f>Customers!I$21</f>
        <v>0</v>
      </c>
      <c r="J10" s="9">
        <f ca="1">SUMIF(Time!$J346:$BQ346,Time!J$28,Customers!$J21:$BQ21)</f>
        <v>3487.3188223772922</v>
      </c>
      <c r="K10" s="9">
        <f ca="1">SUMIF(Time!$J346:$BQ346,Time!K$28,Customers!$J21:$BQ21)</f>
        <v>3423.5199996978349</v>
      </c>
      <c r="L10" s="9">
        <f ca="1">SUMIF(Time!$J346:$BQ346,Time!L$28,Customers!$J21:$BQ21)</f>
        <v>5402.341328438788</v>
      </c>
      <c r="M10" s="9">
        <f ca="1">SUMIF(Time!$J346:$BQ346,Time!M$28,Customers!$J21:$BQ21)</f>
        <v>5280.4184992882947</v>
      </c>
      <c r="N10" s="9">
        <f ca="1">SUMIF(Time!$J346:$BQ346,Time!N$28,Customers!$J21:$BQ21)</f>
        <v>11737.654015413058</v>
      </c>
      <c r="O10" s="9">
        <f ca="1">SUMIF(Time!$J346:$BQ346,Time!O$28,Customers!$J21:$BQ21)</f>
        <v>11612.884499067255</v>
      </c>
      <c r="P10" s="9">
        <f ca="1">SUMIF(Time!$J346:$BQ346,Time!P$28,Customers!$J21:$BQ21)</f>
        <v>22631.268734313388</v>
      </c>
      <c r="Q10" s="9">
        <f ca="1">SUMIF(Time!$J346:$BQ346,Time!Q$28,Customers!$J21:$BQ21)</f>
        <v>32372.010202025675</v>
      </c>
      <c r="R10" s="9">
        <f ca="1">SUMIF(Time!$J346:$BQ346,Time!R$28,Customers!$J21:$BQ21)</f>
        <v>39329.641460602288</v>
      </c>
      <c r="S10" s="9">
        <f ca="1">SUMIF(Time!$J346:$BQ346,Time!S$28,Customers!$J21:$BQ21)</f>
        <v>60392.68148681907</v>
      </c>
    </row>
    <row r="11" spans="1:19">
      <c r="E11" s="15" t="str">
        <f>Inventory!E$26</f>
        <v>Units ordered</v>
      </c>
      <c r="F11" s="15">
        <f>Inventory!F$26</f>
        <v>0</v>
      </c>
      <c r="G11" s="15" t="str">
        <f>Inventory!G$26</f>
        <v>Units</v>
      </c>
      <c r="H11" s="9">
        <f ca="1">Inventory!H$26</f>
        <v>165000</v>
      </c>
      <c r="I11" s="15">
        <f>Inventory!I$26</f>
        <v>0</v>
      </c>
      <c r="J11" s="9">
        <f ca="1">SUMIF(Time!$J341:$BQ341,Time!J$28,Inventory!$J26:$BQ26)</f>
        <v>5000</v>
      </c>
      <c r="K11" s="9">
        <f ca="1">SUMIF(Time!$J341:$BQ341,Time!K$28,Inventory!$J26:$BQ26)</f>
        <v>5000</v>
      </c>
      <c r="L11" s="9">
        <f ca="1">SUMIF(Time!$J341:$BQ341,Time!L$28,Inventory!$J26:$BQ26)</f>
        <v>10000</v>
      </c>
      <c r="M11" s="9">
        <f ca="1">SUMIF(Time!$J341:$BQ341,Time!M$28,Inventory!$J26:$BQ26)</f>
        <v>10000</v>
      </c>
      <c r="N11" s="9">
        <f ca="1">SUMIF(Time!$J341:$BQ341,Time!N$28,Inventory!$J26:$BQ26)</f>
        <v>10000</v>
      </c>
      <c r="O11" s="9">
        <f ca="1">SUMIF(Time!$J341:$BQ341,Time!O$28,Inventory!$J26:$BQ26)</f>
        <v>15000</v>
      </c>
      <c r="P11" s="9">
        <f ca="1">SUMIF(Time!$J341:$BQ341,Time!P$28,Inventory!$J26:$BQ26)</f>
        <v>20000</v>
      </c>
      <c r="Q11" s="9">
        <f ca="1">SUMIF(Time!$J341:$BQ341,Time!Q$28,Inventory!$J26:$BQ26)</f>
        <v>30000</v>
      </c>
      <c r="R11" s="9">
        <f ca="1">SUMIF(Time!$J341:$BQ341,Time!R$28,Inventory!$J26:$BQ26)</f>
        <v>30000</v>
      </c>
      <c r="S11" s="9">
        <f ca="1">SUMIF(Time!$J341:$BQ341,Time!S$28,Inventory!$J26:$BQ26)</f>
        <v>30000</v>
      </c>
    </row>
    <row r="12" spans="1:19">
      <c r="E12" s="15" t="str">
        <f>Inventory!E$41</f>
        <v>Units on order</v>
      </c>
      <c r="F12" s="15">
        <f>Inventory!F$41</f>
        <v>0</v>
      </c>
      <c r="G12" s="15" t="str">
        <f>Inventory!G$41</f>
        <v>Units</v>
      </c>
      <c r="H12" s="9">
        <f>Inventory!H$41</f>
        <v>0</v>
      </c>
      <c r="I12" s="15">
        <f>Inventory!I$41</f>
        <v>0</v>
      </c>
      <c r="J12" s="9">
        <f ca="1">SUMIF(Time!$J346:$BQ346,Time!J$28,Inventory!$J41:$BQ41)</f>
        <v>5000</v>
      </c>
      <c r="K12" s="9">
        <f ca="1">SUMIF(Time!$J346:$BQ346,Time!K$28,Inventory!$J41:$BQ41)</f>
        <v>5000</v>
      </c>
      <c r="L12" s="9">
        <f ca="1">SUMIF(Time!$J346:$BQ346,Time!L$28,Inventory!$J41:$BQ41)</f>
        <v>10000</v>
      </c>
      <c r="M12" s="9">
        <f ca="1">SUMIF(Time!$J346:$BQ346,Time!M$28,Inventory!$J41:$BQ41)</f>
        <v>10000</v>
      </c>
      <c r="N12" s="9">
        <f ca="1">SUMIF(Time!$J346:$BQ346,Time!N$28,Inventory!$J41:$BQ41)</f>
        <v>10000</v>
      </c>
      <c r="O12" s="9">
        <f ca="1">SUMIF(Time!$J346:$BQ346,Time!O$28,Inventory!$J41:$BQ41)</f>
        <v>15000</v>
      </c>
      <c r="P12" s="9">
        <f ca="1">SUMIF(Time!$J346:$BQ346,Time!P$28,Inventory!$J41:$BQ41)</f>
        <v>20000</v>
      </c>
      <c r="Q12" s="9">
        <f ca="1">SUMIF(Time!$J346:$BQ346,Time!Q$28,Inventory!$J41:$BQ41)</f>
        <v>30000</v>
      </c>
      <c r="R12" s="9">
        <f ca="1">SUMIF(Time!$J346:$BQ346,Time!R$28,Inventory!$J41:$BQ41)</f>
        <v>30000</v>
      </c>
      <c r="S12" s="9">
        <f ca="1">SUMIF(Time!$J346:$BQ346,Time!S$28,Inventory!$J41:$BQ41)</f>
        <v>30000</v>
      </c>
    </row>
    <row r="13" spans="1:19">
      <c r="E13" s="15" t="str">
        <f>Inventory!E$32</f>
        <v>Units delivered</v>
      </c>
      <c r="F13" s="15">
        <f>Inventory!F$32</f>
        <v>0</v>
      </c>
      <c r="G13" s="15" t="str">
        <f>Inventory!G$32</f>
        <v>Units</v>
      </c>
      <c r="H13" s="9">
        <f ca="1">Inventory!H$32</f>
        <v>135000</v>
      </c>
      <c r="I13" s="15">
        <f>Inventory!I$32</f>
        <v>0</v>
      </c>
      <c r="J13" s="9">
        <f ca="1">SUMIF(Time!$J341:$BQ341,Time!J$28,Inventory!$J32:$BQ32)</f>
        <v>0</v>
      </c>
      <c r="K13" s="9">
        <f ca="1">SUMIF(Time!$J341:$BQ341,Time!K$28,Inventory!$J32:$BQ32)</f>
        <v>5000</v>
      </c>
      <c r="L13" s="9">
        <f ca="1">SUMIF(Time!$J341:$BQ341,Time!L$28,Inventory!$J32:$BQ32)</f>
        <v>5000</v>
      </c>
      <c r="M13" s="9">
        <f ca="1">SUMIF(Time!$J341:$BQ341,Time!M$28,Inventory!$J32:$BQ32)</f>
        <v>10000</v>
      </c>
      <c r="N13" s="9">
        <f ca="1">SUMIF(Time!$J341:$BQ341,Time!N$28,Inventory!$J32:$BQ32)</f>
        <v>10000</v>
      </c>
      <c r="O13" s="9">
        <f ca="1">SUMIF(Time!$J341:$BQ341,Time!O$28,Inventory!$J32:$BQ32)</f>
        <v>10000</v>
      </c>
      <c r="P13" s="9">
        <f ca="1">SUMIF(Time!$J341:$BQ341,Time!P$28,Inventory!$J32:$BQ32)</f>
        <v>15000</v>
      </c>
      <c r="Q13" s="9">
        <f ca="1">SUMIF(Time!$J341:$BQ341,Time!Q$28,Inventory!$J32:$BQ32)</f>
        <v>20000</v>
      </c>
      <c r="R13" s="9">
        <f ca="1">SUMIF(Time!$J341:$BQ341,Time!R$28,Inventory!$J32:$BQ32)</f>
        <v>30000</v>
      </c>
      <c r="S13" s="9">
        <f ca="1">SUMIF(Time!$J341:$BQ341,Time!S$28,Inventory!$J32:$BQ32)</f>
        <v>30000</v>
      </c>
    </row>
    <row r="14" spans="1:19">
      <c r="E14" s="15" t="str">
        <f>Inventory!E$18</f>
        <v>Deployed units returned</v>
      </c>
      <c r="F14" s="15">
        <f>Inventory!F$18</f>
        <v>0</v>
      </c>
      <c r="G14" s="15" t="str">
        <f>Inventory!G$18</f>
        <v>Units</v>
      </c>
      <c r="H14" s="9">
        <f ca="1">Inventory!H$18</f>
        <v>66570.387475079086</v>
      </c>
      <c r="I14" s="15">
        <f>Inventory!I$18</f>
        <v>0</v>
      </c>
      <c r="J14" s="9">
        <f ca="1">SUMIF(Time!$J341:$BQ341,Time!J$28,Inventory!$J18:$BQ18)</f>
        <v>0</v>
      </c>
      <c r="K14" s="9">
        <f ca="1">SUMIF(Time!$J341:$BQ341,Time!K$28,Inventory!$J18:$BQ18)</f>
        <v>0</v>
      </c>
      <c r="L14" s="9">
        <f ca="1">SUMIF(Time!$J341:$BQ341,Time!L$28,Inventory!$J18:$BQ18)</f>
        <v>0</v>
      </c>
      <c r="M14" s="9">
        <f ca="1">SUMIF(Time!$J341:$BQ341,Time!M$28,Inventory!$J18:$BQ18)</f>
        <v>0</v>
      </c>
      <c r="N14" s="9">
        <f ca="1">SUMIF(Time!$J341:$BQ341,Time!N$28,Inventory!$J18:$BQ18)</f>
        <v>3487.3188223772922</v>
      </c>
      <c r="O14" s="9">
        <f ca="1">SUMIF(Time!$J341:$BQ341,Time!O$28,Inventory!$J18:$BQ18)</f>
        <v>4936.2011773205431</v>
      </c>
      <c r="P14" s="9">
        <f ca="1">SUMIF(Time!$J341:$BQ341,Time!P$28,Inventory!$J18:$BQ18)</f>
        <v>6978.8213287409526</v>
      </c>
      <c r="Q14" s="9">
        <f ca="1">SUMIF(Time!$J341:$BQ341,Time!Q$28,Inventory!$J18:$BQ18)</f>
        <v>9878.0771708495049</v>
      </c>
      <c r="R14" s="9">
        <f ca="1">SUMIF(Time!$J341:$BQ341,Time!R$28,Inventory!$J18:$BQ18)</f>
        <v>17094.707619731744</v>
      </c>
      <c r="S14" s="9">
        <f ca="1">SUMIF(Time!$J341:$BQ341,Time!S$28,Inventory!$J18:$BQ18)</f>
        <v>24195.26135605904</v>
      </c>
    </row>
    <row r="15" spans="1:19">
      <c r="E15" s="15" t="str">
        <f>Inventory!E$56</f>
        <v>Units in stock</v>
      </c>
      <c r="F15" s="15">
        <f>Inventory!F$56</f>
        <v>0</v>
      </c>
      <c r="G15" s="15" t="str">
        <f>Inventory!G$56</f>
        <v>Units</v>
      </c>
      <c r="H15" s="9">
        <f>Inventory!H$56</f>
        <v>0</v>
      </c>
      <c r="I15" s="15">
        <f>Inventory!I$56</f>
        <v>0</v>
      </c>
      <c r="J15" s="9">
        <f ca="1">SUMIF(Time!$J346:$BQ346,Time!J$28,Inventory!$J56:$BQ56)</f>
        <v>0</v>
      </c>
      <c r="K15" s="9">
        <f ca="1">SUMIF(Time!$J346:$BQ346,Time!K$28,Inventory!$J56:$BQ56)</f>
        <v>0</v>
      </c>
      <c r="L15" s="9">
        <f ca="1">SUMIF(Time!$J346:$BQ346,Time!L$28,Inventory!$J56:$BQ56)</f>
        <v>0</v>
      </c>
      <c r="M15" s="9">
        <f ca="1">SUMIF(Time!$J346:$BQ346,Time!M$28,Inventory!$J56:$BQ56)</f>
        <v>0</v>
      </c>
      <c r="N15" s="9">
        <f ca="1">SUMIF(Time!$J346:$BQ346,Time!N$28,Inventory!$J56:$BQ56)</f>
        <v>6337.1655411476058</v>
      </c>
      <c r="O15" s="9">
        <f ca="1">SUMIF(Time!$J346:$BQ346,Time!O$28,Inventory!$J56:$BQ56)</f>
        <v>1889.5370233838521</v>
      </c>
      <c r="P15" s="9">
        <f ca="1">SUMIF(Time!$J346:$BQ346,Time!P$28,Inventory!$J56:$BQ56)</f>
        <v>7675.8043641867862</v>
      </c>
      <c r="Q15" s="9">
        <f ca="1">SUMIF(Time!$J346:$BQ346,Time!Q$28,Inventory!$J56:$BQ56)</f>
        <v>8781.0727829410807</v>
      </c>
      <c r="R15" s="9">
        <f ca="1">SUMIF(Time!$J346:$BQ346,Time!R$28,Inventory!$J56:$BQ56)</f>
        <v>11554.076243400472</v>
      </c>
      <c r="S15" s="9">
        <f ca="1">SUMIF(Time!$J346:$BQ346,Time!S$28,Inventory!$J56:$BQ56)</f>
        <v>14261.435972770712</v>
      </c>
    </row>
    <row r="16" spans="1:19">
      <c r="E16" s="15" t="str">
        <f>Inventory!E$45</f>
        <v>Units deployed</v>
      </c>
      <c r="F16" s="15">
        <f>Inventory!F$45</f>
        <v>0</v>
      </c>
      <c r="G16" s="15" t="str">
        <f>Inventory!G$45</f>
        <v>Units</v>
      </c>
      <c r="H16" s="9">
        <f ca="1">Inventory!H$45</f>
        <v>253879.33897738747</v>
      </c>
      <c r="I16" s="15">
        <f>Inventory!I$45</f>
        <v>0</v>
      </c>
      <c r="J16" s="9">
        <f ca="1">SUMIF(Time!$J341:$BQ341,Time!J$28,Inventory!$J45:$BQ45)</f>
        <v>0</v>
      </c>
      <c r="K16" s="9">
        <f ca="1">SUMIF(Time!$J341:$BQ341,Time!K$28,Inventory!$J45:$BQ45)</f>
        <v>5000</v>
      </c>
      <c r="L16" s="9">
        <f ca="1">SUMIF(Time!$J341:$BQ341,Time!L$28,Inventory!$J45:$BQ45)</f>
        <v>5000</v>
      </c>
      <c r="M16" s="9">
        <f ca="1">SUMIF(Time!$J341:$BQ341,Time!M$28,Inventory!$J45:$BQ45)</f>
        <v>10000</v>
      </c>
      <c r="N16" s="9">
        <f ca="1">SUMIF(Time!$J341:$BQ341,Time!N$28,Inventory!$J45:$BQ45)</f>
        <v>10637.472103606979</v>
      </c>
      <c r="O16" s="9">
        <f ca="1">SUMIF(Time!$J341:$BQ341,Time!O$28,Inventory!$J45:$BQ45)</f>
        <v>24320.030872404841</v>
      </c>
      <c r="P16" s="9">
        <f ca="1">SUMIF(Time!$J341:$BQ341,Time!P$28,Inventory!$J45:$BQ45)</f>
        <v>23171.375316678968</v>
      </c>
      <c r="Q16" s="9">
        <f ca="1">SUMIF(Time!$J341:$BQ341,Time!Q$28,Inventory!$J45:$BQ45)</f>
        <v>38650.885922944719</v>
      </c>
      <c r="R16" s="9">
        <f ca="1">SUMIF(Time!$J341:$BQ341,Time!R$28,Inventory!$J45:$BQ45)</f>
        <v>61416.411779004098</v>
      </c>
      <c r="S16" s="9">
        <f ca="1">SUMIF(Time!$J341:$BQ341,Time!S$28,Inventory!$J45:$BQ45)</f>
        <v>75683.162982747846</v>
      </c>
    </row>
    <row r="17" spans="5:19">
      <c r="E17" s="15" t="str">
        <f>Inventory!E$64</f>
        <v>Units in use</v>
      </c>
      <c r="F17" s="15">
        <f>Inventory!F$64</f>
        <v>0</v>
      </c>
      <c r="G17" s="15" t="str">
        <f>Inventory!G$64</f>
        <v>Units</v>
      </c>
      <c r="H17" s="9">
        <f>Inventory!H$64</f>
        <v>0</v>
      </c>
      <c r="I17" s="15">
        <f>Inventory!I$64</f>
        <v>0</v>
      </c>
      <c r="J17" s="9">
        <f ca="1">SUMIF(Time!$J346:$BQ346,Time!J$28,Inventory!$J64:$BQ64)</f>
        <v>0</v>
      </c>
      <c r="K17" s="9">
        <f ca="1">SUMIF(Time!$J346:$BQ346,Time!K$28,Inventory!$J64:$BQ64)</f>
        <v>5000</v>
      </c>
      <c r="L17" s="9">
        <f ca="1">SUMIF(Time!$J346:$BQ346,Time!L$28,Inventory!$J64:$BQ64)</f>
        <v>10000</v>
      </c>
      <c r="M17" s="9">
        <f ca="1">SUMIF(Time!$J346:$BQ346,Time!M$28,Inventory!$J64:$BQ64)</f>
        <v>20000</v>
      </c>
      <c r="N17" s="9">
        <f ca="1">SUMIF(Time!$J346:$BQ346,Time!N$28,Inventory!$J64:$BQ64)</f>
        <v>27150.153281229686</v>
      </c>
      <c r="O17" s="9">
        <f ca="1">SUMIF(Time!$J346:$BQ346,Time!O$28,Inventory!$J64:$BQ64)</f>
        <v>46533.982976313979</v>
      </c>
      <c r="P17" s="9">
        <f ca="1">SUMIF(Time!$J346:$BQ346,Time!P$28,Inventory!$J64:$BQ64)</f>
        <v>62726.536964251995</v>
      </c>
      <c r="Q17" s="9">
        <f ca="1">SUMIF(Time!$J346:$BQ346,Time!Q$28,Inventory!$J64:$BQ64)</f>
        <v>91499.34571634719</v>
      </c>
      <c r="R17" s="9">
        <f ca="1">SUMIF(Time!$J346:$BQ346,Time!R$28,Inventory!$J64:$BQ64)</f>
        <v>135821.04987561956</v>
      </c>
      <c r="S17" s="9">
        <f ca="1">SUMIF(Time!$J346:$BQ346,Time!S$28,Inventory!$J64:$BQ64)</f>
        <v>187308.95150230839</v>
      </c>
    </row>
    <row r="18" spans="5:19">
      <c r="E18" s="15" t="str">
        <f>Inventory!E$68</f>
        <v>Units retired</v>
      </c>
      <c r="F18" s="15">
        <f>Inventory!F$68</f>
        <v>0</v>
      </c>
      <c r="G18" s="15" t="str">
        <f>Inventory!G$68</f>
        <v>Units</v>
      </c>
      <c r="H18" s="9">
        <f ca="1">Inventory!H$68</f>
        <v>66570.387475079086</v>
      </c>
      <c r="I18" s="15">
        <f>Inventory!I$68</f>
        <v>0</v>
      </c>
      <c r="J18" s="9">
        <f ca="1">SUMIF(Time!$J341:$BQ341,Time!J$28,Inventory!$J68:$BQ68)</f>
        <v>0</v>
      </c>
      <c r="K18" s="9">
        <f ca="1">SUMIF(Time!$J341:$BQ341,Time!K$28,Inventory!$J68:$BQ68)</f>
        <v>0</v>
      </c>
      <c r="L18" s="9">
        <f ca="1">SUMIF(Time!$J341:$BQ341,Time!L$28,Inventory!$J68:$BQ68)</f>
        <v>0</v>
      </c>
      <c r="M18" s="9">
        <f ca="1">SUMIF(Time!$J341:$BQ341,Time!M$28,Inventory!$J68:$BQ68)</f>
        <v>0</v>
      </c>
      <c r="N18" s="9">
        <f ca="1">SUMIF(Time!$J341:$BQ341,Time!N$28,Inventory!$J68:$BQ68)</f>
        <v>3487.3188223772922</v>
      </c>
      <c r="O18" s="9">
        <f ca="1">SUMIF(Time!$J341:$BQ341,Time!O$28,Inventory!$J68:$BQ68)</f>
        <v>4936.2011773205431</v>
      </c>
      <c r="P18" s="9">
        <f ca="1">SUMIF(Time!$J341:$BQ341,Time!P$28,Inventory!$J68:$BQ68)</f>
        <v>6978.8213287409526</v>
      </c>
      <c r="Q18" s="9">
        <f ca="1">SUMIF(Time!$J341:$BQ341,Time!Q$28,Inventory!$J68:$BQ68)</f>
        <v>9878.0771708495049</v>
      </c>
      <c r="R18" s="9">
        <f ca="1">SUMIF(Time!$J341:$BQ341,Time!R$28,Inventory!$J68:$BQ68)</f>
        <v>17094.707619731744</v>
      </c>
      <c r="S18" s="9">
        <f ca="1">SUMIF(Time!$J341:$BQ341,Time!S$28,Inventory!$J68:$BQ68)</f>
        <v>24195.26135605904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1:BQ8"/>
  <sheetViews>
    <sheetView topLeftCell="J6" workbookViewId="0">
      <selection activeCell="J6" sqref="J6"/>
    </sheetView>
  </sheetViews>
  <sheetFormatPr defaultColWidth="0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23.7265625" customWidth="1"/>
    <col min="6" max="6" width="20.7265625" customWidth="1"/>
    <col min="7" max="7" width="13.7265625" customWidth="1"/>
    <col min="8" max="8" width="7.7265625" style="2" customWidth="1"/>
    <col min="9" max="9" width="3.7265625" customWidth="1"/>
    <col min="10" max="11" width="12.7265625" customWidth="1"/>
    <col min="12" max="12" width="11.7265625" customWidth="1"/>
    <col min="13" max="14" width="12.7265625" customWidth="1"/>
    <col min="15" max="15" width="11.7265625" customWidth="1"/>
    <col min="16" max="17" width="12.7265625" customWidth="1"/>
    <col min="18" max="18" width="11.7265625" customWidth="1"/>
    <col min="19" max="19" width="12.7265625" customWidth="1"/>
    <col min="20" max="21" width="11.7265625" customWidth="1"/>
    <col min="22" max="23" width="12.7265625" customWidth="1"/>
    <col min="24" max="24" width="11.7265625" customWidth="1"/>
    <col min="25" max="26" width="12.7265625" customWidth="1"/>
    <col min="27" max="27" width="11.7265625" customWidth="1"/>
    <col min="28" max="29" width="12.7265625" customWidth="1"/>
    <col min="30" max="30" width="11.7265625" customWidth="1"/>
    <col min="31" max="31" width="12.7265625" customWidth="1"/>
    <col min="32" max="33" width="11.7265625" customWidth="1"/>
    <col min="34" max="35" width="12.7265625" customWidth="1"/>
    <col min="36" max="36" width="11.7265625" customWidth="1"/>
    <col min="37" max="38" width="12.7265625" customWidth="1"/>
    <col min="39" max="39" width="11.7265625" customWidth="1"/>
    <col min="40" max="41" width="12.7265625" customWidth="1"/>
    <col min="42" max="42" width="11.7265625" customWidth="1"/>
    <col min="43" max="43" width="12.7265625" customWidth="1"/>
    <col min="44" max="45" width="11.7265625" customWidth="1"/>
    <col min="46" max="47" width="12.7265625" customWidth="1"/>
    <col min="48" max="48" width="11.7265625" customWidth="1"/>
    <col min="49" max="50" width="12.7265625" customWidth="1"/>
    <col min="51" max="51" width="11.7265625" customWidth="1"/>
    <col min="52" max="53" width="12.7265625" customWidth="1"/>
    <col min="54" max="54" width="11.7265625" customWidth="1"/>
    <col min="55" max="55" width="12.7265625" customWidth="1"/>
    <col min="56" max="57" width="11.7265625" customWidth="1"/>
    <col min="58" max="59" width="12.7265625" customWidth="1"/>
    <col min="60" max="60" width="11.7265625" customWidth="1"/>
    <col min="61" max="62" width="12.7265625" customWidth="1"/>
    <col min="63" max="63" width="11.7265625" customWidth="1"/>
    <col min="64" max="65" width="12.7265625" customWidth="1"/>
    <col min="66" max="66" width="11.7265625" customWidth="1"/>
    <col min="67" max="67" width="12.7265625" customWidth="1"/>
    <col min="68" max="69" width="11.7265625" customWidth="1"/>
    <col min="70" max="70" width="15.7265625" customWidth="1"/>
  </cols>
  <sheetData>
    <row r="1" spans="1:69" s="53" customFormat="1" ht="25">
      <c r="A1" s="37" t="str">
        <f ca="1">RIGHT(CELL("filename",A1),LEN(CELL("filename",A1))-SEARCH("]",CELL("filename",A1)))</f>
        <v>Metrics Report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69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Time!J$19</f>
        <v>45077</v>
      </c>
      <c r="K2" s="6">
        <f>Time!K$19</f>
        <v>45107</v>
      </c>
      <c r="L2" s="6">
        <f>Time!L$19</f>
        <v>45138</v>
      </c>
      <c r="M2" s="6">
        <f>Time!M$19</f>
        <v>45169</v>
      </c>
      <c r="N2" s="6">
        <f>Time!N$19</f>
        <v>45199</v>
      </c>
      <c r="O2" s="6">
        <f>Time!O$19</f>
        <v>45230</v>
      </c>
      <c r="P2" s="6">
        <f>Time!P$19</f>
        <v>45260</v>
      </c>
      <c r="Q2" s="6">
        <f>Time!Q$19</f>
        <v>45291</v>
      </c>
      <c r="R2" s="6">
        <f>Time!R$19</f>
        <v>45322</v>
      </c>
      <c r="S2" s="6">
        <f>Time!S$19</f>
        <v>45351</v>
      </c>
      <c r="T2" s="6">
        <f>Time!T$19</f>
        <v>45382</v>
      </c>
      <c r="U2" s="6">
        <f>Time!U$19</f>
        <v>45412</v>
      </c>
      <c r="V2" s="6">
        <f>Time!V$19</f>
        <v>45443</v>
      </c>
      <c r="W2" s="6">
        <f>Time!W$19</f>
        <v>45473</v>
      </c>
      <c r="X2" s="6">
        <f>Time!X$19</f>
        <v>45504</v>
      </c>
      <c r="Y2" s="6">
        <f>Time!Y$19</f>
        <v>45535</v>
      </c>
      <c r="Z2" s="6">
        <f>Time!Z$19</f>
        <v>45565</v>
      </c>
      <c r="AA2" s="6">
        <f>Time!AA$19</f>
        <v>45596</v>
      </c>
      <c r="AB2" s="6">
        <f>Time!AB$19</f>
        <v>45626</v>
      </c>
      <c r="AC2" s="6">
        <f>Time!AC$19</f>
        <v>45657</v>
      </c>
      <c r="AD2" s="6">
        <f>Time!AD$19</f>
        <v>45688</v>
      </c>
      <c r="AE2" s="6">
        <f>Time!AE$19</f>
        <v>45716</v>
      </c>
      <c r="AF2" s="6">
        <f>Time!AF$19</f>
        <v>45747</v>
      </c>
      <c r="AG2" s="6">
        <f>Time!AG$19</f>
        <v>45777</v>
      </c>
      <c r="AH2" s="6">
        <f>Time!AH$19</f>
        <v>45808</v>
      </c>
      <c r="AI2" s="6">
        <f>Time!AI$19</f>
        <v>45838</v>
      </c>
      <c r="AJ2" s="6">
        <f>Time!AJ$19</f>
        <v>45869</v>
      </c>
      <c r="AK2" s="6">
        <f>Time!AK$19</f>
        <v>45900</v>
      </c>
      <c r="AL2" s="6">
        <f>Time!AL$19</f>
        <v>45930</v>
      </c>
      <c r="AM2" s="6">
        <f>Time!AM$19</f>
        <v>45961</v>
      </c>
      <c r="AN2" s="6">
        <f>Time!AN$19</f>
        <v>45991</v>
      </c>
      <c r="AO2" s="6">
        <f>Time!AO$19</f>
        <v>46022</v>
      </c>
      <c r="AP2" s="6">
        <f>Time!AP$19</f>
        <v>46053</v>
      </c>
      <c r="AQ2" s="6">
        <f>Time!AQ$19</f>
        <v>46081</v>
      </c>
      <c r="AR2" s="6">
        <f>Time!AR$19</f>
        <v>46112</v>
      </c>
      <c r="AS2" s="6">
        <f>Time!AS$19</f>
        <v>46142</v>
      </c>
      <c r="AT2" s="6">
        <f>Time!AT$19</f>
        <v>46173</v>
      </c>
      <c r="AU2" s="6">
        <f>Time!AU$19</f>
        <v>46203</v>
      </c>
      <c r="AV2" s="6">
        <f>Time!AV$19</f>
        <v>46234</v>
      </c>
      <c r="AW2" s="6">
        <f>Time!AW$19</f>
        <v>46265</v>
      </c>
      <c r="AX2" s="6">
        <f>Time!AX$19</f>
        <v>46295</v>
      </c>
      <c r="AY2" s="6">
        <f>Time!AY$19</f>
        <v>46326</v>
      </c>
      <c r="AZ2" s="6">
        <f>Time!AZ$19</f>
        <v>46356</v>
      </c>
      <c r="BA2" s="6">
        <f>Time!BA$19</f>
        <v>46387</v>
      </c>
      <c r="BB2" s="6">
        <f>Time!BB$19</f>
        <v>46418</v>
      </c>
      <c r="BC2" s="6">
        <f>Time!BC$19</f>
        <v>46446</v>
      </c>
      <c r="BD2" s="6">
        <f>Time!BD$19</f>
        <v>46477</v>
      </c>
      <c r="BE2" s="6">
        <f>Time!BE$19</f>
        <v>46507</v>
      </c>
      <c r="BF2" s="6">
        <f>Time!BF$19</f>
        <v>46538</v>
      </c>
      <c r="BG2" s="6">
        <f>Time!BG$19</f>
        <v>46568</v>
      </c>
      <c r="BH2" s="6">
        <f>Time!BH$19</f>
        <v>46599</v>
      </c>
      <c r="BI2" s="6">
        <f>Time!BI$19</f>
        <v>46630</v>
      </c>
      <c r="BJ2" s="6">
        <f>Time!BJ$19</f>
        <v>46660</v>
      </c>
      <c r="BK2" s="6">
        <f>Time!BK$19</f>
        <v>46691</v>
      </c>
      <c r="BL2" s="6">
        <f>Time!BL$19</f>
        <v>46721</v>
      </c>
      <c r="BM2" s="6">
        <f>Time!BM$19</f>
        <v>46752</v>
      </c>
      <c r="BN2" s="6">
        <f>Time!BN$19</f>
        <v>46783</v>
      </c>
      <c r="BO2" s="6">
        <f>Time!BO$19</f>
        <v>46812</v>
      </c>
      <c r="BP2" s="6">
        <f>Time!BP$19</f>
        <v>46843</v>
      </c>
      <c r="BQ2" s="6">
        <f>Time!BQ$19</f>
        <v>46873</v>
      </c>
    </row>
    <row r="3" spans="1:69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Time!J$24</f>
        <v>Month1</v>
      </c>
      <c r="K3" s="7" t="str">
        <f>Time!K$24</f>
        <v>Month2</v>
      </c>
      <c r="L3" s="7" t="str">
        <f>Time!L$24</f>
        <v>Month3</v>
      </c>
      <c r="M3" s="7" t="str">
        <f>Time!M$24</f>
        <v>Month4</v>
      </c>
      <c r="N3" s="7" t="str">
        <f>Time!N$24</f>
        <v>Month5</v>
      </c>
      <c r="O3" s="7" t="str">
        <f>Time!O$24</f>
        <v>Month6</v>
      </c>
      <c r="P3" s="7" t="str">
        <f>Time!P$24</f>
        <v>Month7</v>
      </c>
      <c r="Q3" s="7" t="str">
        <f>Time!Q$24</f>
        <v>Month8</v>
      </c>
      <c r="R3" s="7" t="str">
        <f>Time!R$24</f>
        <v>Month9</v>
      </c>
      <c r="S3" s="7" t="str">
        <f>Time!S$24</f>
        <v>Month10</v>
      </c>
      <c r="T3" s="7" t="str">
        <f>Time!T$24</f>
        <v>Month11</v>
      </c>
      <c r="U3" s="7" t="str">
        <f>Time!U$24</f>
        <v>Month12</v>
      </c>
      <c r="V3" s="7" t="str">
        <f>Time!V$24</f>
        <v>Month13</v>
      </c>
      <c r="W3" s="7" t="str">
        <f>Time!W$24</f>
        <v>Month14</v>
      </c>
      <c r="X3" s="7" t="str">
        <f>Time!X$24</f>
        <v>Month15</v>
      </c>
      <c r="Y3" s="7" t="str">
        <f>Time!Y$24</f>
        <v>Month16</v>
      </c>
      <c r="Z3" s="7" t="str">
        <f>Time!Z$24</f>
        <v>Month17</v>
      </c>
      <c r="AA3" s="7" t="str">
        <f>Time!AA$24</f>
        <v>Month18</v>
      </c>
      <c r="AB3" s="7" t="str">
        <f>Time!AB$24</f>
        <v>Month19</v>
      </c>
      <c r="AC3" s="7" t="str">
        <f>Time!AC$24</f>
        <v>Month20</v>
      </c>
      <c r="AD3" s="7" t="str">
        <f>Time!AD$24</f>
        <v>Month21</v>
      </c>
      <c r="AE3" s="7" t="str">
        <f>Time!AE$24</f>
        <v>Month22</v>
      </c>
      <c r="AF3" s="7" t="str">
        <f>Time!AF$24</f>
        <v>Month23</v>
      </c>
      <c r="AG3" s="7" t="str">
        <f>Time!AG$24</f>
        <v>Month24</v>
      </c>
      <c r="AH3" s="7" t="str">
        <f>Time!AH$24</f>
        <v>Month25</v>
      </c>
      <c r="AI3" s="7" t="str">
        <f>Time!AI$24</f>
        <v>Month26</v>
      </c>
      <c r="AJ3" s="7" t="str">
        <f>Time!AJ$24</f>
        <v>Month27</v>
      </c>
      <c r="AK3" s="7" t="str">
        <f>Time!AK$24</f>
        <v>Month28</v>
      </c>
      <c r="AL3" s="7" t="str">
        <f>Time!AL$24</f>
        <v>Month29</v>
      </c>
      <c r="AM3" s="7" t="str">
        <f>Time!AM$24</f>
        <v>Month30</v>
      </c>
      <c r="AN3" s="7" t="str">
        <f>Time!AN$24</f>
        <v>Month31</v>
      </c>
      <c r="AO3" s="7" t="str">
        <f>Time!AO$24</f>
        <v>Month32</v>
      </c>
      <c r="AP3" s="7" t="str">
        <f>Time!AP$24</f>
        <v>Month33</v>
      </c>
      <c r="AQ3" s="7" t="str">
        <f>Time!AQ$24</f>
        <v>Month34</v>
      </c>
      <c r="AR3" s="7" t="str">
        <f>Time!AR$24</f>
        <v>Month35</v>
      </c>
      <c r="AS3" s="7" t="str">
        <f>Time!AS$24</f>
        <v>Month36</v>
      </c>
      <c r="AT3" s="7" t="str">
        <f>Time!AT$24</f>
        <v>Month37</v>
      </c>
      <c r="AU3" s="7" t="str">
        <f>Time!AU$24</f>
        <v>Month38</v>
      </c>
      <c r="AV3" s="7" t="str">
        <f>Time!AV$24</f>
        <v>Month39</v>
      </c>
      <c r="AW3" s="7" t="str">
        <f>Time!AW$24</f>
        <v>Month40</v>
      </c>
      <c r="AX3" s="7" t="str">
        <f>Time!AX$24</f>
        <v>Month41</v>
      </c>
      <c r="AY3" s="7" t="str">
        <f>Time!AY$24</f>
        <v>Month42</v>
      </c>
      <c r="AZ3" s="7" t="str">
        <f>Time!AZ$24</f>
        <v>Month43</v>
      </c>
      <c r="BA3" s="7" t="str">
        <f>Time!BA$24</f>
        <v>Month44</v>
      </c>
      <c r="BB3" s="7" t="str">
        <f>Time!BB$24</f>
        <v>Month45</v>
      </c>
      <c r="BC3" s="7" t="str">
        <f>Time!BC$24</f>
        <v>Month46</v>
      </c>
      <c r="BD3" s="7" t="str">
        <f>Time!BD$24</f>
        <v>Month47</v>
      </c>
      <c r="BE3" s="7" t="str">
        <f>Time!BE$24</f>
        <v>Month48</v>
      </c>
      <c r="BF3" s="7" t="str">
        <f>Time!BF$24</f>
        <v>Month49</v>
      </c>
      <c r="BG3" s="7" t="str">
        <f>Time!BG$24</f>
        <v>Month50</v>
      </c>
      <c r="BH3" s="7" t="str">
        <f>Time!BH$24</f>
        <v>Month51</v>
      </c>
      <c r="BI3" s="7" t="str">
        <f>Time!BI$24</f>
        <v>Month52</v>
      </c>
      <c r="BJ3" s="7" t="str">
        <f>Time!BJ$24</f>
        <v>Month53</v>
      </c>
      <c r="BK3" s="7" t="str">
        <f>Time!BK$24</f>
        <v>Month54</v>
      </c>
      <c r="BL3" s="7" t="str">
        <f>Time!BL$24</f>
        <v>Month55</v>
      </c>
      <c r="BM3" s="7" t="str">
        <f>Time!BM$24</f>
        <v>Month56</v>
      </c>
      <c r="BN3" s="7" t="str">
        <f>Time!BN$24</f>
        <v>Month57</v>
      </c>
      <c r="BO3" s="7" t="str">
        <f>Time!BO$24</f>
        <v>Month58</v>
      </c>
      <c r="BP3" s="7" t="str">
        <f>Time!BP$24</f>
        <v>Month59</v>
      </c>
      <c r="BQ3" s="7" t="str">
        <f>Time!BQ$24</f>
        <v>Month60</v>
      </c>
    </row>
    <row r="4" spans="1:69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Time!J$28</f>
        <v>1</v>
      </c>
      <c r="K4" s="5">
        <f>Time!K$28</f>
        <v>2</v>
      </c>
      <c r="L4" s="5">
        <f>Time!L$28</f>
        <v>3</v>
      </c>
      <c r="M4" s="5">
        <f>Time!M$28</f>
        <v>4</v>
      </c>
      <c r="N4" s="5">
        <f>Time!N$28</f>
        <v>5</v>
      </c>
      <c r="O4" s="5">
        <f>Time!O$28</f>
        <v>6</v>
      </c>
      <c r="P4" s="5">
        <f>Time!P$28</f>
        <v>7</v>
      </c>
      <c r="Q4" s="5">
        <f>Time!Q$28</f>
        <v>8</v>
      </c>
      <c r="R4" s="5">
        <f>Time!R$28</f>
        <v>9</v>
      </c>
      <c r="S4" s="5">
        <f>Time!S$28</f>
        <v>10</v>
      </c>
      <c r="T4" s="5">
        <f>Time!T$28</f>
        <v>11</v>
      </c>
      <c r="U4" s="5">
        <f>Time!U$28</f>
        <v>12</v>
      </c>
      <c r="V4" s="5">
        <f>Time!V$28</f>
        <v>13</v>
      </c>
      <c r="W4" s="5">
        <f>Time!W$28</f>
        <v>14</v>
      </c>
      <c r="X4" s="5">
        <f>Time!X$28</f>
        <v>15</v>
      </c>
      <c r="Y4" s="5">
        <f>Time!Y$28</f>
        <v>16</v>
      </c>
      <c r="Z4" s="5">
        <f>Time!Z$28</f>
        <v>17</v>
      </c>
      <c r="AA4" s="5">
        <f>Time!AA$28</f>
        <v>18</v>
      </c>
      <c r="AB4" s="5">
        <f>Time!AB$28</f>
        <v>19</v>
      </c>
      <c r="AC4" s="5">
        <f>Time!AC$28</f>
        <v>20</v>
      </c>
      <c r="AD4" s="5">
        <f>Time!AD$28</f>
        <v>21</v>
      </c>
      <c r="AE4" s="5">
        <f>Time!AE$28</f>
        <v>22</v>
      </c>
      <c r="AF4" s="5">
        <f>Time!AF$28</f>
        <v>23</v>
      </c>
      <c r="AG4" s="5">
        <f>Time!AG$28</f>
        <v>24</v>
      </c>
      <c r="AH4" s="5">
        <f>Time!AH$28</f>
        <v>25</v>
      </c>
      <c r="AI4" s="5">
        <f>Time!AI$28</f>
        <v>26</v>
      </c>
      <c r="AJ4" s="5">
        <f>Time!AJ$28</f>
        <v>27</v>
      </c>
      <c r="AK4" s="5">
        <f>Time!AK$28</f>
        <v>28</v>
      </c>
      <c r="AL4" s="5">
        <f>Time!AL$28</f>
        <v>29</v>
      </c>
      <c r="AM4" s="5">
        <f>Time!AM$28</f>
        <v>30</v>
      </c>
      <c r="AN4" s="5">
        <f>Time!AN$28</f>
        <v>31</v>
      </c>
      <c r="AO4" s="5">
        <f>Time!AO$28</f>
        <v>32</v>
      </c>
      <c r="AP4" s="5">
        <f>Time!AP$28</f>
        <v>33</v>
      </c>
      <c r="AQ4" s="5">
        <f>Time!AQ$28</f>
        <v>34</v>
      </c>
      <c r="AR4" s="5">
        <f>Time!AR$28</f>
        <v>35</v>
      </c>
      <c r="AS4" s="5">
        <f>Time!AS$28</f>
        <v>36</v>
      </c>
      <c r="AT4" s="5">
        <f>Time!AT$28</f>
        <v>37</v>
      </c>
      <c r="AU4" s="5">
        <f>Time!AU$28</f>
        <v>38</v>
      </c>
      <c r="AV4" s="5">
        <f>Time!AV$28</f>
        <v>39</v>
      </c>
      <c r="AW4" s="5">
        <f>Time!AW$28</f>
        <v>40</v>
      </c>
      <c r="AX4" s="5">
        <f>Time!AX$28</f>
        <v>41</v>
      </c>
      <c r="AY4" s="5">
        <f>Time!AY$28</f>
        <v>42</v>
      </c>
      <c r="AZ4" s="5">
        <f>Time!AZ$28</f>
        <v>43</v>
      </c>
      <c r="BA4" s="5">
        <f>Time!BA$28</f>
        <v>44</v>
      </c>
      <c r="BB4" s="5">
        <f>Time!BB$28</f>
        <v>45</v>
      </c>
      <c r="BC4" s="5">
        <f>Time!BC$28</f>
        <v>46</v>
      </c>
      <c r="BD4" s="5">
        <f>Time!BD$28</f>
        <v>47</v>
      </c>
      <c r="BE4" s="5">
        <f>Time!BE$28</f>
        <v>48</v>
      </c>
      <c r="BF4" s="5">
        <f>Time!BF$28</f>
        <v>49</v>
      </c>
      <c r="BG4" s="5">
        <f>Time!BG$28</f>
        <v>50</v>
      </c>
      <c r="BH4" s="5">
        <f>Time!BH$28</f>
        <v>51</v>
      </c>
      <c r="BI4" s="5">
        <f>Time!BI$28</f>
        <v>52</v>
      </c>
      <c r="BJ4" s="5">
        <f>Time!BJ$28</f>
        <v>53</v>
      </c>
      <c r="BK4" s="5">
        <f>Time!BK$28</f>
        <v>54</v>
      </c>
      <c r="BL4" s="5">
        <f>Time!BL$28</f>
        <v>55</v>
      </c>
      <c r="BM4" s="5">
        <f>Time!BM$28</f>
        <v>56</v>
      </c>
      <c r="BN4" s="5">
        <f>Time!BN$28</f>
        <v>57</v>
      </c>
      <c r="BO4" s="5">
        <f>Time!BO$28</f>
        <v>58</v>
      </c>
      <c r="BP4" s="5">
        <f>Time!BP$28</f>
        <v>59</v>
      </c>
      <c r="BQ4" s="5">
        <f>Time!BQ$28</f>
        <v>60</v>
      </c>
    </row>
    <row r="5" spans="1:69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69" s="2" customFormat="1" ht="13">
      <c r="A6" s="22"/>
      <c r="B6" s="22"/>
      <c r="C6" s="40"/>
      <c r="D6" s="54"/>
      <c r="F6" s="22"/>
      <c r="G6" s="22"/>
      <c r="H6" s="22"/>
    </row>
    <row r="8" spans="1:69">
      <c r="A8"/>
      <c r="E8" s="15" t="str">
        <f>Metrics!E$10</f>
        <v>Cash Low</v>
      </c>
      <c r="F8" s="15">
        <f ca="1">Metrics!F$10</f>
        <v>-1012204.3346045238</v>
      </c>
      <c r="G8" s="15" t="str">
        <f>Metrics!G$10</f>
        <v>GBP</v>
      </c>
      <c r="H8" s="9"/>
      <c r="I8" s="15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AC8"/>
  <sheetViews>
    <sheetView topLeftCell="J6" workbookViewId="0">
      <selection activeCell="J6" sqref="J6"/>
    </sheetView>
  </sheetViews>
  <sheetFormatPr defaultColWidth="0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23.7265625" customWidth="1"/>
    <col min="6" max="6" width="20.7265625" customWidth="1"/>
    <col min="7" max="7" width="13.7265625" customWidth="1"/>
    <col min="8" max="8" width="7.7265625" style="2" customWidth="1"/>
    <col min="9" max="9" width="3.7265625" customWidth="1"/>
    <col min="10" max="29" width="11.7265625" customWidth="1"/>
    <col min="30" max="30" width="15.7265625" customWidth="1"/>
  </cols>
  <sheetData>
    <row r="1" spans="1:29" s="53" customFormat="1" ht="25">
      <c r="A1" s="37" t="str">
        <f ca="1">RIGHT(CELL("filename",A1),LEN(CELL("filename",A1))-SEARCH("]",CELL("filename",A1)))</f>
        <v>Metrics Report Qly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29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Time!J$75</f>
        <v>45138</v>
      </c>
      <c r="K2" s="6">
        <f>Time!K$75</f>
        <v>45230</v>
      </c>
      <c r="L2" s="6">
        <f>Time!L$75</f>
        <v>45322</v>
      </c>
      <c r="M2" s="6">
        <f>Time!M$75</f>
        <v>45412</v>
      </c>
      <c r="N2" s="6">
        <f>Time!N$75</f>
        <v>45504</v>
      </c>
      <c r="O2" s="6">
        <f>Time!O$75</f>
        <v>45596</v>
      </c>
      <c r="P2" s="6">
        <f>Time!P$75</f>
        <v>45688</v>
      </c>
      <c r="Q2" s="6">
        <f>Time!Q$75</f>
        <v>45777</v>
      </c>
      <c r="R2" s="6">
        <f>Time!R$75</f>
        <v>45869</v>
      </c>
      <c r="S2" s="6">
        <f>Time!S$75</f>
        <v>45961</v>
      </c>
      <c r="T2" s="6">
        <f>Time!T$75</f>
        <v>46053</v>
      </c>
      <c r="U2" s="6">
        <f>Time!U$75</f>
        <v>46142</v>
      </c>
      <c r="V2" s="6">
        <f>Time!V$75</f>
        <v>46234</v>
      </c>
      <c r="W2" s="6">
        <f>Time!W$75</f>
        <v>46326</v>
      </c>
      <c r="X2" s="6">
        <f>Time!X$75</f>
        <v>46418</v>
      </c>
      <c r="Y2" s="6">
        <f>Time!Y$75</f>
        <v>46507</v>
      </c>
      <c r="Z2" s="6">
        <f>Time!Z$75</f>
        <v>46599</v>
      </c>
      <c r="AA2" s="6">
        <f>Time!AA$75</f>
        <v>46691</v>
      </c>
      <c r="AB2" s="6">
        <f>Time!AB$75</f>
        <v>46783</v>
      </c>
      <c r="AC2" s="6">
        <f>Time!AC$75</f>
        <v>46873</v>
      </c>
    </row>
    <row r="3" spans="1:29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Time!J$82</f>
        <v>Month3</v>
      </c>
      <c r="K3" s="7" t="str">
        <f>Time!K$82</f>
        <v>Month6</v>
      </c>
      <c r="L3" s="7" t="str">
        <f>Time!L$82</f>
        <v>Month9</v>
      </c>
      <c r="M3" s="7" t="str">
        <f>Time!M$82</f>
        <v>Month12</v>
      </c>
      <c r="N3" s="7" t="str">
        <f>Time!N$82</f>
        <v>Month15</v>
      </c>
      <c r="O3" s="7" t="str">
        <f>Time!O$82</f>
        <v>Month18</v>
      </c>
      <c r="P3" s="7" t="str">
        <f>Time!P$82</f>
        <v>Month21</v>
      </c>
      <c r="Q3" s="7" t="str">
        <f>Time!Q$82</f>
        <v>Month24</v>
      </c>
      <c r="R3" s="7" t="str">
        <f>Time!R$82</f>
        <v>Month27</v>
      </c>
      <c r="S3" s="7" t="str">
        <f>Time!S$82</f>
        <v>Month30</v>
      </c>
      <c r="T3" s="7" t="str">
        <f>Time!T$82</f>
        <v>Month33</v>
      </c>
      <c r="U3" s="7" t="str">
        <f>Time!U$82</f>
        <v>Month36</v>
      </c>
      <c r="V3" s="7" t="str">
        <f>Time!V$82</f>
        <v>Month39</v>
      </c>
      <c r="W3" s="7" t="str">
        <f>Time!W$82</f>
        <v>Month42</v>
      </c>
      <c r="X3" s="7" t="str">
        <f>Time!X$82</f>
        <v>Month45</v>
      </c>
      <c r="Y3" s="7" t="str">
        <f>Time!Y$82</f>
        <v>Month48</v>
      </c>
      <c r="Z3" s="7" t="str">
        <f>Time!Z$82</f>
        <v>Month51</v>
      </c>
      <c r="AA3" s="7" t="str">
        <f>Time!AA$82</f>
        <v>Month54</v>
      </c>
      <c r="AB3" s="7" t="str">
        <f>Time!AB$82</f>
        <v>Month57</v>
      </c>
      <c r="AC3" s="7" t="str">
        <f>Time!AC$82</f>
        <v>Month60</v>
      </c>
    </row>
    <row r="4" spans="1:29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Time!J$88</f>
        <v>3</v>
      </c>
      <c r="K4" s="5">
        <f>Time!K$88</f>
        <v>6</v>
      </c>
      <c r="L4" s="5">
        <f>Time!L$88</f>
        <v>9</v>
      </c>
      <c r="M4" s="5">
        <f>Time!M$88</f>
        <v>12</v>
      </c>
      <c r="N4" s="5">
        <f>Time!N$88</f>
        <v>15</v>
      </c>
      <c r="O4" s="5">
        <f>Time!O$88</f>
        <v>18</v>
      </c>
      <c r="P4" s="5">
        <f>Time!P$88</f>
        <v>21</v>
      </c>
      <c r="Q4" s="5">
        <f>Time!Q$88</f>
        <v>24</v>
      </c>
      <c r="R4" s="5">
        <f>Time!R$88</f>
        <v>27</v>
      </c>
      <c r="S4" s="5">
        <f>Time!S$88</f>
        <v>30</v>
      </c>
      <c r="T4" s="5">
        <f>Time!T$88</f>
        <v>33</v>
      </c>
      <c r="U4" s="5">
        <f>Time!U$88</f>
        <v>36</v>
      </c>
      <c r="V4" s="5">
        <f>Time!V$88</f>
        <v>39</v>
      </c>
      <c r="W4" s="5">
        <f>Time!W$88</f>
        <v>42</v>
      </c>
      <c r="X4" s="5">
        <f>Time!X$88</f>
        <v>45</v>
      </c>
      <c r="Y4" s="5">
        <f>Time!Y$88</f>
        <v>48</v>
      </c>
      <c r="Z4" s="5">
        <f>Time!Z$88</f>
        <v>51</v>
      </c>
      <c r="AA4" s="5">
        <f>Time!AA$88</f>
        <v>54</v>
      </c>
      <c r="AB4" s="5">
        <f>Time!AB$88</f>
        <v>57</v>
      </c>
      <c r="AC4" s="5">
        <f>Time!AC$88</f>
        <v>60</v>
      </c>
    </row>
    <row r="5" spans="1:29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29" s="2" customFormat="1" ht="13">
      <c r="A6" s="22"/>
      <c r="B6" s="22"/>
      <c r="C6" s="40"/>
      <c r="D6" s="54"/>
      <c r="F6" s="22"/>
      <c r="G6" s="22"/>
      <c r="H6" s="22"/>
    </row>
    <row r="8" spans="1:29">
      <c r="A8"/>
      <c r="E8" s="15" t="str">
        <f>Metrics!E$10</f>
        <v>Cash Low</v>
      </c>
      <c r="F8" s="15">
        <f ca="1">Metrics!F$10</f>
        <v>-1012204.3346045238</v>
      </c>
      <c r="G8" s="15" t="str">
        <f>Metrics!G$10</f>
        <v>GBP</v>
      </c>
      <c r="H8" s="9"/>
      <c r="I8" s="15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S8"/>
  <sheetViews>
    <sheetView topLeftCell="J6" workbookViewId="0">
      <selection activeCell="J6" sqref="J6"/>
    </sheetView>
  </sheetViews>
  <sheetFormatPr defaultColWidth="0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23.7265625" customWidth="1"/>
    <col min="6" max="6" width="20.7265625" customWidth="1"/>
    <col min="7" max="7" width="13.7265625" customWidth="1"/>
    <col min="8" max="8" width="7.7265625" style="2" customWidth="1"/>
    <col min="9" max="9" width="3.7265625" customWidth="1"/>
    <col min="10" max="19" width="11.7265625" customWidth="1"/>
    <col min="20" max="20" width="15.7265625" customWidth="1"/>
  </cols>
  <sheetData>
    <row r="1" spans="1:19" s="53" customFormat="1" ht="25">
      <c r="A1" s="37" t="str">
        <f ca="1">RIGHT(CELL("filename",A1),LEN(CELL("filename",A1))-SEARCH("]",CELL("filename",A1)))</f>
        <v>Metrics Report SemiAnnually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19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>
        <f>Time!J$95</f>
        <v>45230</v>
      </c>
      <c r="K2" s="6">
        <f>Time!K$95</f>
        <v>45412</v>
      </c>
      <c r="L2" s="6">
        <f>Time!L$95</f>
        <v>45596</v>
      </c>
      <c r="M2" s="6">
        <f>Time!M$95</f>
        <v>45777</v>
      </c>
      <c r="N2" s="6">
        <f>Time!N$95</f>
        <v>45961</v>
      </c>
      <c r="O2" s="6">
        <f>Time!O$95</f>
        <v>46142</v>
      </c>
      <c r="P2" s="6">
        <f>Time!P$95</f>
        <v>46326</v>
      </c>
      <c r="Q2" s="6">
        <f>Time!Q$95</f>
        <v>46507</v>
      </c>
      <c r="R2" s="6">
        <f>Time!R$95</f>
        <v>46691</v>
      </c>
      <c r="S2" s="6">
        <f>Time!S$95</f>
        <v>46873</v>
      </c>
    </row>
    <row r="3" spans="1:19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 t="str">
        <f>Time!J$102</f>
        <v>Month6</v>
      </c>
      <c r="K3" s="7" t="str">
        <f>Time!K$102</f>
        <v>Month12</v>
      </c>
      <c r="L3" s="7" t="str">
        <f>Time!L$102</f>
        <v>Month18</v>
      </c>
      <c r="M3" s="7" t="str">
        <f>Time!M$102</f>
        <v>Month24</v>
      </c>
      <c r="N3" s="7" t="str">
        <f>Time!N$102</f>
        <v>Month30</v>
      </c>
      <c r="O3" s="7" t="str">
        <f>Time!O$102</f>
        <v>Month36</v>
      </c>
      <c r="P3" s="7" t="str">
        <f>Time!P$102</f>
        <v>Month42</v>
      </c>
      <c r="Q3" s="7" t="str">
        <f>Time!Q$102</f>
        <v>Month48</v>
      </c>
      <c r="R3" s="7" t="str">
        <f>Time!R$102</f>
        <v>Month54</v>
      </c>
      <c r="S3" s="7" t="str">
        <f>Time!S$102</f>
        <v>Month60</v>
      </c>
    </row>
    <row r="4" spans="1:19" s="5" customFormat="1">
      <c r="A4" s="39"/>
      <c r="B4" s="39"/>
      <c r="C4" s="56"/>
      <c r="D4" s="57"/>
      <c r="E4" s="20" t="s">
        <v>325</v>
      </c>
      <c r="F4"/>
      <c r="G4"/>
      <c r="H4" s="20"/>
      <c r="I4" s="20"/>
      <c r="J4" s="5">
        <f>Time!J$108</f>
        <v>6</v>
      </c>
      <c r="K4" s="5">
        <f>Time!K$108</f>
        <v>12</v>
      </c>
      <c r="L4" s="5">
        <f>Time!L$108</f>
        <v>18</v>
      </c>
      <c r="M4" s="5">
        <f>Time!M$108</f>
        <v>24</v>
      </c>
      <c r="N4" s="5">
        <f>Time!N$108</f>
        <v>30</v>
      </c>
      <c r="O4" s="5">
        <f>Time!O$108</f>
        <v>36</v>
      </c>
      <c r="P4" s="5">
        <f>Time!P$108</f>
        <v>42</v>
      </c>
      <c r="Q4" s="5">
        <f>Time!Q$108</f>
        <v>48</v>
      </c>
      <c r="R4" s="5">
        <f>Time!R$108</f>
        <v>54</v>
      </c>
      <c r="S4" s="5">
        <f>Time!S$108</f>
        <v>60</v>
      </c>
    </row>
    <row r="5" spans="1:19" s="30" customFormat="1" ht="13">
      <c r="A5" s="39"/>
      <c r="B5" s="39"/>
      <c r="C5" s="56"/>
      <c r="D5" s="57"/>
      <c r="E5" s="20" t="s">
        <v>305</v>
      </c>
      <c r="F5" s="22" t="s">
        <v>248</v>
      </c>
      <c r="G5" s="22" t="s">
        <v>224</v>
      </c>
      <c r="H5" s="22" t="s">
        <v>202</v>
      </c>
      <c r="I5" s="20"/>
      <c r="J5" s="9"/>
      <c r="K5" s="9"/>
      <c r="L5" s="9"/>
      <c r="M5" s="9"/>
      <c r="N5" s="9"/>
      <c r="O5" s="9"/>
      <c r="P5" s="9"/>
    </row>
    <row r="6" spans="1:19" s="2" customFormat="1" ht="13">
      <c r="A6" s="22"/>
      <c r="B6" s="22"/>
      <c r="C6" s="40"/>
      <c r="D6" s="54"/>
      <c r="F6" s="22"/>
      <c r="G6" s="22"/>
      <c r="H6" s="22"/>
    </row>
    <row r="8" spans="1:19">
      <c r="A8"/>
      <c r="E8" s="15" t="str">
        <f>Metrics!E$10</f>
        <v>Cash Low</v>
      </c>
      <c r="F8" s="15">
        <f ca="1">Metrics!F$10</f>
        <v>-1012204.3346045238</v>
      </c>
      <c r="G8" s="15" t="str">
        <f>Metrics!G$10</f>
        <v>GBP</v>
      </c>
      <c r="H8" s="9"/>
      <c r="I8" s="15"/>
      <c r="J8" s="9"/>
      <c r="K8" s="9"/>
      <c r="L8" s="9"/>
      <c r="M8" s="9"/>
      <c r="N8" s="9"/>
      <c r="O8" s="9"/>
      <c r="P8" s="9"/>
      <c r="Q8" s="9"/>
      <c r="R8" s="9"/>
      <c r="S8" s="9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1:P6"/>
  <sheetViews>
    <sheetView workbookViewId="0">
      <selection activeCell="E2" sqref="E2:E5"/>
    </sheetView>
  </sheetViews>
  <sheetFormatPr defaultColWidth="0" defaultRowHeight="14.5"/>
  <cols>
    <col min="1" max="2" width="1.7265625" style="22" customWidth="1"/>
    <col min="3" max="3" width="1.7265625" style="40" customWidth="1"/>
    <col min="4" max="4" width="1.7265625" style="59" customWidth="1"/>
    <col min="5" max="5" width="71.7265625" customWidth="1"/>
    <col min="6" max="6" width="16.7265625" customWidth="1"/>
    <col min="7" max="7" width="15.7265625" customWidth="1"/>
    <col min="8" max="8" width="15.7265625" style="2" customWidth="1"/>
    <col min="9" max="9" width="3.7265625" customWidth="1"/>
    <col min="10" max="17" width="15.7265625" customWidth="1"/>
  </cols>
  <sheetData>
    <row r="1" spans="1:16" s="53" customFormat="1" ht="25">
      <c r="A1" s="37" t="str">
        <f ca="1">RIGHT(CELL("filename",A1),LEN(CELL("filename",A1))-SEARCH("]",CELL("filename",A1)))</f>
        <v>Results Table</v>
      </c>
      <c r="B1" s="37"/>
      <c r="C1" s="58"/>
      <c r="D1" s="55"/>
      <c r="F1" s="42" t="str">
        <f>HYPERLINK("#Contents!A1","Go to contents")</f>
        <v>Go to contents</v>
      </c>
      <c r="H1" s="38"/>
      <c r="J1" s="38"/>
    </row>
    <row r="2" spans="1:16" s="43" customFormat="1" ht="13">
      <c r="A2" s="39"/>
      <c r="B2" s="39"/>
      <c r="C2" s="56"/>
      <c r="D2" s="57"/>
      <c r="E2" s="20" t="s">
        <v>324</v>
      </c>
      <c r="F2" s="41">
        <f ca="1">'Model Checks and Alerts'!F11</f>
        <v>0</v>
      </c>
      <c r="G2" s="44" t="s">
        <v>143</v>
      </c>
      <c r="H2" s="20"/>
      <c r="I2" s="20"/>
      <c r="J2" s="6"/>
      <c r="K2" s="6"/>
      <c r="L2" s="6"/>
      <c r="M2" s="6"/>
      <c r="N2" s="6"/>
      <c r="O2" s="6"/>
      <c r="P2" s="6"/>
    </row>
    <row r="3" spans="1:16" s="30" customFormat="1" ht="13">
      <c r="A3" s="39"/>
      <c r="B3" s="39"/>
      <c r="C3" s="56"/>
      <c r="D3" s="57"/>
      <c r="E3" s="2" t="s">
        <v>203</v>
      </c>
      <c r="F3" s="41"/>
      <c r="G3" s="44" t="s">
        <v>97</v>
      </c>
      <c r="H3" s="20"/>
      <c r="I3" s="20"/>
      <c r="J3" s="7"/>
      <c r="K3" s="7"/>
      <c r="L3" s="7"/>
      <c r="M3" s="7"/>
      <c r="N3" s="7"/>
      <c r="O3" s="7"/>
      <c r="P3" s="7"/>
    </row>
    <row r="4" spans="1:16" s="5" customFormat="1">
      <c r="A4" s="39"/>
      <c r="B4" s="39"/>
      <c r="C4" s="56"/>
      <c r="D4" s="57"/>
      <c r="E4" s="20" t="s">
        <v>325</v>
      </c>
      <c r="F4"/>
      <c r="G4"/>
      <c r="H4" s="20"/>
      <c r="I4" s="20"/>
    </row>
    <row r="5" spans="1:16" s="30" customFormat="1" ht="13">
      <c r="A5" s="39"/>
      <c r="B5" s="39"/>
      <c r="C5" s="56"/>
      <c r="D5" s="57"/>
      <c r="E5" s="20" t="s">
        <v>305</v>
      </c>
      <c r="F5" s="22"/>
      <c r="G5" s="22" t="s">
        <v>224</v>
      </c>
      <c r="H5" s="22"/>
      <c r="I5" s="20"/>
      <c r="J5" s="9"/>
      <c r="K5" s="9"/>
      <c r="L5" s="9"/>
      <c r="M5" s="9"/>
      <c r="N5" s="9"/>
      <c r="O5" s="9"/>
      <c r="P5" s="9"/>
    </row>
    <row r="6" spans="1:16" s="2" customFormat="1" ht="13">
      <c r="A6" s="22"/>
      <c r="B6" s="22"/>
      <c r="C6" s="40"/>
      <c r="D6" s="54"/>
      <c r="F6" s="22"/>
      <c r="G6" s="22"/>
      <c r="H6" s="2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Q25"/>
  <sheetViews>
    <sheetView topLeftCell="J6" workbookViewId="0">
      <selection activeCell="J6" sqref="J6"/>
    </sheetView>
  </sheetViews>
  <sheetFormatPr defaultColWidth="0" defaultRowHeight="13"/>
  <cols>
    <col min="1" max="2" width="1.7265625" style="22" customWidth="1"/>
    <col min="3" max="3" width="1.7265625" style="40" customWidth="1"/>
    <col min="4" max="4" width="1.7265625" style="66" customWidth="1"/>
    <col min="5" max="5" width="47.7265625" style="2" customWidth="1"/>
    <col min="6" max="6" width="14.7265625" style="2" customWidth="1"/>
    <col min="7" max="7" width="13.7265625" style="2" customWidth="1"/>
    <col min="8" max="8" width="14.7265625" style="2" customWidth="1"/>
    <col min="9" max="9" width="3.7265625" style="2" customWidth="1"/>
    <col min="10" max="10" width="5.7265625" style="92" customWidth="1"/>
    <col min="11" max="11" width="13.7265625" style="2" customWidth="1"/>
    <col min="12" max="12" width="13.7265625" style="45" customWidth="1"/>
    <col min="13" max="13" width="0.7265625" style="83" customWidth="1"/>
    <col min="14" max="16" width="14.7265625" style="2" customWidth="1"/>
    <col min="17" max="17" width="0.7265625" style="83" customWidth="1"/>
    <col min="18" max="18" width="9.7265625" style="2" customWidth="1"/>
    <col min="19" max="19" width="10.7265625" style="2" customWidth="1"/>
    <col min="20" max="16384" width="9.1796875" style="2"/>
  </cols>
  <sheetData>
    <row r="1" spans="1:17" ht="25">
      <c r="A1" s="177" t="s">
        <v>92</v>
      </c>
      <c r="B1" s="37"/>
      <c r="C1" s="58"/>
      <c r="D1" s="67"/>
      <c r="E1" s="53"/>
      <c r="F1" s="163"/>
      <c r="G1" s="53"/>
      <c r="H1" s="53"/>
      <c r="I1" s="53"/>
      <c r="J1" s="145"/>
      <c r="K1" s="53"/>
      <c r="L1" s="184"/>
      <c r="N1" s="105"/>
      <c r="O1" s="105"/>
      <c r="P1" s="105"/>
    </row>
    <row r="2" spans="1:17">
      <c r="A2" s="9"/>
      <c r="E2" s="8"/>
      <c r="G2" s="2" t="s">
        <v>285</v>
      </c>
      <c r="H2" s="151">
        <f ca="1">TODAY()</f>
        <v>45179</v>
      </c>
      <c r="J2" s="166">
        <f>COUNTIF(J6:J24,"tu")</f>
        <v>0</v>
      </c>
      <c r="N2" s="100"/>
      <c r="O2" s="100"/>
      <c r="P2" s="100"/>
    </row>
    <row r="3" spans="1:17" ht="12.5">
      <c r="A3" s="2"/>
      <c r="B3" s="2"/>
      <c r="E3" s="8"/>
      <c r="G3" s="2" t="s">
        <v>44</v>
      </c>
      <c r="H3" s="167" t="s">
        <v>226</v>
      </c>
      <c r="I3" s="40"/>
      <c r="J3" s="188"/>
      <c r="K3" s="40"/>
      <c r="L3" s="118"/>
      <c r="M3" s="130"/>
      <c r="N3" s="95"/>
      <c r="O3" s="95"/>
      <c r="P3" s="95"/>
      <c r="Q3" s="130"/>
    </row>
    <row r="4" spans="1:17">
      <c r="H4" s="165"/>
      <c r="I4" s="40"/>
      <c r="J4" s="188"/>
    </row>
    <row r="5" spans="1:17" ht="14.5">
      <c r="D5" s="2"/>
      <c r="E5" s="2" t="s">
        <v>225</v>
      </c>
      <c r="F5" s="66"/>
      <c r="G5" s="154" t="s">
        <v>224</v>
      </c>
      <c r="H5" s="187">
        <v>1</v>
      </c>
      <c r="J5" s="92">
        <f>MATCH($H$5,M5:Q5,0)</f>
        <v>2</v>
      </c>
      <c r="K5" s="40" t="s">
        <v>204</v>
      </c>
      <c r="L5" s="118" t="s">
        <v>119</v>
      </c>
      <c r="M5"/>
      <c r="N5" s="99">
        <v>1</v>
      </c>
      <c r="O5" s="99">
        <v>2</v>
      </c>
      <c r="P5" s="99">
        <v>3</v>
      </c>
      <c r="Q5"/>
    </row>
    <row r="6" spans="1:17" s="81" customFormat="1">
      <c r="A6" s="121"/>
      <c r="B6" s="121"/>
      <c r="C6" s="150"/>
      <c r="D6" s="149"/>
      <c r="E6" s="121" t="s">
        <v>181</v>
      </c>
      <c r="F6" s="149"/>
      <c r="J6" s="135"/>
      <c r="L6" s="85"/>
      <c r="M6" s="83"/>
      <c r="Q6" s="83"/>
    </row>
    <row r="7" spans="1:17" ht="14.5">
      <c r="E7" s="22"/>
      <c r="F7" s="66"/>
      <c r="J7"/>
    </row>
    <row r="8" spans="1:17">
      <c r="A8" s="22" t="s">
        <v>249</v>
      </c>
      <c r="F8" s="66"/>
      <c r="J8" s="129"/>
      <c r="Q8" s="9"/>
    </row>
    <row r="9" spans="1:17" ht="14.5">
      <c r="J9"/>
      <c r="L9" s="93"/>
      <c r="N9" s="84"/>
      <c r="O9" s="84"/>
      <c r="P9" s="84"/>
    </row>
    <row r="10" spans="1:17" s="93" customFormat="1" ht="14.5">
      <c r="A10" s="91"/>
      <c r="B10" s="91"/>
      <c r="C10" s="45"/>
      <c r="D10" s="45"/>
      <c r="E10" s="36"/>
      <c r="F10" s="45"/>
      <c r="G10" s="36"/>
      <c r="H10" s="36"/>
      <c r="I10" s="109"/>
      <c r="J10" s="129" t="s">
        <v>156</v>
      </c>
      <c r="K10" s="45">
        <f>H10-INDEX(M10:Q10,$J$5)</f>
        <v>0</v>
      </c>
      <c r="L10" s="45">
        <v>0</v>
      </c>
      <c r="M10" s="85"/>
      <c r="N10" s="82"/>
      <c r="O10" s="82"/>
      <c r="P10" s="82"/>
      <c r="Q10" s="85"/>
    </row>
    <row r="11" spans="1:17" s="138" customFormat="1" ht="14.5">
      <c r="A11" s="114"/>
      <c r="B11" s="114"/>
      <c r="C11" s="103"/>
      <c r="D11" s="103"/>
      <c r="E11" s="21"/>
      <c r="F11" s="103"/>
      <c r="G11" s="21"/>
      <c r="H11" s="21"/>
      <c r="I11" s="164"/>
      <c r="J11" s="129" t="s">
        <v>156</v>
      </c>
      <c r="K11" s="103">
        <f>H11-INDEX(M11:Q11,$J$5)</f>
        <v>0</v>
      </c>
      <c r="L11" s="45">
        <v>0</v>
      </c>
      <c r="M11" s="122"/>
      <c r="N11" s="102"/>
      <c r="O11" s="102"/>
      <c r="P11" s="102"/>
      <c r="Q11" s="122"/>
    </row>
    <row r="12" spans="1:17" s="138" customFormat="1" ht="14.5">
      <c r="A12" s="114"/>
      <c r="B12" s="114"/>
      <c r="C12" s="103"/>
      <c r="D12" s="103"/>
      <c r="E12" s="21"/>
      <c r="F12" s="103"/>
      <c r="G12" s="21"/>
      <c r="H12" s="21"/>
      <c r="I12" s="164"/>
      <c r="J12" s="129" t="s">
        <v>156</v>
      </c>
      <c r="K12" s="103">
        <f>H12-INDEX(M12:Q12,$J$5)</f>
        <v>0</v>
      </c>
      <c r="L12" s="45">
        <v>0</v>
      </c>
      <c r="M12" s="122"/>
      <c r="N12" s="102"/>
      <c r="O12" s="102"/>
      <c r="P12" s="102"/>
      <c r="Q12" s="122"/>
    </row>
    <row r="13" spans="1:17" s="93" customFormat="1" ht="14.5">
      <c r="A13" s="91"/>
      <c r="B13" s="91"/>
      <c r="C13" s="45"/>
      <c r="D13" s="45"/>
      <c r="E13" s="36"/>
      <c r="F13" s="45"/>
      <c r="G13" s="36"/>
      <c r="H13" s="36"/>
      <c r="I13" s="109"/>
      <c r="J13" s="129" t="s">
        <v>156</v>
      </c>
      <c r="K13" s="45">
        <f>H13-INDEX(M13:Q13,$J$5)</f>
        <v>0</v>
      </c>
      <c r="L13" s="45">
        <v>0</v>
      </c>
      <c r="M13" s="85"/>
      <c r="N13" s="82"/>
      <c r="O13" s="82"/>
      <c r="P13" s="82"/>
      <c r="Q13" s="85"/>
    </row>
    <row r="14" spans="1:17" ht="14.5">
      <c r="C14" s="2"/>
      <c r="F14" s="66"/>
      <c r="G14" s="178"/>
      <c r="H14" s="45"/>
      <c r="I14" s="146"/>
      <c r="J14"/>
      <c r="L14" s="93"/>
      <c r="M14" s="120"/>
      <c r="N14" s="84"/>
      <c r="O14" s="84"/>
      <c r="P14" s="84"/>
      <c r="Q14" s="120"/>
    </row>
    <row r="15" spans="1:17" ht="14.5">
      <c r="A15" s="107"/>
      <c r="B15" s="107"/>
      <c r="C15" s="181"/>
      <c r="D15" s="171"/>
      <c r="E15" s="9"/>
      <c r="F15" s="9"/>
      <c r="G15" s="9"/>
      <c r="H15" s="192"/>
      <c r="J15"/>
      <c r="L15" s="93"/>
      <c r="M15" s="117"/>
      <c r="N15" s="84"/>
      <c r="O15" s="84"/>
      <c r="P15" s="84"/>
      <c r="Q15" s="117"/>
    </row>
    <row r="16" spans="1:17" ht="14.5">
      <c r="A16" s="107"/>
      <c r="B16" s="107"/>
      <c r="C16" s="181"/>
      <c r="D16" s="171"/>
      <c r="E16" s="9"/>
      <c r="F16" s="9"/>
      <c r="G16" s="9"/>
      <c r="H16" s="192"/>
      <c r="J16"/>
      <c r="L16" s="93"/>
      <c r="M16" s="117"/>
      <c r="N16" s="84"/>
      <c r="O16" s="84"/>
      <c r="P16" s="84"/>
      <c r="Q16" s="117"/>
    </row>
    <row r="17" spans="1:17" s="20" customFormat="1">
      <c r="A17" s="66"/>
      <c r="B17" s="107"/>
      <c r="C17" s="2"/>
      <c r="D17" s="2"/>
      <c r="J17" s="92"/>
      <c r="L17" s="127"/>
      <c r="M17" s="97"/>
      <c r="N17" s="96"/>
      <c r="O17" s="96"/>
      <c r="P17" s="96"/>
      <c r="Q17" s="97"/>
    </row>
    <row r="18" spans="1:17" s="20" customFormat="1">
      <c r="A18" s="66"/>
      <c r="B18" s="107"/>
      <c r="C18" s="2"/>
      <c r="D18" s="2"/>
      <c r="J18" s="92"/>
      <c r="L18" s="127"/>
      <c r="M18" s="97"/>
      <c r="N18" s="96"/>
      <c r="O18" s="96"/>
      <c r="P18" s="96"/>
      <c r="Q18" s="97"/>
    </row>
    <row r="19" spans="1:17" s="20" customFormat="1">
      <c r="A19" s="22" t="s">
        <v>323</v>
      </c>
      <c r="B19" s="2"/>
      <c r="C19" s="2"/>
      <c r="D19" s="2"/>
      <c r="F19" s="62"/>
      <c r="J19" s="92"/>
      <c r="L19" s="127"/>
      <c r="M19" s="97"/>
      <c r="N19" s="104"/>
      <c r="O19" s="104"/>
      <c r="P19" s="104"/>
      <c r="Q19" s="97"/>
    </row>
    <row r="20" spans="1:17" s="20" customFormat="1">
      <c r="A20" s="128"/>
      <c r="B20" s="128"/>
      <c r="C20" s="148"/>
      <c r="D20" s="168"/>
      <c r="E20" s="43" t="s">
        <v>144</v>
      </c>
      <c r="F20" s="62"/>
      <c r="G20" s="159"/>
      <c r="H20" s="160">
        <f ca="1">NOW()</f>
        <v>45179.959519675926</v>
      </c>
      <c r="J20" s="92"/>
      <c r="L20" s="127"/>
      <c r="M20" s="97"/>
      <c r="N20" s="106"/>
      <c r="O20" s="106"/>
      <c r="P20" s="106"/>
      <c r="Q20" s="97"/>
    </row>
    <row r="21" spans="1:17" s="20" customFormat="1">
      <c r="A21" s="22"/>
      <c r="B21" s="22"/>
      <c r="C21" s="40"/>
      <c r="D21" s="2"/>
      <c r="E21" s="20" t="s">
        <v>268</v>
      </c>
      <c r="F21" s="62"/>
      <c r="H21" s="172" t="str">
        <f ca="1">MID(CELL("filename",$A$1),SEARCH("[",CELL("filename",$A$1))+1,SEARCH("]",CELL("filename",$A$1))-SEARCH("[",CELL("filename",$A$1))-1)</f>
        <v>GEN-SQR.xlsx</v>
      </c>
      <c r="J21" s="92"/>
      <c r="L21" s="127"/>
      <c r="M21" s="97"/>
      <c r="N21" s="96"/>
      <c r="O21" s="96"/>
      <c r="P21" s="96"/>
      <c r="Q21" s="97"/>
    </row>
    <row r="22" spans="1:17" s="20" customFormat="1">
      <c r="A22" s="22"/>
      <c r="B22" s="22"/>
      <c r="C22" s="40"/>
      <c r="D22" s="66"/>
      <c r="E22" s="39"/>
      <c r="F22" s="62"/>
      <c r="J22" s="92"/>
      <c r="L22" s="127"/>
      <c r="M22" s="97"/>
      <c r="Q22" s="97"/>
    </row>
    <row r="23" spans="1:17" s="20" customFormat="1">
      <c r="A23" s="22"/>
      <c r="B23" s="22"/>
      <c r="C23" s="40"/>
      <c r="D23" s="66"/>
      <c r="E23" s="39"/>
      <c r="F23" s="62"/>
      <c r="J23" s="92"/>
      <c r="L23" s="127"/>
      <c r="M23" s="97"/>
      <c r="Q23" s="97"/>
    </row>
    <row r="24" spans="1:17" s="183" customFormat="1">
      <c r="A24" s="131"/>
      <c r="B24" s="131"/>
      <c r="C24" s="144"/>
      <c r="D24" s="193"/>
      <c r="E24" s="152" t="s">
        <v>181</v>
      </c>
      <c r="F24" s="156"/>
      <c r="G24" s="136"/>
      <c r="H24" s="136"/>
      <c r="J24" s="135" t="s">
        <v>67</v>
      </c>
      <c r="L24" s="182"/>
      <c r="M24" s="97"/>
      <c r="N24" s="97"/>
      <c r="O24" s="97"/>
      <c r="P24" s="97"/>
      <c r="Q24" s="97"/>
    </row>
    <row r="25" spans="1:17" s="20" customFormat="1">
      <c r="A25" s="22"/>
      <c r="B25" s="22"/>
      <c r="C25" s="40"/>
      <c r="D25" s="66"/>
      <c r="J25" s="92"/>
      <c r="L25" s="127"/>
      <c r="M25" s="97"/>
      <c r="Q25" s="97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BC338"/>
  <sheetViews>
    <sheetView workbookViewId="0">
      <selection activeCell="G11" sqref="G11"/>
    </sheetView>
  </sheetViews>
  <sheetFormatPr defaultColWidth="0" defaultRowHeight="10"/>
  <cols>
    <col min="1" max="1" width="19.7265625" style="90" customWidth="1"/>
    <col min="2" max="2" width="42.7265625" style="90" customWidth="1"/>
    <col min="3" max="3" width="47.7265625" style="90" customWidth="1"/>
    <col min="4" max="4" width="21.7265625" style="90" customWidth="1"/>
    <col min="5" max="5" width="18.7265625" style="90" customWidth="1"/>
    <col min="6" max="6" width="19.7265625" style="90" customWidth="1"/>
    <col min="7" max="7" width="23.7265625" style="90" customWidth="1"/>
    <col min="8" max="8" width="103.7265625" style="90" customWidth="1"/>
    <col min="9" max="56" width="9.7265625" style="90" customWidth="1"/>
    <col min="57" max="16384" width="9.1796875" style="90"/>
  </cols>
  <sheetData>
    <row r="1" spans="1:55" ht="25">
      <c r="A1" s="37" t="str">
        <f ca="1">RIGHT(CELL("filename",A1),LEN(CELL("filename",A1))-SEARCH("]",CELL("filename",A1)))</f>
        <v>Issues</v>
      </c>
    </row>
    <row r="5" spans="1:55" ht="18">
      <c r="A5" s="24" t="s">
        <v>45</v>
      </c>
      <c r="B5" s="24" t="s">
        <v>158</v>
      </c>
      <c r="C5" s="24" t="s">
        <v>228</v>
      </c>
      <c r="D5" s="24" t="s">
        <v>46</v>
      </c>
      <c r="E5" s="24" t="s">
        <v>1</v>
      </c>
      <c r="F5" s="24" t="s">
        <v>145</v>
      </c>
      <c r="G5" s="24" t="s">
        <v>95</v>
      </c>
      <c r="H5" s="24" t="s">
        <v>96</v>
      </c>
      <c r="I5" s="24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</row>
    <row r="6" spans="1:55" ht="12.5">
      <c r="A6" s="2"/>
      <c r="B6" s="2"/>
      <c r="C6" s="2"/>
      <c r="D6" s="157"/>
      <c r="E6" s="2"/>
      <c r="F6" s="2"/>
      <c r="G6" s="2"/>
      <c r="H6" s="2"/>
      <c r="I6" s="134"/>
      <c r="J6" s="134"/>
    </row>
    <row r="7" spans="1:55" ht="12.5">
      <c r="A7" s="2"/>
      <c r="B7" s="2"/>
      <c r="C7" s="2"/>
      <c r="D7" s="2"/>
      <c r="E7" s="2"/>
      <c r="F7" s="2"/>
      <c r="G7" s="2"/>
      <c r="H7" s="2"/>
      <c r="I7" s="134"/>
      <c r="J7" s="134"/>
    </row>
    <row r="8" spans="1:55" ht="12.5">
      <c r="A8" s="2"/>
      <c r="B8" s="2"/>
      <c r="C8" s="2"/>
      <c r="D8" s="2"/>
      <c r="E8" s="2"/>
      <c r="F8" s="2"/>
      <c r="G8" s="2"/>
      <c r="H8" s="2"/>
      <c r="I8" s="134"/>
      <c r="J8" s="134"/>
    </row>
    <row r="9" spans="1:55" ht="12.5">
      <c r="A9" s="2"/>
      <c r="B9" s="2"/>
      <c r="C9" s="2"/>
      <c r="D9" s="2"/>
      <c r="E9" s="2"/>
      <c r="F9" s="2"/>
      <c r="G9" s="2"/>
      <c r="H9" s="2"/>
      <c r="I9" s="134"/>
      <c r="J9" s="134"/>
    </row>
    <row r="10" spans="1:55" ht="12.5">
      <c r="A10" s="2"/>
      <c r="B10" s="2"/>
      <c r="C10" s="2"/>
      <c r="D10" s="2"/>
      <c r="E10" s="2"/>
      <c r="F10" s="2"/>
      <c r="G10" s="2"/>
      <c r="H10" s="2"/>
      <c r="I10" s="134"/>
      <c r="J10" s="134"/>
    </row>
    <row r="11" spans="1:55" ht="12.5">
      <c r="A11" s="2"/>
      <c r="B11" s="2"/>
      <c r="C11" s="2"/>
      <c r="D11" s="2"/>
      <c r="E11" s="2"/>
      <c r="F11" s="2"/>
      <c r="G11" s="2"/>
      <c r="H11" s="2"/>
      <c r="I11" s="134"/>
      <c r="J11" s="134"/>
    </row>
    <row r="12" spans="1:55" ht="12.5">
      <c r="A12" s="2"/>
      <c r="B12" s="2"/>
      <c r="C12" s="2"/>
      <c r="D12" s="2"/>
      <c r="E12" s="2"/>
      <c r="F12" s="2"/>
      <c r="G12" s="2"/>
      <c r="H12" s="2"/>
      <c r="I12" s="134"/>
      <c r="J12" s="134"/>
    </row>
    <row r="13" spans="1:55" ht="12.5">
      <c r="A13" s="2"/>
      <c r="B13" s="2"/>
      <c r="C13" s="2"/>
      <c r="D13" s="2"/>
      <c r="E13" s="2"/>
      <c r="F13" s="2"/>
      <c r="G13" s="2"/>
      <c r="H13" s="2"/>
      <c r="I13" s="134"/>
      <c r="J13" s="134"/>
    </row>
    <row r="14" spans="1:55" ht="12.5">
      <c r="A14" s="2"/>
      <c r="B14" s="2"/>
      <c r="C14" s="2"/>
      <c r="D14" s="2"/>
      <c r="E14" s="2"/>
      <c r="F14" s="2"/>
      <c r="G14" s="2"/>
      <c r="H14" s="2"/>
      <c r="I14" s="134"/>
      <c r="J14" s="134"/>
    </row>
    <row r="15" spans="1:55" ht="12.5">
      <c r="A15" s="2"/>
      <c r="B15" s="2"/>
      <c r="C15" s="2"/>
      <c r="D15" s="2"/>
      <c r="E15" s="2"/>
      <c r="F15" s="2"/>
      <c r="G15" s="2"/>
      <c r="H15" s="2"/>
      <c r="I15" s="134"/>
      <c r="J15" s="134"/>
    </row>
    <row r="16" spans="1:55" ht="12.5">
      <c r="A16" s="2"/>
      <c r="B16" s="2"/>
      <c r="C16" s="2"/>
      <c r="D16" s="2"/>
      <c r="E16" s="2"/>
      <c r="F16" s="2"/>
      <c r="G16" s="2"/>
      <c r="H16" s="2"/>
      <c r="I16" s="134"/>
      <c r="J16" s="134"/>
    </row>
    <row r="17" spans="1:10" ht="12.5">
      <c r="A17" s="2"/>
      <c r="B17" s="2"/>
      <c r="C17" s="2"/>
      <c r="D17" s="2"/>
      <c r="E17" s="2"/>
      <c r="F17" s="2"/>
      <c r="G17" s="2"/>
      <c r="H17" s="2"/>
      <c r="I17" s="134"/>
      <c r="J17" s="134"/>
    </row>
    <row r="18" spans="1:10" ht="12.5">
      <c r="A18" s="2"/>
      <c r="B18" s="2"/>
      <c r="C18" s="2"/>
      <c r="D18" s="2"/>
      <c r="E18" s="2"/>
      <c r="F18" s="2"/>
      <c r="G18" s="2"/>
      <c r="H18" s="2"/>
      <c r="I18" s="134"/>
      <c r="J18" s="134"/>
    </row>
    <row r="19" spans="1:10" ht="12.5">
      <c r="A19" s="2"/>
      <c r="B19" s="2"/>
      <c r="C19" s="2"/>
      <c r="D19" s="2"/>
      <c r="E19" s="2"/>
      <c r="F19" s="2"/>
      <c r="G19" s="2"/>
      <c r="H19" s="2"/>
      <c r="I19" s="134"/>
      <c r="J19" s="134"/>
    </row>
    <row r="20" spans="1:10" ht="12.5">
      <c r="A20" s="2"/>
      <c r="B20" s="2"/>
      <c r="C20" s="2"/>
      <c r="D20" s="2"/>
      <c r="E20" s="2"/>
      <c r="F20" s="2"/>
      <c r="G20" s="2"/>
      <c r="H20" s="2"/>
      <c r="I20" s="134"/>
      <c r="J20" s="134"/>
    </row>
    <row r="21" spans="1:10" ht="12.5">
      <c r="A21" s="2"/>
      <c r="B21" s="2"/>
      <c r="C21" s="2"/>
      <c r="D21" s="2"/>
      <c r="E21" s="2"/>
      <c r="F21" s="2"/>
      <c r="G21" s="2"/>
      <c r="H21" s="2"/>
      <c r="I21" s="134"/>
      <c r="J21" s="134"/>
    </row>
    <row r="22" spans="1:10" ht="12.5">
      <c r="A22" s="2"/>
      <c r="B22" s="2"/>
      <c r="C22" s="2"/>
      <c r="D22" s="2"/>
      <c r="E22" s="2"/>
      <c r="F22" s="2"/>
      <c r="G22" s="2"/>
      <c r="H22" s="2"/>
      <c r="I22" s="134"/>
      <c r="J22" s="134"/>
    </row>
    <row r="23" spans="1:10" ht="12.5">
      <c r="A23" s="2"/>
      <c r="B23" s="2"/>
      <c r="C23" s="2"/>
      <c r="D23" s="2"/>
      <c r="E23" s="2"/>
      <c r="F23" s="2"/>
      <c r="G23" s="2"/>
      <c r="H23" s="2"/>
      <c r="I23" s="134"/>
      <c r="J23" s="134"/>
    </row>
    <row r="24" spans="1:10" ht="12.5">
      <c r="A24" s="2"/>
      <c r="B24" s="2"/>
      <c r="C24" s="2"/>
      <c r="D24" s="2"/>
      <c r="E24" s="2"/>
      <c r="F24" s="2"/>
      <c r="G24" s="2"/>
      <c r="H24" s="2"/>
      <c r="I24" s="134"/>
      <c r="J24" s="134"/>
    </row>
    <row r="25" spans="1:10" ht="12.5">
      <c r="A25" s="2"/>
      <c r="B25" s="2"/>
      <c r="C25" s="2"/>
      <c r="D25" s="2"/>
      <c r="E25" s="2"/>
      <c r="F25" s="2"/>
      <c r="G25" s="2"/>
      <c r="H25" s="2"/>
      <c r="I25" s="134"/>
      <c r="J25" s="134"/>
    </row>
    <row r="26" spans="1:10" ht="12.5">
      <c r="A26" s="2"/>
      <c r="B26" s="2"/>
      <c r="C26" s="2"/>
      <c r="D26" s="2"/>
      <c r="E26" s="2"/>
      <c r="F26" s="2"/>
      <c r="G26" s="2"/>
      <c r="H26" s="2"/>
      <c r="I26" s="134"/>
      <c r="J26" s="134"/>
    </row>
    <row r="27" spans="1:10" ht="12.5">
      <c r="A27" s="2"/>
      <c r="B27" s="2"/>
      <c r="C27" s="2"/>
      <c r="D27" s="2"/>
      <c r="E27" s="2"/>
      <c r="F27" s="2"/>
      <c r="G27" s="2"/>
      <c r="H27" s="2"/>
      <c r="I27" s="134"/>
      <c r="J27" s="134"/>
    </row>
    <row r="28" spans="1:10" ht="12.5">
      <c r="A28" s="2"/>
      <c r="B28" s="2"/>
      <c r="C28" s="2"/>
      <c r="D28" s="2"/>
      <c r="E28" s="2"/>
      <c r="F28" s="2"/>
      <c r="G28" s="2"/>
      <c r="H28" s="2"/>
      <c r="I28" s="134"/>
      <c r="J28" s="134"/>
    </row>
    <row r="29" spans="1:10" ht="12.5">
      <c r="A29" s="2"/>
      <c r="B29" s="2"/>
      <c r="C29" s="2"/>
      <c r="D29" s="2"/>
      <c r="E29" s="2"/>
      <c r="F29" s="2"/>
      <c r="G29" s="2"/>
      <c r="H29" s="2"/>
      <c r="I29" s="134"/>
      <c r="J29" s="134"/>
    </row>
    <row r="30" spans="1:10" ht="12.5">
      <c r="A30" s="2"/>
      <c r="B30" s="2"/>
      <c r="C30" s="2"/>
      <c r="D30" s="2"/>
      <c r="E30" s="2"/>
      <c r="F30" s="2"/>
      <c r="G30" s="2"/>
      <c r="H30" s="2"/>
      <c r="I30" s="134"/>
      <c r="J30" s="134"/>
    </row>
    <row r="31" spans="1:10" ht="12.5">
      <c r="A31" s="2"/>
      <c r="B31" s="2"/>
      <c r="C31" s="2"/>
      <c r="D31" s="2"/>
      <c r="E31" s="2"/>
      <c r="F31" s="2"/>
      <c r="G31" s="2"/>
      <c r="H31" s="2"/>
      <c r="I31" s="134"/>
      <c r="J31" s="134"/>
    </row>
    <row r="32" spans="1:10" ht="12.5">
      <c r="A32" s="2"/>
      <c r="B32" s="2"/>
      <c r="C32" s="2"/>
      <c r="D32" s="2"/>
      <c r="E32" s="2"/>
      <c r="F32" s="2"/>
      <c r="G32" s="2"/>
      <c r="H32" s="2"/>
      <c r="I32" s="134"/>
      <c r="J32" s="134"/>
    </row>
    <row r="33" spans="1:10" ht="12.5">
      <c r="A33" s="2"/>
      <c r="B33" s="2"/>
      <c r="C33" s="2"/>
      <c r="D33" s="2"/>
      <c r="E33" s="2"/>
      <c r="F33" s="2"/>
      <c r="G33" s="2"/>
      <c r="H33" s="2"/>
      <c r="I33" s="134"/>
      <c r="J33" s="134"/>
    </row>
    <row r="34" spans="1:10" ht="12.5">
      <c r="A34" s="2"/>
      <c r="B34" s="2"/>
      <c r="C34" s="2"/>
      <c r="D34" s="2"/>
      <c r="E34" s="2"/>
      <c r="F34" s="2"/>
      <c r="G34" s="2"/>
      <c r="H34" s="2"/>
      <c r="I34" s="134"/>
      <c r="J34" s="134"/>
    </row>
    <row r="35" spans="1:10" ht="12.5">
      <c r="A35" s="2"/>
      <c r="B35" s="2"/>
      <c r="C35" s="2"/>
      <c r="D35" s="2"/>
      <c r="E35" s="2"/>
      <c r="F35" s="2"/>
      <c r="G35" s="2"/>
      <c r="H35" s="2"/>
      <c r="I35" s="134"/>
      <c r="J35" s="134"/>
    </row>
    <row r="36" spans="1:10" ht="12.5">
      <c r="A36" s="2"/>
      <c r="B36" s="2"/>
      <c r="C36" s="2"/>
      <c r="D36" s="2"/>
      <c r="E36" s="2"/>
      <c r="F36" s="2"/>
      <c r="G36" s="2"/>
      <c r="H36" s="2"/>
      <c r="I36" s="134"/>
      <c r="J36" s="134"/>
    </row>
    <row r="37" spans="1:10" ht="12.5">
      <c r="A37" s="2"/>
      <c r="B37" s="2"/>
      <c r="C37" s="2"/>
      <c r="D37" s="2"/>
      <c r="E37" s="2"/>
      <c r="F37" s="2"/>
      <c r="G37" s="2"/>
      <c r="H37" s="2"/>
      <c r="I37" s="134"/>
      <c r="J37" s="134"/>
    </row>
    <row r="38" spans="1:10" ht="12.5">
      <c r="A38" s="2"/>
      <c r="B38" s="2"/>
      <c r="C38" s="2"/>
      <c r="D38" s="2"/>
      <c r="E38" s="2"/>
      <c r="F38" s="2"/>
      <c r="G38" s="2"/>
      <c r="H38" s="2"/>
      <c r="I38" s="134"/>
      <c r="J38" s="134"/>
    </row>
    <row r="39" spans="1:10" ht="12.5">
      <c r="A39" s="2"/>
      <c r="B39" s="2"/>
      <c r="C39" s="2"/>
      <c r="D39" s="2"/>
      <c r="E39" s="2"/>
      <c r="F39" s="2"/>
      <c r="G39" s="2"/>
      <c r="H39" s="2"/>
      <c r="I39" s="134"/>
      <c r="J39" s="134"/>
    </row>
    <row r="40" spans="1:10" ht="12.5">
      <c r="A40" s="2"/>
      <c r="B40" s="2"/>
      <c r="C40" s="2"/>
      <c r="D40" s="2"/>
      <c r="E40" s="2"/>
      <c r="F40" s="2"/>
      <c r="G40" s="2"/>
      <c r="H40" s="2"/>
      <c r="I40" s="134"/>
      <c r="J40" s="134"/>
    </row>
    <row r="41" spans="1:10" ht="12.5">
      <c r="A41" s="2"/>
      <c r="B41" s="2"/>
      <c r="C41" s="2"/>
      <c r="D41" s="2"/>
      <c r="E41" s="2"/>
      <c r="F41" s="2"/>
      <c r="G41" s="2"/>
      <c r="H41" s="2"/>
      <c r="I41" s="134"/>
      <c r="J41" s="134"/>
    </row>
    <row r="42" spans="1:10" ht="12.5">
      <c r="A42" s="2"/>
      <c r="B42" s="2"/>
      <c r="C42" s="2"/>
      <c r="D42" s="2"/>
      <c r="E42" s="2"/>
      <c r="F42" s="2"/>
      <c r="G42" s="2"/>
      <c r="H42" s="2"/>
      <c r="I42" s="134"/>
      <c r="J42" s="134"/>
    </row>
    <row r="43" spans="1:10" ht="12.5">
      <c r="A43" s="2"/>
      <c r="B43" s="2"/>
      <c r="C43" s="2"/>
      <c r="D43" s="2"/>
      <c r="E43" s="2"/>
      <c r="F43" s="2"/>
      <c r="G43" s="2"/>
      <c r="H43" s="2"/>
      <c r="I43" s="134"/>
      <c r="J43" s="134"/>
    </row>
    <row r="44" spans="1:10" ht="12.5">
      <c r="A44" s="2"/>
      <c r="B44" s="2"/>
      <c r="C44" s="2"/>
      <c r="D44" s="2"/>
      <c r="E44" s="2"/>
      <c r="F44" s="2"/>
      <c r="G44" s="2"/>
      <c r="H44" s="2"/>
      <c r="I44" s="134"/>
      <c r="J44" s="134"/>
    </row>
    <row r="45" spans="1:10" ht="12.5">
      <c r="A45" s="2"/>
      <c r="B45" s="2"/>
      <c r="C45" s="2"/>
      <c r="D45" s="2"/>
      <c r="E45" s="2"/>
      <c r="F45" s="2"/>
      <c r="G45" s="2"/>
      <c r="H45" s="2"/>
      <c r="I45" s="134"/>
      <c r="J45" s="134"/>
    </row>
    <row r="46" spans="1:10" ht="12.5">
      <c r="A46" s="2"/>
      <c r="B46" s="2"/>
      <c r="C46" s="2"/>
      <c r="D46" s="2"/>
      <c r="E46" s="2"/>
      <c r="F46" s="2"/>
      <c r="G46" s="2"/>
      <c r="H46" s="2"/>
      <c r="I46" s="134"/>
      <c r="J46" s="134"/>
    </row>
    <row r="47" spans="1:10" ht="12.5">
      <c r="A47" s="2"/>
      <c r="B47" s="2"/>
      <c r="C47" s="2"/>
      <c r="D47" s="2"/>
      <c r="E47" s="2"/>
      <c r="F47" s="2"/>
      <c r="G47" s="2"/>
      <c r="H47" s="2"/>
      <c r="I47" s="134"/>
      <c r="J47" s="134"/>
    </row>
    <row r="48" spans="1:10" ht="12.5">
      <c r="A48" s="2"/>
      <c r="B48" s="2"/>
      <c r="C48" s="2"/>
      <c r="D48" s="2"/>
      <c r="E48" s="2"/>
      <c r="F48" s="2"/>
      <c r="G48" s="2"/>
      <c r="H48" s="2"/>
      <c r="I48" s="134"/>
      <c r="J48" s="134"/>
    </row>
    <row r="49" spans="1:10" ht="12.5">
      <c r="A49" s="2"/>
      <c r="B49" s="2"/>
      <c r="C49" s="2"/>
      <c r="D49" s="2"/>
      <c r="E49" s="2"/>
      <c r="F49" s="2"/>
      <c r="G49" s="2"/>
      <c r="H49" s="2"/>
      <c r="I49" s="134"/>
      <c r="J49" s="134"/>
    </row>
    <row r="50" spans="1:10" ht="12.5">
      <c r="A50" s="2"/>
      <c r="B50" s="2"/>
      <c r="C50" s="2"/>
      <c r="D50" s="2"/>
      <c r="E50" s="2"/>
      <c r="F50" s="2"/>
      <c r="G50" s="2"/>
      <c r="H50" s="2"/>
      <c r="I50" s="134"/>
      <c r="J50" s="134"/>
    </row>
    <row r="51" spans="1:10" ht="12.5">
      <c r="A51" s="2"/>
      <c r="B51" s="2"/>
      <c r="C51" s="2"/>
      <c r="D51" s="2"/>
      <c r="E51" s="2"/>
      <c r="F51" s="2"/>
      <c r="G51" s="2"/>
      <c r="H51" s="2"/>
      <c r="I51" s="134"/>
      <c r="J51" s="134"/>
    </row>
    <row r="52" spans="1:10" ht="12.5">
      <c r="A52" s="2"/>
      <c r="B52" s="2"/>
      <c r="C52" s="2"/>
      <c r="D52" s="2"/>
      <c r="E52" s="2"/>
      <c r="F52" s="2"/>
      <c r="G52" s="2"/>
      <c r="H52" s="2"/>
      <c r="I52" s="134"/>
      <c r="J52" s="134"/>
    </row>
    <row r="53" spans="1:10" ht="12.5">
      <c r="A53" s="2"/>
      <c r="B53" s="2"/>
      <c r="C53" s="2"/>
      <c r="D53" s="2"/>
      <c r="E53" s="2"/>
      <c r="F53" s="2"/>
      <c r="G53" s="2"/>
      <c r="H53" s="2"/>
      <c r="I53" s="134"/>
      <c r="J53" s="134"/>
    </row>
    <row r="54" spans="1:10" ht="12.5">
      <c r="A54" s="2"/>
      <c r="B54" s="2"/>
      <c r="C54" s="2"/>
      <c r="D54" s="2"/>
      <c r="E54" s="2"/>
      <c r="F54" s="2"/>
      <c r="G54" s="2"/>
      <c r="H54" s="2"/>
      <c r="I54" s="134"/>
      <c r="J54" s="134"/>
    </row>
    <row r="55" spans="1:10" ht="12.5">
      <c r="A55" s="2"/>
      <c r="B55" s="2"/>
      <c r="C55" s="2"/>
      <c r="D55" s="2"/>
      <c r="E55" s="2"/>
      <c r="F55" s="2"/>
      <c r="G55" s="2"/>
      <c r="H55" s="2"/>
      <c r="I55" s="134"/>
      <c r="J55" s="134"/>
    </row>
    <row r="56" spans="1:10" ht="12.5">
      <c r="A56" s="2"/>
      <c r="B56" s="2"/>
      <c r="C56" s="2"/>
      <c r="D56" s="2"/>
      <c r="E56" s="2"/>
      <c r="F56" s="2"/>
      <c r="G56" s="2"/>
      <c r="H56" s="2"/>
      <c r="I56" s="134"/>
      <c r="J56" s="134"/>
    </row>
    <row r="57" spans="1:10" ht="12.5">
      <c r="A57" s="2"/>
      <c r="B57" s="2"/>
      <c r="C57" s="2"/>
      <c r="D57" s="2"/>
      <c r="E57" s="2"/>
      <c r="F57" s="2"/>
      <c r="G57" s="2"/>
      <c r="H57" s="2"/>
      <c r="I57" s="134"/>
      <c r="J57" s="134"/>
    </row>
    <row r="58" spans="1:10" ht="12.5">
      <c r="A58" s="2"/>
      <c r="B58" s="2"/>
      <c r="C58" s="2"/>
      <c r="D58" s="2"/>
      <c r="E58" s="2"/>
      <c r="F58" s="2"/>
      <c r="G58" s="2"/>
      <c r="H58" s="2"/>
      <c r="I58" s="134"/>
      <c r="J58" s="134"/>
    </row>
    <row r="59" spans="1:10" ht="12.5">
      <c r="A59" s="2"/>
      <c r="B59" s="2"/>
      <c r="C59" s="2"/>
      <c r="D59" s="2"/>
      <c r="E59" s="2"/>
      <c r="F59" s="2"/>
      <c r="G59" s="2"/>
      <c r="H59" s="2"/>
      <c r="I59" s="134"/>
      <c r="J59" s="134"/>
    </row>
    <row r="60" spans="1:10" ht="12.5">
      <c r="A60" s="2"/>
      <c r="B60" s="2"/>
      <c r="C60" s="2"/>
      <c r="D60" s="2"/>
      <c r="E60" s="2"/>
      <c r="F60" s="2"/>
      <c r="G60" s="2"/>
      <c r="H60" s="2"/>
      <c r="I60" s="134"/>
      <c r="J60" s="134"/>
    </row>
    <row r="61" spans="1:10" ht="12.5">
      <c r="A61" s="2"/>
      <c r="B61" s="2"/>
      <c r="C61" s="2"/>
      <c r="D61" s="2"/>
      <c r="E61" s="2"/>
      <c r="F61" s="2"/>
      <c r="G61" s="2"/>
      <c r="H61" s="2"/>
      <c r="I61" s="134"/>
      <c r="J61" s="134"/>
    </row>
    <row r="62" spans="1:10" ht="12.5">
      <c r="A62" s="2"/>
      <c r="B62" s="2"/>
      <c r="C62" s="2"/>
      <c r="D62" s="2"/>
      <c r="E62" s="2"/>
      <c r="F62" s="2"/>
      <c r="G62" s="2"/>
      <c r="H62" s="2"/>
      <c r="I62" s="134"/>
      <c r="J62" s="134"/>
    </row>
    <row r="63" spans="1:10" ht="12.5">
      <c r="A63" s="2"/>
      <c r="B63" s="2"/>
      <c r="C63" s="2"/>
      <c r="D63" s="2"/>
      <c r="E63" s="2"/>
      <c r="F63" s="2"/>
      <c r="G63" s="2"/>
      <c r="H63" s="2"/>
      <c r="I63" s="134"/>
      <c r="J63" s="134"/>
    </row>
    <row r="64" spans="1:10" ht="12.5">
      <c r="A64" s="2"/>
      <c r="B64" s="2"/>
      <c r="C64" s="2"/>
      <c r="D64" s="2"/>
      <c r="E64" s="2"/>
      <c r="F64" s="2"/>
      <c r="G64" s="2"/>
      <c r="H64" s="2"/>
      <c r="I64" s="134"/>
      <c r="J64" s="134"/>
    </row>
    <row r="65" spans="1:10" ht="12.5">
      <c r="A65" s="2"/>
      <c r="B65" s="2"/>
      <c r="C65" s="2"/>
      <c r="D65" s="2"/>
      <c r="E65" s="2"/>
      <c r="F65" s="2"/>
      <c r="G65" s="2"/>
      <c r="H65" s="2"/>
      <c r="I65" s="134"/>
      <c r="J65" s="134"/>
    </row>
    <row r="66" spans="1:10" ht="12.5">
      <c r="A66" s="2"/>
      <c r="B66" s="2"/>
      <c r="C66" s="2"/>
      <c r="D66" s="2"/>
      <c r="E66" s="2"/>
      <c r="F66" s="2"/>
      <c r="G66" s="2"/>
      <c r="H66" s="2"/>
      <c r="I66" s="134"/>
      <c r="J66" s="134"/>
    </row>
    <row r="67" spans="1:10" ht="12.5">
      <c r="A67" s="2"/>
      <c r="B67" s="2"/>
      <c r="C67" s="2"/>
      <c r="D67" s="2"/>
      <c r="E67" s="2"/>
      <c r="F67" s="2"/>
      <c r="G67" s="2"/>
      <c r="H67" s="2"/>
      <c r="I67" s="134"/>
      <c r="J67" s="134"/>
    </row>
    <row r="68" spans="1:10" ht="12.5">
      <c r="A68" s="2"/>
      <c r="B68" s="2"/>
      <c r="C68" s="2"/>
      <c r="D68" s="2"/>
      <c r="E68" s="2"/>
      <c r="F68" s="2"/>
      <c r="G68" s="2"/>
      <c r="H68" s="2"/>
      <c r="I68" s="134"/>
      <c r="J68" s="134"/>
    </row>
    <row r="69" spans="1:10" ht="12.5">
      <c r="A69" s="2"/>
      <c r="B69" s="2"/>
      <c r="C69" s="2"/>
      <c r="D69" s="2"/>
      <c r="E69" s="2"/>
      <c r="F69" s="2"/>
      <c r="G69" s="2"/>
      <c r="H69" s="2"/>
      <c r="I69" s="134"/>
      <c r="J69" s="134"/>
    </row>
    <row r="70" spans="1:10" ht="12.5">
      <c r="A70" s="2"/>
      <c r="B70" s="2"/>
      <c r="C70" s="2"/>
      <c r="D70" s="2"/>
      <c r="E70" s="2"/>
      <c r="F70" s="2"/>
      <c r="G70" s="2"/>
      <c r="H70" s="2"/>
      <c r="I70" s="134"/>
      <c r="J70" s="134"/>
    </row>
    <row r="71" spans="1:10" ht="12.5">
      <c r="A71" s="2"/>
      <c r="B71" s="2"/>
      <c r="C71" s="2"/>
      <c r="D71" s="2"/>
      <c r="E71" s="2"/>
      <c r="F71" s="2"/>
      <c r="G71" s="2"/>
      <c r="H71" s="2"/>
      <c r="I71" s="134"/>
      <c r="J71" s="134"/>
    </row>
    <row r="72" spans="1:10" ht="12.5">
      <c r="A72" s="2"/>
      <c r="B72" s="2"/>
      <c r="C72" s="2"/>
      <c r="D72" s="2"/>
      <c r="E72" s="2"/>
      <c r="F72" s="2"/>
      <c r="G72" s="2"/>
      <c r="H72" s="2"/>
      <c r="I72" s="134"/>
      <c r="J72" s="134"/>
    </row>
    <row r="73" spans="1:10" ht="12.5">
      <c r="A73" s="2"/>
      <c r="B73" s="2"/>
      <c r="C73" s="2"/>
      <c r="D73" s="2"/>
      <c r="E73" s="2"/>
      <c r="F73" s="2"/>
      <c r="G73" s="2"/>
      <c r="H73" s="2"/>
      <c r="I73" s="134"/>
      <c r="J73" s="134"/>
    </row>
    <row r="74" spans="1:10" ht="12.5">
      <c r="A74" s="80"/>
      <c r="B74" s="80"/>
      <c r="C74" s="80"/>
      <c r="D74" s="49"/>
      <c r="E74" s="49"/>
      <c r="F74" s="49"/>
      <c r="G74" s="49"/>
      <c r="H74" s="49"/>
    </row>
    <row r="75" spans="1:10" ht="12.5">
      <c r="A75" s="80"/>
      <c r="B75" s="80"/>
      <c r="C75" s="80"/>
      <c r="D75" s="49"/>
      <c r="E75" s="49"/>
      <c r="F75" s="49"/>
      <c r="G75" s="49"/>
      <c r="H75" s="49"/>
    </row>
    <row r="76" spans="1:10" ht="12.5">
      <c r="A76" s="80"/>
      <c r="B76" s="80"/>
      <c r="C76" s="80"/>
      <c r="D76" s="49"/>
      <c r="E76" s="49"/>
      <c r="F76" s="49"/>
      <c r="G76" s="49"/>
      <c r="H76" s="49"/>
    </row>
    <row r="77" spans="1:10" ht="12.5">
      <c r="A77" s="80"/>
      <c r="B77" s="80"/>
      <c r="C77" s="80"/>
      <c r="D77" s="49"/>
      <c r="E77" s="49"/>
      <c r="F77" s="49"/>
      <c r="G77" s="49"/>
      <c r="H77" s="49"/>
    </row>
    <row r="78" spans="1:10" ht="12.5">
      <c r="A78" s="80"/>
      <c r="B78" s="80"/>
      <c r="C78" s="80"/>
      <c r="D78" s="49"/>
      <c r="E78" s="49"/>
      <c r="F78" s="49"/>
      <c r="G78" s="49"/>
      <c r="H78" s="49"/>
    </row>
    <row r="79" spans="1:10" ht="12.5">
      <c r="A79" s="80"/>
      <c r="B79" s="80"/>
      <c r="C79" s="80"/>
      <c r="D79" s="49"/>
      <c r="E79" s="49"/>
      <c r="F79" s="49"/>
      <c r="G79" s="49"/>
      <c r="H79" s="49"/>
    </row>
    <row r="80" spans="1:10" ht="12.5">
      <c r="A80" s="80"/>
      <c r="B80" s="80"/>
      <c r="C80" s="80"/>
      <c r="D80" s="49"/>
      <c r="E80" s="49"/>
      <c r="F80" s="49"/>
      <c r="G80" s="49"/>
      <c r="H80" s="49"/>
    </row>
    <row r="81" spans="1:8" ht="12.5">
      <c r="A81" s="80"/>
      <c r="B81" s="80"/>
      <c r="C81" s="80"/>
      <c r="D81" s="49"/>
      <c r="E81" s="49"/>
      <c r="F81" s="49"/>
      <c r="G81" s="49"/>
      <c r="H81" s="49"/>
    </row>
    <row r="82" spans="1:8" ht="12.5">
      <c r="A82" s="80"/>
      <c r="B82" s="80"/>
      <c r="C82" s="80"/>
      <c r="D82" s="49"/>
      <c r="E82" s="49"/>
      <c r="F82" s="49"/>
      <c r="G82" s="49"/>
      <c r="H82" s="49"/>
    </row>
    <row r="83" spans="1:8" ht="12.5">
      <c r="A83" s="80"/>
      <c r="B83" s="80"/>
      <c r="C83" s="80"/>
      <c r="D83" s="49"/>
      <c r="E83" s="49"/>
      <c r="F83" s="49"/>
      <c r="G83" s="49"/>
      <c r="H83" s="49"/>
    </row>
    <row r="84" spans="1:8" ht="12.5">
      <c r="A84" s="80"/>
      <c r="B84" s="80"/>
      <c r="C84" s="80"/>
      <c r="D84" s="49"/>
      <c r="E84" s="49"/>
      <c r="F84" s="49"/>
      <c r="G84" s="49"/>
      <c r="H84" s="49"/>
    </row>
    <row r="85" spans="1:8" ht="12.5">
      <c r="A85" s="80"/>
      <c r="B85" s="80"/>
      <c r="C85" s="80"/>
      <c r="D85" s="49"/>
      <c r="E85" s="49"/>
      <c r="F85" s="49"/>
      <c r="G85" s="49"/>
      <c r="H85" s="49"/>
    </row>
    <row r="86" spans="1:8" ht="12.5">
      <c r="A86" s="80"/>
      <c r="B86" s="80"/>
      <c r="C86" s="80"/>
      <c r="D86" s="49"/>
      <c r="E86" s="49"/>
      <c r="F86" s="49"/>
      <c r="G86" s="49"/>
      <c r="H86" s="49"/>
    </row>
    <row r="87" spans="1:8" ht="12.5">
      <c r="A87" s="80"/>
      <c r="B87" s="80"/>
      <c r="C87" s="80"/>
      <c r="D87" s="49"/>
      <c r="E87" s="49"/>
      <c r="F87" s="49"/>
      <c r="G87" s="49"/>
      <c r="H87" s="49"/>
    </row>
    <row r="88" spans="1:8" ht="12.5">
      <c r="A88" s="80"/>
      <c r="B88" s="80"/>
      <c r="C88" s="80"/>
      <c r="D88" s="49"/>
      <c r="E88" s="49"/>
      <c r="F88" s="49"/>
      <c r="G88" s="49"/>
      <c r="H88" s="49"/>
    </row>
    <row r="89" spans="1:8" ht="12.5">
      <c r="A89" s="80"/>
      <c r="B89" s="80"/>
      <c r="C89" s="80"/>
      <c r="D89" s="49"/>
      <c r="E89" s="49"/>
      <c r="F89" s="49"/>
      <c r="G89" s="49"/>
      <c r="H89" s="49"/>
    </row>
    <row r="90" spans="1:8" ht="12.5">
      <c r="A90" s="80"/>
      <c r="B90" s="80"/>
      <c r="C90" s="80"/>
      <c r="D90" s="49"/>
      <c r="E90" s="49"/>
      <c r="F90" s="49"/>
      <c r="G90" s="49"/>
      <c r="H90" s="49"/>
    </row>
    <row r="91" spans="1:8" ht="12.5">
      <c r="A91" s="80"/>
      <c r="B91" s="80"/>
      <c r="C91" s="80"/>
      <c r="D91" s="49"/>
      <c r="E91" s="49"/>
      <c r="F91" s="49"/>
      <c r="G91" s="49"/>
      <c r="H91" s="49"/>
    </row>
    <row r="92" spans="1:8" ht="12.5">
      <c r="A92" s="80"/>
      <c r="B92" s="80"/>
      <c r="C92" s="80"/>
      <c r="D92" s="49"/>
      <c r="E92" s="49"/>
      <c r="F92" s="49"/>
      <c r="G92" s="49"/>
      <c r="H92" s="49"/>
    </row>
    <row r="93" spans="1:8" ht="12.5">
      <c r="A93" s="80"/>
      <c r="B93" s="80"/>
      <c r="C93" s="80"/>
      <c r="D93" s="49"/>
      <c r="E93" s="49"/>
      <c r="F93" s="49"/>
      <c r="G93" s="49"/>
      <c r="H93" s="49"/>
    </row>
    <row r="94" spans="1:8" ht="12.5">
      <c r="A94" s="80"/>
      <c r="B94" s="80"/>
      <c r="C94" s="80"/>
      <c r="D94" s="49"/>
      <c r="E94" s="49"/>
      <c r="F94" s="49"/>
      <c r="G94" s="49"/>
      <c r="H94" s="49"/>
    </row>
    <row r="95" spans="1:8" ht="12.5">
      <c r="A95" s="80"/>
      <c r="B95" s="80"/>
      <c r="C95" s="80"/>
      <c r="D95" s="49"/>
      <c r="E95" s="49"/>
      <c r="F95" s="49"/>
      <c r="G95" s="49"/>
      <c r="H95" s="49"/>
    </row>
    <row r="96" spans="1:8" ht="12.5">
      <c r="A96" s="80"/>
      <c r="B96" s="80"/>
      <c r="C96" s="80"/>
      <c r="D96" s="49"/>
      <c r="E96" s="49"/>
      <c r="F96" s="49"/>
      <c r="G96" s="49"/>
      <c r="H96" s="49"/>
    </row>
    <row r="97" spans="1:8" ht="12.5">
      <c r="A97" s="80"/>
      <c r="B97" s="80"/>
      <c r="C97" s="80"/>
      <c r="D97" s="49"/>
      <c r="E97" s="49"/>
      <c r="F97" s="49"/>
      <c r="G97" s="49"/>
      <c r="H97" s="49"/>
    </row>
    <row r="98" spans="1:8" ht="12.5">
      <c r="A98" s="80"/>
      <c r="B98" s="80"/>
      <c r="C98" s="80"/>
      <c r="D98" s="49"/>
      <c r="E98" s="49"/>
      <c r="F98" s="49"/>
      <c r="G98" s="49"/>
      <c r="H98" s="49"/>
    </row>
    <row r="99" spans="1:8" ht="12.5">
      <c r="A99" s="80"/>
      <c r="B99" s="80"/>
      <c r="C99" s="80"/>
      <c r="D99" s="49"/>
      <c r="E99" s="49"/>
      <c r="F99" s="49"/>
      <c r="G99" s="49"/>
      <c r="H99" s="49"/>
    </row>
    <row r="100" spans="1:8" ht="12.5">
      <c r="A100" s="80"/>
      <c r="B100" s="80"/>
      <c r="C100" s="80"/>
      <c r="D100" s="49"/>
      <c r="E100" s="49"/>
      <c r="F100" s="49"/>
      <c r="G100" s="49"/>
      <c r="H100" s="49"/>
    </row>
    <row r="101" spans="1:8" ht="12.5">
      <c r="A101" s="80"/>
      <c r="B101" s="80"/>
      <c r="C101" s="80"/>
      <c r="D101" s="49"/>
      <c r="E101" s="49"/>
      <c r="F101" s="49"/>
      <c r="G101" s="49"/>
      <c r="H101" s="49"/>
    </row>
    <row r="102" spans="1:8" ht="12.5">
      <c r="A102" s="80"/>
      <c r="B102" s="80"/>
      <c r="C102" s="80"/>
      <c r="D102" s="49"/>
      <c r="E102" s="49"/>
      <c r="F102" s="49"/>
      <c r="G102" s="49"/>
      <c r="H102" s="49"/>
    </row>
    <row r="103" spans="1:8" ht="12.5">
      <c r="A103" s="80"/>
      <c r="B103" s="80"/>
      <c r="C103" s="80"/>
      <c r="D103" s="49"/>
      <c r="E103" s="49"/>
      <c r="F103" s="49"/>
      <c r="G103" s="49"/>
      <c r="H103" s="49"/>
    </row>
    <row r="104" spans="1:8" ht="12.5">
      <c r="A104" s="80"/>
      <c r="B104" s="80"/>
      <c r="C104" s="80"/>
      <c r="D104" s="49"/>
      <c r="E104" s="49"/>
      <c r="F104" s="49"/>
      <c r="G104" s="49"/>
      <c r="H104" s="49"/>
    </row>
    <row r="105" spans="1:8" ht="12.5">
      <c r="A105" s="80"/>
      <c r="B105" s="80"/>
      <c r="C105" s="80"/>
      <c r="D105" s="49"/>
      <c r="E105" s="49"/>
      <c r="F105" s="49"/>
      <c r="G105" s="49"/>
      <c r="H105" s="49"/>
    </row>
    <row r="106" spans="1:8" ht="12.5">
      <c r="A106" s="80"/>
      <c r="B106" s="80"/>
      <c r="C106" s="80"/>
      <c r="D106" s="49"/>
      <c r="E106" s="49"/>
      <c r="F106" s="49"/>
      <c r="G106" s="49"/>
      <c r="H106" s="49"/>
    </row>
    <row r="107" spans="1:8" ht="12.5">
      <c r="A107" s="80"/>
      <c r="B107" s="80"/>
      <c r="C107" s="80"/>
      <c r="D107" s="49"/>
      <c r="E107" s="49"/>
      <c r="F107" s="49"/>
      <c r="G107" s="49"/>
      <c r="H107" s="49"/>
    </row>
    <row r="108" spans="1:8" ht="12.5">
      <c r="A108" s="80"/>
      <c r="B108" s="80"/>
      <c r="C108" s="80"/>
      <c r="D108" s="49"/>
      <c r="E108" s="49"/>
      <c r="F108" s="49"/>
      <c r="G108" s="49"/>
      <c r="H108" s="49"/>
    </row>
    <row r="109" spans="1:8" ht="12.5">
      <c r="A109" s="80"/>
      <c r="B109" s="80"/>
      <c r="C109" s="80"/>
      <c r="D109" s="49"/>
      <c r="E109" s="49"/>
      <c r="F109" s="49"/>
      <c r="G109" s="49"/>
      <c r="H109" s="49"/>
    </row>
    <row r="110" spans="1:8" ht="12.5">
      <c r="A110" s="80"/>
      <c r="B110" s="80"/>
      <c r="C110" s="80"/>
      <c r="D110" s="49"/>
      <c r="E110" s="49"/>
      <c r="F110" s="49"/>
      <c r="G110" s="49"/>
      <c r="H110" s="49"/>
    </row>
    <row r="111" spans="1:8" ht="12.5">
      <c r="A111" s="80"/>
      <c r="B111" s="80"/>
      <c r="C111" s="80"/>
      <c r="D111" s="49"/>
      <c r="E111" s="49"/>
      <c r="F111" s="49"/>
      <c r="G111" s="49"/>
      <c r="H111" s="49"/>
    </row>
    <row r="112" spans="1:8" ht="12.5">
      <c r="A112" s="80"/>
      <c r="B112" s="80"/>
      <c r="C112" s="80"/>
      <c r="D112" s="49"/>
      <c r="E112" s="49"/>
      <c r="F112" s="49"/>
      <c r="G112" s="49"/>
      <c r="H112" s="49"/>
    </row>
    <row r="113" spans="1:8" ht="12.5">
      <c r="A113" s="80"/>
      <c r="B113" s="80"/>
      <c r="C113" s="80"/>
      <c r="D113" s="49"/>
      <c r="E113" s="49"/>
      <c r="F113" s="49"/>
      <c r="G113" s="49"/>
      <c r="H113" s="49"/>
    </row>
    <row r="114" spans="1:8" ht="12.5">
      <c r="A114" s="80"/>
      <c r="B114" s="80"/>
      <c r="C114" s="80"/>
      <c r="D114" s="49"/>
      <c r="E114" s="49"/>
      <c r="F114" s="49"/>
      <c r="G114" s="49"/>
      <c r="H114" s="49"/>
    </row>
    <row r="115" spans="1:8" ht="12.5">
      <c r="A115" s="80"/>
      <c r="B115" s="80"/>
      <c r="C115" s="80"/>
      <c r="D115" s="49"/>
      <c r="E115" s="49"/>
      <c r="F115" s="49"/>
      <c r="G115" s="49"/>
      <c r="H115" s="49"/>
    </row>
    <row r="116" spans="1:8" ht="12.5">
      <c r="A116" s="80"/>
      <c r="B116" s="80"/>
      <c r="C116" s="80"/>
      <c r="D116" s="49"/>
      <c r="E116" s="49"/>
      <c r="F116" s="49"/>
      <c r="G116" s="49"/>
      <c r="H116" s="49"/>
    </row>
    <row r="117" spans="1:8" ht="12.5">
      <c r="A117" s="80"/>
      <c r="B117" s="80"/>
      <c r="C117" s="80"/>
      <c r="D117" s="49"/>
      <c r="E117" s="49"/>
      <c r="F117" s="49"/>
      <c r="G117" s="49"/>
      <c r="H117" s="49"/>
    </row>
    <row r="118" spans="1:8" ht="12.5">
      <c r="A118" s="80"/>
      <c r="B118" s="80"/>
      <c r="C118" s="80"/>
      <c r="D118" s="49"/>
      <c r="E118" s="49"/>
      <c r="F118" s="49"/>
      <c r="G118" s="49"/>
      <c r="H118" s="49"/>
    </row>
    <row r="119" spans="1:8" ht="12.5">
      <c r="A119" s="80"/>
      <c r="B119" s="80"/>
      <c r="C119" s="80"/>
      <c r="D119" s="49"/>
      <c r="E119" s="49"/>
      <c r="F119" s="49"/>
      <c r="G119" s="49"/>
      <c r="H119" s="49"/>
    </row>
    <row r="120" spans="1:8" ht="12.5">
      <c r="A120" s="80"/>
      <c r="B120" s="80"/>
      <c r="C120" s="80"/>
      <c r="D120" s="49"/>
      <c r="E120" s="49"/>
      <c r="F120" s="49"/>
      <c r="G120" s="49"/>
      <c r="H120" s="49"/>
    </row>
    <row r="121" spans="1:8" ht="12.5">
      <c r="A121" s="80"/>
      <c r="B121" s="80"/>
      <c r="C121" s="80"/>
      <c r="D121" s="49"/>
      <c r="E121" s="49"/>
      <c r="F121" s="49"/>
      <c r="G121" s="49"/>
      <c r="H121" s="49"/>
    </row>
    <row r="122" spans="1:8" ht="12.5">
      <c r="A122" s="80"/>
      <c r="B122" s="80"/>
      <c r="C122" s="80"/>
      <c r="D122" s="49"/>
      <c r="E122" s="49"/>
      <c r="F122" s="49"/>
      <c r="G122" s="49"/>
      <c r="H122" s="49"/>
    </row>
    <row r="123" spans="1:8" ht="12.5">
      <c r="A123" s="80"/>
      <c r="B123" s="80"/>
      <c r="C123" s="80"/>
      <c r="D123" s="49"/>
      <c r="E123" s="49"/>
      <c r="F123" s="49"/>
      <c r="G123" s="49"/>
      <c r="H123" s="49"/>
    </row>
    <row r="124" spans="1:8" ht="12.5">
      <c r="A124" s="80"/>
      <c r="B124" s="80"/>
      <c r="C124" s="80"/>
      <c r="D124" s="49"/>
      <c r="E124" s="49"/>
      <c r="F124" s="49"/>
      <c r="G124" s="49"/>
      <c r="H124" s="49"/>
    </row>
    <row r="125" spans="1:8" ht="12.5">
      <c r="A125" s="80"/>
      <c r="B125" s="80"/>
      <c r="C125" s="80"/>
      <c r="D125" s="49"/>
      <c r="E125" s="49"/>
      <c r="F125" s="49"/>
      <c r="G125" s="49"/>
      <c r="H125" s="49"/>
    </row>
    <row r="126" spans="1:8" ht="12.5">
      <c r="A126" s="80"/>
      <c r="B126" s="80"/>
      <c r="C126" s="80"/>
      <c r="D126" s="49"/>
      <c r="E126" s="49"/>
      <c r="F126" s="49"/>
      <c r="G126" s="49"/>
      <c r="H126" s="49"/>
    </row>
    <row r="127" spans="1:8" ht="12.5">
      <c r="A127" s="80"/>
      <c r="B127" s="80"/>
      <c r="C127" s="80"/>
      <c r="D127" s="49"/>
      <c r="E127" s="49"/>
      <c r="F127" s="49"/>
      <c r="G127" s="49"/>
      <c r="H127" s="49"/>
    </row>
    <row r="128" spans="1:8" ht="12.5">
      <c r="A128" s="80"/>
      <c r="B128" s="80"/>
      <c r="C128" s="80"/>
      <c r="D128" s="49"/>
      <c r="E128" s="49"/>
      <c r="F128" s="49"/>
      <c r="G128" s="49"/>
      <c r="H128" s="49"/>
    </row>
    <row r="129" spans="1:8" ht="12.5">
      <c r="A129" s="80"/>
      <c r="B129" s="80"/>
      <c r="C129" s="80"/>
      <c r="D129" s="49"/>
      <c r="E129" s="49"/>
      <c r="F129" s="49"/>
      <c r="G129" s="49"/>
      <c r="H129" s="49"/>
    </row>
    <row r="130" spans="1:8" ht="12.5">
      <c r="A130" s="80"/>
      <c r="B130" s="80"/>
      <c r="C130" s="80"/>
      <c r="D130" s="49"/>
      <c r="E130" s="49"/>
      <c r="F130" s="49"/>
      <c r="G130" s="49"/>
      <c r="H130" s="49"/>
    </row>
    <row r="131" spans="1:8" ht="12.5">
      <c r="A131" s="80"/>
      <c r="B131" s="80"/>
      <c r="C131" s="80"/>
      <c r="D131" s="49"/>
      <c r="E131" s="49"/>
      <c r="F131" s="49"/>
      <c r="G131" s="49"/>
      <c r="H131" s="49"/>
    </row>
    <row r="132" spans="1:8" ht="12.5">
      <c r="A132" s="80"/>
      <c r="B132" s="80"/>
      <c r="C132" s="80"/>
      <c r="D132" s="49"/>
      <c r="E132" s="49"/>
      <c r="F132" s="49"/>
      <c r="G132" s="49"/>
      <c r="H132" s="49"/>
    </row>
    <row r="133" spans="1:8" ht="12.5">
      <c r="A133" s="80"/>
      <c r="B133" s="80"/>
      <c r="C133" s="80"/>
      <c r="D133" s="49"/>
      <c r="E133" s="49"/>
      <c r="F133" s="49"/>
      <c r="G133" s="49"/>
      <c r="H133" s="49"/>
    </row>
    <row r="134" spans="1:8" ht="12.5">
      <c r="A134" s="80"/>
      <c r="B134" s="80"/>
      <c r="C134" s="80"/>
      <c r="D134" s="49"/>
      <c r="E134" s="49"/>
      <c r="F134" s="49"/>
      <c r="G134" s="49"/>
      <c r="H134" s="49"/>
    </row>
    <row r="135" spans="1:8" ht="12.5">
      <c r="A135" s="80"/>
      <c r="B135" s="80"/>
      <c r="C135" s="80"/>
      <c r="D135" s="49"/>
      <c r="E135" s="49"/>
      <c r="F135" s="49"/>
      <c r="G135" s="49"/>
      <c r="H135" s="49"/>
    </row>
    <row r="136" spans="1:8" ht="12.5">
      <c r="A136" s="80"/>
      <c r="B136" s="80"/>
      <c r="C136" s="80"/>
      <c r="D136" s="49"/>
      <c r="E136" s="49"/>
      <c r="F136" s="49"/>
      <c r="G136" s="49"/>
      <c r="H136" s="49"/>
    </row>
    <row r="137" spans="1:8" ht="12.5">
      <c r="A137" s="80"/>
      <c r="B137" s="80"/>
      <c r="C137" s="80"/>
      <c r="D137" s="49"/>
      <c r="E137" s="49"/>
      <c r="F137" s="49"/>
      <c r="G137" s="49"/>
      <c r="H137" s="49"/>
    </row>
    <row r="138" spans="1:8" ht="12.5">
      <c r="A138" s="80"/>
      <c r="B138" s="80"/>
      <c r="C138" s="80"/>
      <c r="D138" s="49"/>
      <c r="E138" s="49"/>
      <c r="F138" s="49"/>
      <c r="G138" s="49"/>
      <c r="H138" s="49"/>
    </row>
    <row r="139" spans="1:8" ht="12.5">
      <c r="A139" s="49"/>
      <c r="B139" s="49"/>
      <c r="C139" s="49"/>
      <c r="D139" s="49"/>
      <c r="E139" s="49"/>
      <c r="F139" s="49"/>
      <c r="G139" s="49"/>
      <c r="H139" s="49"/>
    </row>
    <row r="140" spans="1:8" ht="12.5">
      <c r="A140" s="49"/>
      <c r="B140" s="49"/>
      <c r="C140" s="49"/>
      <c r="D140" s="49"/>
      <c r="E140" s="49"/>
      <c r="F140" s="49"/>
      <c r="G140" s="49"/>
      <c r="H140" s="49"/>
    </row>
    <row r="141" spans="1:8" ht="12.5">
      <c r="A141" s="49"/>
      <c r="B141" s="49"/>
      <c r="C141" s="49"/>
      <c r="D141" s="49"/>
      <c r="E141" s="49"/>
      <c r="F141" s="49"/>
      <c r="G141" s="49"/>
      <c r="H141" s="49"/>
    </row>
    <row r="142" spans="1:8" ht="12.5">
      <c r="A142" s="49"/>
      <c r="B142" s="49"/>
      <c r="C142" s="49"/>
      <c r="D142" s="49"/>
      <c r="E142" s="49"/>
      <c r="F142" s="49"/>
      <c r="G142" s="49"/>
      <c r="H142" s="49"/>
    </row>
    <row r="143" spans="1:8" ht="12.5">
      <c r="A143" s="49"/>
      <c r="B143" s="49"/>
      <c r="C143" s="49"/>
      <c r="D143" s="49"/>
      <c r="E143" s="49"/>
      <c r="F143" s="49"/>
      <c r="G143" s="49"/>
      <c r="H143" s="49"/>
    </row>
    <row r="144" spans="1:8" ht="12.5">
      <c r="A144" s="49"/>
      <c r="B144" s="49"/>
      <c r="C144" s="49"/>
      <c r="D144" s="49"/>
      <c r="E144" s="49"/>
      <c r="F144" s="49"/>
      <c r="G144" s="49"/>
      <c r="H144" s="49"/>
    </row>
    <row r="145" spans="1:8" ht="12.5">
      <c r="A145" s="49"/>
      <c r="B145" s="49"/>
      <c r="C145" s="49"/>
      <c r="D145" s="49"/>
      <c r="E145" s="49"/>
      <c r="F145" s="49"/>
      <c r="G145" s="49"/>
      <c r="H145" s="49"/>
    </row>
    <row r="146" spans="1:8" ht="12.5">
      <c r="A146" s="49"/>
      <c r="B146" s="49"/>
      <c r="C146" s="49"/>
      <c r="D146" s="49"/>
      <c r="E146" s="49"/>
      <c r="F146" s="49"/>
      <c r="G146" s="49"/>
      <c r="H146" s="49"/>
    </row>
    <row r="147" spans="1:8" ht="12.5">
      <c r="A147" s="49"/>
      <c r="B147" s="49"/>
      <c r="C147" s="49"/>
      <c r="D147" s="49"/>
      <c r="E147" s="49"/>
      <c r="F147" s="49"/>
      <c r="G147" s="49"/>
      <c r="H147" s="49"/>
    </row>
    <row r="148" spans="1:8" ht="12.5">
      <c r="A148" s="49"/>
      <c r="B148" s="49"/>
      <c r="C148" s="49"/>
      <c r="D148" s="49"/>
      <c r="E148" s="49"/>
      <c r="F148" s="49"/>
      <c r="G148" s="49"/>
      <c r="H148" s="49"/>
    </row>
    <row r="149" spans="1:8" ht="12.5">
      <c r="A149" s="49"/>
      <c r="B149" s="49"/>
      <c r="C149" s="49"/>
      <c r="D149" s="49"/>
      <c r="E149" s="49"/>
      <c r="F149" s="49"/>
      <c r="G149" s="49"/>
      <c r="H149" s="49"/>
    </row>
    <row r="150" spans="1:8" ht="12.5">
      <c r="A150" s="49"/>
      <c r="B150" s="49"/>
      <c r="C150" s="49"/>
      <c r="D150" s="49"/>
      <c r="E150" s="49"/>
      <c r="F150" s="49"/>
      <c r="G150" s="49"/>
      <c r="H150" s="49"/>
    </row>
    <row r="151" spans="1:8" ht="12.5">
      <c r="A151" s="49"/>
      <c r="B151" s="49"/>
      <c r="C151" s="49"/>
      <c r="D151" s="49"/>
      <c r="E151" s="49"/>
      <c r="F151" s="49"/>
      <c r="G151" s="49"/>
      <c r="H151" s="49"/>
    </row>
    <row r="152" spans="1:8" ht="12.5">
      <c r="A152" s="49"/>
      <c r="B152" s="49"/>
      <c r="C152" s="49"/>
      <c r="D152" s="49"/>
      <c r="E152" s="49"/>
      <c r="F152" s="49"/>
      <c r="G152" s="49"/>
      <c r="H152" s="49"/>
    </row>
    <row r="153" spans="1:8" ht="12.5">
      <c r="A153" s="49"/>
      <c r="B153" s="49"/>
      <c r="C153" s="49"/>
      <c r="D153" s="49"/>
      <c r="E153" s="49"/>
      <c r="F153" s="49"/>
      <c r="G153" s="49"/>
      <c r="H153" s="49"/>
    </row>
    <row r="154" spans="1:8" ht="12.5">
      <c r="A154" s="49"/>
      <c r="B154" s="49"/>
      <c r="C154" s="49"/>
      <c r="D154" s="49"/>
      <c r="E154" s="49"/>
      <c r="F154" s="49"/>
      <c r="G154" s="49"/>
      <c r="H154" s="49"/>
    </row>
    <row r="155" spans="1:8" ht="12.5">
      <c r="A155" s="49"/>
      <c r="B155" s="49"/>
      <c r="C155" s="49"/>
      <c r="D155" s="49"/>
      <c r="E155" s="49"/>
      <c r="F155" s="49"/>
      <c r="G155" s="49"/>
      <c r="H155" s="49"/>
    </row>
    <row r="156" spans="1:8" ht="12.5">
      <c r="A156" s="49"/>
      <c r="B156" s="49"/>
      <c r="C156" s="49"/>
      <c r="D156" s="49"/>
      <c r="E156" s="49"/>
      <c r="F156" s="49"/>
      <c r="G156" s="49"/>
      <c r="H156" s="49"/>
    </row>
    <row r="157" spans="1:8" ht="12.5">
      <c r="A157" s="49"/>
      <c r="B157" s="49"/>
      <c r="C157" s="49"/>
      <c r="D157" s="49"/>
      <c r="E157" s="49"/>
      <c r="F157" s="49"/>
      <c r="G157" s="49"/>
      <c r="H157" s="49"/>
    </row>
    <row r="158" spans="1:8" ht="12.5">
      <c r="A158" s="49"/>
      <c r="B158" s="49"/>
      <c r="C158" s="49"/>
      <c r="D158" s="49"/>
      <c r="E158" s="49"/>
      <c r="F158" s="49"/>
      <c r="G158" s="49"/>
      <c r="H158" s="49"/>
    </row>
    <row r="159" spans="1:8" ht="12.5">
      <c r="A159" s="49"/>
      <c r="B159" s="49"/>
      <c r="C159" s="49"/>
      <c r="D159" s="49"/>
      <c r="E159" s="49"/>
      <c r="F159" s="49"/>
      <c r="G159" s="49"/>
      <c r="H159" s="49"/>
    </row>
    <row r="160" spans="1:8" ht="12.5">
      <c r="A160" s="49"/>
      <c r="B160" s="49"/>
      <c r="C160" s="49"/>
      <c r="D160" s="49"/>
      <c r="E160" s="49"/>
      <c r="F160" s="49"/>
      <c r="G160" s="49"/>
      <c r="H160" s="49"/>
    </row>
    <row r="161" spans="1:8" ht="12.5">
      <c r="A161" s="49"/>
      <c r="B161" s="49"/>
      <c r="C161" s="49"/>
      <c r="D161" s="49"/>
      <c r="E161" s="49"/>
      <c r="F161" s="49"/>
      <c r="G161" s="49"/>
      <c r="H161" s="49"/>
    </row>
    <row r="162" spans="1:8" ht="12.5">
      <c r="A162" s="49"/>
      <c r="B162" s="49"/>
      <c r="C162" s="49"/>
      <c r="D162" s="49"/>
      <c r="E162" s="49"/>
      <c r="F162" s="49"/>
      <c r="G162" s="49"/>
      <c r="H162" s="49"/>
    </row>
    <row r="163" spans="1:8" ht="12.5">
      <c r="A163" s="49"/>
      <c r="B163" s="49"/>
      <c r="C163" s="49"/>
      <c r="D163" s="49"/>
      <c r="E163" s="49"/>
      <c r="F163" s="49"/>
      <c r="G163" s="49"/>
      <c r="H163" s="49"/>
    </row>
    <row r="164" spans="1:8" ht="12.5">
      <c r="A164" s="49"/>
      <c r="B164" s="49"/>
      <c r="C164" s="49"/>
      <c r="D164" s="49"/>
      <c r="E164" s="49"/>
      <c r="F164" s="49"/>
      <c r="G164" s="49"/>
      <c r="H164" s="49"/>
    </row>
    <row r="165" spans="1:8" ht="12.5">
      <c r="A165" s="49"/>
      <c r="B165" s="49"/>
      <c r="C165" s="49"/>
      <c r="D165" s="49"/>
      <c r="E165" s="49"/>
      <c r="F165" s="49"/>
      <c r="G165" s="49"/>
      <c r="H165" s="49"/>
    </row>
    <row r="166" spans="1:8" ht="12.5">
      <c r="A166" s="49"/>
      <c r="B166" s="49"/>
      <c r="C166" s="49"/>
      <c r="D166" s="49"/>
      <c r="E166" s="49"/>
      <c r="F166" s="49"/>
      <c r="G166" s="49"/>
      <c r="H166" s="49"/>
    </row>
    <row r="167" spans="1:8" ht="12.5">
      <c r="A167" s="49"/>
      <c r="B167" s="49"/>
      <c r="C167" s="49"/>
      <c r="D167" s="49"/>
      <c r="E167" s="49"/>
      <c r="F167" s="49"/>
      <c r="G167" s="49"/>
      <c r="H167" s="49"/>
    </row>
    <row r="168" spans="1:8" ht="12.5">
      <c r="A168" s="49"/>
      <c r="B168" s="49"/>
      <c r="C168" s="49"/>
      <c r="D168" s="49"/>
      <c r="E168" s="49"/>
      <c r="F168" s="49"/>
      <c r="G168" s="49"/>
      <c r="H168" s="49"/>
    </row>
    <row r="169" spans="1:8" ht="12.5">
      <c r="A169" s="49"/>
      <c r="B169" s="49"/>
      <c r="C169" s="49"/>
      <c r="D169" s="49"/>
      <c r="E169" s="49"/>
      <c r="F169" s="49"/>
      <c r="G169" s="49"/>
      <c r="H169" s="49"/>
    </row>
    <row r="170" spans="1:8" ht="12.5">
      <c r="A170" s="49"/>
      <c r="B170" s="49"/>
      <c r="C170" s="49"/>
      <c r="D170" s="49"/>
      <c r="E170" s="49"/>
      <c r="F170" s="49"/>
      <c r="G170" s="49"/>
      <c r="H170" s="49"/>
    </row>
    <row r="171" spans="1:8" ht="12.5">
      <c r="A171" s="49"/>
      <c r="B171" s="49"/>
      <c r="C171" s="49"/>
      <c r="D171" s="49"/>
      <c r="E171" s="49"/>
      <c r="F171" s="49"/>
      <c r="G171" s="49"/>
      <c r="H171" s="49"/>
    </row>
    <row r="172" spans="1:8" ht="12.5">
      <c r="A172" s="49"/>
      <c r="B172" s="49"/>
      <c r="C172" s="49"/>
      <c r="D172" s="49"/>
      <c r="E172" s="49"/>
      <c r="F172" s="49"/>
      <c r="G172" s="49"/>
      <c r="H172" s="49"/>
    </row>
    <row r="173" spans="1:8" ht="12.5">
      <c r="A173" s="49"/>
      <c r="B173" s="49"/>
      <c r="C173" s="49"/>
      <c r="D173" s="49"/>
      <c r="E173" s="49"/>
      <c r="F173" s="49"/>
      <c r="G173" s="49"/>
      <c r="H173" s="49"/>
    </row>
    <row r="174" spans="1:8" ht="12.5">
      <c r="A174" s="49"/>
      <c r="B174" s="49"/>
      <c r="C174" s="49"/>
      <c r="D174" s="49"/>
      <c r="E174" s="49"/>
      <c r="F174" s="49"/>
      <c r="G174" s="49"/>
      <c r="H174" s="49"/>
    </row>
    <row r="175" spans="1:8" ht="12.5">
      <c r="A175" s="49"/>
      <c r="B175" s="49"/>
      <c r="C175" s="49"/>
      <c r="D175" s="49"/>
      <c r="E175" s="49"/>
      <c r="F175" s="49"/>
      <c r="G175" s="49"/>
      <c r="H175" s="49"/>
    </row>
    <row r="176" spans="1:8" ht="12.5">
      <c r="A176" s="49"/>
      <c r="B176" s="49"/>
      <c r="C176" s="49"/>
      <c r="D176" s="49"/>
      <c r="E176" s="49"/>
      <c r="F176" s="49"/>
      <c r="G176" s="49"/>
      <c r="H176" s="49"/>
    </row>
    <row r="177" spans="1:8" ht="12.5">
      <c r="A177" s="49"/>
      <c r="B177" s="49"/>
      <c r="C177" s="49"/>
      <c r="D177" s="49"/>
      <c r="E177" s="49"/>
      <c r="F177" s="49"/>
      <c r="G177" s="49"/>
      <c r="H177" s="49"/>
    </row>
    <row r="178" spans="1:8" ht="12.5">
      <c r="A178" s="49"/>
      <c r="B178" s="49"/>
      <c r="C178" s="49"/>
      <c r="D178" s="49"/>
      <c r="E178" s="49"/>
      <c r="F178" s="49"/>
      <c r="G178" s="49"/>
      <c r="H178" s="49"/>
    </row>
    <row r="179" spans="1:8" ht="12.5">
      <c r="A179" s="49"/>
      <c r="B179" s="49"/>
      <c r="C179" s="49"/>
      <c r="D179" s="49"/>
      <c r="E179" s="49"/>
      <c r="F179" s="49"/>
      <c r="G179" s="49"/>
      <c r="H179" s="49"/>
    </row>
    <row r="180" spans="1:8" ht="12.5">
      <c r="A180" s="49"/>
      <c r="B180" s="49"/>
      <c r="C180" s="49"/>
      <c r="D180" s="49"/>
      <c r="E180" s="49"/>
      <c r="F180" s="49"/>
      <c r="G180" s="49"/>
      <c r="H180" s="49"/>
    </row>
    <row r="181" spans="1:8" ht="12.5">
      <c r="A181" s="49"/>
      <c r="B181" s="49"/>
      <c r="C181" s="49"/>
      <c r="D181" s="49"/>
      <c r="E181" s="49"/>
      <c r="F181" s="49"/>
      <c r="G181" s="49"/>
      <c r="H181" s="49"/>
    </row>
    <row r="182" spans="1:8" ht="12.5">
      <c r="A182" s="49"/>
      <c r="B182" s="49"/>
      <c r="C182" s="49"/>
      <c r="D182" s="49"/>
      <c r="E182" s="49"/>
      <c r="F182" s="49"/>
      <c r="G182" s="49"/>
      <c r="H182" s="49"/>
    </row>
    <row r="183" spans="1:8" ht="12.5">
      <c r="A183" s="49"/>
      <c r="B183" s="49"/>
      <c r="C183" s="49"/>
      <c r="D183" s="49"/>
      <c r="E183" s="49"/>
      <c r="F183" s="49"/>
      <c r="G183" s="49"/>
      <c r="H183" s="49"/>
    </row>
    <row r="184" spans="1:8" ht="12.5">
      <c r="A184" s="49"/>
      <c r="B184" s="49"/>
      <c r="C184" s="49"/>
      <c r="D184" s="49"/>
      <c r="E184" s="49"/>
      <c r="F184" s="49"/>
      <c r="G184" s="49"/>
      <c r="H184" s="49"/>
    </row>
    <row r="185" spans="1:8" ht="12.5">
      <c r="A185" s="49"/>
      <c r="B185" s="49"/>
      <c r="C185" s="49"/>
      <c r="D185" s="49"/>
      <c r="E185" s="49"/>
      <c r="F185" s="49"/>
      <c r="G185" s="49"/>
      <c r="H185" s="49"/>
    </row>
    <row r="186" spans="1:8" ht="12.5">
      <c r="A186" s="49"/>
      <c r="B186" s="49"/>
      <c r="C186" s="49"/>
      <c r="D186" s="49"/>
      <c r="E186" s="49"/>
      <c r="F186" s="49"/>
      <c r="G186" s="49"/>
      <c r="H186" s="49"/>
    </row>
    <row r="187" spans="1:8" ht="12.5">
      <c r="A187" s="49"/>
      <c r="B187" s="49"/>
      <c r="C187" s="49"/>
      <c r="D187" s="49"/>
      <c r="E187" s="49"/>
      <c r="F187" s="49"/>
      <c r="G187" s="49"/>
      <c r="H187" s="49"/>
    </row>
    <row r="188" spans="1:8" ht="12.5">
      <c r="A188" s="49"/>
      <c r="B188" s="49"/>
      <c r="C188" s="49"/>
      <c r="D188" s="49"/>
      <c r="E188" s="49"/>
      <c r="F188" s="49"/>
      <c r="G188" s="49"/>
      <c r="H188" s="49"/>
    </row>
    <row r="189" spans="1:8" ht="12.5">
      <c r="A189" s="49"/>
      <c r="B189" s="49"/>
      <c r="C189" s="49"/>
      <c r="D189" s="49"/>
      <c r="E189" s="49"/>
      <c r="F189" s="49"/>
      <c r="G189" s="49"/>
      <c r="H189" s="49"/>
    </row>
    <row r="190" spans="1:8" ht="12.5">
      <c r="A190" s="49"/>
      <c r="B190" s="49"/>
      <c r="C190" s="49"/>
      <c r="D190" s="49"/>
      <c r="E190" s="49"/>
      <c r="F190" s="49"/>
      <c r="G190" s="49"/>
      <c r="H190" s="49"/>
    </row>
    <row r="191" spans="1:8" ht="12.5">
      <c r="A191" s="49"/>
      <c r="B191" s="49"/>
      <c r="C191" s="49"/>
      <c r="D191" s="49"/>
      <c r="E191" s="49"/>
      <c r="F191" s="49"/>
      <c r="G191" s="49"/>
      <c r="H191" s="49"/>
    </row>
    <row r="192" spans="1:8" ht="12.5">
      <c r="A192" s="49"/>
      <c r="B192" s="49"/>
      <c r="C192" s="49"/>
      <c r="D192" s="49"/>
      <c r="E192" s="49"/>
      <c r="F192" s="49"/>
      <c r="G192" s="49"/>
      <c r="H192" s="49"/>
    </row>
    <row r="193" spans="1:8" ht="12.5">
      <c r="A193" s="49"/>
      <c r="B193" s="49"/>
      <c r="C193" s="49"/>
      <c r="D193" s="49"/>
      <c r="E193" s="49"/>
      <c r="F193" s="49"/>
      <c r="G193" s="49"/>
      <c r="H193" s="49"/>
    </row>
    <row r="194" spans="1:8" ht="12.5">
      <c r="A194" s="49"/>
      <c r="B194" s="49"/>
      <c r="C194" s="49"/>
      <c r="D194" s="49"/>
      <c r="E194" s="49"/>
      <c r="F194" s="49"/>
      <c r="G194" s="49"/>
      <c r="H194" s="49"/>
    </row>
    <row r="195" spans="1:8" ht="12.5">
      <c r="A195" s="49"/>
      <c r="B195" s="49"/>
      <c r="C195" s="49"/>
      <c r="D195" s="49"/>
      <c r="E195" s="49"/>
      <c r="F195" s="49"/>
      <c r="G195" s="49"/>
      <c r="H195" s="49"/>
    </row>
    <row r="196" spans="1:8" ht="12.5">
      <c r="A196" s="49"/>
      <c r="B196" s="49"/>
      <c r="C196" s="49"/>
      <c r="D196" s="49"/>
      <c r="E196" s="49"/>
      <c r="F196" s="49"/>
      <c r="G196" s="49"/>
      <c r="H196" s="49"/>
    </row>
    <row r="197" spans="1:8" ht="12.5">
      <c r="A197" s="49"/>
      <c r="B197" s="49"/>
      <c r="C197" s="49"/>
      <c r="D197" s="49"/>
      <c r="E197" s="49"/>
      <c r="F197" s="49"/>
      <c r="G197" s="49"/>
      <c r="H197" s="49"/>
    </row>
    <row r="198" spans="1:8" ht="12.5">
      <c r="A198" s="49"/>
      <c r="B198" s="49"/>
      <c r="C198" s="49"/>
      <c r="D198" s="49"/>
      <c r="E198" s="49"/>
      <c r="F198" s="49"/>
      <c r="G198" s="49"/>
      <c r="H198" s="49"/>
    </row>
    <row r="199" spans="1:8" ht="12.5">
      <c r="A199" s="49"/>
      <c r="B199" s="49"/>
      <c r="C199" s="49"/>
      <c r="D199" s="49"/>
      <c r="E199" s="49"/>
      <c r="F199" s="49"/>
      <c r="G199" s="49"/>
      <c r="H199" s="49"/>
    </row>
    <row r="200" spans="1:8" ht="12.5">
      <c r="A200" s="49"/>
      <c r="B200" s="49"/>
      <c r="C200" s="49"/>
      <c r="D200" s="49"/>
      <c r="E200" s="49"/>
      <c r="F200" s="49"/>
      <c r="G200" s="49"/>
      <c r="H200" s="49"/>
    </row>
    <row r="201" spans="1:8" ht="12.5">
      <c r="A201" s="49"/>
      <c r="B201" s="49"/>
      <c r="C201" s="49"/>
      <c r="D201" s="49"/>
      <c r="E201" s="49"/>
      <c r="F201" s="49"/>
      <c r="G201" s="49"/>
      <c r="H201" s="49"/>
    </row>
    <row r="202" spans="1:8" ht="12.5">
      <c r="A202" s="49"/>
      <c r="B202" s="49"/>
      <c r="C202" s="49"/>
      <c r="D202" s="49"/>
      <c r="E202" s="49"/>
      <c r="F202" s="49"/>
      <c r="G202" s="49"/>
      <c r="H202" s="49"/>
    </row>
    <row r="203" spans="1:8" ht="12.5">
      <c r="A203" s="49"/>
      <c r="B203" s="49"/>
      <c r="C203" s="49"/>
      <c r="D203" s="49"/>
      <c r="E203" s="49"/>
      <c r="F203" s="49"/>
      <c r="G203" s="49"/>
      <c r="H203" s="49"/>
    </row>
    <row r="204" spans="1:8" ht="12.5">
      <c r="A204" s="49"/>
      <c r="B204" s="49"/>
      <c r="C204" s="49"/>
      <c r="D204" s="49"/>
      <c r="E204" s="49"/>
      <c r="F204" s="49"/>
      <c r="G204" s="49"/>
      <c r="H204" s="49"/>
    </row>
    <row r="205" spans="1:8" ht="12.5">
      <c r="A205" s="49"/>
      <c r="B205" s="49"/>
      <c r="C205" s="49"/>
      <c r="D205" s="49"/>
      <c r="E205" s="49"/>
      <c r="F205" s="49"/>
      <c r="G205" s="49"/>
      <c r="H205" s="49"/>
    </row>
    <row r="206" spans="1:8" ht="12.5">
      <c r="A206" s="49"/>
      <c r="B206" s="49"/>
      <c r="C206" s="49"/>
      <c r="D206" s="49"/>
      <c r="E206" s="49"/>
      <c r="F206" s="49"/>
      <c r="G206" s="49"/>
      <c r="H206" s="49"/>
    </row>
    <row r="207" spans="1:8" ht="12.5">
      <c r="A207" s="49"/>
      <c r="B207" s="49"/>
      <c r="C207" s="49"/>
      <c r="D207" s="49"/>
      <c r="E207" s="49"/>
      <c r="F207" s="49"/>
      <c r="G207" s="49"/>
      <c r="H207" s="49"/>
    </row>
    <row r="208" spans="1:8" ht="12.5">
      <c r="A208" s="49"/>
      <c r="B208" s="49"/>
      <c r="C208" s="49"/>
      <c r="D208" s="49"/>
      <c r="E208" s="49"/>
      <c r="F208" s="49"/>
      <c r="G208" s="49"/>
      <c r="H208" s="49"/>
    </row>
    <row r="209" spans="1:8" ht="12.5">
      <c r="A209" s="49"/>
      <c r="B209" s="49"/>
      <c r="C209" s="49"/>
      <c r="D209" s="49"/>
      <c r="E209" s="49"/>
      <c r="F209" s="49"/>
      <c r="G209" s="49"/>
      <c r="H209" s="49"/>
    </row>
    <row r="210" spans="1:8" ht="12.5">
      <c r="A210" s="49"/>
      <c r="B210" s="49"/>
      <c r="C210" s="49"/>
      <c r="D210" s="49"/>
      <c r="E210" s="49"/>
      <c r="F210" s="49"/>
      <c r="G210" s="49"/>
      <c r="H210" s="49"/>
    </row>
    <row r="211" spans="1:8" ht="12.5">
      <c r="A211" s="49"/>
      <c r="B211" s="49"/>
      <c r="C211" s="49"/>
      <c r="D211" s="49"/>
      <c r="E211" s="49"/>
      <c r="F211" s="49"/>
      <c r="G211" s="49"/>
      <c r="H211" s="49"/>
    </row>
    <row r="212" spans="1:8" ht="12.5">
      <c r="A212" s="49"/>
      <c r="B212" s="49"/>
      <c r="C212" s="49"/>
      <c r="D212" s="49"/>
      <c r="E212" s="49"/>
      <c r="F212" s="49"/>
      <c r="G212" s="49"/>
      <c r="H212" s="49"/>
    </row>
    <row r="213" spans="1:8" ht="12.5">
      <c r="A213" s="49"/>
      <c r="B213" s="49"/>
      <c r="C213" s="49"/>
      <c r="D213" s="49"/>
      <c r="E213" s="49"/>
      <c r="F213" s="49"/>
      <c r="G213" s="49"/>
      <c r="H213" s="49"/>
    </row>
    <row r="214" spans="1:8" ht="12.5">
      <c r="A214" s="49"/>
      <c r="B214" s="49"/>
      <c r="C214" s="49"/>
      <c r="D214" s="49"/>
      <c r="E214" s="49"/>
      <c r="F214" s="49"/>
      <c r="G214" s="49"/>
      <c r="H214" s="49"/>
    </row>
    <row r="215" spans="1:8" ht="12.5">
      <c r="A215" s="49"/>
      <c r="B215" s="49"/>
      <c r="C215" s="49"/>
      <c r="D215" s="49"/>
      <c r="E215" s="49"/>
      <c r="F215" s="49"/>
      <c r="G215" s="49"/>
      <c r="H215" s="49"/>
    </row>
    <row r="216" spans="1:8" ht="12.5">
      <c r="A216" s="49"/>
      <c r="B216" s="49"/>
      <c r="C216" s="49"/>
      <c r="D216" s="49"/>
      <c r="E216" s="49"/>
      <c r="F216" s="49"/>
      <c r="G216" s="49"/>
      <c r="H216" s="49"/>
    </row>
    <row r="217" spans="1:8" ht="12.5">
      <c r="A217" s="49"/>
      <c r="B217" s="49"/>
      <c r="C217" s="49"/>
      <c r="D217" s="49"/>
      <c r="E217" s="49"/>
      <c r="F217" s="49"/>
      <c r="G217" s="49"/>
      <c r="H217" s="49"/>
    </row>
    <row r="218" spans="1:8" ht="12.5">
      <c r="A218" s="49"/>
      <c r="B218" s="49"/>
      <c r="C218" s="49"/>
      <c r="D218" s="49"/>
      <c r="E218" s="49"/>
      <c r="F218" s="49"/>
      <c r="G218" s="49"/>
      <c r="H218" s="49"/>
    </row>
    <row r="219" spans="1:8" ht="12.5">
      <c r="A219" s="49"/>
      <c r="B219" s="49"/>
      <c r="C219" s="49"/>
      <c r="D219" s="49"/>
      <c r="E219" s="49"/>
      <c r="F219" s="49"/>
      <c r="G219" s="49"/>
      <c r="H219" s="49"/>
    </row>
    <row r="220" spans="1:8" ht="12.5">
      <c r="A220" s="49"/>
      <c r="B220" s="49"/>
      <c r="C220" s="49"/>
      <c r="D220" s="49"/>
      <c r="E220" s="49"/>
      <c r="F220" s="49"/>
      <c r="G220" s="49"/>
      <c r="H220" s="49"/>
    </row>
    <row r="221" spans="1:8" ht="12.5">
      <c r="A221" s="49"/>
      <c r="B221" s="49"/>
      <c r="C221" s="49"/>
      <c r="D221" s="49"/>
      <c r="E221" s="49"/>
      <c r="F221" s="49"/>
      <c r="G221" s="49"/>
      <c r="H221" s="49"/>
    </row>
    <row r="222" spans="1:8" ht="12.5">
      <c r="A222" s="49"/>
      <c r="B222" s="49"/>
      <c r="C222" s="49"/>
      <c r="D222" s="49"/>
      <c r="E222" s="49"/>
      <c r="F222" s="49"/>
      <c r="G222" s="49"/>
      <c r="H222" s="49"/>
    </row>
    <row r="223" spans="1:8" ht="12.5">
      <c r="A223" s="49"/>
      <c r="B223" s="49"/>
      <c r="C223" s="49"/>
      <c r="D223" s="49"/>
      <c r="E223" s="49"/>
      <c r="F223" s="49"/>
      <c r="G223" s="49"/>
      <c r="H223" s="49"/>
    </row>
    <row r="224" spans="1:8" ht="12.5">
      <c r="A224" s="49"/>
      <c r="B224" s="49"/>
      <c r="C224" s="49"/>
      <c r="D224" s="49"/>
      <c r="E224" s="49"/>
      <c r="F224" s="49"/>
      <c r="G224" s="49"/>
      <c r="H224" s="49"/>
    </row>
    <row r="225" spans="1:8" ht="12.5">
      <c r="A225" s="49"/>
      <c r="B225" s="49"/>
      <c r="C225" s="49"/>
      <c r="D225" s="49"/>
      <c r="E225" s="49"/>
      <c r="F225" s="49"/>
      <c r="G225" s="49"/>
      <c r="H225" s="49"/>
    </row>
    <row r="226" spans="1:8" ht="12.5">
      <c r="A226" s="49"/>
      <c r="B226" s="49"/>
      <c r="C226" s="49"/>
      <c r="D226" s="49"/>
      <c r="E226" s="49"/>
      <c r="F226" s="49"/>
      <c r="G226" s="49"/>
      <c r="H226" s="49"/>
    </row>
    <row r="227" spans="1:8" ht="12.5">
      <c r="A227" s="49"/>
      <c r="B227" s="49"/>
      <c r="C227" s="49"/>
      <c r="D227" s="49"/>
      <c r="E227" s="49"/>
      <c r="F227" s="49"/>
      <c r="G227" s="49"/>
      <c r="H227" s="49"/>
    </row>
    <row r="228" spans="1:8" ht="12.5">
      <c r="A228" s="49"/>
      <c r="B228" s="49"/>
      <c r="C228" s="49"/>
      <c r="D228" s="49"/>
      <c r="E228" s="49"/>
      <c r="F228" s="49"/>
      <c r="G228" s="49"/>
      <c r="H228" s="49"/>
    </row>
    <row r="229" spans="1:8" ht="12.5">
      <c r="A229" s="49"/>
      <c r="B229" s="49"/>
      <c r="C229" s="49"/>
      <c r="D229" s="49"/>
      <c r="E229" s="49"/>
      <c r="F229" s="49"/>
      <c r="G229" s="49"/>
      <c r="H229" s="49"/>
    </row>
    <row r="230" spans="1:8" ht="12.5">
      <c r="A230" s="49"/>
      <c r="B230" s="49"/>
      <c r="C230" s="49"/>
      <c r="D230" s="49"/>
      <c r="E230" s="49"/>
      <c r="F230" s="49"/>
      <c r="G230" s="49"/>
      <c r="H230" s="49"/>
    </row>
    <row r="231" spans="1:8" ht="12.5">
      <c r="A231" s="49"/>
      <c r="B231" s="49"/>
      <c r="C231" s="49"/>
      <c r="D231" s="49"/>
      <c r="E231" s="49"/>
      <c r="F231" s="49"/>
      <c r="G231" s="49"/>
      <c r="H231" s="49"/>
    </row>
    <row r="232" spans="1:8" ht="12.5">
      <c r="A232" s="49"/>
      <c r="B232" s="49"/>
      <c r="C232" s="49"/>
      <c r="D232" s="49"/>
      <c r="E232" s="49"/>
      <c r="F232" s="49"/>
      <c r="G232" s="49"/>
      <c r="H232" s="49"/>
    </row>
    <row r="233" spans="1:8" ht="12.5">
      <c r="A233" s="49"/>
      <c r="B233" s="49"/>
      <c r="C233" s="49"/>
      <c r="D233" s="49"/>
      <c r="E233" s="49"/>
      <c r="F233" s="49"/>
      <c r="G233" s="49"/>
      <c r="H233" s="49"/>
    </row>
    <row r="234" spans="1:8" ht="12.5">
      <c r="A234" s="49"/>
      <c r="B234" s="49"/>
      <c r="C234" s="49"/>
      <c r="D234" s="49"/>
      <c r="E234" s="49"/>
      <c r="F234" s="49"/>
      <c r="G234" s="49"/>
      <c r="H234" s="49"/>
    </row>
    <row r="235" spans="1:8" ht="12.5">
      <c r="A235" s="49"/>
      <c r="B235" s="49"/>
      <c r="C235" s="49"/>
      <c r="D235" s="49"/>
      <c r="E235" s="49"/>
      <c r="F235" s="49"/>
      <c r="G235" s="49"/>
      <c r="H235" s="49"/>
    </row>
    <row r="236" spans="1:8" ht="12.5">
      <c r="A236" s="49"/>
      <c r="B236" s="49"/>
      <c r="C236" s="49"/>
      <c r="D236" s="49"/>
      <c r="E236" s="49"/>
      <c r="F236" s="49"/>
      <c r="G236" s="49"/>
      <c r="H236" s="49"/>
    </row>
    <row r="237" spans="1:8" ht="12.5">
      <c r="A237" s="49"/>
      <c r="B237" s="49"/>
      <c r="C237" s="49"/>
      <c r="D237" s="49"/>
      <c r="E237" s="49"/>
      <c r="F237" s="49"/>
      <c r="G237" s="49"/>
      <c r="H237" s="49"/>
    </row>
    <row r="238" spans="1:8" ht="12.5">
      <c r="A238" s="49"/>
      <c r="B238" s="49"/>
      <c r="C238" s="49"/>
      <c r="D238" s="49"/>
      <c r="E238" s="49"/>
      <c r="F238" s="49"/>
      <c r="G238" s="49"/>
      <c r="H238" s="49"/>
    </row>
    <row r="239" spans="1:8" ht="12.5">
      <c r="A239" s="49"/>
      <c r="B239" s="49"/>
      <c r="C239" s="49"/>
      <c r="D239" s="49"/>
      <c r="E239" s="49"/>
      <c r="F239" s="49"/>
      <c r="G239" s="49"/>
      <c r="H239" s="49"/>
    </row>
    <row r="240" spans="1:8" ht="12.5">
      <c r="A240" s="49"/>
      <c r="B240" s="49"/>
      <c r="C240" s="49"/>
      <c r="D240" s="49"/>
      <c r="E240" s="49"/>
      <c r="F240" s="49"/>
      <c r="G240" s="49"/>
      <c r="H240" s="49"/>
    </row>
    <row r="241" spans="1:8" ht="12.5">
      <c r="A241" s="49"/>
      <c r="B241" s="49"/>
      <c r="C241" s="49"/>
      <c r="D241" s="49"/>
      <c r="E241" s="49"/>
      <c r="F241" s="49"/>
      <c r="G241" s="49"/>
      <c r="H241" s="49"/>
    </row>
    <row r="242" spans="1:8" ht="12.5">
      <c r="A242" s="49"/>
      <c r="B242" s="49"/>
      <c r="C242" s="49"/>
      <c r="D242" s="49"/>
      <c r="E242" s="49"/>
      <c r="F242" s="49"/>
      <c r="G242" s="49"/>
      <c r="H242" s="49"/>
    </row>
    <row r="243" spans="1:8" ht="12.5">
      <c r="A243" s="49"/>
      <c r="B243" s="49"/>
      <c r="C243" s="49"/>
      <c r="D243" s="49"/>
      <c r="E243" s="49"/>
      <c r="F243" s="49"/>
      <c r="G243" s="49"/>
      <c r="H243" s="49"/>
    </row>
    <row r="244" spans="1:8" ht="12.5">
      <c r="A244" s="49"/>
      <c r="B244" s="49"/>
      <c r="C244" s="49"/>
      <c r="D244" s="49"/>
      <c r="E244" s="49"/>
      <c r="F244" s="49"/>
      <c r="G244" s="49"/>
      <c r="H244" s="49"/>
    </row>
    <row r="245" spans="1:8" ht="12.5">
      <c r="A245" s="49"/>
      <c r="B245" s="49"/>
      <c r="C245" s="49"/>
      <c r="D245" s="49"/>
      <c r="E245" s="49"/>
      <c r="F245" s="49"/>
      <c r="G245" s="49"/>
      <c r="H245" s="49"/>
    </row>
    <row r="246" spans="1:8" ht="12.5">
      <c r="A246" s="49"/>
      <c r="B246" s="49"/>
      <c r="C246" s="49"/>
      <c r="D246" s="49"/>
      <c r="E246" s="49"/>
      <c r="F246" s="49"/>
      <c r="G246" s="49"/>
      <c r="H246" s="49"/>
    </row>
    <row r="247" spans="1:8" ht="12.5">
      <c r="A247" s="49"/>
      <c r="B247" s="49"/>
      <c r="C247" s="49"/>
      <c r="D247" s="49"/>
      <c r="E247" s="49"/>
      <c r="F247" s="49"/>
      <c r="G247" s="49"/>
      <c r="H247" s="49"/>
    </row>
    <row r="248" spans="1:8" ht="12.5">
      <c r="A248" s="49"/>
      <c r="B248" s="49"/>
      <c r="C248" s="49"/>
      <c r="D248" s="49"/>
      <c r="E248" s="49"/>
      <c r="F248" s="49"/>
      <c r="G248" s="49"/>
      <c r="H248" s="49"/>
    </row>
    <row r="249" spans="1:8" ht="12.5">
      <c r="A249" s="49"/>
      <c r="B249" s="49"/>
      <c r="C249" s="49"/>
      <c r="D249" s="49"/>
      <c r="E249" s="49"/>
      <c r="F249" s="49"/>
      <c r="G249" s="49"/>
      <c r="H249" s="49"/>
    </row>
    <row r="250" spans="1:8" ht="12.5">
      <c r="A250" s="49"/>
      <c r="B250" s="49"/>
      <c r="C250" s="49"/>
      <c r="D250" s="49"/>
      <c r="E250" s="49"/>
      <c r="F250" s="49"/>
      <c r="G250" s="49"/>
      <c r="H250" s="49"/>
    </row>
    <row r="251" spans="1:8" ht="12.5">
      <c r="A251" s="49"/>
      <c r="B251" s="49"/>
      <c r="C251" s="49"/>
      <c r="D251" s="49"/>
      <c r="E251" s="49"/>
      <c r="F251" s="49"/>
      <c r="G251" s="49"/>
      <c r="H251" s="49"/>
    </row>
    <row r="252" spans="1:8" ht="12.5">
      <c r="A252" s="49"/>
      <c r="B252" s="49"/>
      <c r="C252" s="49"/>
      <c r="D252" s="49"/>
      <c r="E252" s="49"/>
      <c r="F252" s="49"/>
      <c r="G252" s="49"/>
      <c r="H252" s="49"/>
    </row>
    <row r="253" spans="1:8" ht="12.5">
      <c r="A253" s="49"/>
      <c r="B253" s="49"/>
      <c r="C253" s="49"/>
      <c r="D253" s="49"/>
      <c r="E253" s="49"/>
      <c r="F253" s="49"/>
      <c r="G253" s="49"/>
      <c r="H253" s="49"/>
    </row>
    <row r="254" spans="1:8" ht="12.5">
      <c r="A254" s="49"/>
      <c r="B254" s="49"/>
      <c r="C254" s="49"/>
      <c r="D254" s="49"/>
      <c r="E254" s="49"/>
      <c r="F254" s="49"/>
      <c r="G254" s="49"/>
      <c r="H254" s="49"/>
    </row>
    <row r="255" spans="1:8" ht="12.5">
      <c r="A255" s="49"/>
      <c r="B255" s="49"/>
      <c r="C255" s="49"/>
      <c r="D255" s="49"/>
      <c r="E255" s="49"/>
      <c r="F255" s="49"/>
      <c r="G255" s="49"/>
      <c r="H255" s="49"/>
    </row>
    <row r="256" spans="1:8" ht="12.5">
      <c r="A256" s="49"/>
      <c r="B256" s="49"/>
      <c r="C256" s="49"/>
      <c r="D256" s="49"/>
      <c r="E256" s="49"/>
      <c r="F256" s="49"/>
      <c r="G256" s="49"/>
      <c r="H256" s="49"/>
    </row>
    <row r="257" spans="1:8" ht="12.5">
      <c r="A257" s="49"/>
      <c r="B257" s="49"/>
      <c r="C257" s="49"/>
      <c r="D257" s="49"/>
      <c r="E257" s="49"/>
      <c r="F257" s="49"/>
      <c r="G257" s="49"/>
      <c r="H257" s="49"/>
    </row>
    <row r="258" spans="1:8" ht="12.5">
      <c r="A258" s="49"/>
      <c r="B258" s="49"/>
      <c r="C258" s="49"/>
      <c r="D258" s="49"/>
      <c r="E258" s="49"/>
      <c r="F258" s="49"/>
      <c r="G258" s="49"/>
      <c r="H258" s="49"/>
    </row>
    <row r="259" spans="1:8" ht="12.5">
      <c r="A259" s="49"/>
      <c r="B259" s="49"/>
      <c r="C259" s="49"/>
      <c r="D259" s="49"/>
      <c r="E259" s="49"/>
      <c r="F259" s="49"/>
      <c r="G259" s="49"/>
      <c r="H259" s="49"/>
    </row>
    <row r="260" spans="1:8" ht="12.5">
      <c r="A260" s="49"/>
      <c r="B260" s="49"/>
      <c r="C260" s="49"/>
      <c r="D260" s="49"/>
      <c r="E260" s="49"/>
      <c r="F260" s="49"/>
      <c r="G260" s="49"/>
      <c r="H260" s="49"/>
    </row>
    <row r="261" spans="1:8" ht="12.5">
      <c r="A261" s="49"/>
      <c r="B261" s="49"/>
      <c r="C261" s="49"/>
      <c r="D261" s="49"/>
      <c r="E261" s="49"/>
      <c r="F261" s="49"/>
      <c r="G261" s="49"/>
      <c r="H261" s="49"/>
    </row>
    <row r="262" spans="1:8" ht="12.5">
      <c r="A262" s="49"/>
      <c r="B262" s="49"/>
      <c r="C262" s="49"/>
      <c r="D262" s="49"/>
      <c r="E262" s="49"/>
      <c r="F262" s="49"/>
      <c r="G262" s="49"/>
      <c r="H262" s="49"/>
    </row>
    <row r="263" spans="1:8" ht="12.5">
      <c r="A263" s="49"/>
      <c r="B263" s="49"/>
      <c r="C263" s="49"/>
      <c r="D263" s="49"/>
      <c r="E263" s="49"/>
      <c r="F263" s="49"/>
      <c r="G263" s="49"/>
      <c r="H263" s="49"/>
    </row>
    <row r="264" spans="1:8" ht="12.5">
      <c r="A264" s="49"/>
      <c r="B264" s="49"/>
      <c r="C264" s="49"/>
      <c r="D264" s="49"/>
      <c r="E264" s="49"/>
      <c r="F264" s="49"/>
      <c r="G264" s="49"/>
      <c r="H264" s="49"/>
    </row>
    <row r="265" spans="1:8" ht="12.5">
      <c r="A265" s="49"/>
      <c r="B265" s="49"/>
      <c r="C265" s="49"/>
      <c r="D265" s="49"/>
      <c r="E265" s="49"/>
      <c r="F265" s="49"/>
      <c r="G265" s="49"/>
      <c r="H265" s="49"/>
    </row>
    <row r="266" spans="1:8" ht="12.5">
      <c r="A266" s="49"/>
      <c r="B266" s="49"/>
      <c r="C266" s="49"/>
      <c r="D266" s="49"/>
      <c r="E266" s="49"/>
      <c r="F266" s="49"/>
      <c r="G266" s="49"/>
      <c r="H266" s="49"/>
    </row>
    <row r="267" spans="1:8" ht="12.5">
      <c r="A267" s="49"/>
      <c r="B267" s="49"/>
      <c r="C267" s="49"/>
      <c r="D267" s="49"/>
      <c r="E267" s="49"/>
      <c r="F267" s="49"/>
      <c r="G267" s="49"/>
      <c r="H267" s="49"/>
    </row>
    <row r="268" spans="1:8" ht="12.5">
      <c r="A268" s="49"/>
      <c r="B268" s="49"/>
      <c r="C268" s="49"/>
      <c r="D268" s="49"/>
      <c r="E268" s="49"/>
      <c r="F268" s="49"/>
      <c r="G268" s="49"/>
      <c r="H268" s="49"/>
    </row>
    <row r="269" spans="1:8" ht="12.5">
      <c r="A269" s="49"/>
      <c r="B269" s="49"/>
      <c r="C269" s="49"/>
      <c r="D269" s="49"/>
      <c r="E269" s="49"/>
      <c r="F269" s="49"/>
      <c r="G269" s="49"/>
      <c r="H269" s="49"/>
    </row>
    <row r="270" spans="1:8" ht="12.5">
      <c r="A270" s="49"/>
      <c r="B270" s="49"/>
      <c r="C270" s="49"/>
      <c r="D270" s="49"/>
      <c r="E270" s="49"/>
      <c r="F270" s="49"/>
      <c r="G270" s="49"/>
      <c r="H270" s="49"/>
    </row>
    <row r="271" spans="1:8" ht="12.5">
      <c r="A271" s="49"/>
      <c r="B271" s="49"/>
      <c r="C271" s="49"/>
      <c r="D271" s="49"/>
      <c r="E271" s="49"/>
      <c r="F271" s="49"/>
      <c r="G271" s="49"/>
      <c r="H271" s="49"/>
    </row>
    <row r="272" spans="1:8" ht="12.5">
      <c r="A272" s="49"/>
      <c r="B272" s="49"/>
      <c r="C272" s="49"/>
      <c r="D272" s="49"/>
      <c r="E272" s="49"/>
      <c r="F272" s="49"/>
      <c r="G272" s="49"/>
      <c r="H272" s="49"/>
    </row>
    <row r="273" spans="1:8" ht="12.5">
      <c r="A273" s="49"/>
      <c r="B273" s="49"/>
      <c r="C273" s="49"/>
      <c r="D273" s="49"/>
      <c r="E273" s="49"/>
      <c r="F273" s="49"/>
      <c r="G273" s="49"/>
      <c r="H273" s="49"/>
    </row>
    <row r="274" spans="1:8" ht="12.5">
      <c r="A274" s="49"/>
      <c r="B274" s="49"/>
      <c r="C274" s="49"/>
      <c r="D274" s="49"/>
      <c r="E274" s="49"/>
      <c r="F274" s="49"/>
      <c r="G274" s="49"/>
      <c r="H274" s="49"/>
    </row>
    <row r="275" spans="1:8" ht="12.5">
      <c r="A275" s="49"/>
      <c r="B275" s="49"/>
      <c r="C275" s="49"/>
      <c r="D275" s="49"/>
      <c r="E275" s="49"/>
      <c r="F275" s="49"/>
      <c r="G275" s="49"/>
      <c r="H275" s="49"/>
    </row>
    <row r="276" spans="1:8" ht="12.5">
      <c r="A276" s="49"/>
      <c r="B276" s="49"/>
      <c r="C276" s="49"/>
      <c r="D276" s="49"/>
      <c r="E276" s="49"/>
      <c r="F276" s="49"/>
      <c r="G276" s="49"/>
      <c r="H276" s="49"/>
    </row>
    <row r="277" spans="1:8" ht="12.5">
      <c r="A277" s="49"/>
      <c r="B277" s="49"/>
      <c r="C277" s="49"/>
      <c r="D277" s="49"/>
      <c r="E277" s="49"/>
      <c r="F277" s="49"/>
      <c r="G277" s="49"/>
      <c r="H277" s="49"/>
    </row>
    <row r="278" spans="1:8" ht="12.5">
      <c r="A278" s="49"/>
      <c r="B278" s="49"/>
      <c r="C278" s="49"/>
      <c r="D278" s="49"/>
      <c r="E278" s="49"/>
      <c r="F278" s="49"/>
      <c r="G278" s="49"/>
      <c r="H278" s="49"/>
    </row>
    <row r="279" spans="1:8" ht="12.5">
      <c r="A279" s="49"/>
      <c r="B279" s="49"/>
      <c r="C279" s="49"/>
      <c r="D279" s="49"/>
      <c r="E279" s="49"/>
      <c r="F279" s="49"/>
      <c r="G279" s="49"/>
      <c r="H279" s="49"/>
    </row>
    <row r="280" spans="1:8" ht="12.5">
      <c r="A280" s="49"/>
      <c r="B280" s="49"/>
      <c r="C280" s="49"/>
      <c r="D280" s="49"/>
      <c r="E280" s="49"/>
      <c r="F280" s="49"/>
      <c r="G280" s="49"/>
      <c r="H280" s="49"/>
    </row>
    <row r="281" spans="1:8" ht="12.5">
      <c r="A281" s="49"/>
      <c r="B281" s="49"/>
      <c r="C281" s="49"/>
      <c r="D281" s="49"/>
      <c r="E281" s="49"/>
      <c r="F281" s="49"/>
      <c r="G281" s="49"/>
      <c r="H281" s="49"/>
    </row>
    <row r="282" spans="1:8" ht="12.5">
      <c r="A282" s="49"/>
      <c r="B282" s="49"/>
      <c r="C282" s="49"/>
      <c r="D282" s="49"/>
      <c r="E282" s="49"/>
      <c r="F282" s="49"/>
      <c r="G282" s="49"/>
      <c r="H282" s="49"/>
    </row>
    <row r="283" spans="1:8" ht="12.5">
      <c r="A283" s="49"/>
      <c r="B283" s="49"/>
      <c r="C283" s="49"/>
      <c r="D283" s="49"/>
      <c r="E283" s="49"/>
      <c r="F283" s="49"/>
      <c r="G283" s="49"/>
      <c r="H283" s="49"/>
    </row>
    <row r="284" spans="1:8" ht="12.5">
      <c r="A284" s="49"/>
      <c r="B284" s="49"/>
      <c r="C284" s="49"/>
      <c r="D284" s="49"/>
      <c r="E284" s="49"/>
      <c r="F284" s="49"/>
      <c r="G284" s="49"/>
      <c r="H284" s="49"/>
    </row>
    <row r="285" spans="1:8" ht="12.5">
      <c r="A285" s="49"/>
      <c r="B285" s="49"/>
      <c r="C285" s="49"/>
      <c r="D285" s="49"/>
      <c r="E285" s="49"/>
      <c r="F285" s="49"/>
      <c r="G285" s="49"/>
      <c r="H285" s="49"/>
    </row>
    <row r="286" spans="1:8" ht="12.5">
      <c r="A286" s="49"/>
      <c r="B286" s="49"/>
      <c r="C286" s="49"/>
      <c r="D286" s="49"/>
      <c r="E286" s="49"/>
      <c r="F286" s="49"/>
      <c r="G286" s="49"/>
      <c r="H286" s="49"/>
    </row>
    <row r="287" spans="1:8" ht="12.5">
      <c r="A287" s="49"/>
      <c r="B287" s="49"/>
      <c r="C287" s="49"/>
      <c r="D287" s="49"/>
      <c r="E287" s="49"/>
      <c r="F287" s="49"/>
      <c r="G287" s="49"/>
      <c r="H287" s="49"/>
    </row>
    <row r="288" spans="1:8" ht="12.5">
      <c r="A288" s="49"/>
      <c r="B288" s="49"/>
      <c r="C288" s="49"/>
      <c r="D288" s="49"/>
      <c r="E288" s="49"/>
      <c r="F288" s="49"/>
      <c r="G288" s="49"/>
      <c r="H288" s="49"/>
    </row>
    <row r="289" spans="1:8" ht="12.5">
      <c r="A289" s="49"/>
      <c r="B289" s="49"/>
      <c r="C289" s="49"/>
      <c r="D289" s="49"/>
      <c r="E289" s="49"/>
      <c r="F289" s="49"/>
      <c r="G289" s="49"/>
      <c r="H289" s="49"/>
    </row>
    <row r="290" spans="1:8" ht="12.5">
      <c r="A290" s="49"/>
      <c r="B290" s="49"/>
      <c r="C290" s="49"/>
      <c r="D290" s="49"/>
      <c r="E290" s="49"/>
      <c r="F290" s="49"/>
      <c r="G290" s="49"/>
      <c r="H290" s="49"/>
    </row>
    <row r="291" spans="1:8" ht="12.5">
      <c r="A291" s="49"/>
      <c r="B291" s="49"/>
      <c r="C291" s="49"/>
      <c r="D291" s="49"/>
      <c r="E291" s="49"/>
      <c r="F291" s="49"/>
      <c r="G291" s="49"/>
      <c r="H291" s="49"/>
    </row>
    <row r="292" spans="1:8" ht="12.5">
      <c r="A292" s="49"/>
      <c r="B292" s="49"/>
      <c r="C292" s="49"/>
      <c r="D292" s="49"/>
      <c r="E292" s="49"/>
      <c r="F292" s="49"/>
      <c r="G292" s="49"/>
      <c r="H292" s="49"/>
    </row>
    <row r="293" spans="1:8" ht="12.5">
      <c r="A293" s="49"/>
      <c r="B293" s="49"/>
      <c r="C293" s="49"/>
      <c r="D293" s="49"/>
      <c r="E293" s="49"/>
      <c r="F293" s="49"/>
      <c r="G293" s="49"/>
      <c r="H293" s="49"/>
    </row>
    <row r="294" spans="1:8" ht="12.5">
      <c r="A294" s="49"/>
      <c r="B294" s="49"/>
      <c r="C294" s="49"/>
      <c r="D294" s="49"/>
      <c r="E294" s="49"/>
      <c r="F294" s="49"/>
      <c r="G294" s="49"/>
      <c r="H294" s="49"/>
    </row>
    <row r="295" spans="1:8" ht="12.5">
      <c r="A295" s="49"/>
      <c r="B295" s="49"/>
      <c r="C295" s="49"/>
      <c r="D295" s="49"/>
      <c r="E295" s="49"/>
      <c r="F295" s="49"/>
      <c r="G295" s="49"/>
      <c r="H295" s="49"/>
    </row>
    <row r="296" spans="1:8" ht="12.5">
      <c r="A296" s="49"/>
      <c r="B296" s="49"/>
      <c r="C296" s="49"/>
      <c r="D296" s="49"/>
      <c r="E296" s="49"/>
      <c r="F296" s="49"/>
      <c r="G296" s="49"/>
      <c r="H296" s="49"/>
    </row>
    <row r="297" spans="1:8" ht="12.5">
      <c r="A297" s="49"/>
      <c r="B297" s="49"/>
      <c r="C297" s="49"/>
      <c r="D297" s="49"/>
      <c r="E297" s="49"/>
      <c r="F297" s="49"/>
      <c r="G297" s="49"/>
      <c r="H297" s="49"/>
    </row>
    <row r="298" spans="1:8" ht="12.5">
      <c r="A298" s="49"/>
      <c r="B298" s="49"/>
      <c r="C298" s="49"/>
      <c r="D298" s="49"/>
      <c r="E298" s="49"/>
      <c r="F298" s="49"/>
      <c r="G298" s="49"/>
      <c r="H298" s="49"/>
    </row>
    <row r="299" spans="1:8" ht="12.5">
      <c r="A299" s="49"/>
      <c r="B299" s="49"/>
      <c r="C299" s="49"/>
      <c r="D299" s="49"/>
      <c r="E299" s="49"/>
      <c r="F299" s="49"/>
      <c r="G299" s="49"/>
      <c r="H299" s="49"/>
    </row>
    <row r="300" spans="1:8" ht="12.5">
      <c r="A300" s="49"/>
      <c r="B300" s="49"/>
      <c r="C300" s="49"/>
      <c r="D300" s="49"/>
      <c r="E300" s="49"/>
      <c r="F300" s="49"/>
      <c r="G300" s="49"/>
      <c r="H300" s="49"/>
    </row>
    <row r="301" spans="1:8" ht="12.5">
      <c r="A301" s="49"/>
      <c r="B301" s="49"/>
      <c r="C301" s="49"/>
      <c r="D301" s="49"/>
      <c r="E301" s="49"/>
      <c r="F301" s="49"/>
      <c r="G301" s="49"/>
      <c r="H301" s="49"/>
    </row>
    <row r="302" spans="1:8" ht="12.5">
      <c r="A302" s="49"/>
      <c r="B302" s="49"/>
      <c r="C302" s="49"/>
      <c r="D302" s="49"/>
      <c r="E302" s="49"/>
      <c r="F302" s="49"/>
      <c r="G302" s="49"/>
      <c r="H302" s="49"/>
    </row>
    <row r="303" spans="1:8" ht="12.5">
      <c r="A303" s="49"/>
      <c r="B303" s="49"/>
      <c r="C303" s="49"/>
      <c r="D303" s="49"/>
      <c r="E303" s="49"/>
      <c r="F303" s="49"/>
      <c r="G303" s="49"/>
      <c r="H303" s="49"/>
    </row>
    <row r="304" spans="1:8" ht="12.5">
      <c r="A304" s="49"/>
      <c r="B304" s="49"/>
      <c r="C304" s="49"/>
      <c r="D304" s="49"/>
      <c r="E304" s="49"/>
      <c r="F304" s="49"/>
      <c r="G304" s="49"/>
      <c r="H304" s="49"/>
    </row>
    <row r="305" spans="1:8" ht="12.5">
      <c r="A305" s="49"/>
      <c r="B305" s="49"/>
      <c r="C305" s="49"/>
      <c r="D305" s="49"/>
      <c r="E305" s="49"/>
      <c r="F305" s="49"/>
      <c r="G305" s="49"/>
      <c r="H305" s="49"/>
    </row>
    <row r="306" spans="1:8" ht="12.5">
      <c r="A306" s="49"/>
      <c r="B306" s="49"/>
      <c r="C306" s="49"/>
      <c r="D306" s="49"/>
      <c r="E306" s="49"/>
      <c r="F306" s="49"/>
      <c r="G306" s="49"/>
      <c r="H306" s="49"/>
    </row>
    <row r="307" spans="1:8" ht="12.5">
      <c r="A307" s="49"/>
      <c r="B307" s="49"/>
      <c r="C307" s="49"/>
      <c r="D307" s="49"/>
      <c r="E307" s="49"/>
      <c r="F307" s="49"/>
      <c r="G307" s="49"/>
      <c r="H307" s="49"/>
    </row>
    <row r="308" spans="1:8" ht="12.5">
      <c r="A308" s="49"/>
      <c r="B308" s="49"/>
      <c r="C308" s="49"/>
      <c r="D308" s="49"/>
      <c r="E308" s="49"/>
      <c r="F308" s="49"/>
      <c r="G308" s="49"/>
      <c r="H308" s="49"/>
    </row>
    <row r="309" spans="1:8" ht="12.5">
      <c r="A309" s="49"/>
      <c r="B309" s="49"/>
      <c r="C309" s="49"/>
      <c r="D309" s="49"/>
      <c r="E309" s="49"/>
      <c r="F309" s="49"/>
      <c r="G309" s="49"/>
      <c r="H309" s="49"/>
    </row>
    <row r="310" spans="1:8" ht="12.5">
      <c r="A310" s="49"/>
      <c r="B310" s="49"/>
      <c r="C310" s="49"/>
      <c r="D310" s="49"/>
      <c r="E310" s="49"/>
      <c r="F310" s="49"/>
      <c r="G310" s="49"/>
      <c r="H310" s="49"/>
    </row>
    <row r="311" spans="1:8" ht="12.5">
      <c r="A311" s="49"/>
      <c r="B311" s="49"/>
      <c r="C311" s="49"/>
      <c r="D311" s="49"/>
      <c r="E311" s="49"/>
      <c r="F311" s="49"/>
      <c r="G311" s="49"/>
      <c r="H311" s="49"/>
    </row>
    <row r="312" spans="1:8" ht="12.5">
      <c r="A312" s="49"/>
      <c r="B312" s="49"/>
      <c r="C312" s="49"/>
      <c r="D312" s="49"/>
      <c r="E312" s="49"/>
      <c r="F312" s="49"/>
      <c r="G312" s="49"/>
      <c r="H312" s="49"/>
    </row>
    <row r="313" spans="1:8" ht="12.5">
      <c r="A313" s="49"/>
      <c r="B313" s="49"/>
      <c r="C313" s="49"/>
      <c r="D313" s="49"/>
      <c r="E313" s="49"/>
      <c r="F313" s="49"/>
      <c r="G313" s="49"/>
      <c r="H313" s="49"/>
    </row>
    <row r="314" spans="1:8" ht="12.5">
      <c r="A314" s="49"/>
      <c r="B314" s="49"/>
      <c r="C314" s="49"/>
      <c r="D314" s="49"/>
      <c r="E314" s="49"/>
      <c r="F314" s="49"/>
      <c r="G314" s="49"/>
      <c r="H314" s="49"/>
    </row>
    <row r="315" spans="1:8" ht="12.5">
      <c r="A315" s="49"/>
      <c r="B315" s="49"/>
      <c r="C315" s="49"/>
      <c r="D315" s="49"/>
      <c r="E315" s="49"/>
      <c r="F315" s="49"/>
      <c r="G315" s="49"/>
      <c r="H315" s="49"/>
    </row>
    <row r="316" spans="1:8" ht="12.5">
      <c r="A316" s="49"/>
      <c r="B316" s="49"/>
      <c r="C316" s="49"/>
      <c r="D316" s="49"/>
      <c r="E316" s="49"/>
      <c r="F316" s="49"/>
      <c r="G316" s="49"/>
      <c r="H316" s="49"/>
    </row>
    <row r="317" spans="1:8" ht="12.5">
      <c r="A317" s="49"/>
      <c r="B317" s="49"/>
      <c r="C317" s="49"/>
      <c r="D317" s="49"/>
      <c r="E317" s="49"/>
      <c r="F317" s="49"/>
      <c r="G317" s="49"/>
      <c r="H317" s="49"/>
    </row>
    <row r="318" spans="1:8" ht="12.5">
      <c r="A318" s="49"/>
      <c r="B318" s="49"/>
      <c r="C318" s="49"/>
      <c r="D318" s="49"/>
      <c r="E318" s="49"/>
      <c r="F318" s="49"/>
      <c r="G318" s="49"/>
      <c r="H318" s="49"/>
    </row>
    <row r="319" spans="1:8" ht="12.5">
      <c r="A319" s="49"/>
      <c r="B319" s="49"/>
      <c r="C319" s="49"/>
      <c r="D319" s="49"/>
      <c r="E319" s="49"/>
      <c r="F319" s="49"/>
      <c r="G319" s="49"/>
      <c r="H319" s="49"/>
    </row>
    <row r="320" spans="1:8" ht="12.5">
      <c r="A320" s="49"/>
      <c r="B320" s="49"/>
      <c r="C320" s="49"/>
      <c r="D320" s="49"/>
      <c r="E320" s="49"/>
      <c r="F320" s="49"/>
      <c r="G320" s="49"/>
      <c r="H320" s="49"/>
    </row>
    <row r="321" spans="1:8" ht="12.5">
      <c r="A321" s="49"/>
      <c r="B321" s="49"/>
      <c r="C321" s="49"/>
      <c r="D321" s="49"/>
      <c r="E321" s="49"/>
      <c r="F321" s="49"/>
      <c r="G321" s="49"/>
      <c r="H321" s="49"/>
    </row>
    <row r="322" spans="1:8" ht="12.5">
      <c r="A322" s="49"/>
      <c r="B322" s="49"/>
      <c r="C322" s="49"/>
      <c r="D322" s="49"/>
      <c r="E322" s="49"/>
      <c r="F322" s="49"/>
      <c r="G322" s="49"/>
      <c r="H322" s="49"/>
    </row>
    <row r="323" spans="1:8" ht="12.5">
      <c r="A323" s="49"/>
      <c r="B323" s="49"/>
      <c r="C323" s="49"/>
      <c r="D323" s="49"/>
      <c r="E323" s="49"/>
      <c r="F323" s="49"/>
      <c r="G323" s="49"/>
      <c r="H323" s="49"/>
    </row>
    <row r="324" spans="1:8" ht="12.5">
      <c r="A324" s="49"/>
      <c r="B324" s="49"/>
      <c r="C324" s="49"/>
      <c r="D324" s="49"/>
      <c r="E324" s="49"/>
      <c r="F324" s="49"/>
      <c r="G324" s="49"/>
      <c r="H324" s="49"/>
    </row>
    <row r="325" spans="1:8" ht="12.5">
      <c r="A325" s="49"/>
      <c r="B325" s="49"/>
      <c r="C325" s="49"/>
      <c r="D325" s="49"/>
      <c r="E325" s="49"/>
      <c r="F325" s="49"/>
      <c r="G325" s="49"/>
      <c r="H325" s="49"/>
    </row>
    <row r="326" spans="1:8" ht="12.5">
      <c r="A326" s="49"/>
      <c r="B326" s="49"/>
      <c r="C326" s="49"/>
      <c r="D326" s="49"/>
      <c r="E326" s="49"/>
      <c r="F326" s="49"/>
      <c r="G326" s="49"/>
      <c r="H326" s="49"/>
    </row>
    <row r="327" spans="1:8" ht="12.5">
      <c r="A327" s="49"/>
      <c r="B327" s="49"/>
      <c r="C327" s="49"/>
      <c r="D327" s="49"/>
      <c r="E327" s="49"/>
      <c r="F327" s="49"/>
      <c r="G327" s="49"/>
      <c r="H327" s="49"/>
    </row>
    <row r="328" spans="1:8" ht="12.5">
      <c r="A328" s="49"/>
      <c r="B328" s="49"/>
      <c r="C328" s="49"/>
      <c r="D328" s="49"/>
      <c r="E328" s="49"/>
      <c r="F328" s="49"/>
      <c r="G328" s="49"/>
      <c r="H328" s="49"/>
    </row>
    <row r="329" spans="1:8" ht="12.5">
      <c r="A329" s="49"/>
      <c r="B329" s="49"/>
      <c r="C329" s="49"/>
      <c r="D329" s="49"/>
      <c r="E329" s="49"/>
      <c r="F329" s="49"/>
      <c r="G329" s="49"/>
      <c r="H329" s="49"/>
    </row>
    <row r="330" spans="1:8" ht="12.5">
      <c r="A330" s="49"/>
      <c r="B330" s="49"/>
      <c r="C330" s="49"/>
      <c r="D330" s="49"/>
      <c r="E330" s="49"/>
      <c r="F330" s="49"/>
      <c r="G330" s="49"/>
      <c r="H330" s="49"/>
    </row>
    <row r="331" spans="1:8" ht="12.5">
      <c r="A331" s="49"/>
      <c r="B331" s="49"/>
      <c r="C331" s="49"/>
      <c r="D331" s="49"/>
      <c r="E331" s="49"/>
      <c r="F331" s="49"/>
      <c r="G331" s="49"/>
      <c r="H331" s="49"/>
    </row>
    <row r="332" spans="1:8" ht="12.5">
      <c r="A332" s="49"/>
      <c r="B332" s="49"/>
      <c r="C332" s="49"/>
      <c r="D332" s="49"/>
      <c r="E332" s="49"/>
      <c r="F332" s="49"/>
      <c r="G332" s="49"/>
      <c r="H332" s="49"/>
    </row>
    <row r="333" spans="1:8" ht="12.5">
      <c r="A333" s="49"/>
      <c r="B333" s="49"/>
      <c r="C333" s="49"/>
      <c r="D333" s="49"/>
      <c r="E333" s="49"/>
      <c r="F333" s="49"/>
      <c r="G333" s="49"/>
      <c r="H333" s="49"/>
    </row>
    <row r="334" spans="1:8" ht="12.5">
      <c r="A334" s="49"/>
      <c r="B334" s="49"/>
      <c r="C334" s="49"/>
      <c r="D334" s="49"/>
      <c r="E334" s="49"/>
      <c r="F334" s="49"/>
      <c r="G334" s="49"/>
      <c r="H334" s="49"/>
    </row>
    <row r="335" spans="1:8" ht="12.5">
      <c r="A335" s="49"/>
      <c r="B335" s="49"/>
      <c r="C335" s="49"/>
      <c r="D335" s="49"/>
      <c r="E335" s="49"/>
      <c r="F335" s="49"/>
      <c r="G335" s="49"/>
      <c r="H335" s="49"/>
    </row>
    <row r="336" spans="1:8" ht="12.5">
      <c r="A336" s="49"/>
      <c r="B336" s="49"/>
      <c r="C336" s="49"/>
      <c r="D336" s="49"/>
      <c r="E336" s="49"/>
      <c r="F336" s="49"/>
      <c r="G336" s="49"/>
      <c r="H336" s="49"/>
    </row>
    <row r="337" spans="1:8" ht="12.5">
      <c r="A337" s="49"/>
      <c r="B337" s="49"/>
      <c r="C337" s="49"/>
      <c r="D337" s="49"/>
      <c r="E337" s="49"/>
      <c r="F337" s="49"/>
      <c r="G337" s="49"/>
      <c r="H337" s="49"/>
    </row>
    <row r="338" spans="1:8" ht="12.5">
      <c r="A338" s="49"/>
      <c r="B338" s="49"/>
      <c r="C338" s="49"/>
      <c r="D338" s="49"/>
      <c r="E338" s="49"/>
      <c r="F338" s="49"/>
      <c r="G338" s="49"/>
      <c r="H338" s="49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9:C29"/>
  <sheetViews>
    <sheetView workbookViewId="0">
      <selection activeCell="B27" sqref="B27"/>
    </sheetView>
  </sheetViews>
  <sheetFormatPr defaultColWidth="0" defaultRowHeight="14.5"/>
  <cols>
    <col min="1" max="1" width="30.7265625" customWidth="1"/>
    <col min="2" max="2" width="20.7265625" customWidth="1"/>
    <col min="3" max="3" width="139.7265625" customWidth="1"/>
    <col min="4" max="13" width="8.7265625" customWidth="1"/>
  </cols>
  <sheetData>
    <row r="9" spans="1:3" ht="17.5">
      <c r="A9" s="189" t="s">
        <v>116</v>
      </c>
      <c r="B9" s="77"/>
      <c r="C9" s="77"/>
    </row>
    <row r="10" spans="1:3">
      <c r="A10" s="77"/>
      <c r="B10" s="77"/>
      <c r="C10" s="77"/>
    </row>
    <row r="11" spans="1:3">
      <c r="A11" s="77"/>
      <c r="B11" s="77"/>
      <c r="C11" s="77"/>
    </row>
    <row r="12" spans="1:3" ht="15.5">
      <c r="A12" s="119" t="s">
        <v>266</v>
      </c>
      <c r="B12" s="111">
        <v>14000</v>
      </c>
      <c r="C12" s="111">
        <v>14000</v>
      </c>
    </row>
    <row r="13" spans="1:3" ht="15.5">
      <c r="A13" s="119" t="s">
        <v>117</v>
      </c>
      <c r="B13" s="137">
        <v>0.2</v>
      </c>
      <c r="C13" s="137">
        <v>0.2</v>
      </c>
    </row>
    <row r="14" spans="1:3" ht="15.5">
      <c r="A14" s="119" t="s">
        <v>267</v>
      </c>
      <c r="B14" s="111">
        <v>14000</v>
      </c>
      <c r="C14" s="111">
        <v>14000</v>
      </c>
    </row>
    <row r="15" spans="1:3" ht="15.5">
      <c r="A15" s="119" t="s">
        <v>322</v>
      </c>
      <c r="B15" s="125">
        <v>40179</v>
      </c>
      <c r="C15" s="125">
        <v>40179</v>
      </c>
    </row>
    <row r="16" spans="1:3" ht="15.5">
      <c r="A16" s="119"/>
      <c r="B16" s="77"/>
      <c r="C16" s="77"/>
    </row>
    <row r="17" spans="1:3" ht="15.5">
      <c r="A17" s="119" t="s">
        <v>321</v>
      </c>
      <c r="B17" s="2">
        <v>0</v>
      </c>
      <c r="C17" s="2">
        <v>0</v>
      </c>
    </row>
    <row r="18" spans="1:3" ht="15.5">
      <c r="A18" s="119" t="s">
        <v>201</v>
      </c>
      <c r="B18" s="2">
        <v>0</v>
      </c>
      <c r="C18" s="2">
        <v>0</v>
      </c>
    </row>
    <row r="19" spans="1:3" ht="15.5">
      <c r="A19" s="119" t="s">
        <v>0</v>
      </c>
      <c r="B19" s="45">
        <v>0.2</v>
      </c>
      <c r="C19" s="45">
        <v>0.2</v>
      </c>
    </row>
    <row r="20" spans="1:3" ht="15.5">
      <c r="A20" s="119" t="s">
        <v>154</v>
      </c>
      <c r="B20" s="8">
        <v>42095</v>
      </c>
      <c r="C20" s="8">
        <v>42095</v>
      </c>
    </row>
    <row r="21" spans="1:3" ht="15.5">
      <c r="A21" s="119"/>
      <c r="B21" s="77"/>
      <c r="C21" s="77"/>
    </row>
    <row r="22" spans="1:3" ht="15.5">
      <c r="A22" s="119" t="s">
        <v>302</v>
      </c>
      <c r="B22" s="9">
        <v>0</v>
      </c>
      <c r="C22" s="9">
        <v>0</v>
      </c>
    </row>
    <row r="23" spans="1:3" ht="15.5">
      <c r="A23" s="119" t="s">
        <v>283</v>
      </c>
      <c r="B23" s="9">
        <v>0</v>
      </c>
      <c r="C23" s="9">
        <v>0</v>
      </c>
    </row>
    <row r="24" spans="1:3" ht="15.5">
      <c r="A24" s="119" t="s">
        <v>140</v>
      </c>
      <c r="B24" s="126">
        <v>0</v>
      </c>
      <c r="C24" s="126">
        <v>0</v>
      </c>
    </row>
    <row r="25" spans="1:3">
      <c r="A25" s="186" t="s">
        <v>24</v>
      </c>
      <c r="B25" s="43">
        <v>41455</v>
      </c>
      <c r="C25" s="43">
        <v>41455</v>
      </c>
    </row>
    <row r="26" spans="1:3">
      <c r="A26" s="77"/>
      <c r="B26" s="77"/>
      <c r="C26" s="77"/>
    </row>
    <row r="27" spans="1:3" ht="15.5">
      <c r="A27" s="119" t="s">
        <v>2</v>
      </c>
      <c r="B27" s="194"/>
    </row>
    <row r="29" spans="1:3">
      <c r="A29" t="s">
        <v>26</v>
      </c>
      <c r="B2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274</vt:i4>
      </vt:variant>
    </vt:vector>
  </HeadingPairs>
  <TitlesOfParts>
    <vt:vector size="325" baseType="lpstr">
      <vt:lpstr>SQRNavigation</vt:lpstr>
      <vt:lpstr>SQRInputBindings</vt:lpstr>
      <vt:lpstr>SQRChartBindings</vt:lpstr>
      <vt:lpstr>SQRAnnual</vt:lpstr>
      <vt:lpstr>SQRMonthly</vt:lpstr>
      <vt:lpstr>Cover</vt:lpstr>
      <vt:lpstr>Contents</vt:lpstr>
      <vt:lpstr>InpC</vt:lpstr>
      <vt:lpstr>InpS</vt:lpstr>
      <vt:lpstr>InpT</vt:lpstr>
      <vt:lpstr>Time</vt:lpstr>
      <vt:lpstr>Unallocated</vt:lpstr>
      <vt:lpstr>Metrics</vt:lpstr>
      <vt:lpstr>Financials</vt:lpstr>
      <vt:lpstr>Customers</vt:lpstr>
      <vt:lpstr>Income</vt:lpstr>
      <vt:lpstr>Inventory</vt:lpstr>
      <vt:lpstr>Assets</vt:lpstr>
      <vt:lpstr>Expense</vt:lpstr>
      <vt:lpstr>Working Capital</vt:lpstr>
      <vt:lpstr>Invoice finance</vt:lpstr>
      <vt:lpstr>Supply Chain finance</vt:lpstr>
      <vt:lpstr>Asset Finance</vt:lpstr>
      <vt:lpstr>VAT</vt:lpstr>
      <vt:lpstr>Corporation tax</vt:lpstr>
      <vt:lpstr>Equity</vt:lpstr>
      <vt:lpstr>Model Checks and Alerts</vt:lpstr>
      <vt:lpstr>Income Statement Ann</vt:lpstr>
      <vt:lpstr>Balance Sheet Ann</vt:lpstr>
      <vt:lpstr>Cashflow Ann</vt:lpstr>
      <vt:lpstr>Inventory Report Ann</vt:lpstr>
      <vt:lpstr>Metrics Report Ann</vt:lpstr>
      <vt:lpstr>Income Statement</vt:lpstr>
      <vt:lpstr>Income Statement Qly</vt:lpstr>
      <vt:lpstr>Income Statement SemiAnnually</vt:lpstr>
      <vt:lpstr>Balance Sheet</vt:lpstr>
      <vt:lpstr>Balance Sheet Qly</vt:lpstr>
      <vt:lpstr>Balance Sheet SemiAnnually</vt:lpstr>
      <vt:lpstr>Cashflow</vt:lpstr>
      <vt:lpstr>Cashflow Qly</vt:lpstr>
      <vt:lpstr>Cashflow SemiAnnually</vt:lpstr>
      <vt:lpstr>Inventory Report</vt:lpstr>
      <vt:lpstr>Inventory Report Qly</vt:lpstr>
      <vt:lpstr>Inventory Report SemiAnnually</vt:lpstr>
      <vt:lpstr>Metrics Report</vt:lpstr>
      <vt:lpstr>Metrics Report Qly</vt:lpstr>
      <vt:lpstr>Metrics Report SemiAnnually</vt:lpstr>
      <vt:lpstr>Results Table</vt:lpstr>
      <vt:lpstr>Output</vt:lpstr>
      <vt:lpstr>Issues</vt:lpstr>
      <vt:lpstr>Styles</vt:lpstr>
      <vt:lpstr>Asset_Finance_balance</vt:lpstr>
      <vt:lpstr>Asset_Finance_balance.BEG</vt:lpstr>
      <vt:lpstr>Asset_Finance_balance.FLOW</vt:lpstr>
      <vt:lpstr>Asset_Finance_drawdown</vt:lpstr>
      <vt:lpstr>Asset_Finance_interest</vt:lpstr>
      <vt:lpstr>Asset_Finance_interest.NEG</vt:lpstr>
      <vt:lpstr>Asset_Finance_interest_paid</vt:lpstr>
      <vt:lpstr>Asset_Finance_interest_paid.NEG</vt:lpstr>
      <vt:lpstr>Asset_Finance_principal_repayment</vt:lpstr>
      <vt:lpstr>Asset_Finance_principal_repayment.NEG</vt:lpstr>
      <vt:lpstr>Assets</vt:lpstr>
      <vt:lpstr>CASE_ACTIVE</vt:lpstr>
      <vt:lpstr>CASE_COMPARISON</vt:lpstr>
      <vt:lpstr>Cash</vt:lpstr>
      <vt:lpstr>Cash.BEG</vt:lpstr>
      <vt:lpstr>Cash.FLOW</vt:lpstr>
      <vt:lpstr>Cash_in_from_Sales</vt:lpstr>
      <vt:lpstr>Cash_Low</vt:lpstr>
      <vt:lpstr>Cash_out_on_Inventory</vt:lpstr>
      <vt:lpstr>Cash_out_on_Inventory.NEG</vt:lpstr>
      <vt:lpstr>Cash_out_on_Operating_Expense</vt:lpstr>
      <vt:lpstr>Cash_out_on_Operating_Expense.NEG</vt:lpstr>
      <vt:lpstr>CF_after_capex</vt:lpstr>
      <vt:lpstr>CF_after_financing</vt:lpstr>
      <vt:lpstr>Constants</vt:lpstr>
      <vt:lpstr>Corporation_tax</vt:lpstr>
      <vt:lpstr>Corporation_tax.NEG</vt:lpstr>
      <vt:lpstr>Corporation_tax_creditor</vt:lpstr>
      <vt:lpstr>Corporation_tax_creditor.BEG</vt:lpstr>
      <vt:lpstr>Corporation_tax_creditor.FLOW</vt:lpstr>
      <vt:lpstr>Corporation_tax_paid</vt:lpstr>
      <vt:lpstr>Corporation_tax_paid.NEG</vt:lpstr>
      <vt:lpstr>Creditors</vt:lpstr>
      <vt:lpstr>Creditors.BEG</vt:lpstr>
      <vt:lpstr>Creditors.FLOW</vt:lpstr>
      <vt:lpstr>Customer_Orders_Awaiting_Fullfilment</vt:lpstr>
      <vt:lpstr>Customer_Orders_Awaiting_Fullfilment.BEG</vt:lpstr>
      <vt:lpstr>Customer_Orders_Awaiting_Fullfilment.FLOW</vt:lpstr>
      <vt:lpstr>Debtors</vt:lpstr>
      <vt:lpstr>Debtors.BEG</vt:lpstr>
      <vt:lpstr>Debtors.FLOW</vt:lpstr>
      <vt:lpstr>Deferred_Income</vt:lpstr>
      <vt:lpstr>Deferred_Income.BEG</vt:lpstr>
      <vt:lpstr>Deferred_Income.FLOW</vt:lpstr>
      <vt:lpstr>Deployed_units_returned</vt:lpstr>
      <vt:lpstr>Depreciation</vt:lpstr>
      <vt:lpstr>Depreciation.BEG</vt:lpstr>
      <vt:lpstr>Depreciation.FLOW</vt:lpstr>
      <vt:lpstr>Depreciation.NEG</vt:lpstr>
      <vt:lpstr>Depreciation_this_period</vt:lpstr>
      <vt:lpstr>Depreciation_this_period.NEG</vt:lpstr>
      <vt:lpstr>EBIT</vt:lpstr>
      <vt:lpstr>EBITDA</vt:lpstr>
      <vt:lpstr>ExampleInputRow</vt:lpstr>
      <vt:lpstr>Contents!FirstDifferenceCell</vt:lpstr>
      <vt:lpstr>Contents!FirstRow</vt:lpstr>
      <vt:lpstr>FirstRow</vt:lpstr>
      <vt:lpstr>FirstTime</vt:lpstr>
      <vt:lpstr>Fixed_operating_expense</vt:lpstr>
      <vt:lpstr>Fixed_operating_expense.NEG</vt:lpstr>
      <vt:lpstr>Headings</vt:lpstr>
      <vt:lpstr>Income</vt:lpstr>
      <vt:lpstr>Contents!InputChanges</vt:lpstr>
      <vt:lpstr>Inventory</vt:lpstr>
      <vt:lpstr>Inventory.BEG</vt:lpstr>
      <vt:lpstr>Inventory.FLOW</vt:lpstr>
      <vt:lpstr>Invoice_finance_balance</vt:lpstr>
      <vt:lpstr>Invoice_finance_balance.BEG</vt:lpstr>
      <vt:lpstr>Invoice_finance_balance.FLOW</vt:lpstr>
      <vt:lpstr>Invoice_finance_drawdown</vt:lpstr>
      <vt:lpstr>Invoice_finance_interest</vt:lpstr>
      <vt:lpstr>Invoice_finance_interest.NEG</vt:lpstr>
      <vt:lpstr>Invoice_finance_interest_paid</vt:lpstr>
      <vt:lpstr>Invoice_finance_interest_paid.NEG</vt:lpstr>
      <vt:lpstr>Invoice_finance_principal_repayment</vt:lpstr>
      <vt:lpstr>Invoice_finance_principal_repayment.NEG</vt:lpstr>
      <vt:lpstr>Label</vt:lpstr>
      <vt:lpstr>Liabilities</vt:lpstr>
      <vt:lpstr>'Asset Finance'!MasterALERT</vt:lpstr>
      <vt:lpstr>Assets!MasterALERT</vt:lpstr>
      <vt:lpstr>'Balance Sheet'!MasterALERT</vt:lpstr>
      <vt:lpstr>'Balance Sheet Ann'!MasterALERT</vt:lpstr>
      <vt:lpstr>'Balance Sheet Qly'!MasterALERT</vt:lpstr>
      <vt:lpstr>'Balance Sheet SemiAnnually'!MasterALERT</vt:lpstr>
      <vt:lpstr>Cashflow!MasterALERT</vt:lpstr>
      <vt:lpstr>'Cashflow Ann'!MasterALERT</vt:lpstr>
      <vt:lpstr>'Cashflow Qly'!MasterALERT</vt:lpstr>
      <vt:lpstr>'Cashflow SemiAnnually'!MasterALERT</vt:lpstr>
      <vt:lpstr>'Corporation tax'!MasterALERT</vt:lpstr>
      <vt:lpstr>Customers!MasterALERT</vt:lpstr>
      <vt:lpstr>Equity!MasterALERT</vt:lpstr>
      <vt:lpstr>Expense!MasterALERT</vt:lpstr>
      <vt:lpstr>Financials!MasterALERT</vt:lpstr>
      <vt:lpstr>Income!MasterALERT</vt:lpstr>
      <vt:lpstr>'Income Statement'!MasterALERT</vt:lpstr>
      <vt:lpstr>'Income Statement Ann'!MasterALERT</vt:lpstr>
      <vt:lpstr>'Income Statement Qly'!MasterALERT</vt:lpstr>
      <vt:lpstr>'Income Statement SemiAnnually'!MasterALERT</vt:lpstr>
      <vt:lpstr>InpC!MasterALERT</vt:lpstr>
      <vt:lpstr>InpS!MasterALERT</vt:lpstr>
      <vt:lpstr>InpT!MasterALERT</vt:lpstr>
      <vt:lpstr>Inventory!MasterALERT</vt:lpstr>
      <vt:lpstr>'Inventory Report'!MasterALERT</vt:lpstr>
      <vt:lpstr>'Inventory Report Ann'!MasterALERT</vt:lpstr>
      <vt:lpstr>'Inventory Report Qly'!MasterALERT</vt:lpstr>
      <vt:lpstr>'Inventory Report SemiAnnually'!MasterALERT</vt:lpstr>
      <vt:lpstr>'Invoice finance'!MasterALERT</vt:lpstr>
      <vt:lpstr>Metrics!MasterALERT</vt:lpstr>
      <vt:lpstr>'Metrics Report'!MasterALERT</vt:lpstr>
      <vt:lpstr>'Metrics Report Ann'!MasterALERT</vt:lpstr>
      <vt:lpstr>'Metrics Report Qly'!MasterALERT</vt:lpstr>
      <vt:lpstr>'Metrics Report SemiAnnually'!MasterALERT</vt:lpstr>
      <vt:lpstr>'Model Checks and Alerts'!MasterALERT</vt:lpstr>
      <vt:lpstr>'Supply Chain finance'!MasterALERT</vt:lpstr>
      <vt:lpstr>Time!MasterALERT</vt:lpstr>
      <vt:lpstr>Unallocated!MasterALERT</vt:lpstr>
      <vt:lpstr>VAT!MasterALERT</vt:lpstr>
      <vt:lpstr>'Working Capital'!MasterALERT</vt:lpstr>
      <vt:lpstr>'Asset Finance'!MasterCHK</vt:lpstr>
      <vt:lpstr>Assets!MasterCHK</vt:lpstr>
      <vt:lpstr>'Balance Sheet'!MasterCHK</vt:lpstr>
      <vt:lpstr>'Balance Sheet Ann'!MasterCHK</vt:lpstr>
      <vt:lpstr>'Balance Sheet Qly'!MasterCHK</vt:lpstr>
      <vt:lpstr>'Balance Sheet SemiAnnually'!MasterCHK</vt:lpstr>
      <vt:lpstr>Cashflow!MasterCHK</vt:lpstr>
      <vt:lpstr>'Cashflow Ann'!MasterCHK</vt:lpstr>
      <vt:lpstr>'Cashflow Qly'!MasterCHK</vt:lpstr>
      <vt:lpstr>'Cashflow SemiAnnually'!MasterCHK</vt:lpstr>
      <vt:lpstr>'Corporation tax'!MasterCHK</vt:lpstr>
      <vt:lpstr>Customers!MasterCHK</vt:lpstr>
      <vt:lpstr>Equity!MasterCHK</vt:lpstr>
      <vt:lpstr>Expense!MasterCHK</vt:lpstr>
      <vt:lpstr>Financials!MasterCHK</vt:lpstr>
      <vt:lpstr>Income!MasterCHK</vt:lpstr>
      <vt:lpstr>'Income Statement'!MasterCHK</vt:lpstr>
      <vt:lpstr>'Income Statement Ann'!MasterCHK</vt:lpstr>
      <vt:lpstr>'Income Statement Qly'!MasterCHK</vt:lpstr>
      <vt:lpstr>'Income Statement SemiAnnually'!MasterCHK</vt:lpstr>
      <vt:lpstr>InpC!MasterCHK</vt:lpstr>
      <vt:lpstr>InpS!MasterCHK</vt:lpstr>
      <vt:lpstr>InpT!MasterCHK</vt:lpstr>
      <vt:lpstr>Inventory!MasterCHK</vt:lpstr>
      <vt:lpstr>'Inventory Report'!MasterCHK</vt:lpstr>
      <vt:lpstr>'Inventory Report Ann'!MasterCHK</vt:lpstr>
      <vt:lpstr>'Inventory Report Qly'!MasterCHK</vt:lpstr>
      <vt:lpstr>'Inventory Report SemiAnnually'!MasterCHK</vt:lpstr>
      <vt:lpstr>'Invoice finance'!MasterCHK</vt:lpstr>
      <vt:lpstr>Metrics!MasterCHK</vt:lpstr>
      <vt:lpstr>'Metrics Report'!MasterCHK</vt:lpstr>
      <vt:lpstr>'Metrics Report Ann'!MasterCHK</vt:lpstr>
      <vt:lpstr>'Metrics Report Qly'!MasterCHK</vt:lpstr>
      <vt:lpstr>'Metrics Report SemiAnnually'!MasterCHK</vt:lpstr>
      <vt:lpstr>'Model Checks and Alerts'!MasterCHK</vt:lpstr>
      <vt:lpstr>'Supply Chain finance'!MasterCHK</vt:lpstr>
      <vt:lpstr>Time!MasterCHK</vt:lpstr>
      <vt:lpstr>Unallocated!MasterCHK</vt:lpstr>
      <vt:lpstr>VAT!MasterCHK</vt:lpstr>
      <vt:lpstr>'Working Capital'!MasterCHK</vt:lpstr>
      <vt:lpstr>Net_Assets</vt:lpstr>
      <vt:lpstr>Net_Cashflow</vt:lpstr>
      <vt:lpstr>New_customers_orders</vt:lpstr>
      <vt:lpstr>New_share_capital_issued</vt:lpstr>
      <vt:lpstr>obxIssuesLog</vt:lpstr>
      <vt:lpstr>Operating_Cashflow</vt:lpstr>
      <vt:lpstr>Profit_before_tax</vt:lpstr>
      <vt:lpstr>Renewing_Customer_Orders</vt:lpstr>
      <vt:lpstr>ReportBarFormat</vt:lpstr>
      <vt:lpstr>Retained_Earnings</vt:lpstr>
      <vt:lpstr>Retained_Earnings.BEG</vt:lpstr>
      <vt:lpstr>Retained_Earnings.FLOW</vt:lpstr>
      <vt:lpstr>Retained_Earnings_this_period</vt:lpstr>
      <vt:lpstr>scenario</vt:lpstr>
      <vt:lpstr>ScenarioPointer</vt:lpstr>
      <vt:lpstr>SensitivityInputs</vt:lpstr>
      <vt:lpstr>Share_Capital</vt:lpstr>
      <vt:lpstr>Share_Capital.BEG</vt:lpstr>
      <vt:lpstr>Share_Capital.FLOW</vt:lpstr>
      <vt:lpstr>Shareholder_Equity</vt:lpstr>
      <vt:lpstr>Supply_Chain_Finance_balance</vt:lpstr>
      <vt:lpstr>Supply_Chain_Finance_balance.BEG</vt:lpstr>
      <vt:lpstr>Supply_Chain_Finance_balance.FLOW</vt:lpstr>
      <vt:lpstr>Supply_Chain_Finance_drawdown</vt:lpstr>
      <vt:lpstr>Supply_Chain_Finance_interest</vt:lpstr>
      <vt:lpstr>Supply_Chain_Finance_interest.NEG</vt:lpstr>
      <vt:lpstr>Supply_Chain_Finance_interest_paid</vt:lpstr>
      <vt:lpstr>Supply_Chain_Finance_interest_paid.NEG</vt:lpstr>
      <vt:lpstr>Supply_Chain_Finance_principal_repayment</vt:lpstr>
      <vt:lpstr>Supply_Chain_Finance_principal_repayment.NEG</vt:lpstr>
      <vt:lpstr>TimeRow</vt:lpstr>
      <vt:lpstr>TOCFirstLine</vt:lpstr>
      <vt:lpstr>TOCobxAsset_Finance</vt:lpstr>
      <vt:lpstr>TOCobxAssets</vt:lpstr>
      <vt:lpstr>TOCobxCorporation_tax</vt:lpstr>
      <vt:lpstr>TOCobxCorporation_tax.Corporation_tax_creditor</vt:lpstr>
      <vt:lpstr>TOCobxCorporation_tax.Tax_losses</vt:lpstr>
      <vt:lpstr>TOCobxCustomers</vt:lpstr>
      <vt:lpstr>TOCobxEquity</vt:lpstr>
      <vt:lpstr>TOCobxExpense</vt:lpstr>
      <vt:lpstr>TOCobxFinancials</vt:lpstr>
      <vt:lpstr>TOCobxIncome</vt:lpstr>
      <vt:lpstr>TOCobxInputs</vt:lpstr>
      <vt:lpstr>TOCobxInputs.Corporation_Tax</vt:lpstr>
      <vt:lpstr>TOCobxInputs.Customer_Orders</vt:lpstr>
      <vt:lpstr>TOCobxInputs.Debt</vt:lpstr>
      <vt:lpstr>TOCobxInputs.Debt.Asset_Finance</vt:lpstr>
      <vt:lpstr>TOCobxInputs.Debt.Invoice_Finance</vt:lpstr>
      <vt:lpstr>TOCobxInputs.Debt.Supply_Chain_Finance</vt:lpstr>
      <vt:lpstr>TOCobxInputs.Equity</vt:lpstr>
      <vt:lpstr>TOCobxInputs.Expense</vt:lpstr>
      <vt:lpstr>TOCobxInputs.Inventory</vt:lpstr>
      <vt:lpstr>TOCobxInputs.Model_Constants</vt:lpstr>
      <vt:lpstr>TOCobxInputs.Opening_Balances</vt:lpstr>
      <vt:lpstr>TOCobxInputs.Short_term_forecast</vt:lpstr>
      <vt:lpstr>TOCobxInputs.Supplier_orders</vt:lpstr>
      <vt:lpstr>TOCobxInputs.VAT</vt:lpstr>
      <vt:lpstr>TOCobxInventory</vt:lpstr>
      <vt:lpstr>TOCobxInvoice_finance</vt:lpstr>
      <vt:lpstr>TOCobxMetrics</vt:lpstr>
      <vt:lpstr>TOCobxModel_Checks_and_Alerts</vt:lpstr>
      <vt:lpstr>TOCobxModel_Checks_and_Alerts.Model_Checks</vt:lpstr>
      <vt:lpstr>TOCobxSupply_Chain_finance</vt:lpstr>
      <vt:lpstr>TOCobxTime</vt:lpstr>
      <vt:lpstr>TOCobxTime.Customer_Order_Growth_index</vt:lpstr>
      <vt:lpstr>TOCobxTime.Debts_flags</vt:lpstr>
      <vt:lpstr>TOCobxTime.Fixed_Operating_Cost_Growth_Rate_index</vt:lpstr>
      <vt:lpstr>TOCobxTime.Headers</vt:lpstr>
      <vt:lpstr>TOCobxTime.Model_timelines</vt:lpstr>
      <vt:lpstr>TOCobxTime.Use_short_term_forecast_flag</vt:lpstr>
      <vt:lpstr>TOCobxTime.VAT_return_this_period_flag</vt:lpstr>
      <vt:lpstr>TOCobxUnallocated</vt:lpstr>
      <vt:lpstr>TOCobxVAT</vt:lpstr>
      <vt:lpstr>TOCobxWorking_Capital</vt:lpstr>
      <vt:lpstr>TOCrepobxBalance_Sheet_base_1_Quarter</vt:lpstr>
      <vt:lpstr>TOCrepobxBalance_Sheet_base_2_SemiAnnual</vt:lpstr>
      <vt:lpstr>TOCrepobxBalance_Sheet_base_Month</vt:lpstr>
      <vt:lpstr>TOCrepobxBalance_Sheet_Year</vt:lpstr>
      <vt:lpstr>TOCrepobxCashflow_base_1_Quarter</vt:lpstr>
      <vt:lpstr>TOCrepobxCashflow_base_2_SemiAnnual</vt:lpstr>
      <vt:lpstr>TOCrepobxCashflow_base_Month</vt:lpstr>
      <vt:lpstr>TOCrepobxCashflow_Year</vt:lpstr>
      <vt:lpstr>TOCrepobxIncome_Statement_base_1_Quarter</vt:lpstr>
      <vt:lpstr>TOCrepobxIncome_Statement_base_2_SemiAnnual</vt:lpstr>
      <vt:lpstr>TOCrepobxIncome_Statement_base_Month</vt:lpstr>
      <vt:lpstr>TOCrepobxIncome_Statement_Year</vt:lpstr>
      <vt:lpstr>TOCrepobxInventory_Report_base_1_Quarter</vt:lpstr>
      <vt:lpstr>TOCrepobxInventory_Report_base_2_SemiAnnual</vt:lpstr>
      <vt:lpstr>TOCrepobxInventory_Report_base_Month</vt:lpstr>
      <vt:lpstr>TOCrepobxInventory_Report_Year</vt:lpstr>
      <vt:lpstr>TOCrepobxMetrics_Report_base_1_Quarter</vt:lpstr>
      <vt:lpstr>TOCrepobxMetrics_Report_base_2_SemiAnnual</vt:lpstr>
      <vt:lpstr>TOCrepobxMetrics_Report_base_Month</vt:lpstr>
      <vt:lpstr>TOCrepobxMetrics_Report_Year</vt:lpstr>
      <vt:lpstr>Totals</vt:lpstr>
      <vt:lpstr>Units</vt:lpstr>
      <vt:lpstr>Units_delivered</vt:lpstr>
      <vt:lpstr>Units_deployed</vt:lpstr>
      <vt:lpstr>Units_in_stock</vt:lpstr>
      <vt:lpstr>Units_in_stock.BEG</vt:lpstr>
      <vt:lpstr>Units_in_stock.FLOW</vt:lpstr>
      <vt:lpstr>Units_in_use</vt:lpstr>
      <vt:lpstr>Units_in_use.BEG</vt:lpstr>
      <vt:lpstr>Units_in_use.FLOW</vt:lpstr>
      <vt:lpstr>Units_on_order</vt:lpstr>
      <vt:lpstr>Units_on_order.BEG</vt:lpstr>
      <vt:lpstr>Units_on_order.FLOW</vt:lpstr>
      <vt:lpstr>Units_ordered</vt:lpstr>
      <vt:lpstr>Units_retired</vt:lpstr>
      <vt:lpstr>Variable_Operating_expense</vt:lpstr>
      <vt:lpstr>Variable_Operating_expense.NEG</vt:lpstr>
      <vt:lpstr>VAT_balance</vt:lpstr>
      <vt:lpstr>VAT_balance.BEG</vt:lpstr>
      <vt:lpstr>VAT_balance.FLOW</vt:lpstr>
      <vt:lpstr>VAT_paid</vt:lpstr>
      <vt:lpstr>VAT_paid.NEG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Andy Davidson</cp:lastModifiedBy>
  <dcterms:modified xsi:type="dcterms:W3CDTF">2023-09-10T22:02:11Z</dcterms:modified>
</cp:coreProperties>
</file>