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flury/Documents/GitHub/lid_notebooks/pacing/"/>
    </mc:Choice>
  </mc:AlternateContent>
  <xr:revisionPtr revIDLastSave="0" documentId="13_ncr:1_{717A54A2-166F-8C4C-9CB2-35E37EE13839}" xr6:coauthVersionLast="41" xr6:coauthVersionMax="41" xr10:uidLastSave="{00000000-0000-0000-0000-000000000000}"/>
  <bookViews>
    <workbookView xWindow="1520" yWindow="940" windowWidth="16620" windowHeight="15920" firstSheet="9" activeTab="16" xr2:uid="{D77B0CA8-55D7-5D44-9211-006A42BFB142}"/>
  </bookViews>
  <sheets>
    <sheet name="101" sheetId="1" r:id="rId1"/>
    <sheet name="102" sheetId="2" r:id="rId2"/>
    <sheet name="103" sheetId="3" r:id="rId3"/>
    <sheet name="104" sheetId="4" r:id="rId4"/>
    <sheet name="201" sheetId="5" r:id="rId5"/>
    <sheet name="202" sheetId="6" r:id="rId6"/>
    <sheet name="203" sheetId="7" r:id="rId7"/>
    <sheet name="204" sheetId="8" r:id="rId8"/>
    <sheet name="301" sheetId="9" r:id="rId9"/>
    <sheet name="302" sheetId="10" r:id="rId10"/>
    <sheet name="303" sheetId="11" r:id="rId11"/>
    <sheet name="304" sheetId="12" r:id="rId12"/>
    <sheet name="401" sheetId="13" r:id="rId13"/>
    <sheet name="402" sheetId="14" r:id="rId14"/>
    <sheet name="403" sheetId="15" r:id="rId15"/>
    <sheet name="404" sheetId="16" r:id="rId16"/>
    <sheet name="inf" sheetId="17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7" l="1"/>
  <c r="J9" i="17"/>
  <c r="J8" i="17"/>
  <c r="J7" i="17"/>
  <c r="J6" i="17"/>
  <c r="J5" i="17"/>
  <c r="J4" i="17"/>
  <c r="J3" i="17"/>
  <c r="J2" i="17"/>
  <c r="D21" i="17"/>
  <c r="D19" i="17"/>
  <c r="D22" i="17" s="1"/>
  <c r="D15" i="17"/>
  <c r="D9" i="17"/>
  <c r="D6" i="17"/>
  <c r="J10" i="16"/>
  <c r="J9" i="16"/>
  <c r="J8" i="16"/>
  <c r="J7" i="16"/>
  <c r="J6" i="16"/>
  <c r="J5" i="16"/>
  <c r="J4" i="16"/>
  <c r="J3" i="16"/>
  <c r="J2" i="16"/>
  <c r="D21" i="16"/>
  <c r="D19" i="16"/>
  <c r="D22" i="16" s="1"/>
  <c r="D15" i="16"/>
  <c r="D9" i="16"/>
  <c r="D6" i="16"/>
  <c r="J10" i="15"/>
  <c r="J9" i="15"/>
  <c r="J8" i="15"/>
  <c r="J7" i="15"/>
  <c r="J6" i="15"/>
  <c r="J5" i="15"/>
  <c r="J3" i="15"/>
  <c r="J4" i="15"/>
  <c r="D21" i="15"/>
  <c r="D19" i="15"/>
  <c r="D22" i="15" s="1"/>
  <c r="D15" i="15"/>
  <c r="D9" i="15"/>
  <c r="D6" i="15"/>
  <c r="J10" i="14"/>
  <c r="J9" i="14"/>
  <c r="J8" i="14"/>
  <c r="J7" i="14"/>
  <c r="J6" i="14"/>
  <c r="J5" i="14"/>
  <c r="J4" i="14"/>
  <c r="J3" i="14"/>
  <c r="J2" i="14"/>
  <c r="D21" i="14"/>
  <c r="D19" i="14"/>
  <c r="D22" i="14" s="1"/>
  <c r="D15" i="14"/>
  <c r="D9" i="14"/>
  <c r="D6" i="14"/>
  <c r="J10" i="13"/>
  <c r="J9" i="13"/>
  <c r="J8" i="13"/>
  <c r="J7" i="13"/>
  <c r="J6" i="13"/>
  <c r="J5" i="13"/>
  <c r="J4" i="13"/>
  <c r="J3" i="13"/>
  <c r="J2" i="13"/>
  <c r="D21" i="13"/>
  <c r="D19" i="13"/>
  <c r="D22" i="13" s="1"/>
  <c r="D15" i="13"/>
  <c r="D9" i="13"/>
  <c r="D6" i="13"/>
  <c r="J6" i="12"/>
  <c r="J7" i="12"/>
  <c r="J9" i="12"/>
  <c r="J8" i="12"/>
  <c r="J5" i="12"/>
  <c r="J4" i="12"/>
  <c r="J3" i="12"/>
  <c r="J2" i="12"/>
  <c r="J10" i="12"/>
  <c r="D21" i="12"/>
  <c r="D19" i="12"/>
  <c r="D22" i="12" s="1"/>
  <c r="D15" i="12"/>
  <c r="D9" i="12"/>
  <c r="D6" i="12"/>
  <c r="J10" i="11"/>
  <c r="J9" i="11"/>
  <c r="J8" i="11"/>
  <c r="J7" i="11"/>
  <c r="J6" i="11"/>
  <c r="J5" i="11"/>
  <c r="J4" i="11"/>
  <c r="J3" i="11"/>
  <c r="J2" i="11"/>
  <c r="D21" i="11"/>
  <c r="D19" i="11"/>
  <c r="D22" i="11" s="1"/>
  <c r="D15" i="11"/>
  <c r="D9" i="11"/>
  <c r="D6" i="11"/>
  <c r="J10" i="10"/>
  <c r="J9" i="10"/>
  <c r="J8" i="10"/>
  <c r="J7" i="10"/>
  <c r="J6" i="10"/>
  <c r="J5" i="10"/>
  <c r="J4" i="10"/>
  <c r="J3" i="10"/>
  <c r="J2" i="10"/>
  <c r="D19" i="10"/>
  <c r="D22" i="10" s="1"/>
  <c r="D15" i="10"/>
  <c r="D9" i="10"/>
  <c r="D6" i="10"/>
  <c r="D21" i="10" s="1"/>
  <c r="J10" i="9"/>
  <c r="J9" i="9"/>
  <c r="J8" i="9"/>
  <c r="J7" i="9"/>
  <c r="J6" i="9"/>
  <c r="J5" i="9"/>
  <c r="J4" i="9"/>
  <c r="J3" i="9"/>
  <c r="J2" i="9"/>
  <c r="D21" i="9"/>
  <c r="D19" i="9"/>
  <c r="D22" i="9" s="1"/>
  <c r="D15" i="9"/>
  <c r="D9" i="9"/>
  <c r="D6" i="9"/>
  <c r="J10" i="8"/>
  <c r="J9" i="8"/>
  <c r="J8" i="8"/>
  <c r="J7" i="8"/>
  <c r="J6" i="8"/>
  <c r="J5" i="8"/>
  <c r="J4" i="8"/>
  <c r="J3" i="8"/>
  <c r="J2" i="8"/>
  <c r="D21" i="8"/>
  <c r="D19" i="8"/>
  <c r="D22" i="8" s="1"/>
  <c r="D15" i="8"/>
  <c r="D9" i="8"/>
  <c r="D6" i="8"/>
  <c r="J10" i="7"/>
  <c r="J9" i="7"/>
  <c r="J8" i="7"/>
  <c r="J7" i="7"/>
  <c r="J6" i="7"/>
  <c r="J5" i="7"/>
  <c r="J4" i="7"/>
  <c r="J3" i="7"/>
  <c r="J2" i="7"/>
  <c r="D21" i="7"/>
  <c r="D19" i="7"/>
  <c r="D22" i="7" s="1"/>
  <c r="D15" i="7"/>
  <c r="D9" i="7"/>
  <c r="D6" i="7"/>
  <c r="J10" i="6"/>
  <c r="J9" i="6"/>
  <c r="J8" i="6"/>
  <c r="J7" i="6"/>
  <c r="J6" i="6"/>
  <c r="J5" i="6"/>
  <c r="J4" i="6"/>
  <c r="J3" i="6"/>
  <c r="J2" i="6"/>
  <c r="D19" i="6"/>
  <c r="D22" i="6" s="1"/>
  <c r="D15" i="6"/>
  <c r="D9" i="6"/>
  <c r="D6" i="6"/>
  <c r="D21" i="6" s="1"/>
  <c r="J10" i="5"/>
  <c r="J9" i="5"/>
  <c r="J8" i="5"/>
  <c r="J7" i="5"/>
  <c r="J6" i="5"/>
  <c r="J5" i="5"/>
  <c r="J4" i="5"/>
  <c r="J3" i="5"/>
  <c r="J2" i="5"/>
  <c r="D21" i="5"/>
  <c r="D19" i="5"/>
  <c r="D22" i="5" s="1"/>
  <c r="D15" i="5"/>
  <c r="D9" i="5"/>
  <c r="D6" i="5"/>
  <c r="J10" i="4"/>
  <c r="J9" i="4"/>
  <c r="J8" i="4"/>
  <c r="J7" i="4"/>
  <c r="J6" i="4"/>
  <c r="J5" i="4"/>
  <c r="J4" i="4"/>
  <c r="J3" i="4"/>
  <c r="J2" i="4"/>
  <c r="D19" i="4"/>
  <c r="D22" i="4" s="1"/>
  <c r="D15" i="4"/>
  <c r="D9" i="4"/>
  <c r="D6" i="4"/>
  <c r="D21" i="4" s="1"/>
  <c r="J10" i="3"/>
  <c r="H10" i="3"/>
  <c r="D15" i="3" s="1"/>
  <c r="J9" i="3"/>
  <c r="H9" i="3"/>
  <c r="J8" i="3"/>
  <c r="H8" i="3"/>
  <c r="J7" i="3"/>
  <c r="H7" i="3"/>
  <c r="J6" i="3"/>
  <c r="H6" i="3"/>
  <c r="J5" i="3"/>
  <c r="H5" i="3"/>
  <c r="J4" i="3"/>
  <c r="D21" i="3"/>
  <c r="D19" i="3"/>
  <c r="D22" i="3" s="1"/>
  <c r="D9" i="3"/>
  <c r="D6" i="3"/>
  <c r="J10" i="2"/>
  <c r="J9" i="2"/>
  <c r="J8" i="2"/>
  <c r="J7" i="2"/>
  <c r="J6" i="2"/>
  <c r="J5" i="2"/>
  <c r="J4" i="2"/>
  <c r="D19" i="2"/>
  <c r="D22" i="2" s="1"/>
  <c r="D15" i="2"/>
  <c r="D9" i="2"/>
  <c r="D6" i="2"/>
  <c r="D21" i="2" s="1"/>
  <c r="D15" i="1"/>
  <c r="D19" i="1"/>
  <c r="D22" i="1" s="1"/>
  <c r="D9" i="1"/>
  <c r="D6" i="1"/>
  <c r="D21" i="1" s="1"/>
  <c r="D12" i="17"/>
  <c r="D12" i="16"/>
  <c r="D12" i="15"/>
  <c r="D12" i="14"/>
  <c r="D12" i="13"/>
  <c r="D12" i="12"/>
  <c r="D12" i="11"/>
  <c r="D12" i="10"/>
  <c r="D12" i="9"/>
  <c r="D12" i="8"/>
  <c r="D12" i="7"/>
  <c r="D12" i="6"/>
  <c r="D12" i="5"/>
  <c r="D12" i="4"/>
  <c r="D12" i="2"/>
  <c r="D12" i="1"/>
  <c r="D12" i="3"/>
  <c r="D16" i="17" l="1"/>
  <c r="D23" i="17" s="1"/>
  <c r="D16" i="16"/>
  <c r="D23" i="16" s="1"/>
  <c r="D16" i="15"/>
  <c r="D23" i="15" s="1"/>
  <c r="D16" i="14"/>
  <c r="D23" i="14" s="1"/>
  <c r="D16" i="13"/>
  <c r="D23" i="13" s="1"/>
  <c r="D16" i="12"/>
  <c r="D23" i="12" s="1"/>
  <c r="D16" i="11"/>
  <c r="D23" i="11" s="1"/>
  <c r="D16" i="10"/>
  <c r="D23" i="10" s="1"/>
  <c r="D16" i="9"/>
  <c r="D23" i="9" s="1"/>
  <c r="D16" i="8"/>
  <c r="D23" i="8" s="1"/>
  <c r="D16" i="7"/>
  <c r="D23" i="7" s="1"/>
  <c r="D16" i="6"/>
  <c r="D23" i="6" s="1"/>
  <c r="D16" i="5"/>
  <c r="D23" i="5" s="1"/>
  <c r="D16" i="4"/>
  <c r="D23" i="4" s="1"/>
  <c r="D16" i="3"/>
  <c r="D23" i="3" s="1"/>
  <c r="D16" i="2"/>
  <c r="D23" i="2" s="1"/>
  <c r="D16" i="1"/>
  <c r="D23" i="1" s="1"/>
</calcChain>
</file>

<file path=xl/sharedStrings.xml><?xml version="1.0" encoding="utf-8"?>
<sst xmlns="http://schemas.openxmlformats.org/spreadsheetml/2006/main" count="646" uniqueCount="28">
  <si>
    <t>TARGETS</t>
  </si>
  <si>
    <t>target storm event</t>
  </si>
  <si>
    <t>pulses</t>
  </si>
  <si>
    <t>aliquot size</t>
  </si>
  <si>
    <t>ml</t>
  </si>
  <si>
    <t>target volume in sample bottle</t>
  </si>
  <si>
    <t>target # of aliquots</t>
  </si>
  <si>
    <t>aliquots</t>
  </si>
  <si>
    <t>INPUT</t>
  </si>
  <si>
    <t>TIME</t>
  </si>
  <si>
    <t>last pulse</t>
  </si>
  <si>
    <t>pulses left</t>
  </si>
  <si>
    <t>FLOW</t>
  </si>
  <si>
    <t>flow now</t>
  </si>
  <si>
    <t>L/second</t>
  </si>
  <si>
    <t>Current total prediction</t>
  </si>
  <si>
    <t>L</t>
  </si>
  <si>
    <t>Total Guess</t>
  </si>
  <si>
    <t>Remaining Flow</t>
  </si>
  <si>
    <t>samples in sample bottle</t>
  </si>
  <si>
    <t>volume in sample bottle</t>
  </si>
  <si>
    <t>CALCS</t>
  </si>
  <si>
    <t>Aliquots left</t>
  </si>
  <si>
    <t>Vol needed to fill sample bottle</t>
  </si>
  <si>
    <t>pacing</t>
  </si>
  <si>
    <t>liters/aliquot</t>
  </si>
  <si>
    <t>Pulses: (L)</t>
  </si>
  <si>
    <t>Conversion facter (s^-1)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</si>
</sst>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2" xfId="0" applyFont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5" borderId="6" xfId="0" applyFill="1" applyBorder="1"/>
    <xf numFmtId="0" fontId="0" fillId="5" borderId="0" xfId="0" applyFill="1"/>
    <xf numFmtId="0" fontId="0" fillId="5" borderId="7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1" fillId="0" borderId="16" xfId="0" applyFont="1" applyBorder="1"/>
    <xf numFmtId="0" fontId="0" fillId="6" borderId="17" xfId="0" applyFill="1" applyBorder="1"/>
    <xf numFmtId="164" fontId="2" fillId="6" borderId="18" xfId="0" applyNumberFormat="1" applyFont="1" applyFill="1" applyBorder="1"/>
    <xf numFmtId="0" fontId="0" fillId="6" borderId="19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1F4F-FF34-4A45-94DC-CE5DC5E6BFEB}">
  <dimension ref="A1:J23"/>
  <sheetViews>
    <sheetView workbookViewId="0">
      <selection activeCell="D12" sqref="D12"/>
    </sheetView>
  </sheetViews>
  <sheetFormatPr baseColWidth="10" defaultRowHeight="16" x14ac:dyDescent="0.2"/>
  <cols>
    <col min="3" max="3" width="15.6640625" customWidth="1"/>
    <col min="5" max="5" width="12.83203125" customWidth="1"/>
    <col min="9" max="9" width="21" customWidth="1"/>
    <col min="10" max="10" width="13.6640625" customWidth="1"/>
  </cols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4</v>
      </c>
      <c r="I2" s="31"/>
      <c r="J2" s="31">
        <v>1333.3333299999999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16.75</v>
      </c>
      <c r="I3" s="31"/>
      <c r="J3" s="31">
        <v>2887.9310300000002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40.875</v>
      </c>
      <c r="I4" s="31"/>
      <c r="J4" s="31">
        <v>4087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91.625</v>
      </c>
      <c r="I5" s="31"/>
      <c r="J5" s="31">
        <v>4163.6363600000004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170.75</v>
      </c>
      <c r="I6" s="31"/>
      <c r="J6" s="31">
        <v>5029.41176</v>
      </c>
    </row>
    <row r="7" spans="1:10" x14ac:dyDescent="0.2">
      <c r="B7" s="12"/>
      <c r="C7" s="13"/>
      <c r="D7" s="14"/>
      <c r="E7" s="15"/>
      <c r="H7" s="31">
        <v>282.25</v>
      </c>
      <c r="I7" s="31"/>
      <c r="J7" s="31">
        <v>6130.4347799999996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1</v>
      </c>
      <c r="E8" s="20" t="s">
        <v>2</v>
      </c>
      <c r="H8" s="31">
        <v>406.25</v>
      </c>
      <c r="I8" s="31"/>
      <c r="J8" s="31">
        <v>8120</v>
      </c>
    </row>
    <row r="9" spans="1:10" x14ac:dyDescent="0.2">
      <c r="B9" s="5"/>
      <c r="C9" s="21" t="s">
        <v>11</v>
      </c>
      <c r="D9" s="22">
        <f>D3 - D8</f>
        <v>8</v>
      </c>
      <c r="E9" s="23" t="s">
        <v>2</v>
      </c>
      <c r="H9" s="31">
        <v>522.5</v>
      </c>
      <c r="I9" s="31"/>
      <c r="J9" s="31">
        <v>11600</v>
      </c>
    </row>
    <row r="10" spans="1:10" x14ac:dyDescent="0.2">
      <c r="B10" s="12"/>
      <c r="C10" s="13"/>
      <c r="D10" s="14"/>
      <c r="E10" s="15"/>
      <c r="H10" s="31">
        <v>623.25</v>
      </c>
      <c r="I10" s="31"/>
      <c r="J10" s="31">
        <v>15778.481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0.03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39.999999899999999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623.25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583.25000009999997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19.44166667</v>
      </c>
      <c r="E23" s="30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993A9-95DA-794C-B0D4-0F118596696C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9</v>
      </c>
      <c r="I2" s="31"/>
      <c r="J2" s="31">
        <f>9.25/0.006</f>
        <v>1541.6666666666667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32</v>
      </c>
      <c r="I3" s="31"/>
      <c r="J3" s="31">
        <f>32.1/0.01</f>
        <v>3210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73</v>
      </c>
      <c r="I4" s="31"/>
      <c r="J4" s="31">
        <f>73/0.018</f>
        <v>4055.5555555555557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146</v>
      </c>
      <c r="I5" s="31"/>
      <c r="J5" s="31">
        <f>146/0.032</f>
        <v>4562.5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259</v>
      </c>
      <c r="I6" s="31"/>
      <c r="J6" s="31">
        <f>258.75/0.047</f>
        <v>5505.3191489361698</v>
      </c>
    </row>
    <row r="7" spans="1:10" x14ac:dyDescent="0.2">
      <c r="B7" s="12"/>
      <c r="C7" s="13"/>
      <c r="D7" s="14"/>
      <c r="E7" s="15"/>
      <c r="H7" s="31">
        <v>409</v>
      </c>
      <c r="I7" s="31"/>
      <c r="J7" s="31">
        <f>409/0.064</f>
        <v>6390.625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570</v>
      </c>
      <c r="I8" s="31"/>
      <c r="J8" s="31">
        <f>569.75/0.065</f>
        <v>8765.3846153846152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717</v>
      </c>
      <c r="I9" s="31"/>
      <c r="J9" s="31">
        <f>717.5/0.057</f>
        <v>12587.719298245614</v>
      </c>
    </row>
    <row r="10" spans="1:10" x14ac:dyDescent="0.2">
      <c r="B10" s="12"/>
      <c r="C10" s="13"/>
      <c r="D10" s="14"/>
      <c r="E10" s="15"/>
      <c r="H10" s="31">
        <v>846.37</v>
      </c>
      <c r="I10" s="31"/>
      <c r="J10" s="31">
        <f>846.4/0.052</f>
        <v>16276.923076923078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846.37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846.37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28.212333333333333</v>
      </c>
      <c r="E23" s="30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4D0A-36C8-674E-BCCA-796BE8A9FE92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9</v>
      </c>
      <c r="I2" s="31"/>
      <c r="J2" s="31">
        <f>8.87/0.008</f>
        <v>1108.7499999999998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28</v>
      </c>
      <c r="I3" s="31"/>
      <c r="J3" s="31">
        <f>27.9/0.008</f>
        <v>3487.4999999999995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53</v>
      </c>
      <c r="I4" s="31"/>
      <c r="J4" s="31">
        <f>52.5/0.0104</f>
        <v>5048.0769230769229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93</v>
      </c>
      <c r="I5" s="31"/>
      <c r="J5" s="31">
        <f>93/0.018</f>
        <v>5166.666666666667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152</v>
      </c>
      <c r="I6" s="31"/>
      <c r="J6" s="31">
        <f>151.75/0.0246</f>
        <v>6168.6991869918702</v>
      </c>
    </row>
    <row r="7" spans="1:10" x14ac:dyDescent="0.2">
      <c r="B7" s="12"/>
      <c r="C7" s="13"/>
      <c r="D7" s="14"/>
      <c r="E7" s="15"/>
      <c r="H7" s="31">
        <v>231</v>
      </c>
      <c r="I7" s="31"/>
      <c r="J7" s="31">
        <f>230.875/0.035</f>
        <v>6596.4285714285706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331</v>
      </c>
      <c r="I8" s="31"/>
      <c r="J8" s="31">
        <f>330.875/0.04</f>
        <v>8271.875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427</v>
      </c>
      <c r="I9" s="31"/>
      <c r="J9" s="31">
        <f>426.6/0.0388</f>
        <v>10994.845360824742</v>
      </c>
    </row>
    <row r="10" spans="1:10" x14ac:dyDescent="0.2">
      <c r="B10" s="12"/>
      <c r="C10" s="13"/>
      <c r="D10" s="14"/>
      <c r="E10" s="15"/>
      <c r="H10" s="31">
        <v>517</v>
      </c>
      <c r="I10" s="31"/>
      <c r="J10" s="31">
        <f>516.875/0.0375</f>
        <v>13783.333333333334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517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517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17.233333333333334</v>
      </c>
      <c r="E23" s="30" t="s">
        <v>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6170-604E-EA4D-BD80-739DC87B2995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4.5999999999999996</v>
      </c>
      <c r="I2" s="31"/>
      <c r="J2" s="31">
        <f>4.5/0.003</f>
        <v>1500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26</v>
      </c>
      <c r="I3" s="31"/>
      <c r="J3" s="31">
        <f>25.625/0.008</f>
        <v>3203.125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66</v>
      </c>
      <c r="I4" s="31"/>
      <c r="J4" s="31">
        <f>66.27/0.017</f>
        <v>3898.2352941176464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147</v>
      </c>
      <c r="I5" s="31"/>
      <c r="J5" s="31">
        <f>147.1/0.035</f>
        <v>4202.8571428571422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265</v>
      </c>
      <c r="I6" s="31"/>
      <c r="J6" s="31">
        <f>265/0.045</f>
        <v>5888.8888888888887</v>
      </c>
    </row>
    <row r="7" spans="1:10" x14ac:dyDescent="0.2">
      <c r="B7" s="12"/>
      <c r="C7" s="13"/>
      <c r="D7" s="14"/>
      <c r="E7" s="15"/>
      <c r="H7" s="31">
        <v>409</v>
      </c>
      <c r="I7" s="31"/>
      <c r="J7" s="31">
        <f>408.875/0.0575</f>
        <v>7110.869565217391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551</v>
      </c>
      <c r="I8" s="31"/>
      <c r="J8" s="31">
        <f>550.5/0.0537</f>
        <v>10251.396648044692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673</v>
      </c>
      <c r="I9" s="31"/>
      <c r="J9" s="31">
        <f>672.75/0.045</f>
        <v>14950</v>
      </c>
    </row>
    <row r="10" spans="1:10" x14ac:dyDescent="0.2">
      <c r="B10" s="12"/>
      <c r="C10" s="13"/>
      <c r="D10" s="14"/>
      <c r="E10" s="15"/>
      <c r="H10" s="31">
        <v>778</v>
      </c>
      <c r="I10" s="31"/>
      <c r="J10" s="31">
        <f>778/0.04</f>
        <v>19450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778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778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25.933333333333334</v>
      </c>
      <c r="E23" s="30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D9C7-63C2-6E47-BF96-EDBD74837E82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3.5</v>
      </c>
      <c r="I2" s="31"/>
      <c r="J2" s="31">
        <f>3.5/0.002</f>
        <v>1750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24.5</v>
      </c>
      <c r="I3" s="31"/>
      <c r="J3" s="31">
        <f>24.5/0.009</f>
        <v>2722.2222222222226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60</v>
      </c>
      <c r="I4" s="31"/>
      <c r="J4" s="31">
        <f>60.125/0.01375</f>
        <v>4372.727272727273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127</v>
      </c>
      <c r="I5" s="31"/>
      <c r="J5" s="31">
        <f>126.5/0.0304</f>
        <v>4161.1842105263158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219</v>
      </c>
      <c r="I6" s="31"/>
      <c r="J6" s="31">
        <f>219/0.0342</f>
        <v>6403.5087719298244</v>
      </c>
    </row>
    <row r="7" spans="1:10" x14ac:dyDescent="0.2">
      <c r="B7" s="12"/>
      <c r="C7" s="13"/>
      <c r="D7" s="14"/>
      <c r="E7" s="15"/>
      <c r="H7" s="31">
        <v>332</v>
      </c>
      <c r="I7" s="31"/>
      <c r="J7" s="31">
        <f>332.375/0.047</f>
        <v>7071.8085106382978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448</v>
      </c>
      <c r="I8" s="31"/>
      <c r="J8" s="31">
        <f>448.125/0.047</f>
        <v>9534.5744680851058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545</v>
      </c>
      <c r="I9" s="31"/>
      <c r="J9" s="31">
        <f>545.75/0.037</f>
        <v>14750</v>
      </c>
    </row>
    <row r="10" spans="1:10" x14ac:dyDescent="0.2">
      <c r="B10" s="12"/>
      <c r="C10" s="13"/>
      <c r="D10" s="14"/>
      <c r="E10" s="15"/>
      <c r="H10" s="31">
        <v>627.875</v>
      </c>
      <c r="I10" s="31"/>
      <c r="J10" s="31">
        <f>627.875/0.0346</f>
        <v>18146.676300578034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627.875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627.875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20.929166666666667</v>
      </c>
      <c r="E23" s="30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D736-8937-B041-A1A7-7DD8CFFA80F6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3.5</v>
      </c>
      <c r="I2" s="31"/>
      <c r="J2" s="31">
        <f>3.5/0.003</f>
        <v>1166.6666666666667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21.75</v>
      </c>
      <c r="I3" s="31"/>
      <c r="J3" s="31">
        <f>21.75/0.000625</f>
        <v>34800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52</v>
      </c>
      <c r="I4" s="31"/>
      <c r="J4" s="31">
        <f>52/0.01125</f>
        <v>4622.2222222222226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114</v>
      </c>
      <c r="I5" s="31"/>
      <c r="J5" s="31">
        <f>114/0.02417</f>
        <v>4716.5908150599917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199</v>
      </c>
      <c r="I6" s="31"/>
      <c r="J6" s="31">
        <f>198.87/0.0275</f>
        <v>7231.636363636364</v>
      </c>
    </row>
    <row r="7" spans="1:10" x14ac:dyDescent="0.2">
      <c r="B7" s="12"/>
      <c r="C7" s="13"/>
      <c r="D7" s="14"/>
      <c r="E7" s="15"/>
      <c r="H7" s="31">
        <v>304</v>
      </c>
      <c r="I7" s="31"/>
      <c r="J7" s="31">
        <f>303.875/0.0412</f>
        <v>7375.6067961165045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410</v>
      </c>
      <c r="I8" s="31"/>
      <c r="J8" s="31">
        <f>410.37/0.03875</f>
        <v>10590.193548387097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496</v>
      </c>
      <c r="I9" s="31"/>
      <c r="J9" s="31">
        <f>496/0.033</f>
        <v>15030.30303030303</v>
      </c>
    </row>
    <row r="10" spans="1:10" x14ac:dyDescent="0.2">
      <c r="B10" s="12"/>
      <c r="C10" s="13"/>
      <c r="D10" s="14"/>
      <c r="E10" s="15"/>
      <c r="H10" s="31">
        <v>563.875</v>
      </c>
      <c r="I10" s="31"/>
      <c r="J10" s="31">
        <f>563.87/0.027</f>
        <v>20884.074074074073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563.875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563.875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18.795833333333334</v>
      </c>
      <c r="E23" s="30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DDB3-F231-5B4C-9A27-7809077AC2FC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0</v>
      </c>
      <c r="I2" s="31"/>
      <c r="J2" s="31">
        <v>10000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10</v>
      </c>
      <c r="I3" s="31"/>
      <c r="J3" s="31">
        <f>9.87/0.00375</f>
        <v>2632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47</v>
      </c>
      <c r="I4" s="31"/>
      <c r="J4" s="31">
        <f>37.25/0.01</f>
        <v>3725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92</v>
      </c>
      <c r="I5" s="31"/>
      <c r="J5" s="31">
        <f>91.87/0.0246</f>
        <v>3734.5528455284552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179</v>
      </c>
      <c r="I6" s="31"/>
      <c r="J6" s="31">
        <f>179.375/0.03417</f>
        <v>5249.4878548434299</v>
      </c>
    </row>
    <row r="7" spans="1:10" x14ac:dyDescent="0.2">
      <c r="B7" s="12"/>
      <c r="C7" s="13"/>
      <c r="D7" s="14"/>
      <c r="E7" s="15"/>
      <c r="H7" s="31">
        <v>301</v>
      </c>
      <c r="I7" s="31"/>
      <c r="J7" s="31">
        <f>300.875/0.0529</f>
        <v>5687.6181474480145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432</v>
      </c>
      <c r="I8" s="31"/>
      <c r="J8" s="31">
        <f>431.5/0.0504</f>
        <v>8561.5079365079364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547</v>
      </c>
      <c r="I9" s="31"/>
      <c r="J9" s="31">
        <f>547.25/0.0438</f>
        <v>12494.292237442924</v>
      </c>
    </row>
    <row r="10" spans="1:10" x14ac:dyDescent="0.2">
      <c r="B10" s="12"/>
      <c r="C10" s="13"/>
      <c r="D10" s="14"/>
      <c r="E10" s="15"/>
      <c r="H10" s="31">
        <v>648.125</v>
      </c>
      <c r="I10" s="31"/>
      <c r="J10" s="31">
        <f>648.125/0.04</f>
        <v>16203.125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648.125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648.125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21.604166666666668</v>
      </c>
      <c r="E23" s="30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08086-9712-A24F-9220-100F87634192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5</v>
      </c>
      <c r="I2" s="31"/>
      <c r="J2" s="31">
        <f>5.125/0.005</f>
        <v>1025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17</v>
      </c>
      <c r="I3" s="31"/>
      <c r="J3" s="31">
        <f>17/0.005</f>
        <v>3400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32</v>
      </c>
      <c r="I4" s="31"/>
      <c r="J4" s="31">
        <f>32/0.0075</f>
        <v>4266.666666666667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67</v>
      </c>
      <c r="I5" s="31"/>
      <c r="J5" s="31">
        <f>66.5/0.03375</f>
        <v>1970.3703703703702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137</v>
      </c>
      <c r="I6" s="31"/>
      <c r="J6" s="31">
        <f>250.75/0.047</f>
        <v>5335.1063829787236</v>
      </c>
    </row>
    <row r="7" spans="1:10" x14ac:dyDescent="0.2">
      <c r="B7" s="12"/>
      <c r="C7" s="13"/>
      <c r="D7" s="14"/>
      <c r="E7" s="15"/>
      <c r="H7" s="31">
        <v>241</v>
      </c>
      <c r="I7" s="31"/>
      <c r="J7" s="31">
        <f>345.12/0.0442</f>
        <v>7808.1447963800902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345</v>
      </c>
      <c r="I8" s="31"/>
      <c r="J8" s="31">
        <f>345.1/0.044</f>
        <v>7843.1818181818189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446</v>
      </c>
      <c r="I9" s="31"/>
      <c r="J9" s="31">
        <f>445.75/0.035</f>
        <v>12735.714285714284</v>
      </c>
    </row>
    <row r="10" spans="1:10" x14ac:dyDescent="0.2">
      <c r="B10" s="12"/>
      <c r="C10" s="13"/>
      <c r="D10" s="14"/>
      <c r="E10" s="15"/>
      <c r="H10" s="31">
        <v>540.125</v>
      </c>
      <c r="I10" s="31"/>
      <c r="J10" s="31">
        <f>540.125/0.03125</f>
        <v>17284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540.125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540.125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18.004166666666666</v>
      </c>
      <c r="E23" s="30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295A-F903-A84E-979B-7A9F901C99A8}">
  <dimension ref="A1:J23"/>
  <sheetViews>
    <sheetView tabSelected="1" workbookViewId="0">
      <selection activeCell="J11" sqref="J11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2.625</v>
      </c>
      <c r="I2" s="31"/>
      <c r="J2" s="31">
        <f>2.625/0.007</f>
        <v>375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28.5</v>
      </c>
      <c r="I3" s="31"/>
      <c r="J3" s="31">
        <f>28.5/0.0204</f>
        <v>1397.0588235294117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67.875</v>
      </c>
      <c r="I4" s="31"/>
      <c r="J4" s="31">
        <f>67.875/0.052</f>
        <v>1305.2884615384617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149</v>
      </c>
      <c r="I5" s="31"/>
      <c r="J5" s="31">
        <f>149.25/0.0625</f>
        <v>2388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245</v>
      </c>
      <c r="I6" s="31"/>
      <c r="J6" s="31">
        <f>244.6/0.074</f>
        <v>3305.4054054054054</v>
      </c>
    </row>
    <row r="7" spans="1:10" x14ac:dyDescent="0.2">
      <c r="B7" s="12"/>
      <c r="C7" s="13"/>
      <c r="D7" s="14"/>
      <c r="E7" s="15"/>
      <c r="H7" s="31">
        <v>362</v>
      </c>
      <c r="I7" s="31"/>
      <c r="J7" s="31">
        <f>362/0.06</f>
        <v>6033.3333333333339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451</v>
      </c>
      <c r="I8" s="31"/>
      <c r="J8" s="31">
        <f>451/0.04375</f>
        <v>10308.571428571429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520</v>
      </c>
      <c r="I9" s="31"/>
      <c r="J9" s="31">
        <f>520.5/0.0304</f>
        <v>17121.71052631579</v>
      </c>
    </row>
    <row r="10" spans="1:10" x14ac:dyDescent="0.2">
      <c r="B10" s="12"/>
      <c r="C10" s="13"/>
      <c r="D10" s="14"/>
      <c r="E10" s="15"/>
      <c r="H10" s="31">
        <v>576</v>
      </c>
      <c r="I10" s="31"/>
      <c r="J10" s="31">
        <f>576/0.02</f>
        <v>28800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576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576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19.2</v>
      </c>
      <c r="E23" s="30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1F5-90D0-2645-9576-E815DBCA04A1}">
  <dimension ref="A1:J23"/>
  <sheetViews>
    <sheetView workbookViewId="0">
      <selection activeCell="D12" sqref="D12"/>
    </sheetView>
  </sheetViews>
  <sheetFormatPr baseColWidth="10" defaultRowHeight="16" x14ac:dyDescent="0.2"/>
  <cols>
    <col min="3" max="3" width="21" customWidth="1"/>
  </cols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0.5</v>
      </c>
      <c r="I2" s="31"/>
      <c r="J2" s="31">
        <v>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2.1</v>
      </c>
      <c r="I3" s="31"/>
      <c r="J3" s="31">
        <v>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9.25</v>
      </c>
      <c r="I4" s="31"/>
      <c r="J4" s="31">
        <f>9.25/0.0025</f>
        <v>3700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32.25</v>
      </c>
      <c r="I5" s="31"/>
      <c r="J5" s="31">
        <f>32.25/0.012</f>
        <v>2687.5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71.5</v>
      </c>
      <c r="I6" s="31"/>
      <c r="J6" s="31">
        <f>71.5/0.017</f>
        <v>4205.8823529411766</v>
      </c>
    </row>
    <row r="7" spans="1:10" x14ac:dyDescent="0.2">
      <c r="B7" s="12"/>
      <c r="C7" s="13"/>
      <c r="D7" s="14"/>
      <c r="E7" s="15"/>
      <c r="H7" s="31">
        <v>119.75</v>
      </c>
      <c r="I7" s="31"/>
      <c r="J7" s="31">
        <f>119.75/0.0204</f>
        <v>5870.0980392156862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4</v>
      </c>
      <c r="E8" s="20" t="s">
        <v>2</v>
      </c>
      <c r="H8" s="31">
        <v>174</v>
      </c>
      <c r="I8" s="31"/>
      <c r="J8" s="31">
        <f>174/0.0229</f>
        <v>7598.2532751091703</v>
      </c>
    </row>
    <row r="9" spans="1:10" x14ac:dyDescent="0.2">
      <c r="B9" s="5"/>
      <c r="C9" s="21" t="s">
        <v>11</v>
      </c>
      <c r="D9" s="22">
        <f>D3 - D8</f>
        <v>5</v>
      </c>
      <c r="E9" s="23" t="s">
        <v>2</v>
      </c>
      <c r="H9" s="31">
        <v>227</v>
      </c>
      <c r="I9" s="31"/>
      <c r="J9" s="31">
        <f>227/0.021</f>
        <v>10809.523809523809</v>
      </c>
    </row>
    <row r="10" spans="1:10" x14ac:dyDescent="0.2">
      <c r="B10" s="12"/>
      <c r="C10" s="13"/>
      <c r="D10" s="14"/>
      <c r="E10" s="15"/>
      <c r="H10" s="31">
        <v>275</v>
      </c>
      <c r="I10" s="31"/>
      <c r="J10" s="31">
        <f>275/0.02</f>
        <v>13750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0.04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107.5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275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167.5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5.583333333333333</v>
      </c>
      <c r="E23" s="3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6A66-5ED2-C94A-8EDB-5FB73C4DBE6D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0</v>
      </c>
      <c r="I2" s="31"/>
      <c r="J2" s="31">
        <v>1000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0</v>
      </c>
      <c r="I3" s="31"/>
      <c r="J3" s="31">
        <v>1000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5.625</v>
      </c>
      <c r="I4" s="31"/>
      <c r="J4" s="31">
        <f>6.625/0.0017</f>
        <v>3897.0588235294122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f>27.875</f>
        <v>27.875</v>
      </c>
      <c r="I5" s="31"/>
      <c r="J5" s="31">
        <f>27.875/0.008</f>
        <v>3484.375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f>67.75</f>
        <v>67.75</v>
      </c>
      <c r="I6" s="31"/>
      <c r="J6" s="31">
        <f>67.75/0.017</f>
        <v>3985.2941176470586</v>
      </c>
    </row>
    <row r="7" spans="1:10" x14ac:dyDescent="0.2">
      <c r="B7" s="12"/>
      <c r="C7" s="13"/>
      <c r="D7" s="14"/>
      <c r="E7" s="15"/>
      <c r="H7" s="31">
        <f>122.75</f>
        <v>122.75</v>
      </c>
      <c r="I7" s="31"/>
      <c r="J7" s="31">
        <f>122.75/0.0258</f>
        <v>4757.7519379844962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f>190.625</f>
        <v>190.625</v>
      </c>
      <c r="I8" s="31"/>
      <c r="J8" s="31">
        <f>190.625/0.0295</f>
        <v>6461.8644067796613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f>254.875</f>
        <v>254.875</v>
      </c>
      <c r="I9" s="31"/>
      <c r="J9" s="31">
        <f>254.875/0.02458</f>
        <v>10369.20260374288</v>
      </c>
    </row>
    <row r="10" spans="1:10" x14ac:dyDescent="0.2">
      <c r="B10" s="12"/>
      <c r="C10" s="13"/>
      <c r="D10" s="14"/>
      <c r="E10" s="15"/>
      <c r="H10" s="31">
        <f>312.125</f>
        <v>312.125</v>
      </c>
      <c r="I10" s="31"/>
      <c r="J10" s="31">
        <f>312.125/0.0229</f>
        <v>13629.912663755458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312.125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312.125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10.404166666666667</v>
      </c>
      <c r="E23" s="30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186FD-2AEB-C048-A95B-67FBE2F71DD1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2</v>
      </c>
      <c r="I2" s="31"/>
      <c r="J2" s="31">
        <f>2/0.0017</f>
        <v>1176.4705882352941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8</v>
      </c>
      <c r="I3" s="31"/>
      <c r="J3" s="31">
        <f>8/0.0017</f>
        <v>4705.8823529411766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30.75</v>
      </c>
      <c r="I4" s="31"/>
      <c r="J4" s="31">
        <f>30.75/0.00875</f>
        <v>3514.2857142857138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82.375</v>
      </c>
      <c r="I5" s="31"/>
      <c r="J5" s="31">
        <f>82.375/0.0246</f>
        <v>3348.5772357723577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165.25</v>
      </c>
      <c r="I6" s="31"/>
      <c r="J6" s="31">
        <f>165.25/0.0346</f>
        <v>4776.0115606936415</v>
      </c>
    </row>
    <row r="7" spans="1:10" x14ac:dyDescent="0.2">
      <c r="B7" s="12"/>
      <c r="C7" s="13"/>
      <c r="D7" s="14"/>
      <c r="E7" s="15"/>
      <c r="H7" s="31">
        <v>285.39999999999998</v>
      </c>
      <c r="I7" s="31"/>
      <c r="J7" s="31">
        <f>285.4/0.05</f>
        <v>5707.9999999999991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407</v>
      </c>
      <c r="I8" s="31"/>
      <c r="J8" s="31">
        <f>513.25/0.041</f>
        <v>12518.292682926829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513</v>
      </c>
      <c r="I9" s="31"/>
      <c r="J9" s="31">
        <f>513.25/0.0408</f>
        <v>12579.656862745098</v>
      </c>
    </row>
    <row r="10" spans="1:10" x14ac:dyDescent="0.2">
      <c r="B10" s="12"/>
      <c r="C10" s="13"/>
      <c r="D10" s="14"/>
      <c r="E10" s="15"/>
      <c r="H10" s="31">
        <v>608.75</v>
      </c>
      <c r="I10" s="31"/>
      <c r="J10" s="31">
        <f>608.75/0.03875</f>
        <v>15709.677419354839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608.75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608.75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20.291666666666668</v>
      </c>
      <c r="E23" s="3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FC770-D3DB-7A42-A6A9-9C20C4666382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8.375</v>
      </c>
      <c r="I2" s="31"/>
      <c r="J2" s="31">
        <f>8.375/0.007</f>
        <v>1196.4285714285713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27.75</v>
      </c>
      <c r="I3" s="31"/>
      <c r="J3" s="31">
        <f>27.75/0.0075</f>
        <v>3700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53.25</v>
      </c>
      <c r="I4" s="31"/>
      <c r="J4" s="31">
        <f>53.25/0.0105</f>
        <v>5071.4285714285716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98.875</v>
      </c>
      <c r="I5" s="31"/>
      <c r="J5" s="31">
        <f>98.875/0.02</f>
        <v>4943.75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174</v>
      </c>
      <c r="I6" s="31"/>
      <c r="J6" s="31">
        <f>174/0.0308</f>
        <v>5649.3506493506493</v>
      </c>
    </row>
    <row r="7" spans="1:10" x14ac:dyDescent="0.2">
      <c r="B7" s="12"/>
      <c r="C7" s="13"/>
      <c r="D7" s="14"/>
      <c r="E7" s="15"/>
      <c r="H7" s="31">
        <v>268.5</v>
      </c>
      <c r="I7" s="31"/>
      <c r="J7" s="31">
        <f>268.6/0.0408</f>
        <v>6583.333333333333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381.9</v>
      </c>
      <c r="I8" s="31"/>
      <c r="J8" s="31">
        <f>381/0.0504</f>
        <v>7559.5238095238092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501.375</v>
      </c>
      <c r="I9" s="31"/>
      <c r="J9" s="31">
        <f>501.375/0.05</f>
        <v>10027.5</v>
      </c>
    </row>
    <row r="10" spans="1:10" x14ac:dyDescent="0.2">
      <c r="B10" s="12"/>
      <c r="C10" s="13"/>
      <c r="D10" s="14"/>
      <c r="E10" s="15"/>
      <c r="H10" s="31">
        <v>609.5</v>
      </c>
      <c r="I10" s="31"/>
      <c r="J10" s="31">
        <f>609.5/0.043</f>
        <v>14174.418604651164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609.5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609.5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20.316666666666666</v>
      </c>
      <c r="E23" s="30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EE56-AD41-6340-BDDC-000E359FBF63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4</v>
      </c>
      <c r="I2" s="31"/>
      <c r="J2" s="31">
        <f>4/0.003</f>
        <v>1333.3333333333333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18.25</v>
      </c>
      <c r="I3" s="31"/>
      <c r="J3" s="31">
        <f>18/0.007</f>
        <v>2571.4285714285716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42.75</v>
      </c>
      <c r="I4" s="31"/>
      <c r="J4" s="31">
        <f>42.75/0.009</f>
        <v>4750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87.37</v>
      </c>
      <c r="I5" s="31"/>
      <c r="J5" s="31">
        <f>87.37/0.02</f>
        <v>4368.5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157.25</v>
      </c>
      <c r="I6" s="31"/>
      <c r="J6" s="31">
        <f>157.25/0.03</f>
        <v>5241.666666666667</v>
      </c>
    </row>
    <row r="7" spans="1:10" x14ac:dyDescent="0.2">
      <c r="B7" s="12"/>
      <c r="C7" s="13"/>
      <c r="D7" s="14"/>
      <c r="E7" s="15"/>
      <c r="H7" s="31">
        <v>251</v>
      </c>
      <c r="I7" s="31"/>
      <c r="J7" s="31">
        <f>250.9/0.042</f>
        <v>5973.8095238095239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354</v>
      </c>
      <c r="I8" s="31"/>
      <c r="J8" s="31">
        <f>353.9/0.044</f>
        <v>8043.181818181818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452</v>
      </c>
      <c r="I9" s="31"/>
      <c r="J9" s="31">
        <f>452/0.04</f>
        <v>11300</v>
      </c>
    </row>
    <row r="10" spans="1:10" x14ac:dyDescent="0.2">
      <c r="B10" s="12"/>
      <c r="C10" s="13"/>
      <c r="D10" s="14"/>
      <c r="E10" s="15"/>
      <c r="H10" s="31">
        <v>540.875</v>
      </c>
      <c r="I10" s="31"/>
      <c r="J10" s="31">
        <f>541/0.035</f>
        <v>15457.142857142855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540.875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540.875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18.029166666666665</v>
      </c>
      <c r="E23" s="30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F632-EAFC-3E44-96FE-E57A7AC29529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5.5</v>
      </c>
      <c r="I2" s="31"/>
      <c r="J2" s="31">
        <f>5.5/0.005</f>
        <v>1100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17</v>
      </c>
      <c r="I3" s="31"/>
      <c r="J3" s="31">
        <f>16.625/0.005</f>
        <v>3325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35</v>
      </c>
      <c r="I4" s="31"/>
      <c r="J4" s="31">
        <f>35/0.008</f>
        <v>4375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72</v>
      </c>
      <c r="I5" s="31"/>
      <c r="J5" s="31">
        <f>71/0.017</f>
        <v>4176.4705882352937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132</v>
      </c>
      <c r="I6" s="31"/>
      <c r="J6" s="31">
        <f>132/0.026</f>
        <v>5076.9230769230771</v>
      </c>
    </row>
    <row r="7" spans="1:10" x14ac:dyDescent="0.2">
      <c r="B7" s="12"/>
      <c r="C7" s="13"/>
      <c r="D7" s="14"/>
      <c r="E7" s="15"/>
      <c r="H7" s="31">
        <v>215</v>
      </c>
      <c r="I7" s="31"/>
      <c r="J7" s="31">
        <f>215/0.037</f>
        <v>5810.8108108108108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314</v>
      </c>
      <c r="I8" s="31"/>
      <c r="J8" s="31">
        <f>314/0.041</f>
        <v>7658.5365853658532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415</v>
      </c>
      <c r="I9" s="31"/>
      <c r="J9" s="31">
        <f>415/0.04</f>
        <v>10375</v>
      </c>
    </row>
    <row r="10" spans="1:10" x14ac:dyDescent="0.2">
      <c r="B10" s="12"/>
      <c r="C10" s="13"/>
      <c r="D10" s="14"/>
      <c r="E10" s="15"/>
      <c r="H10" s="31">
        <v>509</v>
      </c>
      <c r="I10" s="31"/>
      <c r="J10" s="31">
        <f>509/0.0375</f>
        <v>13573.333333333334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509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509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16.966666666666665</v>
      </c>
      <c r="E23" s="30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50F9A-2404-7047-92B0-1ABF10443888}">
  <dimension ref="A1:J23"/>
  <sheetViews>
    <sheetView workbookViewId="0">
      <selection activeCell="J23"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4.5</v>
      </c>
      <c r="I2" s="31"/>
      <c r="J2" s="31">
        <f>4.5/0.0025</f>
        <v>1800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29.5</v>
      </c>
      <c r="I3" s="31"/>
      <c r="J3" s="31">
        <f>30/0.008</f>
        <v>3750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73.25</v>
      </c>
      <c r="I4" s="31"/>
      <c r="J4" s="31">
        <f>73.25/0.018</f>
        <v>4069.4444444444448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155.125</v>
      </c>
      <c r="I5" s="31"/>
      <c r="J5" s="31">
        <f>155/0.036</f>
        <v>4305.5555555555557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266.76</v>
      </c>
      <c r="I6" s="31"/>
      <c r="J6" s="31">
        <f>266.75/0.044</f>
        <v>6062.5</v>
      </c>
    </row>
    <row r="7" spans="1:10" x14ac:dyDescent="0.2">
      <c r="B7" s="12"/>
      <c r="C7" s="13"/>
      <c r="D7" s="14"/>
      <c r="E7" s="15"/>
      <c r="H7" s="31">
        <v>415</v>
      </c>
      <c r="I7" s="31"/>
      <c r="J7" s="31">
        <f>415.12/0.06</f>
        <v>6918.666666666667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561</v>
      </c>
      <c r="I8" s="31"/>
      <c r="J8" s="31">
        <f>562/0.055</f>
        <v>10218.181818181818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686.75</v>
      </c>
      <c r="I9" s="31"/>
      <c r="J9" s="31">
        <f>686.7/0.047</f>
        <v>14610.638297872341</v>
      </c>
    </row>
    <row r="10" spans="1:10" x14ac:dyDescent="0.2">
      <c r="B10" s="12"/>
      <c r="C10" s="13"/>
      <c r="D10" s="14"/>
      <c r="E10" s="15"/>
      <c r="H10" s="31">
        <v>785.25</v>
      </c>
      <c r="I10" s="31"/>
      <c r="J10" s="31">
        <f>785.2/0.0383</f>
        <v>20501.305483028722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785.25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785.25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26.175000000000001</v>
      </c>
      <c r="E23" s="30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25B5-C7A4-6F41-8693-0CFA59F0B3D7}">
  <dimension ref="A1:J23"/>
  <sheetViews>
    <sheetView workbookViewId="0">
      <selection sqref="A1:J23"/>
    </sheetView>
  </sheetViews>
  <sheetFormatPr baseColWidth="10" defaultRowHeight="16" x14ac:dyDescent="0.2"/>
  <sheetData>
    <row r="1" spans="1:10" x14ac:dyDescent="0.2">
      <c r="G1" t="s">
        <v>26</v>
      </c>
      <c r="H1" s="31">
        <v>0</v>
      </c>
      <c r="I1" t="s">
        <v>27</v>
      </c>
      <c r="J1">
        <v>0</v>
      </c>
    </row>
    <row r="2" spans="1:10" ht="17" thickBot="1" x14ac:dyDescent="0.25">
      <c r="H2" s="31">
        <v>4.75</v>
      </c>
      <c r="I2" s="31"/>
      <c r="J2" s="31">
        <f>4.75/0.003</f>
        <v>1583.3333333333333</v>
      </c>
    </row>
    <row r="3" spans="1:10" x14ac:dyDescent="0.2">
      <c r="B3" s="1" t="s">
        <v>0</v>
      </c>
      <c r="C3" s="2" t="s">
        <v>1</v>
      </c>
      <c r="D3" s="3">
        <v>9</v>
      </c>
      <c r="E3" s="4" t="s">
        <v>2</v>
      </c>
      <c r="H3" s="31">
        <v>16.25</v>
      </c>
      <c r="I3" s="31"/>
      <c r="J3" s="31">
        <f>16.25/0.004</f>
        <v>4062.5</v>
      </c>
    </row>
    <row r="4" spans="1:10" x14ac:dyDescent="0.2">
      <c r="B4" s="5"/>
      <c r="C4" s="6" t="s">
        <v>3</v>
      </c>
      <c r="D4" s="7">
        <v>200</v>
      </c>
      <c r="E4" s="8" t="s">
        <v>4</v>
      </c>
      <c r="H4" s="31">
        <v>42</v>
      </c>
      <c r="I4" s="31"/>
      <c r="J4" s="31">
        <f>42.12/0.01</f>
        <v>4212</v>
      </c>
    </row>
    <row r="5" spans="1:10" x14ac:dyDescent="0.2">
      <c r="B5" s="5"/>
      <c r="C5" s="6" t="s">
        <v>5</v>
      </c>
      <c r="D5" s="7">
        <v>6000</v>
      </c>
      <c r="E5" s="8" t="s">
        <v>4</v>
      </c>
      <c r="H5" s="31">
        <v>95</v>
      </c>
      <c r="I5" s="31"/>
      <c r="J5" s="31">
        <f>94.5/0.0237</f>
        <v>3987.341772151899</v>
      </c>
    </row>
    <row r="6" spans="1:10" x14ac:dyDescent="0.2">
      <c r="B6" s="5"/>
      <c r="C6" s="9" t="s">
        <v>6</v>
      </c>
      <c r="D6" s="10">
        <f>30</f>
        <v>30</v>
      </c>
      <c r="E6" s="11" t="s">
        <v>7</v>
      </c>
      <c r="H6" s="31">
        <v>175</v>
      </c>
      <c r="I6" s="31"/>
      <c r="J6" s="31">
        <f>175.25/0.0329</f>
        <v>5326.7477203647422</v>
      </c>
    </row>
    <row r="7" spans="1:10" x14ac:dyDescent="0.2">
      <c r="B7" s="12"/>
      <c r="C7" s="13"/>
      <c r="D7" s="14"/>
      <c r="E7" s="15"/>
      <c r="H7" s="31">
        <v>288</v>
      </c>
      <c r="I7" s="31"/>
      <c r="J7" s="31">
        <f>288/0.049</f>
        <v>5877.5510204081629</v>
      </c>
    </row>
    <row r="8" spans="1:10" x14ac:dyDescent="0.2">
      <c r="A8" s="16" t="s">
        <v>8</v>
      </c>
      <c r="B8" s="17" t="s">
        <v>9</v>
      </c>
      <c r="C8" s="18" t="s">
        <v>10</v>
      </c>
      <c r="D8" s="19">
        <v>0</v>
      </c>
      <c r="E8" s="20" t="s">
        <v>2</v>
      </c>
      <c r="H8" s="31">
        <v>413</v>
      </c>
      <c r="I8" s="31"/>
      <c r="J8" s="31">
        <f>413/0.052</f>
        <v>7942.3076923076924</v>
      </c>
    </row>
    <row r="9" spans="1:10" x14ac:dyDescent="0.2">
      <c r="B9" s="5"/>
      <c r="C9" s="21" t="s">
        <v>11</v>
      </c>
      <c r="D9" s="22">
        <f>D3 - D8</f>
        <v>9</v>
      </c>
      <c r="E9" s="23" t="s">
        <v>2</v>
      </c>
      <c r="H9" s="31">
        <v>526</v>
      </c>
      <c r="I9" s="31"/>
      <c r="J9" s="31">
        <f>526.875/0.0454</f>
        <v>11605.176211453743</v>
      </c>
    </row>
    <row r="10" spans="1:10" x14ac:dyDescent="0.2">
      <c r="B10" s="12"/>
      <c r="C10" s="13"/>
      <c r="D10" s="14"/>
      <c r="E10" s="15"/>
      <c r="H10" s="31">
        <v>626.375</v>
      </c>
      <c r="I10" s="31"/>
      <c r="J10" s="31">
        <f>626.375/0.04</f>
        <v>15659.375</v>
      </c>
    </row>
    <row r="11" spans="1:10" x14ac:dyDescent="0.2">
      <c r="A11" s="16" t="s">
        <v>8</v>
      </c>
      <c r="B11" s="17" t="s">
        <v>12</v>
      </c>
      <c r="C11" s="24" t="s">
        <v>13</v>
      </c>
      <c r="D11" s="25">
        <v>0.4</v>
      </c>
      <c r="E11" s="26" t="s">
        <v>14</v>
      </c>
      <c r="H11" s="31"/>
      <c r="I11" s="31"/>
      <c r="J11" s="31"/>
    </row>
    <row r="12" spans="1:10" x14ac:dyDescent="0.2">
      <c r="B12" s="5"/>
      <c r="C12" s="21" t="s">
        <v>15</v>
      </c>
      <c r="D12" s="22">
        <f ca="1">D11*INDIRECT("J"&amp;D8+1)</f>
        <v>0</v>
      </c>
      <c r="E12" s="23" t="s">
        <v>16</v>
      </c>
    </row>
    <row r="13" spans="1:10" x14ac:dyDescent="0.2">
      <c r="B13" s="5"/>
      <c r="C13" s="21"/>
      <c r="D13" s="22"/>
      <c r="E13" s="23"/>
    </row>
    <row r="14" spans="1:10" x14ac:dyDescent="0.2">
      <c r="B14" s="5"/>
      <c r="C14" s="21"/>
      <c r="D14" s="22"/>
      <c r="E14" s="23"/>
    </row>
    <row r="15" spans="1:10" x14ac:dyDescent="0.2">
      <c r="B15" s="5"/>
      <c r="C15" s="21" t="s">
        <v>17</v>
      </c>
      <c r="D15" s="22">
        <f>H10</f>
        <v>626.375</v>
      </c>
      <c r="E15" s="23" t="s">
        <v>16</v>
      </c>
    </row>
    <row r="16" spans="1:10" x14ac:dyDescent="0.2">
      <c r="B16" s="5"/>
      <c r="C16" s="21" t="s">
        <v>18</v>
      </c>
      <c r="D16" s="22">
        <f ca="1">D15-D12</f>
        <v>626.375</v>
      </c>
      <c r="E16" s="23"/>
    </row>
    <row r="17" spans="1:5" x14ac:dyDescent="0.2">
      <c r="B17" s="5"/>
      <c r="C17" s="21"/>
      <c r="D17" s="22"/>
      <c r="E17" s="23"/>
    </row>
    <row r="18" spans="1:5" x14ac:dyDescent="0.2">
      <c r="A18" s="16" t="s">
        <v>8</v>
      </c>
      <c r="B18" s="5"/>
      <c r="C18" s="21" t="s">
        <v>19</v>
      </c>
      <c r="D18" s="22">
        <v>0</v>
      </c>
      <c r="E18" s="23" t="s">
        <v>7</v>
      </c>
    </row>
    <row r="19" spans="1:5" x14ac:dyDescent="0.2">
      <c r="B19" s="5"/>
      <c r="C19" s="9" t="s">
        <v>20</v>
      </c>
      <c r="D19" s="10">
        <f>D18*D4</f>
        <v>0</v>
      </c>
      <c r="E19" s="11" t="s">
        <v>4</v>
      </c>
    </row>
    <row r="20" spans="1:5" x14ac:dyDescent="0.2">
      <c r="B20" s="12"/>
      <c r="C20" s="13"/>
      <c r="D20" s="14"/>
      <c r="E20" s="15"/>
    </row>
    <row r="21" spans="1:5" x14ac:dyDescent="0.2">
      <c r="A21" s="16"/>
      <c r="B21" s="5" t="s">
        <v>21</v>
      </c>
      <c r="C21" s="9" t="s">
        <v>22</v>
      </c>
      <c r="D21" s="10">
        <f>D6 - D18</f>
        <v>30</v>
      </c>
      <c r="E21" s="11" t="s">
        <v>7</v>
      </c>
    </row>
    <row r="22" spans="1:5" x14ac:dyDescent="0.2">
      <c r="B22" s="5"/>
      <c r="C22" s="9" t="s">
        <v>23</v>
      </c>
      <c r="D22" s="10">
        <f>D5-D19</f>
        <v>6000</v>
      </c>
      <c r="E22" s="11" t="s">
        <v>4</v>
      </c>
    </row>
    <row r="23" spans="1:5" ht="17" thickBot="1" x14ac:dyDescent="0.25">
      <c r="B23" s="27"/>
      <c r="C23" s="28" t="s">
        <v>24</v>
      </c>
      <c r="D23" s="29">
        <f ca="1">D16 / D21</f>
        <v>20.879166666666666</v>
      </c>
      <c r="E23" s="30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101</vt:lpstr>
      <vt:lpstr>102</vt:lpstr>
      <vt:lpstr>103</vt:lpstr>
      <vt:lpstr>104</vt:lpstr>
      <vt:lpstr>201</vt:lpstr>
      <vt:lpstr>202</vt:lpstr>
      <vt:lpstr>203</vt:lpstr>
      <vt:lpstr>204</vt:lpstr>
      <vt:lpstr>301</vt:lpstr>
      <vt:lpstr>302</vt:lpstr>
      <vt:lpstr>303</vt:lpstr>
      <vt:lpstr>304</vt:lpstr>
      <vt:lpstr>401</vt:lpstr>
      <vt:lpstr>402</vt:lpstr>
      <vt:lpstr>403</vt:lpstr>
      <vt:lpstr>404</vt:lpstr>
      <vt:lpstr>inf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2020-08-03T22:54:15Z</dcterms:created>
  <dcterms:modified xsi:type="dcterms:W3CDTF">2020-08-03T23:48:31Z</dcterms:modified>
</cp:coreProperties>
</file>