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824" firstSheet="0" activeTab="0" autoFilterDateGrouping="1"/>
  </bookViews>
  <sheets>
    <sheet xmlns:r="http://schemas.openxmlformats.org/officeDocument/2006/relationships" name="23-04" sheetId="1" state="visible" r:id="rId1"/>
    <sheet xmlns:r="http://schemas.openxmlformats.org/officeDocument/2006/relationships" name="23-05" sheetId="2" state="visible" r:id="rId2"/>
    <sheet xmlns:r="http://schemas.openxmlformats.org/officeDocument/2006/relationships" name="23-06" sheetId="3" state="visible" r:id="rId3"/>
    <sheet xmlns:r="http://schemas.openxmlformats.org/officeDocument/2006/relationships" name="23-07" sheetId="4" state="visible" r:id="rId4"/>
    <sheet xmlns:r="http://schemas.openxmlformats.org/officeDocument/2006/relationships" name="23-08" sheetId="5" state="visible" r:id="rId5"/>
    <sheet xmlns:r="http://schemas.openxmlformats.org/officeDocument/2006/relationships" name="23-09" sheetId="6" state="visible" r:id="rId6"/>
    <sheet xmlns:r="http://schemas.openxmlformats.org/officeDocument/2006/relationships" name="23-10" sheetId="7" state="visible" r:id="rId7"/>
    <sheet xmlns:r="http://schemas.openxmlformats.org/officeDocument/2006/relationships" name="23-11" sheetId="8" state="visible" r:id="rId8"/>
    <sheet xmlns:r="http://schemas.openxmlformats.org/officeDocument/2006/relationships" name="23-12" sheetId="9" state="visible" r:id="rId9"/>
    <sheet xmlns:r="http://schemas.openxmlformats.org/officeDocument/2006/relationships" name="24-01" sheetId="10" state="visible" r:id="rId10"/>
    <sheet xmlns:r="http://schemas.openxmlformats.org/officeDocument/2006/relationships" name="24-02" sheetId="11" state="visible" r:id="rId11"/>
    <sheet xmlns:r="http://schemas.openxmlformats.org/officeDocument/2006/relationships" name="24-03" sheetId="12" state="visible" r:id="rId12"/>
    <sheet xmlns:r="http://schemas.openxmlformats.org/officeDocument/2006/relationships" name="Keuangan Tahunan" sheetId="13" state="visible" r:id="rId13"/>
    <sheet xmlns:r="http://schemas.openxmlformats.org/officeDocument/2006/relationships" name="24-04" sheetId="14" state="visible" r:id="rId14"/>
    <sheet xmlns:r="http://schemas.openxmlformats.org/officeDocument/2006/relationships" name="24-05" sheetId="15" state="visible" r:id="rId15"/>
    <sheet xmlns:r="http://schemas.openxmlformats.org/officeDocument/2006/relationships" name="24-06" sheetId="16" state="visible" r:id="rId16"/>
    <sheet xmlns:r="http://schemas.openxmlformats.org/officeDocument/2006/relationships" name="24-07" sheetId="17" state="visible" r:id="rId17"/>
    <sheet xmlns:r="http://schemas.openxmlformats.org/officeDocument/2006/relationships" name="24-08" sheetId="18" state="visible" r:id="rId18"/>
    <sheet xmlns:r="http://schemas.openxmlformats.org/officeDocument/2006/relationships" name="24-09" sheetId="19" state="visible" r:id="rId19"/>
    <sheet xmlns:r="http://schemas.openxmlformats.org/officeDocument/2006/relationships" name="24-10" sheetId="20" state="visible" r:id="rId20"/>
    <sheet xmlns:r="http://schemas.openxmlformats.org/officeDocument/2006/relationships" name="Template" sheetId="21" state="visible" r:id="rId21"/>
    <sheet xmlns:r="http://schemas.openxmlformats.org/officeDocument/2006/relationships" name="24-11" sheetId="22" state="visible" r:id="rId2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[$¥-411]#,##0"/>
    <numFmt numFmtId="165" formatCode="_-[$¥-411]* #,##0_-;\-[$¥-411]* #,##0_-;_-[$¥-411]* \-??_-;_-@_-"/>
    <numFmt numFmtId="166" formatCode="[$¥-411]#,##0.00"/>
    <numFmt numFmtId="167" formatCode="&quot;¥&quot;#,##0"/>
  </numFmts>
  <fonts count="20">
    <font>
      <name val="Arial"/>
      <family val="2"/>
      <sz val="10"/>
    </font>
    <font>
      <name val="Calibri"/>
      <charset val="1"/>
      <family val="2"/>
      <color indexed="8"/>
      <sz val="11"/>
    </font>
    <font>
      <name val="Consolas"/>
      <charset val="1"/>
      <family val="3"/>
      <color indexed="8"/>
      <sz val="12"/>
    </font>
    <font>
      <name val="Consolas"/>
      <charset val="1"/>
      <family val="3"/>
      <color indexed="21"/>
      <sz val="12"/>
    </font>
    <font>
      <name val="Consolas"/>
      <charset val="1"/>
      <family val="3"/>
      <color indexed="10"/>
      <sz val="12"/>
    </font>
    <font>
      <name val="Consolas"/>
      <charset val="1"/>
      <family val="3"/>
      <color indexed="9"/>
      <sz val="12"/>
    </font>
    <font>
      <name val="Microsoft YaHei"/>
      <family val="2"/>
      <color indexed="8"/>
      <sz val="12"/>
    </font>
    <font>
      <name val="Consolas"/>
      <charset val="1"/>
      <family val="3"/>
      <color indexed="8"/>
      <sz val="10"/>
    </font>
    <font>
      <name val="Consolas"/>
      <charset val="1"/>
      <family val="3"/>
      <color indexed="10"/>
      <sz val="10"/>
    </font>
    <font>
      <name val="Consolas"/>
      <family val="3"/>
      <color indexed="8"/>
      <sz val="10"/>
    </font>
    <font>
      <name val="Consolas"/>
      <family val="3"/>
      <sz val="10"/>
    </font>
    <font>
      <name val="Consolas"/>
      <family val="3"/>
      <color indexed="10"/>
      <sz val="10"/>
    </font>
    <font>
      <name val="Consolas"/>
      <family val="3"/>
      <color rgb="FF002060"/>
      <sz val="10"/>
    </font>
    <font>
      <name val="Consolas"/>
      <family val="3"/>
      <color theme="4"/>
      <sz val="10"/>
    </font>
    <font>
      <name val="Consolas"/>
      <family val="3"/>
      <color rgb="FFFF0000"/>
      <sz val="10"/>
    </font>
    <font>
      <name val="Consolas"/>
      <family val="3"/>
      <color rgb="FF0070C0"/>
      <sz val="10"/>
    </font>
    <font>
      <name val="Consolas"/>
      <family val="3"/>
      <color theme="4" tint="-0.499984740745262"/>
      <sz val="10"/>
    </font>
    <font>
      <name val="Consolas"/>
      <family val="3"/>
      <color theme="3"/>
      <sz val="10"/>
    </font>
    <font>
      <name val="Consolas"/>
      <family val="3"/>
      <color rgb="FF00B0F0"/>
      <sz val="10"/>
    </font>
    <font>
      <name val="Consolas"/>
      <family val="3"/>
      <color theme="4" tint="-0.249977111117893"/>
      <sz val="10"/>
    </font>
  </fonts>
  <fills count="11">
    <fill>
      <patternFill/>
    </fill>
    <fill>
      <patternFill patternType="gray125"/>
    </fill>
    <fill>
      <patternFill patternType="solid">
        <fgColor indexed="8"/>
        <bgColor indexed="18"/>
      </patternFill>
    </fill>
    <fill>
      <patternFill patternType="solid">
        <fgColor indexed="10"/>
        <bgColor indexed="16"/>
      </patternFill>
    </fill>
    <fill>
      <patternFill patternType="solid">
        <fgColor rgb="FFFFFF0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3" tint="0.7999816888943144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pivotButton="0" quotePrefix="0" xfId="0"/>
    <xf numFmtId="14" fontId="2" fillId="0" borderId="1" applyAlignment="1" pivotButton="0" quotePrefix="0" xfId="1">
      <alignment horizontal="center" vertical="top"/>
    </xf>
    <xf numFmtId="0" fontId="2" fillId="0" borderId="1" pivotButton="0" quotePrefix="0" xfId="1"/>
    <xf numFmtId="164" fontId="3" fillId="0" borderId="1" pivotButton="0" quotePrefix="0" xfId="1"/>
    <xf numFmtId="164" fontId="4" fillId="0" borderId="1" pivotButton="0" quotePrefix="0" xfId="1"/>
    <xf numFmtId="164" fontId="2" fillId="0" borderId="1" pivotButton="0" quotePrefix="0" xfId="1"/>
    <xf numFmtId="0" fontId="1" fillId="0" borderId="0" pivotButton="0" quotePrefix="0" xfId="1"/>
    <xf numFmtId="0" fontId="2" fillId="0" borderId="0" pivotButton="0" quotePrefix="0" xfId="1"/>
    <xf numFmtId="165" fontId="2" fillId="0" borderId="0" pivotButton="0" quotePrefix="0" xfId="1"/>
    <xf numFmtId="0" fontId="5" fillId="2" borderId="1" applyAlignment="1" pivotButton="0" quotePrefix="0" xfId="1">
      <alignment horizontal="center" vertical="top"/>
    </xf>
    <xf numFmtId="0" fontId="5" fillId="2" borderId="1" applyAlignment="1" pivotButton="0" quotePrefix="0" xfId="1">
      <alignment horizontal="center" vertical="center"/>
    </xf>
    <xf numFmtId="166" fontId="4" fillId="2" borderId="1" applyAlignment="1" pivotButton="0" quotePrefix="0" xfId="1">
      <alignment horizontal="center" vertical="center"/>
    </xf>
    <xf numFmtId="0" fontId="6" fillId="0" borderId="1" pivotButton="0" quotePrefix="0" xfId="1"/>
    <xf numFmtId="14" fontId="2" fillId="0" borderId="2" applyAlignment="1" pivotButton="0" quotePrefix="0" xfId="1">
      <alignment horizontal="center" vertical="top"/>
    </xf>
    <xf numFmtId="14" fontId="2" fillId="0" borderId="3" applyAlignment="1" pivotButton="0" quotePrefix="0" xfId="1">
      <alignment horizontal="center" vertical="top"/>
    </xf>
    <xf numFmtId="14" fontId="2" fillId="0" borderId="4" applyAlignment="1" pivotButton="0" quotePrefix="0" xfId="1">
      <alignment horizontal="center" vertical="top"/>
    </xf>
    <xf numFmtId="0" fontId="2" fillId="3" borderId="1" pivotButton="0" quotePrefix="0" xfId="1"/>
    <xf numFmtId="14" fontId="2" fillId="0" borderId="4" applyAlignment="1" pivotButton="0" quotePrefix="0" xfId="1">
      <alignment vertical="top"/>
    </xf>
    <xf numFmtId="165" fontId="8" fillId="0" borderId="1" applyAlignment="1" pivotButton="0" quotePrefix="0" xfId="1">
      <alignment vertical="top"/>
    </xf>
    <xf numFmtId="0" fontId="10" fillId="0" borderId="0" pivotButton="0" quotePrefix="0" xfId="0"/>
    <xf numFmtId="165" fontId="11" fillId="0" borderId="1" applyAlignment="1" pivotButton="0" quotePrefix="0" xfId="1">
      <alignment vertical="top"/>
    </xf>
    <xf numFmtId="0" fontId="10" fillId="0" borderId="5" pivotButton="0" quotePrefix="0" xfId="0"/>
    <xf numFmtId="0" fontId="9" fillId="0" borderId="5" applyAlignment="1" pivotButton="0" quotePrefix="0" xfId="1">
      <alignment vertical="top"/>
    </xf>
    <xf numFmtId="0" fontId="10" fillId="0" borderId="5" applyAlignment="1" pivotButton="0" quotePrefix="0" xfId="0">
      <alignment horizontal="center"/>
    </xf>
    <xf numFmtId="14" fontId="9" fillId="0" borderId="5" applyAlignment="1" pivotButton="0" quotePrefix="0" xfId="1">
      <alignment horizontal="center" vertical="top" wrapText="1"/>
    </xf>
    <xf numFmtId="0" fontId="9" fillId="0" borderId="6" pivotButton="0" quotePrefix="0" xfId="1"/>
    <xf numFmtId="0" fontId="9" fillId="0" borderId="6" applyAlignment="1" pivotButton="0" quotePrefix="0" xfId="1">
      <alignment vertical="top"/>
    </xf>
    <xf numFmtId="0" fontId="7" fillId="0" borderId="6" pivotButton="0" quotePrefix="0" xfId="1"/>
    <xf numFmtId="0" fontId="7" fillId="0" borderId="6" applyAlignment="1" pivotButton="0" quotePrefix="0" xfId="1">
      <alignment vertical="top"/>
    </xf>
    <xf numFmtId="14" fontId="7" fillId="0" borderId="5" applyAlignment="1" pivotButton="0" quotePrefix="0" xfId="1">
      <alignment horizontal="center" vertical="top" wrapText="1"/>
    </xf>
    <xf numFmtId="0" fontId="0" fillId="0" borderId="5" applyAlignment="1" pivotButton="0" quotePrefix="0" xfId="0">
      <alignment horizontal="center"/>
    </xf>
    <xf numFmtId="14" fontId="9" fillId="0" borderId="5" applyAlignment="1" pivotButton="0" quotePrefix="0" xfId="1">
      <alignment horizontal="center" vertical="top"/>
    </xf>
    <xf numFmtId="0" fontId="9" fillId="0" borderId="5" pivotButton="0" quotePrefix="0" xfId="1"/>
    <xf numFmtId="165" fontId="11" fillId="0" borderId="5" applyAlignment="1" pivotButton="0" quotePrefix="0" xfId="1">
      <alignment vertical="top"/>
    </xf>
    <xf numFmtId="165" fontId="11" fillId="4" borderId="5" applyAlignment="1" pivotButton="0" quotePrefix="0" xfId="1">
      <alignment vertical="top"/>
    </xf>
    <xf numFmtId="165" fontId="11" fillId="5" borderId="5" applyAlignment="1" pivotButton="0" quotePrefix="0" xfId="1">
      <alignment vertical="top"/>
    </xf>
    <xf numFmtId="0" fontId="10" fillId="5" borderId="5" pivotButton="0" quotePrefix="0" xfId="0"/>
    <xf numFmtId="165" fontId="11" fillId="6" borderId="5" applyAlignment="1" pivotButton="0" quotePrefix="0" xfId="1">
      <alignment vertical="top"/>
    </xf>
    <xf numFmtId="0" fontId="10" fillId="7" borderId="5" applyAlignment="1" pivotButton="0" quotePrefix="0" xfId="0">
      <alignment horizontal="center"/>
    </xf>
    <xf numFmtId="0" fontId="10" fillId="7" borderId="5" pivotButton="0" quotePrefix="0" xfId="0"/>
    <xf numFmtId="165" fontId="11" fillId="7" borderId="5" applyAlignment="1" pivotButton="0" quotePrefix="0" xfId="1">
      <alignment vertical="top"/>
    </xf>
    <xf numFmtId="0" fontId="10" fillId="6" borderId="5" pivotButton="0" quotePrefix="0" xfId="0"/>
    <xf numFmtId="165" fontId="12" fillId="0" borderId="5" applyAlignment="1" pivotButton="0" quotePrefix="0" xfId="1">
      <alignment vertical="top"/>
    </xf>
    <xf numFmtId="0" fontId="12" fillId="0" borderId="5" pivotButton="0" quotePrefix="0" xfId="0"/>
    <xf numFmtId="0" fontId="10" fillId="5" borderId="5" applyAlignment="1" pivotButton="0" quotePrefix="0" xfId="0">
      <alignment horizontal="center"/>
    </xf>
    <xf numFmtId="165" fontId="12" fillId="5" borderId="5" applyAlignment="1" pivotButton="0" quotePrefix="0" xfId="1">
      <alignment vertical="top"/>
    </xf>
    <xf numFmtId="14" fontId="9" fillId="0" borderId="8" applyAlignment="1" pivotButton="0" quotePrefix="0" xfId="1">
      <alignment horizontal="center" vertical="top"/>
    </xf>
    <xf numFmtId="14" fontId="9" fillId="4" borderId="5" applyAlignment="1" pivotButton="0" quotePrefix="0" xfId="1">
      <alignment horizontal="center" vertical="top"/>
    </xf>
    <xf numFmtId="0" fontId="9" fillId="4" borderId="5" applyAlignment="1" pivotButton="0" quotePrefix="0" xfId="1">
      <alignment vertical="top"/>
    </xf>
    <xf numFmtId="0" fontId="10" fillId="8" borderId="5" applyAlignment="1" pivotButton="0" quotePrefix="0" xfId="0">
      <alignment horizontal="center"/>
    </xf>
    <xf numFmtId="0" fontId="10" fillId="8" borderId="5" pivotButton="0" quotePrefix="0" xfId="0"/>
    <xf numFmtId="165" fontId="11" fillId="8" borderId="5" applyAlignment="1" pivotButton="0" quotePrefix="0" xfId="1">
      <alignment vertical="top"/>
    </xf>
    <xf numFmtId="165" fontId="10" fillId="8" borderId="5" applyAlignment="1" pivotButton="0" quotePrefix="0" xfId="1">
      <alignment vertical="top"/>
    </xf>
    <xf numFmtId="165" fontId="13" fillId="0" borderId="5" applyAlignment="1" pivotButton="0" quotePrefix="0" xfId="1">
      <alignment vertical="top"/>
    </xf>
    <xf numFmtId="0" fontId="13" fillId="0" borderId="5" pivotButton="0" quotePrefix="0" xfId="0"/>
    <xf numFmtId="165" fontId="14" fillId="0" borderId="5" pivotButton="0" quotePrefix="0" xfId="0"/>
    <xf numFmtId="165" fontId="14" fillId="0" borderId="5" applyAlignment="1" pivotButton="0" quotePrefix="0" xfId="1">
      <alignment vertical="top"/>
    </xf>
    <xf numFmtId="165" fontId="10" fillId="0" borderId="0" pivotButton="0" quotePrefix="0" xfId="0"/>
    <xf numFmtId="165" fontId="13" fillId="5" borderId="5" applyAlignment="1" pivotButton="0" quotePrefix="0" xfId="1">
      <alignment vertical="top"/>
    </xf>
    <xf numFmtId="0" fontId="10" fillId="4" borderId="5" applyAlignment="1" pivotButton="0" quotePrefix="0" xfId="0">
      <alignment horizontal="center"/>
    </xf>
    <xf numFmtId="14" fontId="9" fillId="4" borderId="5" applyAlignment="1" pivotButton="0" quotePrefix="0" xfId="1">
      <alignment horizontal="center" vertical="top" wrapText="1"/>
    </xf>
    <xf numFmtId="0" fontId="10" fillId="4" borderId="5" pivotButton="0" quotePrefix="0" xfId="0"/>
    <xf numFmtId="165" fontId="15" fillId="0" borderId="5" applyAlignment="1" pivotButton="0" quotePrefix="0" xfId="1">
      <alignment vertical="top"/>
    </xf>
    <xf numFmtId="0" fontId="9" fillId="4" borderId="5" applyAlignment="1" pivotButton="0" quotePrefix="0" xfId="1">
      <alignment horizontal="left" vertical="top"/>
    </xf>
    <xf numFmtId="165" fontId="11" fillId="9" borderId="5" applyAlignment="1" pivotButton="0" quotePrefix="0" xfId="1">
      <alignment vertical="top"/>
    </xf>
    <xf numFmtId="165" fontId="15" fillId="8" borderId="5" applyAlignment="1" pivotButton="0" quotePrefix="0" xfId="1">
      <alignment vertical="top"/>
    </xf>
    <xf numFmtId="165" fontId="16" fillId="0" borderId="5" applyAlignment="1" pivotButton="0" quotePrefix="0" xfId="1">
      <alignment vertical="top"/>
    </xf>
    <xf numFmtId="0" fontId="16" fillId="0" borderId="5" pivotButton="0" quotePrefix="0" xfId="0"/>
    <xf numFmtId="165" fontId="11" fillId="0" borderId="0" applyAlignment="1" pivotButton="0" quotePrefix="0" xfId="1">
      <alignment vertical="top"/>
    </xf>
    <xf numFmtId="14" fontId="10" fillId="0" borderId="5" applyAlignment="1" pivotButton="0" quotePrefix="0" xfId="0">
      <alignment horizontal="center"/>
    </xf>
    <xf numFmtId="14" fontId="10" fillId="4" borderId="5" applyAlignment="1" pivotButton="0" quotePrefix="0" xfId="0">
      <alignment horizontal="center"/>
    </xf>
    <xf numFmtId="165" fontId="16" fillId="8" borderId="5" applyAlignment="1" pivotButton="0" quotePrefix="0" xfId="1">
      <alignment vertical="top"/>
    </xf>
    <xf numFmtId="167" fontId="10" fillId="0" borderId="0" pivotButton="0" quotePrefix="0" xfId="0"/>
    <xf numFmtId="0" fontId="10" fillId="0" borderId="0" applyAlignment="1" pivotButton="0" quotePrefix="0" xfId="0">
      <alignment horizontal="center"/>
    </xf>
    <xf numFmtId="165" fontId="10" fillId="0" borderId="5" pivotButton="0" quotePrefix="0" xfId="0"/>
    <xf numFmtId="167" fontId="10" fillId="0" borderId="5" pivotButton="0" quotePrefix="0" xfId="0"/>
    <xf numFmtId="167" fontId="14" fillId="4" borderId="5" pivotButton="0" quotePrefix="0" xfId="0"/>
    <xf numFmtId="165" fontId="17" fillId="0" borderId="5" applyAlignment="1" pivotButton="0" quotePrefix="0" xfId="1">
      <alignment vertical="top"/>
    </xf>
    <xf numFmtId="0" fontId="17" fillId="0" borderId="5" pivotButton="0" quotePrefix="0" xfId="0"/>
    <xf numFmtId="14" fontId="10" fillId="0" borderId="0" applyAlignment="1" pivotButton="0" quotePrefix="0" xfId="0">
      <alignment horizontal="center"/>
    </xf>
    <xf numFmtId="165" fontId="17" fillId="8" borderId="5" applyAlignment="1" pivotButton="0" quotePrefix="0" xfId="1">
      <alignment vertical="top"/>
    </xf>
    <xf numFmtId="165" fontId="11" fillId="10" borderId="5" applyAlignment="1" pivotButton="0" quotePrefix="0" xfId="1">
      <alignment vertical="top"/>
    </xf>
    <xf numFmtId="165" fontId="18" fillId="0" borderId="5" applyAlignment="1" pivotButton="0" quotePrefix="0" xfId="1">
      <alignment vertical="top"/>
    </xf>
    <xf numFmtId="0" fontId="14" fillId="0" borderId="5" pivotButton="0" quotePrefix="0" xfId="0"/>
    <xf numFmtId="165" fontId="14" fillId="4" borderId="5" applyAlignment="1" pivotButton="0" quotePrefix="0" xfId="1">
      <alignment vertical="top"/>
    </xf>
    <xf numFmtId="167" fontId="14" fillId="0" borderId="5" pivotButton="0" quotePrefix="0" xfId="0"/>
    <xf numFmtId="165" fontId="12" fillId="4" borderId="5" applyAlignment="1" pivotButton="0" quotePrefix="0" xfId="1">
      <alignment vertical="top"/>
    </xf>
    <xf numFmtId="165" fontId="19" fillId="0" borderId="5" applyAlignment="1" pivotButton="0" quotePrefix="0" xfId="1">
      <alignment vertical="top"/>
    </xf>
    <xf numFmtId="0" fontId="19" fillId="0" borderId="5" pivotButton="0" quotePrefix="0" xfId="0"/>
    <xf numFmtId="0" fontId="10" fillId="0" borderId="5" applyAlignment="1" pivotButton="0" quotePrefix="0" xfId="0">
      <alignment horizontal="center"/>
    </xf>
    <xf numFmtId="0" fontId="0" fillId="0" borderId="9" pivotButton="0" quotePrefix="0" xfId="0"/>
    <xf numFmtId="0" fontId="0" fillId="0" borderId="7" pivotButton="0" quotePrefix="0" xfId="0"/>
    <xf numFmtId="0" fontId="10" fillId="4" borderId="5" applyAlignment="1" pivotButton="0" quotePrefix="0" xfId="0">
      <alignment horizontal="center"/>
    </xf>
    <xf numFmtId="14" fontId="9" fillId="6" borderId="5" applyAlignment="1" pivotButton="0" quotePrefix="0" xfId="1">
      <alignment horizontal="center" vertical="top"/>
    </xf>
    <xf numFmtId="0" fontId="10" fillId="6" borderId="5" applyAlignment="1" pivotButton="0" quotePrefix="0" xfId="0">
      <alignment horizontal="center"/>
    </xf>
    <xf numFmtId="0" fontId="10" fillId="6" borderId="11" applyAlignment="1" pivotButton="0" quotePrefix="0" xfId="0">
      <alignment horizontal="center"/>
    </xf>
    <xf numFmtId="0" fontId="0" fillId="0" borderId="10" pivotButton="0" quotePrefix="0" xfId="0"/>
    <xf numFmtId="0" fontId="13" fillId="4" borderId="5" applyAlignment="1" pivotButton="0" quotePrefix="0" xfId="0">
      <alignment horizontal="center"/>
    </xf>
    <xf numFmtId="0" fontId="10" fillId="9" borderId="5" applyAlignment="1" pivotButton="0" quotePrefix="0" xfId="0">
      <alignment horizontal="center"/>
    </xf>
    <xf numFmtId="0" fontId="10" fillId="10" borderId="5" applyAlignment="1" pivotButton="0" quotePrefix="0" xfId="0">
      <alignment horizontal="center"/>
    </xf>
    <xf numFmtId="0" fontId="14" fillId="4" borderId="5" applyAlignment="1" pivotButton="0" quotePrefix="0" xfId="0">
      <alignment horizontal="center"/>
    </xf>
    <xf numFmtId="14" fontId="9" fillId="4" borderId="5" applyAlignment="1" pivotButton="0" quotePrefix="0" xfId="1">
      <alignment horizontal="center" vertical="top"/>
    </xf>
  </cellXfs>
  <cellStyles count="2">
    <cellStyle name="Normal" xfId="0" builtinId="0"/>
    <cellStyle name="Excel Built-in Normal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B05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7030A0"/>
      <rgbColor rgb="004A3285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6"/>
  <sheetViews>
    <sheetView tabSelected="1" topLeftCell="A112" zoomScale="150" zoomScaleNormal="70" workbookViewId="0">
      <selection activeCell="B6" sqref="B6"/>
    </sheetView>
  </sheetViews>
  <sheetFormatPr baseColWidth="8" defaultColWidth="8.6640625" defaultRowHeight="15.6"/>
  <cols>
    <col width="18.44140625" customWidth="1" style="1" min="1" max="1"/>
    <col width="65.6640625" customWidth="1" style="2" min="2" max="2"/>
    <col width="23.33203125" customWidth="1" style="3" min="3" max="3"/>
    <col width="23.33203125" customWidth="1" style="4" min="4" max="4"/>
    <col width="23.33203125" customWidth="1" style="5" min="5" max="5"/>
    <col width="8.6640625" customWidth="1" style="6" min="6" max="6"/>
    <col width="8.6640625" customWidth="1" style="7" min="7" max="7"/>
    <col width="10.44140625" customWidth="1" style="7" min="8" max="8"/>
    <col width="17" customWidth="1" style="8" min="9" max="9"/>
    <col width="19.109375" customWidth="1" style="8" min="10" max="10"/>
    <col width="17" customWidth="1" style="8" min="11" max="11"/>
    <col width="8.6640625" customWidth="1" style="8" min="12" max="13"/>
    <col width="8.6640625" customWidth="1" style="7" min="14" max="14"/>
    <col width="8.6640625" customWidth="1" style="7" min="15" max="16384"/>
  </cols>
  <sheetData>
    <row r="1">
      <c r="A1" s="9" t="inlineStr">
        <is>
          <t>Tanggal</t>
        </is>
      </c>
      <c r="B1" s="10" t="inlineStr">
        <is>
          <t>Deskripsi</t>
        </is>
      </c>
      <c r="C1" s="10" t="inlineStr">
        <is>
          <t>Masuk</t>
        </is>
      </c>
      <c r="D1" s="11" t="inlineStr">
        <is>
          <t>Keluar</t>
        </is>
      </c>
      <c r="E1" s="10" t="inlineStr">
        <is>
          <t>Sisa</t>
        </is>
      </c>
    </row>
    <row r="2">
      <c r="A2" s="1" t="n">
        <v>44996</v>
      </c>
      <c r="B2" s="2" t="inlineStr">
        <is>
          <t>Uang Papa</t>
        </is>
      </c>
      <c r="C2" s="3" t="n">
        <v>570000</v>
      </c>
      <c r="E2" s="5">
        <f>C2-D2</f>
        <v/>
      </c>
    </row>
    <row r="3">
      <c r="B3" s="2" t="inlineStr">
        <is>
          <t>Uang Andifallih</t>
        </is>
      </c>
      <c r="C3" s="3" t="n">
        <v>146000</v>
      </c>
      <c r="E3" s="5">
        <f>E2+C3-D3</f>
        <v/>
      </c>
    </row>
    <row r="4">
      <c r="A4" s="1" t="n">
        <v>44997</v>
      </c>
      <c r="E4" s="5">
        <f>E3+C4-D4</f>
        <v/>
      </c>
    </row>
    <row r="5" ht="17.55" customHeight="1">
      <c r="A5" s="1" t="n">
        <v>44998</v>
      </c>
      <c r="B5" s="12" t="inlineStr">
        <is>
          <t>?????</t>
        </is>
      </c>
      <c r="D5" s="4" t="n">
        <v>160</v>
      </c>
      <c r="E5" s="5">
        <f>E4+C5-D5</f>
        <v/>
      </c>
    </row>
    <row r="6" ht="17.55" customHeight="1">
      <c r="B6" s="12" t="inlineStr">
        <is>
          <t>???</t>
        </is>
      </c>
      <c r="D6" s="4" t="n">
        <v>230</v>
      </c>
      <c r="E6" s="5">
        <f>E5+C6-D6</f>
        <v/>
      </c>
    </row>
    <row r="7" ht="17.55" customHeight="1">
      <c r="B7" s="12" t="inlineStr">
        <is>
          <t>???</t>
        </is>
      </c>
      <c r="D7" s="4" t="n">
        <v>230</v>
      </c>
      <c r="E7" s="5">
        <f>E6+C7-D7</f>
        <v/>
      </c>
    </row>
    <row r="8">
      <c r="B8" s="2" t="inlineStr">
        <is>
          <t>Snacks</t>
        </is>
      </c>
      <c r="D8" s="4" t="n">
        <v>230</v>
      </c>
      <c r="E8" s="5">
        <f>E7+C8-D8</f>
        <v/>
      </c>
    </row>
    <row r="9" ht="17.55" customHeight="1">
      <c r="A9" s="1" t="n">
        <v>44999</v>
      </c>
      <c r="B9" s="12" t="inlineStr">
        <is>
          <t>???</t>
        </is>
      </c>
      <c r="D9" s="4" t="n">
        <v>230</v>
      </c>
      <c r="E9" s="5">
        <f>E8+C9-D9</f>
        <v/>
      </c>
    </row>
    <row r="10" ht="17.55" customHeight="1">
      <c r="B10" s="12" t="inlineStr">
        <is>
          <t>?????</t>
        </is>
      </c>
      <c r="D10" s="4" t="n">
        <v>160</v>
      </c>
      <c r="E10" s="5">
        <f>E9+C10-D10</f>
        <v/>
      </c>
    </row>
    <row r="11">
      <c r="B11" s="2" t="inlineStr">
        <is>
          <t>Onigiri</t>
        </is>
      </c>
      <c r="D11" s="4" t="n">
        <v>410</v>
      </c>
      <c r="E11" s="5">
        <f>E10+C11-D11</f>
        <v/>
      </c>
    </row>
    <row r="12" ht="17.55" customHeight="1">
      <c r="B12" s="12" t="inlineStr">
        <is>
          <t>???</t>
        </is>
      </c>
      <c r="D12" s="4" t="n">
        <v>330</v>
      </c>
      <c r="E12" s="5">
        <f>E11+C12-D12</f>
        <v/>
      </c>
    </row>
    <row r="13" ht="17.55" customHeight="1">
      <c r="B13" s="12" t="inlineStr">
        <is>
          <t>??</t>
        </is>
      </c>
      <c r="D13" s="4" t="n">
        <v>200</v>
      </c>
      <c r="E13" s="5">
        <f>E12+C13-D13</f>
        <v/>
      </c>
    </row>
    <row r="14">
      <c r="A14" s="1" t="n">
        <v>45000</v>
      </c>
      <c r="B14" s="2" t="inlineStr">
        <is>
          <t>Hanko Inkan</t>
        </is>
      </c>
      <c r="D14" s="4" t="n">
        <v>550</v>
      </c>
      <c r="E14" s="5">
        <f>E13+C14-D14</f>
        <v/>
      </c>
    </row>
    <row r="15" ht="17.55" customHeight="1">
      <c r="B15" s="12" t="inlineStr">
        <is>
          <t>?????</t>
        </is>
      </c>
      <c r="D15" s="4" t="n">
        <v>130</v>
      </c>
      <c r="E15" s="5">
        <f>E14+C15-D15</f>
        <v/>
      </c>
    </row>
    <row r="16">
      <c r="B16" s="2" t="inlineStr">
        <is>
          <t>IC Train Bus Card</t>
        </is>
      </c>
      <c r="D16" s="4" t="n">
        <v>3000</v>
      </c>
      <c r="E16" s="5">
        <f>E15+C16-D16</f>
        <v/>
      </c>
    </row>
    <row r="17" ht="17.55" customHeight="1">
      <c r="B17" s="12" t="inlineStr">
        <is>
          <t>??</t>
        </is>
      </c>
      <c r="D17" s="4">
        <f>298+204</f>
        <v/>
      </c>
      <c r="E17" s="5">
        <f>E16+C17-D17</f>
        <v/>
      </c>
    </row>
    <row r="18" ht="17.55" customHeight="1">
      <c r="B18" s="12" t="inlineStr">
        <is>
          <t>??</t>
        </is>
      </c>
      <c r="D18" s="4" t="n">
        <v>590</v>
      </c>
      <c r="E18" s="5">
        <f>E17+C18-D18</f>
        <v/>
      </c>
    </row>
    <row r="19">
      <c r="B19" s="2" t="inlineStr">
        <is>
          <t>USB Adapter</t>
        </is>
      </c>
      <c r="D19" s="4" t="n">
        <v>2030</v>
      </c>
      <c r="E19" s="5">
        <f>E18+C19-D19</f>
        <v/>
      </c>
    </row>
    <row r="20">
      <c r="B20" s="2" t="inlineStr">
        <is>
          <t>Onigiri</t>
        </is>
      </c>
      <c r="D20" s="4">
        <f>320+110</f>
        <v/>
      </c>
      <c r="E20" s="5">
        <f>E19+C20-D20</f>
        <v/>
      </c>
    </row>
    <row r="21" ht="17.55" customHeight="1">
      <c r="A21" s="1" t="n">
        <v>45001</v>
      </c>
      <c r="B21" s="12" t="inlineStr">
        <is>
          <t>?????</t>
        </is>
      </c>
      <c r="D21" s="4" t="n">
        <v>150</v>
      </c>
      <c r="E21" s="5">
        <f>E20+C21-D21</f>
        <v/>
      </c>
    </row>
    <row r="22">
      <c r="B22" s="2" t="inlineStr">
        <is>
          <t>City Hall</t>
        </is>
      </c>
      <c r="D22" s="4" t="n">
        <v>330</v>
      </c>
      <c r="E22" s="5">
        <f>E21+C22-D22</f>
        <v/>
      </c>
    </row>
    <row r="23">
      <c r="B23" s="2" t="inlineStr">
        <is>
          <t>Bento + Snacks</t>
        </is>
      </c>
      <c r="D23" s="4" t="n">
        <v>940</v>
      </c>
      <c r="E23" s="5">
        <f>E22+C23-D23</f>
        <v/>
      </c>
    </row>
    <row r="24" ht="17.55" customHeight="1">
      <c r="B24" s="12" t="inlineStr">
        <is>
          <t>??</t>
        </is>
      </c>
      <c r="D24" s="4" t="n">
        <v>200</v>
      </c>
      <c r="E24" s="5">
        <f>E23+C24-D24</f>
        <v/>
      </c>
    </row>
    <row r="25">
      <c r="B25" s="2" t="inlineStr">
        <is>
          <t>Bento + Snacks</t>
        </is>
      </c>
      <c r="D25" s="4">
        <f>884-160</f>
        <v/>
      </c>
      <c r="E25" s="5">
        <f>E24+C25-D25</f>
        <v/>
      </c>
    </row>
    <row r="26" ht="17.55" customHeight="1">
      <c r="B26" s="12" t="inlineStr">
        <is>
          <t>?????</t>
        </is>
      </c>
      <c r="D26" s="4" t="n">
        <v>160</v>
      </c>
      <c r="E26" s="5">
        <f>E25+C26-D26</f>
        <v/>
      </c>
    </row>
    <row r="27">
      <c r="A27" s="1" t="n">
        <v>45002</v>
      </c>
      <c r="B27" s="2" t="inlineStr">
        <is>
          <t>Fire Insurance</t>
        </is>
      </c>
      <c r="D27" s="4" t="n">
        <v>3700</v>
      </c>
      <c r="E27" s="5">
        <f>E26+C27-D27</f>
        <v/>
      </c>
    </row>
    <row r="28">
      <c r="B28" s="2" t="inlineStr">
        <is>
          <t>Bento + Sabun Cuci Piring</t>
        </is>
      </c>
      <c r="D28" s="4" t="n">
        <v>1084</v>
      </c>
      <c r="E28" s="5">
        <f>E27+C28-D28</f>
        <v/>
      </c>
    </row>
    <row r="29">
      <c r="B29" s="2" t="inlineStr">
        <is>
          <t>Bento</t>
        </is>
      </c>
      <c r="D29" s="4" t="n">
        <v>560</v>
      </c>
      <c r="E29" s="5">
        <f>E28+C29-D29</f>
        <v/>
      </c>
    </row>
    <row r="30">
      <c r="A30" s="1" t="n">
        <v>45003</v>
      </c>
      <c r="B30" s="2" t="inlineStr">
        <is>
          <t>Bento + Cemilan + Susu</t>
        </is>
      </c>
      <c r="D30" s="4" t="n">
        <v>1120</v>
      </c>
      <c r="E30" s="5">
        <f>E29+C30-D30</f>
        <v/>
      </c>
    </row>
    <row r="31">
      <c r="B31" s="2" t="inlineStr">
        <is>
          <t>Bento</t>
        </is>
      </c>
      <c r="D31" s="4">
        <f>178+398</f>
        <v/>
      </c>
      <c r="E31" s="5">
        <f>E30+C31-D31</f>
        <v/>
      </c>
    </row>
    <row r="32">
      <c r="B32" s="2" t="inlineStr">
        <is>
          <t>Cup Ramen</t>
        </is>
      </c>
      <c r="D32" s="4" t="n">
        <v>210</v>
      </c>
      <c r="E32" s="5">
        <f>E31+C32-D32</f>
        <v/>
      </c>
    </row>
    <row r="33" ht="17.55" customHeight="1">
      <c r="B33" s="12" t="inlineStr">
        <is>
          <t>??</t>
        </is>
      </c>
      <c r="D33" s="4" t="n">
        <v>200</v>
      </c>
      <c r="E33" s="5">
        <f>E32+C33-D33</f>
        <v/>
      </c>
    </row>
    <row r="34">
      <c r="A34" s="1" t="n">
        <v>45004</v>
      </c>
      <c r="B34" s="2" t="inlineStr">
        <is>
          <t>Bento + Cemilan</t>
        </is>
      </c>
      <c r="D34" s="4" t="n">
        <v>1707</v>
      </c>
      <c r="E34" s="5">
        <f>E33+C34-D34</f>
        <v/>
      </c>
    </row>
    <row r="35">
      <c r="B35" s="2" t="inlineStr">
        <is>
          <t>Cup Ramen</t>
        </is>
      </c>
      <c r="D35" s="4" t="n">
        <v>210</v>
      </c>
      <c r="E35" s="5">
        <f>E34+C35-D35</f>
        <v/>
      </c>
    </row>
    <row r="36">
      <c r="A36" s="1" t="n">
        <v>45005</v>
      </c>
      <c r="B36" s="2" t="inlineStr">
        <is>
          <t xml:space="preserve">Bento + Pewangi Ruangan </t>
        </is>
      </c>
      <c r="D36" s="4" t="n">
        <v>1885</v>
      </c>
      <c r="E36" s="5">
        <f>E35+C36-D36</f>
        <v/>
      </c>
    </row>
    <row r="37" ht="17.55" customHeight="1">
      <c r="B37" s="12" t="inlineStr">
        <is>
          <t>?????</t>
        </is>
      </c>
      <c r="D37" s="4" t="n">
        <v>130</v>
      </c>
      <c r="E37" s="5">
        <f>E36+C37-D37</f>
        <v/>
      </c>
    </row>
    <row r="38" ht="17.55" customHeight="1">
      <c r="B38" s="12" t="inlineStr">
        <is>
          <t>??</t>
        </is>
      </c>
      <c r="D38" s="4" t="n">
        <v>200</v>
      </c>
      <c r="E38" s="5">
        <f>E37+C38-D38</f>
        <v/>
      </c>
    </row>
    <row r="39">
      <c r="A39" s="1" t="n">
        <v>45006</v>
      </c>
      <c r="B39" s="2" t="inlineStr">
        <is>
          <t>Gyudon</t>
        </is>
      </c>
      <c r="D39" s="4" t="n">
        <v>588</v>
      </c>
      <c r="E39" s="5">
        <f>E38+C39-D39</f>
        <v/>
      </c>
    </row>
    <row r="40">
      <c r="B40" s="2" t="inlineStr">
        <is>
          <t>Panci, Spatula, Pisau, Tatakan, Pengasah Pisau, dll</t>
        </is>
      </c>
      <c r="D40" s="4" t="n">
        <v>5328</v>
      </c>
      <c r="E40" s="5">
        <f>E39+C40-D40</f>
        <v/>
      </c>
    </row>
    <row r="41">
      <c r="B41" s="2" t="inlineStr">
        <is>
          <t>Bento + Bumbu + Susu</t>
        </is>
      </c>
      <c r="D41" s="4">
        <f>829+300+130+130</f>
        <v/>
      </c>
      <c r="E41" s="5">
        <f>E40+C41-D41</f>
        <v/>
      </c>
    </row>
    <row r="42">
      <c r="A42" s="1" t="n">
        <v>45007</v>
      </c>
      <c r="B42" s="2" t="inlineStr">
        <is>
          <t>Bahan Makanan</t>
        </is>
      </c>
      <c r="D42" s="4">
        <f>2294+130</f>
        <v/>
      </c>
      <c r="E42" s="5">
        <f>E41+C42-D42</f>
        <v/>
      </c>
    </row>
    <row r="43" ht="17.55" customHeight="1">
      <c r="B43" s="12" t="inlineStr">
        <is>
          <t>??</t>
        </is>
      </c>
      <c r="D43" s="4" t="n">
        <v>200</v>
      </c>
      <c r="E43" s="5">
        <f>E42+C43-D43</f>
        <v/>
      </c>
    </row>
    <row r="44">
      <c r="A44" s="1" t="n">
        <v>45008</v>
      </c>
      <c r="B44" s="2" t="inlineStr">
        <is>
          <t>Makan</t>
        </is>
      </c>
      <c r="D44" s="4" t="n">
        <v>640</v>
      </c>
      <c r="E44" s="5">
        <f>E43+C44-D44</f>
        <v/>
      </c>
    </row>
    <row r="45">
      <c r="B45" s="2" t="inlineStr">
        <is>
          <t>Cup Ramen</t>
        </is>
      </c>
      <c r="D45" s="4" t="n">
        <v>210</v>
      </c>
      <c r="E45" s="5">
        <f>E44+C45-D45</f>
        <v/>
      </c>
    </row>
    <row r="46">
      <c r="B46" s="2" t="inlineStr">
        <is>
          <t>Cutter + Lip Balm</t>
        </is>
      </c>
      <c r="D46" s="4" t="n">
        <v>600</v>
      </c>
      <c r="E46" s="5">
        <f>E45+C46-D46</f>
        <v/>
      </c>
    </row>
    <row r="47">
      <c r="A47" s="1" t="n">
        <v>45009</v>
      </c>
      <c r="B47" s="2" t="inlineStr">
        <is>
          <t>Bahan Makanan</t>
        </is>
      </c>
      <c r="D47" s="4">
        <f>2626+150</f>
        <v/>
      </c>
      <c r="E47" s="5">
        <f>E46+C47-D47</f>
        <v/>
      </c>
    </row>
    <row r="48" ht="17.55" customHeight="1">
      <c r="B48" s="12" t="inlineStr">
        <is>
          <t>??</t>
        </is>
      </c>
      <c r="D48" s="4" t="n">
        <v>300</v>
      </c>
      <c r="E48" s="5">
        <f>E47+C48-D48</f>
        <v/>
      </c>
    </row>
    <row r="49" ht="17.55" customHeight="1">
      <c r="B49" s="12" t="inlineStr">
        <is>
          <t>?????</t>
        </is>
      </c>
      <c r="D49" s="4" t="n">
        <v>150</v>
      </c>
      <c r="E49" s="5">
        <f>E48+C49-D49</f>
        <v/>
      </c>
    </row>
    <row r="50">
      <c r="A50" s="1" t="n">
        <v>45010</v>
      </c>
      <c r="B50" s="2" t="inlineStr">
        <is>
          <t>Roti</t>
        </is>
      </c>
      <c r="D50" s="4" t="n">
        <v>140</v>
      </c>
      <c r="E50" s="5">
        <f>E49+C50-D50</f>
        <v/>
      </c>
    </row>
    <row r="51">
      <c r="B51" s="2" t="inlineStr">
        <is>
          <t>Rice Cooker</t>
        </is>
      </c>
      <c r="D51" s="4" t="n">
        <v>4718</v>
      </c>
      <c r="E51" s="5">
        <f>E50+C51-D51</f>
        <v/>
      </c>
    </row>
    <row r="52">
      <c r="A52" s="1" t="n">
        <v>45011</v>
      </c>
      <c r="B52" s="2" t="inlineStr">
        <is>
          <t>Piring, Botol, Jepitan, Toples, Saringan</t>
        </is>
      </c>
      <c r="D52" s="4">
        <f>660+750</f>
        <v/>
      </c>
      <c r="E52" s="5">
        <f>E51+C52-D52</f>
        <v/>
      </c>
    </row>
    <row r="53">
      <c r="B53" s="2" t="inlineStr">
        <is>
          <t>Roti</t>
        </is>
      </c>
      <c r="D53" s="4" t="n">
        <v>140</v>
      </c>
      <c r="E53" s="5">
        <f>E52+C53-D53</f>
        <v/>
      </c>
    </row>
    <row r="54">
      <c r="B54" s="2" t="inlineStr">
        <is>
          <t>Lunch + Susu + Cemilan</t>
        </is>
      </c>
      <c r="D54" s="4" t="n">
        <v>1100</v>
      </c>
      <c r="E54" s="5">
        <f>E53+C54-D54</f>
        <v/>
      </c>
    </row>
    <row r="55">
      <c r="B55" s="2" t="inlineStr">
        <is>
          <t>Recharge IC Card</t>
        </is>
      </c>
      <c r="D55" s="4" t="n">
        <v>1000</v>
      </c>
      <c r="E55" s="5">
        <f>E54+C55-D55</f>
        <v/>
      </c>
    </row>
    <row r="56">
      <c r="A56" s="1" t="n">
        <v>45012</v>
      </c>
      <c r="B56" s="2" t="inlineStr">
        <is>
          <t>Beras + Belanja</t>
        </is>
      </c>
      <c r="D56" s="4">
        <f>4370+110</f>
        <v/>
      </c>
      <c r="E56" s="5">
        <f>E55+C56-D56</f>
        <v/>
      </c>
    </row>
    <row r="57">
      <c r="B57" s="2" t="inlineStr">
        <is>
          <t>Lunch</t>
        </is>
      </c>
      <c r="D57" s="4" t="n">
        <v>840</v>
      </c>
      <c r="E57" s="5">
        <f>E56+C57-D57</f>
        <v/>
      </c>
    </row>
    <row r="58">
      <c r="B58" s="2" t="inlineStr">
        <is>
          <t>Recharge IC Card</t>
        </is>
      </c>
      <c r="D58" s="4" t="n">
        <v>2000</v>
      </c>
      <c r="E58" s="5">
        <f>E57+C58-D58</f>
        <v/>
      </c>
    </row>
    <row r="59">
      <c r="B59" s="2" t="inlineStr">
        <is>
          <t>Roti</t>
        </is>
      </c>
      <c r="D59" s="4" t="n">
        <v>140</v>
      </c>
      <c r="E59" s="5">
        <f>E58+C59-D59</f>
        <v/>
      </c>
    </row>
    <row r="60">
      <c r="B60" s="2" t="inlineStr">
        <is>
          <t>Toples</t>
        </is>
      </c>
      <c r="D60" s="4" t="n">
        <v>220</v>
      </c>
      <c r="E60" s="5">
        <f>E59+C60-D60</f>
        <v/>
      </c>
    </row>
    <row r="61">
      <c r="A61" s="1" t="n">
        <v>45013</v>
      </c>
      <c r="B61" s="2" t="inlineStr">
        <is>
          <t>Roti</t>
        </is>
      </c>
      <c r="D61" s="4" t="n">
        <v>140</v>
      </c>
      <c r="E61" s="5">
        <f>E60+C61-D61</f>
        <v/>
      </c>
    </row>
    <row r="62" ht="17.55" customHeight="1">
      <c r="B62" s="12" t="inlineStr">
        <is>
          <t>???</t>
        </is>
      </c>
      <c r="D62" s="4">
        <f>265+130</f>
        <v/>
      </c>
      <c r="E62" s="5">
        <f>E61+C62-D62</f>
        <v/>
      </c>
    </row>
    <row r="63" ht="17.55" customHeight="1">
      <c r="A63" s="1" t="n">
        <v>45014</v>
      </c>
      <c r="B63" s="12" t="inlineStr">
        <is>
          <t>??</t>
        </is>
      </c>
      <c r="D63" s="4" t="n">
        <v>200</v>
      </c>
      <c r="E63" s="5">
        <f>E62+C63-D63</f>
        <v/>
      </c>
    </row>
    <row r="64">
      <c r="B64" s="2" t="inlineStr">
        <is>
          <t>Lunch</t>
        </is>
      </c>
      <c r="D64" s="4">
        <f>118+237</f>
        <v/>
      </c>
      <c r="E64" s="5">
        <f>E63+C64-D64</f>
        <v/>
      </c>
    </row>
    <row r="65" ht="17.55" customHeight="1">
      <c r="B65" s="12" t="inlineStr">
        <is>
          <t>???</t>
        </is>
      </c>
      <c r="D65" s="4" t="n">
        <v>1055</v>
      </c>
      <c r="E65" s="5">
        <f>E64+C65-D65</f>
        <v/>
      </c>
    </row>
    <row r="66" ht="17.55" customHeight="1">
      <c r="A66" s="1" t="n">
        <v>45015</v>
      </c>
      <c r="B66" s="12" t="inlineStr">
        <is>
          <t>??</t>
        </is>
      </c>
      <c r="D66" s="4" t="n">
        <v>200</v>
      </c>
      <c r="E66" s="5">
        <f>E65+C66-D66</f>
        <v/>
      </c>
    </row>
    <row r="67">
      <c r="A67" s="1" t="n">
        <v>45016</v>
      </c>
      <c r="B67" s="2" t="inlineStr">
        <is>
          <t>Belanja Makan</t>
        </is>
      </c>
      <c r="D67" s="4" t="n">
        <v>1778</v>
      </c>
      <c r="E67" s="5">
        <f>E66+C67-D67</f>
        <v/>
      </c>
    </row>
    <row r="68" ht="17.55" customHeight="1">
      <c r="B68" s="12" t="inlineStr">
        <is>
          <t>???</t>
        </is>
      </c>
      <c r="D68" s="4" t="n">
        <v>990</v>
      </c>
      <c r="E68" s="5">
        <f>E67+C68-D68</f>
        <v/>
      </c>
    </row>
    <row r="69">
      <c r="A69" s="1" t="n">
        <v>45017</v>
      </c>
      <c r="B69" s="2" t="inlineStr">
        <is>
          <t>Belanja Makan</t>
        </is>
      </c>
      <c r="D69" s="4" t="n">
        <v>1240</v>
      </c>
      <c r="E69" s="5">
        <f>E68+C69-D69</f>
        <v/>
      </c>
    </row>
    <row r="70" ht="17.55" customHeight="1">
      <c r="B70" s="12" t="inlineStr">
        <is>
          <t>??</t>
        </is>
      </c>
      <c r="D70" s="4" t="n">
        <v>300</v>
      </c>
      <c r="E70" s="5">
        <f>E69+C70-D70</f>
        <v/>
      </c>
    </row>
    <row r="71">
      <c r="B71" s="2" t="inlineStr">
        <is>
          <t>Buku + Alat tulis</t>
        </is>
      </c>
      <c r="D71" s="4" t="n">
        <v>864</v>
      </c>
      <c r="E71" s="5">
        <f>E70+C71-D71</f>
        <v/>
      </c>
    </row>
    <row r="72" ht="17.55" customHeight="1">
      <c r="A72" s="1" t="n">
        <v>45018</v>
      </c>
      <c r="B72" s="12" t="inlineStr">
        <is>
          <t>???</t>
        </is>
      </c>
      <c r="D72" s="4">
        <f>560+220</f>
        <v/>
      </c>
      <c r="E72" s="5">
        <f>E71+C72-D72</f>
        <v/>
      </c>
    </row>
    <row r="73">
      <c r="A73" s="13" t="n"/>
      <c r="B73" s="2" t="inlineStr">
        <is>
          <t>IC Train Bus Card</t>
        </is>
      </c>
      <c r="D73" s="4" t="n">
        <v>5000</v>
      </c>
      <c r="E73" s="5">
        <f>E72+C73-D73</f>
        <v/>
      </c>
    </row>
    <row r="74">
      <c r="A74" s="1" t="n">
        <v>45019</v>
      </c>
      <c r="B74" s="2" t="inlineStr">
        <is>
          <t>Belanja Makan</t>
        </is>
      </c>
      <c r="D74" s="4" t="n">
        <v>1130</v>
      </c>
      <c r="E74" s="5">
        <f>E73+C74-D74</f>
        <v/>
      </c>
    </row>
    <row r="75" ht="17.55" customHeight="1">
      <c r="A75" s="13" t="n"/>
      <c r="B75" s="12" t="inlineStr">
        <is>
          <t>??</t>
        </is>
      </c>
      <c r="D75" s="4" t="n">
        <v>400</v>
      </c>
      <c r="E75" s="5">
        <f>E74+C75-D75</f>
        <v/>
      </c>
    </row>
    <row r="76">
      <c r="A76" s="1" t="n">
        <v>45020</v>
      </c>
      <c r="B76" s="2" t="inlineStr">
        <is>
          <t>Belanja Makan</t>
        </is>
      </c>
      <c r="D76" s="4" t="n">
        <v>1589</v>
      </c>
      <c r="E76" s="5">
        <f>E75+C76-D76</f>
        <v/>
      </c>
    </row>
    <row r="77" ht="17.55" customHeight="1">
      <c r="A77" s="1" t="n">
        <v>45021</v>
      </c>
      <c r="B77" s="12" t="inlineStr">
        <is>
          <t>??</t>
        </is>
      </c>
      <c r="D77" s="4" t="n">
        <v>200</v>
      </c>
      <c r="E77" s="5">
        <f>E76+C77-D77</f>
        <v/>
      </c>
    </row>
    <row r="78">
      <c r="A78" s="13" t="n"/>
      <c r="B78" s="2" t="inlineStr">
        <is>
          <t>Lunch</t>
        </is>
      </c>
      <c r="D78" s="4" t="n">
        <v>600</v>
      </c>
      <c r="E78" s="5">
        <f>E77+C78-D78</f>
        <v/>
      </c>
    </row>
    <row r="79">
      <c r="A79" s="1" t="n">
        <v>45022</v>
      </c>
      <c r="B79" s="2" t="inlineStr">
        <is>
          <t>Belanja Makan</t>
        </is>
      </c>
      <c r="D79" s="4" t="n">
        <v>1580</v>
      </c>
      <c r="E79" s="5">
        <f>E78+C79-D79</f>
        <v/>
      </c>
    </row>
    <row r="80">
      <c r="A80" s="1" t="n">
        <v>45023</v>
      </c>
      <c r="B80" s="2" t="inlineStr">
        <is>
          <t>Microphone</t>
        </is>
      </c>
      <c r="D80" s="4" t="n">
        <v>1359</v>
      </c>
      <c r="E80" s="5">
        <f>E79+C80-D80</f>
        <v/>
      </c>
    </row>
    <row r="81">
      <c r="A81" s="14" t="n"/>
      <c r="B81" s="2" t="inlineStr">
        <is>
          <t>Lunch</t>
        </is>
      </c>
      <c r="D81" s="4" t="n">
        <v>600</v>
      </c>
      <c r="E81" s="5">
        <f>E80+C81-D81</f>
        <v/>
      </c>
    </row>
    <row r="82" ht="17.55" customHeight="1">
      <c r="A82" s="13" t="n"/>
      <c r="B82" s="12" t="inlineStr">
        <is>
          <t>??</t>
        </is>
      </c>
      <c r="D82" s="4" t="n">
        <v>200</v>
      </c>
      <c r="E82" s="5">
        <f>E81+C82-D82</f>
        <v/>
      </c>
    </row>
    <row r="83">
      <c r="A83" s="1" t="n">
        <v>45024</v>
      </c>
      <c r="B83" s="2" t="inlineStr">
        <is>
          <t>Lunch</t>
        </is>
      </c>
      <c r="D83" s="4" t="n">
        <v>600</v>
      </c>
      <c r="E83" s="5">
        <f>E82+C83-D83</f>
        <v/>
      </c>
    </row>
    <row r="84" ht="17.55" customHeight="1">
      <c r="A84" s="13" t="n"/>
      <c r="B84" s="12" t="inlineStr">
        <is>
          <t>??</t>
        </is>
      </c>
      <c r="D84" s="4" t="n">
        <v>200</v>
      </c>
      <c r="E84" s="5">
        <f>E83+C84-D84</f>
        <v/>
      </c>
    </row>
    <row r="85">
      <c r="A85" s="1" t="n">
        <v>45025</v>
      </c>
      <c r="B85" s="2" t="inlineStr">
        <is>
          <t>Belanja Makan</t>
        </is>
      </c>
      <c r="D85" s="4" t="n">
        <v>5019</v>
      </c>
      <c r="E85" s="5">
        <f>E84+C85-D85</f>
        <v/>
      </c>
    </row>
    <row r="86">
      <c r="A86" s="13" t="n"/>
      <c r="B86" s="2" t="inlineStr">
        <is>
          <t>Wajan</t>
        </is>
      </c>
      <c r="D86" s="4" t="n">
        <v>3071</v>
      </c>
      <c r="E86" s="5">
        <f>E85+C86-D86</f>
        <v/>
      </c>
    </row>
    <row r="87">
      <c r="A87" s="1" t="n">
        <v>45026</v>
      </c>
      <c r="B87" s="2" t="inlineStr">
        <is>
          <t>Lunch</t>
        </is>
      </c>
      <c r="D87" s="4" t="n">
        <v>535</v>
      </c>
      <c r="E87" s="5">
        <f>E86+C87-D87</f>
        <v/>
      </c>
    </row>
    <row r="88" ht="17.55" customHeight="1">
      <c r="A88" s="13" t="n"/>
      <c r="B88" s="12" t="inlineStr">
        <is>
          <t>??</t>
        </is>
      </c>
      <c r="D88" s="4" t="n">
        <v>200</v>
      </c>
      <c r="E88" s="5">
        <f>E87+C88-D88</f>
        <v/>
      </c>
    </row>
    <row r="89">
      <c r="A89" s="1" t="n">
        <v>45027</v>
      </c>
      <c r="B89" s="2" t="inlineStr">
        <is>
          <t>Minum</t>
        </is>
      </c>
      <c r="D89" s="4" t="n">
        <v>98</v>
      </c>
      <c r="E89" s="5">
        <f>E88+C89-D89</f>
        <v/>
      </c>
    </row>
    <row r="90">
      <c r="A90" s="14" t="n"/>
      <c r="B90" s="2" t="inlineStr">
        <is>
          <t>Lunch</t>
        </is>
      </c>
      <c r="D90" s="4" t="n">
        <v>600</v>
      </c>
      <c r="E90" s="5">
        <f>E89+C90-D90</f>
        <v/>
      </c>
    </row>
    <row r="91" ht="17.55" customHeight="1">
      <c r="A91" s="13" t="n"/>
      <c r="B91" s="12" t="inlineStr">
        <is>
          <t>??</t>
        </is>
      </c>
      <c r="D91" s="4" t="n">
        <v>200</v>
      </c>
      <c r="E91" s="5">
        <f>E90+C91-D91</f>
        <v/>
      </c>
    </row>
    <row r="92">
      <c r="A92" s="15" t="n">
        <v>45028</v>
      </c>
      <c r="B92" s="2" t="inlineStr">
        <is>
          <t>Lunch</t>
        </is>
      </c>
      <c r="D92" s="4" t="n">
        <v>600</v>
      </c>
      <c r="E92" s="5">
        <f>E91+C92-D92</f>
        <v/>
      </c>
    </row>
    <row r="93">
      <c r="A93" s="1" t="n">
        <v>45029</v>
      </c>
      <c r="B93" s="2" t="inlineStr">
        <is>
          <t>Lunch</t>
        </is>
      </c>
      <c r="D93" s="4" t="n">
        <v>630</v>
      </c>
      <c r="E93" s="5">
        <f>E92+C93-D93</f>
        <v/>
      </c>
    </row>
    <row r="94" ht="17.55" customHeight="1">
      <c r="A94" s="13" t="n"/>
      <c r="B94" s="12" t="inlineStr">
        <is>
          <t>??</t>
        </is>
      </c>
      <c r="D94" s="4" t="n">
        <v>100</v>
      </c>
      <c r="E94" s="5">
        <f>E93+C95-D95</f>
        <v/>
      </c>
    </row>
    <row r="95">
      <c r="A95" s="1" t="n">
        <v>45030</v>
      </c>
      <c r="B95" s="2" t="inlineStr">
        <is>
          <t>Lunch</t>
        </is>
      </c>
      <c r="D95" s="4" t="n">
        <v>500</v>
      </c>
      <c r="E95" s="5">
        <f>E94+C96-D96</f>
        <v/>
      </c>
    </row>
    <row r="96">
      <c r="A96" s="13" t="n"/>
      <c r="B96" s="2" t="inlineStr">
        <is>
          <t>Belanja Makan</t>
        </is>
      </c>
      <c r="D96" s="4" t="n">
        <v>1719</v>
      </c>
      <c r="E96" s="5">
        <f>E95+C97-D97</f>
        <v/>
      </c>
    </row>
    <row r="97" ht="17.55" customHeight="1">
      <c r="A97" s="15" t="n">
        <v>45031</v>
      </c>
      <c r="B97" s="12" t="inlineStr">
        <is>
          <t>??</t>
        </is>
      </c>
      <c r="D97" s="4" t="n">
        <v>200</v>
      </c>
      <c r="E97" s="5">
        <f>E96+C98-D98</f>
        <v/>
      </c>
    </row>
    <row r="98">
      <c r="A98" s="1" t="n">
        <v>45032</v>
      </c>
      <c r="B98" s="2" t="inlineStr">
        <is>
          <t>Belanja Makan</t>
        </is>
      </c>
      <c r="D98" s="4">
        <f>3680-950</f>
        <v/>
      </c>
      <c r="E98" s="5">
        <f>E97+C99-D99</f>
        <v/>
      </c>
    </row>
    <row r="99" ht="17.55" customHeight="1">
      <c r="A99" s="13" t="n"/>
      <c r="B99" s="12" t="inlineStr">
        <is>
          <t>??</t>
        </is>
      </c>
      <c r="D99" s="4" t="n">
        <v>200</v>
      </c>
      <c r="E99" s="5">
        <f>E98+C101-D101</f>
        <v/>
      </c>
    </row>
    <row r="100">
      <c r="A100" s="1" t="n">
        <v>45033</v>
      </c>
      <c r="B100" s="2" t="inlineStr">
        <is>
          <t>Lunch</t>
        </is>
      </c>
      <c r="D100" s="4">
        <f>220+150</f>
        <v/>
      </c>
      <c r="E100" s="5">
        <f>E99+C102-D102</f>
        <v/>
      </c>
    </row>
    <row r="101" ht="17.55" customHeight="1">
      <c r="A101" s="14" t="n"/>
      <c r="B101" s="12" t="inlineStr">
        <is>
          <t>??</t>
        </is>
      </c>
      <c r="D101" s="4" t="n">
        <v>300</v>
      </c>
      <c r="E101" s="5">
        <f>E100+C103-D103</f>
        <v/>
      </c>
    </row>
    <row r="102">
      <c r="A102" s="14" t="n"/>
      <c r="B102" s="2" t="inlineStr">
        <is>
          <t>Biaya Beli SIM</t>
        </is>
      </c>
      <c r="D102" s="4" t="n">
        <v>4624</v>
      </c>
      <c r="E102" s="5">
        <f>E101+C104-D104</f>
        <v/>
      </c>
    </row>
    <row r="103">
      <c r="A103" s="13" t="n"/>
      <c r="B103" s="2" t="inlineStr">
        <is>
          <t>Toples</t>
        </is>
      </c>
      <c r="D103" s="4" t="n">
        <v>550</v>
      </c>
      <c r="E103" s="5">
        <f>E102+C105-D105</f>
        <v/>
      </c>
    </row>
    <row r="104">
      <c r="A104" s="1" t="n">
        <v>45034</v>
      </c>
      <c r="B104" s="2" t="inlineStr">
        <is>
          <t>Lunch</t>
        </is>
      </c>
      <c r="D104" s="4" t="n">
        <v>400</v>
      </c>
      <c r="E104" s="5">
        <f>E103+C106-D106</f>
        <v/>
      </c>
    </row>
    <row r="105">
      <c r="A105" s="13" t="n"/>
      <c r="B105" s="2" t="inlineStr">
        <is>
          <t>Snacks</t>
        </is>
      </c>
      <c r="D105" s="4">
        <f>153+150</f>
        <v/>
      </c>
      <c r="E105" s="5">
        <f>E104+C107-D107</f>
        <v/>
      </c>
    </row>
    <row r="106">
      <c r="A106" s="1" t="n">
        <v>45035</v>
      </c>
      <c r="B106" s="2" t="inlineStr">
        <is>
          <t>Lunch</t>
        </is>
      </c>
      <c r="D106" s="4" t="n">
        <v>620</v>
      </c>
      <c r="E106" s="5">
        <f>E105+C108-D108</f>
        <v/>
      </c>
    </row>
    <row r="107" ht="17.55" customHeight="1">
      <c r="A107" s="13" t="n"/>
      <c r="B107" s="12" t="inlineStr">
        <is>
          <t>??</t>
        </is>
      </c>
      <c r="D107" s="4" t="n">
        <v>200</v>
      </c>
      <c r="E107" s="5">
        <f>E106+C109-D109</f>
        <v/>
      </c>
    </row>
    <row r="108">
      <c r="A108" s="15" t="n">
        <v>45036</v>
      </c>
      <c r="B108" s="2" t="inlineStr">
        <is>
          <t>Lunch</t>
        </is>
      </c>
      <c r="D108" s="4" t="n">
        <v>450</v>
      </c>
      <c r="E108" s="5">
        <f>E107+C110-D110</f>
        <v/>
      </c>
    </row>
    <row r="109">
      <c r="A109" s="15" t="n">
        <v>45037</v>
      </c>
      <c r="B109" s="2" t="inlineStr">
        <is>
          <t>Lunch</t>
        </is>
      </c>
      <c r="D109" s="4">
        <f>480</f>
        <v/>
      </c>
      <c r="E109" s="5">
        <f>E108+C111-D111</f>
        <v/>
      </c>
    </row>
    <row r="110">
      <c r="A110" s="1" t="n">
        <v>45038</v>
      </c>
      <c r="B110" s="2" t="inlineStr">
        <is>
          <t>Lunch</t>
        </is>
      </c>
      <c r="D110" s="4" t="n">
        <v>600</v>
      </c>
      <c r="E110" s="5">
        <f>E109+C112-D112</f>
        <v/>
      </c>
    </row>
    <row r="111" ht="17.55" customHeight="1">
      <c r="A111" s="13" t="n"/>
      <c r="B111" s="12" t="inlineStr">
        <is>
          <t>??</t>
        </is>
      </c>
      <c r="D111" s="4" t="n">
        <v>200</v>
      </c>
      <c r="E111" s="5">
        <f>E110+C113-D113</f>
        <v/>
      </c>
    </row>
    <row r="112">
      <c r="A112" s="15" t="n">
        <v>45039</v>
      </c>
      <c r="E112" s="5">
        <f>E111+C114-D114</f>
        <v/>
      </c>
    </row>
    <row r="113">
      <c r="A113" s="1" t="n">
        <v>45040</v>
      </c>
      <c r="B113" s="2" t="inlineStr">
        <is>
          <t>Health Insurance</t>
        </is>
      </c>
      <c r="D113" s="4" t="n">
        <v>1507</v>
      </c>
      <c r="E113" s="5">
        <f>E112+C115-D115</f>
        <v/>
      </c>
    </row>
    <row r="114" ht="17.55" customHeight="1">
      <c r="A114" s="14" t="n"/>
      <c r="B114" s="12" t="inlineStr">
        <is>
          <t>??</t>
        </is>
      </c>
      <c r="D114" s="4" t="n">
        <v>200</v>
      </c>
      <c r="E114" s="5">
        <f>E113+C116-D116</f>
        <v/>
      </c>
    </row>
    <row r="115">
      <c r="A115" s="13" t="n"/>
      <c r="B115" s="2" t="inlineStr">
        <is>
          <t>Belanja</t>
        </is>
      </c>
      <c r="D115" s="4">
        <f>1704+1100</f>
        <v/>
      </c>
      <c r="E115" s="5">
        <f>E114+C117-D117</f>
        <v/>
      </c>
    </row>
    <row r="116">
      <c r="A116" s="15" t="n">
        <v>45041</v>
      </c>
      <c r="B116" s="2" t="inlineStr">
        <is>
          <t>Lunch</t>
        </is>
      </c>
      <c r="D116" s="4" t="n">
        <v>480</v>
      </c>
      <c r="E116" s="5">
        <f>E115+C118-D118</f>
        <v/>
      </c>
    </row>
    <row r="117">
      <c r="A117" s="1" t="n">
        <v>45042</v>
      </c>
      <c r="B117" s="2" t="inlineStr">
        <is>
          <t>Lunch</t>
        </is>
      </c>
      <c r="D117" s="4" t="n">
        <v>600</v>
      </c>
      <c r="E117" s="5">
        <f>E116+C119-D119</f>
        <v/>
      </c>
    </row>
    <row r="118">
      <c r="A118" s="13" t="n"/>
      <c r="B118" s="16" t="inlineStr">
        <is>
          <t>Rent</t>
        </is>
      </c>
      <c r="D118" s="4" t="n">
        <v>44942</v>
      </c>
      <c r="E118" s="5">
        <f>E117+C120-D120</f>
        <v/>
      </c>
    </row>
    <row r="119">
      <c r="A119" s="1" t="n">
        <v>45043</v>
      </c>
      <c r="B119" s="2" t="inlineStr">
        <is>
          <t>Lunch</t>
        </is>
      </c>
      <c r="D119" s="4" t="n">
        <v>500</v>
      </c>
      <c r="E119" s="5">
        <f>E118+C121-D121</f>
        <v/>
      </c>
    </row>
    <row r="120">
      <c r="A120" s="13" t="n"/>
      <c r="B120" s="2" t="inlineStr">
        <is>
          <t>Biaya ATM</t>
        </is>
      </c>
      <c r="D120" s="4" t="n">
        <v>330</v>
      </c>
      <c r="E120" s="5">
        <f>E119+C122-D122</f>
        <v/>
      </c>
    </row>
    <row r="121">
      <c r="A121" s="1" t="n">
        <v>45044</v>
      </c>
      <c r="B121" s="2" t="inlineStr">
        <is>
          <t>Lunch</t>
        </is>
      </c>
      <c r="D121" s="4" t="n">
        <v>650</v>
      </c>
      <c r="E121" s="5">
        <f>E120+C123-D123</f>
        <v/>
      </c>
    </row>
    <row r="122">
      <c r="A122" s="13" t="n"/>
      <c r="B122" s="2" t="inlineStr">
        <is>
          <t>Spons + Sabun + Sendok Rice Cooker</t>
        </is>
      </c>
      <c r="D122" s="4">
        <f>667 +100 + 180 +607</f>
        <v/>
      </c>
      <c r="E122" s="5">
        <f>E121+C127-D127</f>
        <v/>
      </c>
    </row>
    <row r="123">
      <c r="A123" s="15" t="n">
        <v>45045</v>
      </c>
      <c r="E123" s="5">
        <f>E122+C128-D128</f>
        <v/>
      </c>
    </row>
    <row r="124">
      <c r="A124" s="1" t="n">
        <v>45046</v>
      </c>
      <c r="E124" s="5">
        <f>E123+C129-D129</f>
        <v/>
      </c>
    </row>
    <row r="125" ht="17.55" customHeight="1">
      <c r="A125" s="13" t="n"/>
      <c r="B125" s="12" t="inlineStr">
        <is>
          <t>??</t>
        </is>
      </c>
      <c r="D125" s="4" t="n">
        <v>400</v>
      </c>
      <c r="E125" s="5">
        <f>E124+C130-D130</f>
        <v/>
      </c>
    </row>
    <row r="126">
      <c r="A126" s="1" t="n">
        <v>45047</v>
      </c>
      <c r="B126" s="2" t="inlineStr">
        <is>
          <t>Lunch</t>
        </is>
      </c>
      <c r="D126" s="4" t="n">
        <v>500</v>
      </c>
      <c r="E126" s="5">
        <f>E125+C131-D131</f>
        <v/>
      </c>
    </row>
    <row r="127">
      <c r="A127" s="13" t="n"/>
      <c r="B127" s="2" t="inlineStr">
        <is>
          <t>Belanja Makanan</t>
        </is>
      </c>
      <c r="D127" s="4" t="n">
        <v>6850</v>
      </c>
      <c r="E127" s="5">
        <f>E126+C132-D132</f>
        <v/>
      </c>
    </row>
    <row r="128">
      <c r="A128" s="1" t="n">
        <v>45048</v>
      </c>
      <c r="B128" s="2" t="inlineStr">
        <is>
          <t>Lunch</t>
        </is>
      </c>
      <c r="D128" s="4" t="n">
        <v>500</v>
      </c>
      <c r="E128" s="5">
        <f>E127+C133-D133</f>
        <v/>
      </c>
    </row>
    <row r="129" ht="17.55" customHeight="1">
      <c r="A129" s="13" t="n"/>
      <c r="B129" s="12" t="inlineStr">
        <is>
          <t>??</t>
        </is>
      </c>
      <c r="D129" s="4" t="n">
        <v>200</v>
      </c>
      <c r="E129" s="5">
        <f>E128+C134-D134</f>
        <v/>
      </c>
    </row>
    <row r="130">
      <c r="A130" s="15" t="n">
        <v>45049</v>
      </c>
      <c r="E130" s="5">
        <f>E129+C135-D135</f>
        <v/>
      </c>
    </row>
    <row r="131">
      <c r="A131" s="15" t="n">
        <v>45050</v>
      </c>
      <c r="E131" s="5">
        <f>E130+C136-D136</f>
        <v/>
      </c>
    </row>
    <row r="132">
      <c r="A132" s="15" t="n">
        <v>45051</v>
      </c>
      <c r="B132" s="2" t="inlineStr">
        <is>
          <t>Beras 10kg</t>
        </is>
      </c>
      <c r="D132" s="4" t="n">
        <v>5020</v>
      </c>
      <c r="E132" s="5">
        <f>E131+C137-D137</f>
        <v/>
      </c>
    </row>
    <row r="133">
      <c r="B133" s="2" t="inlineStr">
        <is>
          <t>Belanja Makan</t>
        </is>
      </c>
      <c r="D133" s="4" t="n">
        <v>2690</v>
      </c>
      <c r="E133" s="5">
        <f>E132+C138-D138</f>
        <v/>
      </c>
    </row>
    <row r="134" ht="17.55" customHeight="1">
      <c r="A134" s="17" t="n">
        <v>45052</v>
      </c>
      <c r="B134" s="12" t="inlineStr">
        <is>
          <t>??</t>
        </is>
      </c>
      <c r="D134" s="4" t="n">
        <v>200</v>
      </c>
      <c r="E134" s="5">
        <f>E133+C139-D139</f>
        <v/>
      </c>
    </row>
    <row r="135">
      <c r="E135" s="5">
        <f>E134+C140-D140</f>
        <v/>
      </c>
      <c r="H135" s="7" t="inlineStr">
        <is>
          <t>Tanpa Uang DD</t>
        </is>
      </c>
      <c r="I135" s="8">
        <f>-C3+E125</f>
        <v/>
      </c>
    </row>
    <row r="136">
      <c r="E136" s="5">
        <f>E135+C141-D141</f>
        <v/>
      </c>
    </row>
    <row r="137">
      <c r="E137" s="5">
        <f>E136+C142-D142</f>
        <v/>
      </c>
    </row>
    <row r="138">
      <c r="E138" s="5">
        <f>E137+C143-D143</f>
        <v/>
      </c>
    </row>
    <row r="139">
      <c r="E139" s="5">
        <f>E138+C144-D144</f>
        <v/>
      </c>
    </row>
    <row r="140">
      <c r="E140" s="5">
        <f>E139+C145-D145</f>
        <v/>
      </c>
    </row>
    <row r="141">
      <c r="E141" s="5">
        <f>E140+C143-D143</f>
        <v/>
      </c>
    </row>
    <row r="142">
      <c r="E142" s="5">
        <f>E141+C144-D144</f>
        <v/>
      </c>
    </row>
    <row r="143">
      <c r="E143" s="5">
        <f>E142+C145-D145</f>
        <v/>
      </c>
    </row>
    <row r="144">
      <c r="E144" s="5">
        <f>E143+C144-D145</f>
        <v/>
      </c>
    </row>
    <row r="145">
      <c r="E145" s="5">
        <f>E144+C145-D145</f>
        <v/>
      </c>
    </row>
    <row r="146">
      <c r="A146" t="inlineStr">
        <is>
          <t>2024/11/21</t>
        </is>
      </c>
      <c r="B146" t="inlineStr">
        <is>
          <t>HANKYU OASIS (買物)</t>
        </is>
      </c>
      <c r="C146" t="inlineStr">
        <is>
          <t>128</t>
        </is>
      </c>
    </row>
  </sheetData>
  <pageMargins left="0.7" right="0.7" top="0.75" bottom="0.75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44"/>
  <sheetViews>
    <sheetView zoomScale="110" zoomScaleNormal="110" workbookViewId="0">
      <selection activeCell="G25" sqref="G25:G35"/>
    </sheetView>
  </sheetViews>
  <sheetFormatPr baseColWidth="8" defaultColWidth="8.77734375" defaultRowHeight="13.2"/>
  <cols>
    <col width="15" customWidth="1" style="89" min="1" max="1"/>
    <col width="48.109375" customWidth="1" style="21" min="2" max="2"/>
    <col width="17.33203125" customWidth="1" style="21" min="3" max="4"/>
    <col width="5.33203125" customWidth="1" style="19" min="5" max="5"/>
    <col width="4" customWidth="1" style="89" min="6" max="6"/>
    <col width="37.77734375" customWidth="1" style="21" min="7" max="7"/>
    <col width="17.33203125" customWidth="1" style="21" min="8" max="10"/>
    <col width="8.77734375" customWidth="1" style="19" min="11" max="11"/>
    <col width="8.77734375" customWidth="1" style="19" min="12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F3" s="92" t="inlineStr">
        <is>
          <t>From Last Month</t>
        </is>
      </c>
      <c r="G3" s="90" t="n"/>
      <c r="H3" s="90" t="n"/>
      <c r="I3" s="91" t="n"/>
      <c r="J3" s="34" t="n">
        <v>1186038</v>
      </c>
    </row>
    <row r="4">
      <c r="A4" s="31" t="n">
        <v>45292</v>
      </c>
      <c r="B4" s="32" t="inlineStr">
        <is>
          <t>Belanja</t>
        </is>
      </c>
      <c r="C4" s="33">
        <f>1156+2802</f>
        <v/>
      </c>
      <c r="D4" s="33">
        <f>D3-C4</f>
        <v/>
      </c>
      <c r="F4" s="89" t="n">
        <v>1</v>
      </c>
      <c r="G4" s="21" t="inlineStr">
        <is>
          <t>Panci</t>
        </is>
      </c>
      <c r="H4" s="33" t="n">
        <v>1100</v>
      </c>
      <c r="I4" s="33" t="n"/>
      <c r="J4" s="33">
        <f>J3-H4+I4</f>
        <v/>
      </c>
    </row>
    <row r="5">
      <c r="A5" s="31" t="n">
        <v>45293</v>
      </c>
      <c r="B5" s="32" t="inlineStr">
        <is>
          <t>Belanja Makan</t>
        </is>
      </c>
      <c r="C5" s="33">
        <f>3812+416+503</f>
        <v/>
      </c>
      <c r="D5" s="33">
        <f>D4-C5</f>
        <v/>
      </c>
      <c r="F5" s="89" t="n">
        <v>2</v>
      </c>
      <c r="G5" s="21" t="inlineStr">
        <is>
          <t>Vacuum Cleaner</t>
        </is>
      </c>
      <c r="H5" s="33">
        <f>2600</f>
        <v/>
      </c>
      <c r="I5" s="33" t="n"/>
      <c r="J5" s="33">
        <f>J4-H5+I5</f>
        <v/>
      </c>
    </row>
    <row r="6">
      <c r="A6" s="31" t="n">
        <v>45294</v>
      </c>
      <c r="B6" s="32" t="inlineStr">
        <is>
          <t>Belanja</t>
        </is>
      </c>
      <c r="C6" s="33" t="n">
        <v>1556</v>
      </c>
      <c r="D6" s="33">
        <f>D5-C6</f>
        <v/>
      </c>
      <c r="F6" s="89" t="n">
        <v>3</v>
      </c>
      <c r="G6" s="32" t="inlineStr">
        <is>
          <t>Panci</t>
        </is>
      </c>
      <c r="H6" s="33" t="n">
        <v>2450</v>
      </c>
      <c r="I6" s="33" t="n"/>
      <c r="J6" s="33">
        <f>J5-H6+I6</f>
        <v/>
      </c>
    </row>
    <row r="7">
      <c r="A7" s="31" t="n">
        <v>45295</v>
      </c>
      <c r="B7" s="32" t="n"/>
      <c r="C7" s="33" t="n"/>
      <c r="D7" s="33">
        <f>D6-C7</f>
        <v/>
      </c>
      <c r="F7" s="89" t="n">
        <v>4</v>
      </c>
      <c r="G7" s="21" t="inlineStr">
        <is>
          <t>Rent Dorm</t>
        </is>
      </c>
      <c r="H7" s="33" t="n">
        <v>48596</v>
      </c>
      <c r="I7" s="33" t="n"/>
      <c r="J7" s="33">
        <f>J6-H7+I7</f>
        <v/>
      </c>
    </row>
    <row r="8">
      <c r="A8" s="31" t="n">
        <v>45296</v>
      </c>
      <c r="D8" s="33">
        <f>D7-C8</f>
        <v/>
      </c>
      <c r="F8" s="89" t="n">
        <v>5</v>
      </c>
      <c r="G8" s="21" t="inlineStr">
        <is>
          <t>Biaya Bulanan</t>
        </is>
      </c>
      <c r="H8" s="33" t="n">
        <v>55000</v>
      </c>
      <c r="I8" s="33" t="n"/>
      <c r="J8" s="33">
        <f>J7-H8+I8</f>
        <v/>
      </c>
    </row>
    <row r="9">
      <c r="A9" s="31" t="n">
        <v>45297</v>
      </c>
      <c r="B9" s="21" t="inlineStr">
        <is>
          <t>Laundry</t>
        </is>
      </c>
      <c r="C9" s="33" t="n">
        <v>300</v>
      </c>
      <c r="D9" s="33">
        <f>D8-C9</f>
        <v/>
      </c>
      <c r="F9" s="94" t="inlineStr">
        <is>
          <t>Sisa</t>
        </is>
      </c>
      <c r="G9" s="90" t="n"/>
      <c r="H9" s="90" t="n"/>
      <c r="I9" s="91" t="n"/>
      <c r="J9" s="37">
        <f>J8-H9+I9</f>
        <v/>
      </c>
    </row>
    <row r="10">
      <c r="A10" s="31" t="n">
        <v>45298</v>
      </c>
      <c r="B10" s="22" t="inlineStr">
        <is>
          <t>Belanja</t>
        </is>
      </c>
      <c r="C10" s="33" t="n">
        <v>2990</v>
      </c>
      <c r="D10" s="33">
        <f>D9-C10</f>
        <v/>
      </c>
      <c r="F10" s="49" t="n"/>
      <c r="G10" s="50" t="n"/>
      <c r="H10" s="51" t="n"/>
      <c r="I10" s="51" t="n"/>
      <c r="J10" s="51" t="n"/>
    </row>
    <row r="11">
      <c r="A11" s="31" t="n">
        <v>45299</v>
      </c>
      <c r="B11" s="22" t="inlineStr">
        <is>
          <t>Belanja Makan</t>
        </is>
      </c>
      <c r="C11" s="33">
        <f>3021+1724</f>
        <v/>
      </c>
      <c r="D11" s="33">
        <f>D10-C11</f>
        <v/>
      </c>
      <c r="H11" s="33" t="n"/>
      <c r="I11" s="33" t="n"/>
      <c r="J11" s="33" t="n"/>
    </row>
    <row r="12">
      <c r="B12" s="22" t="inlineStr">
        <is>
          <t>BERAS</t>
        </is>
      </c>
      <c r="C12" s="33" t="n">
        <v>2570</v>
      </c>
      <c r="D12" s="33">
        <f>D11-C12</f>
        <v/>
      </c>
      <c r="H12" s="33" t="n"/>
      <c r="I12" s="33" t="n"/>
      <c r="J12" s="33" t="n"/>
    </row>
    <row r="13">
      <c r="A13" s="31" t="n">
        <v>45300</v>
      </c>
      <c r="B13" s="22" t="inlineStr">
        <is>
          <t>Makan</t>
        </is>
      </c>
      <c r="C13" s="33" t="n">
        <v>700</v>
      </c>
      <c r="D13" s="33">
        <f>D12-C13</f>
        <v/>
      </c>
      <c r="H13" s="33" t="n"/>
      <c r="I13" s="33" t="n"/>
      <c r="J13" s="33" t="n"/>
    </row>
    <row r="14">
      <c r="A14" s="31" t="n">
        <v>45301</v>
      </c>
      <c r="B14" s="22" t="inlineStr">
        <is>
          <t>Makan</t>
        </is>
      </c>
      <c r="C14" s="33" t="n">
        <v>700</v>
      </c>
      <c r="D14" s="33">
        <f>D13-C14</f>
        <v/>
      </c>
      <c r="H14" s="33" t="n"/>
      <c r="I14" s="33" t="n"/>
      <c r="J14" s="33" t="n"/>
    </row>
    <row r="15">
      <c r="A15" s="31" t="n">
        <v>45302</v>
      </c>
      <c r="B15" s="22" t="inlineStr">
        <is>
          <t>Belanja Makan</t>
        </is>
      </c>
      <c r="C15" s="33" t="n">
        <v>3977</v>
      </c>
      <c r="D15" s="33">
        <f>D14-C15</f>
        <v/>
      </c>
      <c r="H15" s="33" t="n"/>
      <c r="I15" s="33" t="n"/>
      <c r="J15" s="33" t="n"/>
    </row>
    <row r="16">
      <c r="A16" s="31" t="n"/>
      <c r="B16" s="22" t="inlineStr">
        <is>
          <t>Laundry</t>
        </is>
      </c>
      <c r="C16" s="33" t="n">
        <v>300</v>
      </c>
      <c r="D16" s="33">
        <f>D15-C16</f>
        <v/>
      </c>
      <c r="H16" s="33" t="n"/>
      <c r="I16" s="33" t="n"/>
      <c r="J16" s="33" t="n"/>
    </row>
    <row r="17">
      <c r="A17" s="31" t="n">
        <v>45303</v>
      </c>
      <c r="B17" s="22" t="inlineStr">
        <is>
          <t>Belanja Makan</t>
        </is>
      </c>
      <c r="C17" s="33" t="n">
        <v>2605</v>
      </c>
      <c r="D17" s="33">
        <f>D16-C17</f>
        <v/>
      </c>
    </row>
    <row r="18">
      <c r="A18" s="31" t="n">
        <v>45304</v>
      </c>
      <c r="B18" s="22" t="inlineStr">
        <is>
          <t>Belanja Makan</t>
        </is>
      </c>
      <c r="C18" s="33" t="n">
        <v>1712</v>
      </c>
      <c r="D18" s="33">
        <f>D17-C18</f>
        <v/>
      </c>
    </row>
    <row r="19">
      <c r="A19" s="31" t="n">
        <v>45305</v>
      </c>
      <c r="B19" s="22" t="n"/>
      <c r="C19" s="33" t="n"/>
      <c r="D19" s="33">
        <f>D18-C19</f>
        <v/>
      </c>
    </row>
    <row r="20">
      <c r="A20" s="31" t="n">
        <v>45306</v>
      </c>
      <c r="B20" s="22" t="n"/>
      <c r="C20" s="33" t="n"/>
      <c r="D20" s="33">
        <f>D19-C20</f>
        <v/>
      </c>
    </row>
    <row r="21">
      <c r="A21" s="31" t="n">
        <v>45307</v>
      </c>
      <c r="B21" s="22" t="inlineStr">
        <is>
          <t>Makan</t>
        </is>
      </c>
      <c r="C21" s="33">
        <f>245+500</f>
        <v/>
      </c>
      <c r="D21" s="33">
        <f>D20-C21</f>
        <v/>
      </c>
    </row>
    <row r="22">
      <c r="A22" s="31" t="n">
        <v>45308</v>
      </c>
      <c r="B22" s="22" t="inlineStr">
        <is>
          <t>Makan</t>
        </is>
      </c>
      <c r="C22" s="33">
        <f>495+130+500</f>
        <v/>
      </c>
      <c r="D22" s="33">
        <f>D21-C22</f>
        <v/>
      </c>
    </row>
    <row r="23">
      <c r="B23" s="22" t="inlineStr">
        <is>
          <t>Belanja</t>
        </is>
      </c>
      <c r="C23" s="33" t="n">
        <v>2075</v>
      </c>
      <c r="D23" s="33">
        <f>D22-C23</f>
        <v/>
      </c>
    </row>
    <row r="24">
      <c r="A24" s="31" t="n">
        <v>45309</v>
      </c>
      <c r="B24" s="22" t="inlineStr">
        <is>
          <t>Makan</t>
        </is>
      </c>
      <c r="C24" s="33" t="n">
        <v>500</v>
      </c>
      <c r="D24" s="33">
        <f>D23-C24</f>
        <v/>
      </c>
    </row>
    <row r="25">
      <c r="A25" s="31" t="n"/>
      <c r="B25" s="22" t="inlineStr">
        <is>
          <t>Laundry</t>
        </is>
      </c>
      <c r="C25" s="33" t="n">
        <v>300</v>
      </c>
      <c r="D25" s="33">
        <f>D24-C25</f>
        <v/>
      </c>
    </row>
    <row r="26">
      <c r="A26" s="31" t="n">
        <v>45310</v>
      </c>
      <c r="B26" s="22" t="n"/>
      <c r="C26" s="33" t="n"/>
      <c r="D26" s="33">
        <f>D25-C26</f>
        <v/>
      </c>
    </row>
    <row r="27">
      <c r="A27" s="31" t="n">
        <v>45311</v>
      </c>
      <c r="B27" s="22" t="inlineStr">
        <is>
          <t>Makan</t>
        </is>
      </c>
      <c r="C27" s="33" t="n">
        <v>600</v>
      </c>
      <c r="D27" s="33">
        <f>D26-C27</f>
        <v/>
      </c>
    </row>
    <row r="28">
      <c r="A28" s="31" t="n">
        <v>45312</v>
      </c>
      <c r="B28" s="22" t="n"/>
      <c r="C28" s="33" t="n"/>
      <c r="D28" s="33">
        <f>D27-C28</f>
        <v/>
      </c>
    </row>
    <row r="29">
      <c r="A29" s="31" t="n">
        <v>45313</v>
      </c>
      <c r="B29" s="22" t="inlineStr">
        <is>
          <t>Makan</t>
        </is>
      </c>
      <c r="C29" s="33" t="n">
        <v>600</v>
      </c>
      <c r="D29" s="33">
        <f>D28-C29</f>
        <v/>
      </c>
    </row>
    <row r="30">
      <c r="A30" s="31" t="n">
        <v>45314</v>
      </c>
      <c r="B30" s="22" t="n"/>
      <c r="C30" s="33" t="n"/>
      <c r="D30" s="33">
        <f>D29-C30</f>
        <v/>
      </c>
    </row>
    <row r="31">
      <c r="B31" s="22" t="inlineStr">
        <is>
          <t>Belanja Makan</t>
        </is>
      </c>
      <c r="C31" s="33">
        <f>3654+3812</f>
        <v/>
      </c>
      <c r="D31" s="33">
        <f>D30-C31</f>
        <v/>
      </c>
    </row>
    <row r="32">
      <c r="B32" s="22" t="inlineStr">
        <is>
          <t>Laundry</t>
        </is>
      </c>
      <c r="C32" s="33" t="n">
        <v>300</v>
      </c>
      <c r="D32" s="33">
        <f>D31-C32</f>
        <v/>
      </c>
    </row>
    <row r="33">
      <c r="A33" s="31" t="n">
        <v>45315</v>
      </c>
      <c r="B33" s="22" t="inlineStr">
        <is>
          <t>Makan</t>
        </is>
      </c>
      <c r="C33" s="33" t="n">
        <v>600</v>
      </c>
      <c r="D33" s="33">
        <f>D32-C33</f>
        <v/>
      </c>
    </row>
    <row r="34">
      <c r="A34" s="31" t="n">
        <v>45316</v>
      </c>
      <c r="B34" s="22" t="n"/>
      <c r="C34" s="33" t="n"/>
      <c r="D34" s="33">
        <f>D33-C34</f>
        <v/>
      </c>
    </row>
    <row r="35">
      <c r="B35" s="22" t="inlineStr">
        <is>
          <t>Belanja</t>
        </is>
      </c>
      <c r="C35" s="33" t="n">
        <v>220</v>
      </c>
      <c r="D35" s="33">
        <f>D34-C35</f>
        <v/>
      </c>
    </row>
    <row r="36">
      <c r="A36" s="31" t="n">
        <v>45317</v>
      </c>
      <c r="B36" s="22" t="n"/>
      <c r="C36" s="33" t="n"/>
      <c r="D36" s="33">
        <f>D35-C36</f>
        <v/>
      </c>
    </row>
    <row r="37">
      <c r="A37" s="31" t="n">
        <v>45318</v>
      </c>
      <c r="B37" s="22" t="n"/>
      <c r="C37" s="33" t="n"/>
      <c r="D37" s="33">
        <f>D36-C37</f>
        <v/>
      </c>
    </row>
    <row r="38">
      <c r="A38" s="31" t="n">
        <v>45319</v>
      </c>
      <c r="B38" s="22" t="inlineStr">
        <is>
          <t>Makan</t>
        </is>
      </c>
      <c r="C38" s="33" t="n">
        <v>500</v>
      </c>
      <c r="D38" s="33">
        <f>D37-C38</f>
        <v/>
      </c>
    </row>
    <row r="39">
      <c r="A39" s="31" t="n">
        <v>45320</v>
      </c>
      <c r="B39" s="22" t="n"/>
      <c r="C39" s="33" t="n"/>
      <c r="D39" s="33">
        <f>D38-C39</f>
        <v/>
      </c>
    </row>
    <row r="40">
      <c r="A40" s="31" t="n">
        <v>45321</v>
      </c>
      <c r="B40" s="22" t="inlineStr">
        <is>
          <t>Belanja</t>
        </is>
      </c>
      <c r="C40" s="33" t="n">
        <v>4261</v>
      </c>
      <c r="D40" s="33">
        <f>D39-C40</f>
        <v/>
      </c>
    </row>
    <row r="41">
      <c r="B41" s="22" t="inlineStr">
        <is>
          <t>Laundry</t>
        </is>
      </c>
      <c r="C41" s="33" t="n">
        <v>300</v>
      </c>
      <c r="D41" s="33">
        <f>D40-C41</f>
        <v/>
      </c>
    </row>
    <row r="42">
      <c r="A42" s="31" t="n">
        <v>45322</v>
      </c>
      <c r="B42" s="21" t="inlineStr">
        <is>
          <t>SIM</t>
        </is>
      </c>
      <c r="C42" s="33" t="n">
        <v>2200</v>
      </c>
      <c r="D42" s="33">
        <f>D41-C42</f>
        <v/>
      </c>
    </row>
    <row r="43">
      <c r="A43" s="101" t="n"/>
      <c r="B43" s="48" t="inlineStr">
        <is>
          <t>Total</t>
        </is>
      </c>
      <c r="C43" s="34">
        <f>SUM(C4:C42)</f>
        <v/>
      </c>
      <c r="D43" s="34" t="n"/>
    </row>
    <row r="44">
      <c r="A44" s="101" t="n"/>
      <c r="B44" s="48" t="inlineStr">
        <is>
          <t>Sisa</t>
        </is>
      </c>
      <c r="C44" s="34" t="n"/>
      <c r="D44" s="34">
        <f>D42</f>
        <v/>
      </c>
    </row>
  </sheetData>
  <mergeCells count="5">
    <mergeCell ref="A1:D1"/>
    <mergeCell ref="F9:I9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37"/>
  <sheetViews>
    <sheetView zoomScale="110" zoomScaleNormal="110" workbookViewId="0">
      <selection activeCell="H7" sqref="H7"/>
    </sheetView>
  </sheetViews>
  <sheetFormatPr baseColWidth="8" defaultColWidth="8.77734375" defaultRowHeight="13.2"/>
  <cols>
    <col width="12.77734375" customWidth="1" style="89" min="1" max="1"/>
    <col width="41.109375" customWidth="1" style="21" min="2" max="2"/>
    <col width="17.33203125" customWidth="1" style="21" min="3" max="4"/>
    <col width="8.77734375" customWidth="1" style="19" min="5" max="5"/>
    <col width="4" customWidth="1" style="89" min="6" max="6"/>
    <col width="37.77734375" customWidth="1" style="21" min="7" max="7"/>
    <col width="17.33203125" customWidth="1" style="21" min="8" max="10"/>
    <col width="8.77734375" customWidth="1" style="19" min="11" max="11"/>
    <col width="8.77734375" customWidth="1" style="19" min="12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F3" s="92" t="inlineStr">
        <is>
          <t>From Last Month</t>
        </is>
      </c>
      <c r="G3" s="90" t="n"/>
      <c r="H3" s="90" t="n"/>
      <c r="I3" s="91" t="n"/>
      <c r="J3" s="34">
        <f>'24-01'!J9</f>
        <v/>
      </c>
    </row>
    <row r="4">
      <c r="A4" s="31" t="n">
        <v>45323</v>
      </c>
      <c r="B4" s="32" t="inlineStr">
        <is>
          <t>Beras 6kg</t>
        </is>
      </c>
      <c r="C4" s="33" t="n">
        <v>3041</v>
      </c>
      <c r="D4" s="33">
        <f>D3-C4</f>
        <v/>
      </c>
      <c r="F4" s="89" t="n">
        <v>1</v>
      </c>
      <c r="G4" s="21" t="inlineStr">
        <is>
          <t>Uang Transfer Papa Januari</t>
        </is>
      </c>
      <c r="H4" s="33" t="n"/>
      <c r="I4" s="62" t="n">
        <v>780000</v>
      </c>
      <c r="J4" s="33">
        <f>J3-H4+I4</f>
        <v/>
      </c>
    </row>
    <row r="5">
      <c r="B5" s="22" t="inlineStr">
        <is>
          <t>Belanja</t>
        </is>
      </c>
      <c r="C5" s="33" t="n">
        <v>1326</v>
      </c>
      <c r="D5" s="33">
        <f>D4-C5</f>
        <v/>
      </c>
      <c r="F5" s="89" t="n">
        <v>2</v>
      </c>
      <c r="G5" s="21" t="inlineStr">
        <is>
          <t>Uang Bulanan</t>
        </is>
      </c>
      <c r="H5" s="33" t="n">
        <v>55000</v>
      </c>
      <c r="I5" s="62" t="n"/>
      <c r="J5" s="33">
        <f>J4-H5+I5</f>
        <v/>
      </c>
    </row>
    <row r="6">
      <c r="B6" s="22" t="inlineStr">
        <is>
          <t xml:space="preserve">Sarung Tangan </t>
        </is>
      </c>
      <c r="C6" s="33" t="n">
        <v>1100</v>
      </c>
      <c r="D6" s="33">
        <f>D5-C6</f>
        <v/>
      </c>
      <c r="F6" s="89" t="n">
        <v>3</v>
      </c>
      <c r="G6" s="21" t="inlineStr">
        <is>
          <t xml:space="preserve">Biaya Moving </t>
        </is>
      </c>
      <c r="H6" s="33" t="n">
        <v>5560</v>
      </c>
      <c r="I6" s="62" t="n"/>
      <c r="J6" s="33">
        <f>J5-H6+I6</f>
        <v/>
      </c>
    </row>
    <row r="7">
      <c r="A7" s="31" t="n">
        <v>45324</v>
      </c>
      <c r="B7" s="22" t="inlineStr">
        <is>
          <t>Belanja Makan</t>
        </is>
      </c>
      <c r="C7" s="33">
        <f>5050+120</f>
        <v/>
      </c>
      <c r="D7" s="33">
        <f>D6-C7</f>
        <v/>
      </c>
      <c r="F7" s="89" t="n">
        <v>4</v>
      </c>
      <c r="G7" s="21" t="inlineStr">
        <is>
          <t xml:space="preserve">Rental Mobil </t>
        </is>
      </c>
      <c r="H7" s="33" t="n">
        <v>6200</v>
      </c>
      <c r="I7" s="62" t="n"/>
      <c r="J7" s="33">
        <f>J6-H7+I7</f>
        <v/>
      </c>
    </row>
    <row r="8">
      <c r="A8" s="31" t="n">
        <v>45325</v>
      </c>
      <c r="B8" s="22" t="inlineStr">
        <is>
          <t>Laundry</t>
        </is>
      </c>
      <c r="C8" s="33" t="n">
        <v>300</v>
      </c>
      <c r="D8" s="33">
        <f>D7-C8</f>
        <v/>
      </c>
      <c r="F8" s="98" t="inlineStr">
        <is>
          <t>Sisa</t>
        </is>
      </c>
      <c r="G8" s="90" t="n"/>
      <c r="H8" s="90" t="n"/>
      <c r="I8" s="91" t="n"/>
      <c r="J8" s="64">
        <f>J7-H8+I8</f>
        <v/>
      </c>
    </row>
    <row r="9">
      <c r="A9" s="31" t="n">
        <v>45326</v>
      </c>
      <c r="B9" s="22" t="n"/>
      <c r="C9" s="33" t="n"/>
      <c r="D9" s="33">
        <f>D8-C9</f>
        <v/>
      </c>
      <c r="F9" s="49" t="n"/>
      <c r="G9" s="50" t="n"/>
      <c r="H9" s="51" t="n"/>
      <c r="I9" s="65" t="n"/>
      <c r="J9" s="51" t="n"/>
    </row>
    <row r="10">
      <c r="A10" s="31" t="n">
        <v>45327</v>
      </c>
      <c r="B10" s="22" t="n"/>
      <c r="C10" s="33" t="n"/>
      <c r="D10" s="33">
        <f>D9-C10</f>
        <v/>
      </c>
      <c r="H10" s="33" t="n"/>
      <c r="I10" s="62" t="n"/>
      <c r="J10" s="33" t="n"/>
    </row>
    <row r="11">
      <c r="A11" s="31" t="n">
        <v>45328</v>
      </c>
      <c r="B11" s="22" t="inlineStr">
        <is>
          <t>Belanja Makan</t>
        </is>
      </c>
      <c r="C11" s="33" t="n">
        <v>3701</v>
      </c>
      <c r="D11" s="33">
        <f>D10-C11</f>
        <v/>
      </c>
      <c r="H11" s="33" t="n"/>
      <c r="I11" s="62" t="n"/>
      <c r="J11" s="33" t="n"/>
    </row>
    <row r="12">
      <c r="A12" s="31" t="n">
        <v>45329</v>
      </c>
      <c r="B12" s="22" t="n"/>
      <c r="C12" s="33" t="n"/>
      <c r="D12" s="33">
        <f>D11-C12</f>
        <v/>
      </c>
      <c r="H12" s="33" t="n"/>
      <c r="I12" s="62" t="n"/>
      <c r="J12" s="33" t="n"/>
    </row>
    <row r="13">
      <c r="A13" s="31" t="n">
        <v>45330</v>
      </c>
      <c r="B13" s="22" t="inlineStr">
        <is>
          <t>Belanja</t>
        </is>
      </c>
      <c r="C13" s="33" t="n">
        <v>220</v>
      </c>
      <c r="D13" s="33">
        <f>D12-C13</f>
        <v/>
      </c>
      <c r="H13" s="33" t="n"/>
      <c r="I13" s="62" t="n"/>
      <c r="J13" s="33" t="n"/>
    </row>
    <row r="14">
      <c r="A14" s="31" t="n">
        <v>45331</v>
      </c>
      <c r="B14" s="22" t="inlineStr">
        <is>
          <t>Belanja</t>
        </is>
      </c>
      <c r="C14" s="33">
        <f>880+88</f>
        <v/>
      </c>
      <c r="D14" s="33">
        <f>D13-C14</f>
        <v/>
      </c>
      <c r="H14" s="33" t="n"/>
      <c r="I14" s="62" t="n"/>
      <c r="J14" s="33" t="n"/>
    </row>
    <row r="15">
      <c r="B15" s="22" t="inlineStr">
        <is>
          <t>Laundry</t>
        </is>
      </c>
      <c r="C15" s="33" t="n">
        <v>300</v>
      </c>
      <c r="D15" s="33">
        <f>D14-C15</f>
        <v/>
      </c>
      <c r="H15" s="33" t="n"/>
      <c r="I15" s="62" t="n"/>
      <c r="J15" s="33" t="n"/>
    </row>
    <row r="16">
      <c r="A16" s="31" t="n">
        <v>45332</v>
      </c>
      <c r="D16" s="33">
        <f>D15-C16</f>
        <v/>
      </c>
      <c r="H16" s="33" t="n"/>
      <c r="I16" s="62" t="n"/>
      <c r="J16" s="33" t="n"/>
    </row>
    <row r="17">
      <c r="A17" s="31" t="n">
        <v>45333</v>
      </c>
      <c r="B17" s="22" t="n"/>
      <c r="C17" s="33" t="n"/>
      <c r="D17" s="33">
        <f>D16-C17</f>
        <v/>
      </c>
    </row>
    <row r="18">
      <c r="A18" s="31" t="n">
        <v>45334</v>
      </c>
      <c r="B18" s="22" t="n"/>
      <c r="C18" s="33" t="n"/>
      <c r="D18" s="33">
        <f>D17-C18</f>
        <v/>
      </c>
    </row>
    <row r="19">
      <c r="A19" s="31" t="n">
        <v>45335</v>
      </c>
      <c r="B19" s="22" t="inlineStr">
        <is>
          <t>Laundry</t>
        </is>
      </c>
      <c r="C19" s="33" t="n">
        <v>300</v>
      </c>
      <c r="D19" s="33">
        <f>D18-C19</f>
        <v/>
      </c>
    </row>
    <row r="20">
      <c r="A20" s="31" t="n">
        <v>45336</v>
      </c>
      <c r="B20" s="22" t="inlineStr">
        <is>
          <t>Belanja Makan</t>
        </is>
      </c>
      <c r="C20" s="33" t="n">
        <v>3400</v>
      </c>
      <c r="D20" s="33">
        <f>D19-C20</f>
        <v/>
      </c>
    </row>
    <row r="21">
      <c r="A21" s="31" t="n">
        <v>45337</v>
      </c>
      <c r="B21" s="22" t="n"/>
      <c r="C21" s="33" t="n"/>
      <c r="D21" s="33">
        <f>D20-C21</f>
        <v/>
      </c>
    </row>
    <row r="22">
      <c r="A22" s="31" t="n">
        <v>45338</v>
      </c>
      <c r="B22" s="22" t="inlineStr">
        <is>
          <t>Belanja Makan</t>
        </is>
      </c>
      <c r="C22" s="33" t="n">
        <v>1942</v>
      </c>
      <c r="D22" s="33">
        <f>D21-C22</f>
        <v/>
      </c>
    </row>
    <row r="23">
      <c r="A23" s="31" t="n">
        <v>45339</v>
      </c>
      <c r="B23" s="22" t="inlineStr">
        <is>
          <t>Laundry</t>
        </is>
      </c>
      <c r="C23" s="33" t="n">
        <v>200</v>
      </c>
      <c r="D23" s="33">
        <f>D22-C23</f>
        <v/>
      </c>
    </row>
    <row r="24">
      <c r="A24" s="31" t="n">
        <v>45340</v>
      </c>
      <c r="B24" s="22" t="n"/>
      <c r="C24" s="33" t="n"/>
      <c r="D24" s="33">
        <f>D23-C24</f>
        <v/>
      </c>
    </row>
    <row r="25">
      <c r="A25" s="31" t="n">
        <v>45341</v>
      </c>
      <c r="B25" s="22" t="n"/>
      <c r="C25" s="33" t="n"/>
      <c r="D25" s="33">
        <f>D24-C25</f>
        <v/>
      </c>
    </row>
    <row r="26">
      <c r="A26" s="31" t="n">
        <v>45342</v>
      </c>
      <c r="B26" s="22" t="inlineStr">
        <is>
          <t>Belanja Makan</t>
        </is>
      </c>
      <c r="C26" s="33">
        <f>850+4148</f>
        <v/>
      </c>
      <c r="D26" s="33">
        <f>D25-C26</f>
        <v/>
      </c>
    </row>
    <row r="27">
      <c r="A27" s="31" t="n">
        <v>45343</v>
      </c>
      <c r="B27" s="22" t="inlineStr">
        <is>
          <t>Belanja Makan</t>
        </is>
      </c>
      <c r="C27" s="33" t="n">
        <v>2585</v>
      </c>
      <c r="D27" s="33">
        <f>D26-C27</f>
        <v/>
      </c>
    </row>
    <row r="28">
      <c r="A28" s="31" t="n">
        <v>45344</v>
      </c>
      <c r="B28" s="22" t="n"/>
      <c r="C28" s="33" t="n"/>
      <c r="D28" s="33">
        <f>D27-C28</f>
        <v/>
      </c>
    </row>
    <row r="29">
      <c r="A29" s="31" t="n">
        <v>45345</v>
      </c>
      <c r="B29" s="22" t="n"/>
      <c r="C29" s="33" t="n"/>
      <c r="D29" s="33">
        <f>D28-C29</f>
        <v/>
      </c>
    </row>
    <row r="30">
      <c r="A30" s="31" t="n">
        <v>45346</v>
      </c>
      <c r="B30" s="22" t="n"/>
      <c r="C30" s="33" t="n"/>
      <c r="D30" s="33">
        <f>D29-C30</f>
        <v/>
      </c>
    </row>
    <row r="31">
      <c r="A31" s="31" t="n">
        <v>45347</v>
      </c>
      <c r="B31" s="22" t="n"/>
      <c r="C31" s="33" t="n"/>
      <c r="D31" s="33">
        <f>D30-C31</f>
        <v/>
      </c>
    </row>
    <row r="32">
      <c r="A32" s="31" t="n">
        <v>45348</v>
      </c>
      <c r="B32" s="22" t="inlineStr">
        <is>
          <t>Belanja Makan</t>
        </is>
      </c>
      <c r="C32" s="33">
        <f>150+1482</f>
        <v/>
      </c>
      <c r="D32" s="33">
        <f>D31-C32</f>
        <v/>
      </c>
    </row>
    <row r="33">
      <c r="A33" s="31" t="n">
        <v>45349</v>
      </c>
      <c r="B33" s="22" t="inlineStr">
        <is>
          <t>Biaya SIM</t>
        </is>
      </c>
      <c r="C33" s="33" t="n">
        <v>2379</v>
      </c>
      <c r="D33" s="33">
        <f>D32-C33</f>
        <v/>
      </c>
    </row>
    <row r="34">
      <c r="A34" s="31" t="n">
        <v>45350</v>
      </c>
      <c r="B34" s="21" t="inlineStr">
        <is>
          <t>Laundry</t>
        </is>
      </c>
      <c r="C34" s="33" t="n">
        <v>300</v>
      </c>
      <c r="D34" s="33">
        <f>D33-C34</f>
        <v/>
      </c>
    </row>
    <row r="35">
      <c r="A35" s="31" t="n">
        <v>45351</v>
      </c>
      <c r="B35" s="22" t="inlineStr">
        <is>
          <t>Belanja</t>
        </is>
      </c>
      <c r="C35" s="33">
        <f>330+495</f>
        <v/>
      </c>
      <c r="D35" s="33">
        <f>D34-C35</f>
        <v/>
      </c>
    </row>
    <row r="36">
      <c r="A36" s="101" t="n"/>
      <c r="B36" s="48" t="inlineStr">
        <is>
          <t>Sisa</t>
        </is>
      </c>
      <c r="C36" s="34" t="n"/>
      <c r="D36" s="34">
        <f>D35-C36</f>
        <v/>
      </c>
    </row>
    <row r="37">
      <c r="A37" s="101" t="n"/>
      <c r="B37" s="63" t="inlineStr">
        <is>
          <t>Total</t>
        </is>
      </c>
      <c r="C37" s="34">
        <f>SUM(C4:C35)</f>
        <v/>
      </c>
      <c r="D37" s="34" t="n"/>
    </row>
  </sheetData>
  <mergeCells count="5">
    <mergeCell ref="A1:D1"/>
    <mergeCell ref="F8:I8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43"/>
  <sheetViews>
    <sheetView zoomScale="130" zoomScaleNormal="130" workbookViewId="0">
      <selection activeCell="H14" sqref="H14"/>
    </sheetView>
  </sheetViews>
  <sheetFormatPr baseColWidth="8" defaultColWidth="8.77734375" defaultRowHeight="13.2"/>
  <cols>
    <col width="12.77734375" customWidth="1" style="89" min="1" max="1"/>
    <col width="21.77734375" customWidth="1" style="21" min="2" max="2"/>
    <col width="12.109375" customWidth="1" style="21" min="3" max="4"/>
    <col width="1.44140625" customWidth="1" style="19" min="5" max="5"/>
    <col width="4" customWidth="1" style="89" min="6" max="6"/>
    <col width="37.77734375" customWidth="1" style="21" min="7" max="7"/>
    <col width="17.33203125" customWidth="1" style="21" min="8" max="8"/>
    <col width="17.33203125" customWidth="1" style="67" min="9" max="9"/>
    <col width="17.33203125" customWidth="1" style="21" min="10" max="10"/>
    <col width="1.44140625" customWidth="1" style="19" min="11" max="11"/>
    <col width="19.77734375" customWidth="1" style="21" min="12" max="13"/>
    <col width="1.33203125" customWidth="1" style="19" min="14" max="14"/>
    <col width="13.77734375" customWidth="1" style="19" min="15" max="15"/>
    <col width="14" customWidth="1" style="19" min="16" max="17"/>
    <col width="8.77734375" customWidth="1" style="19" min="18" max="18"/>
    <col width="8.77734375" customWidth="1" style="19" min="19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  <c r="L2" s="21" t="inlineStr">
        <is>
          <t>Nama</t>
        </is>
      </c>
      <c r="M2" s="21" t="inlineStr">
        <is>
          <t>Price</t>
        </is>
      </c>
      <c r="O2" s="21" t="inlineStr">
        <is>
          <t>Tanggal</t>
        </is>
      </c>
      <c r="P2" s="21" t="inlineStr">
        <is>
          <t>Nama</t>
        </is>
      </c>
      <c r="Q2" s="21" t="inlineStr">
        <is>
          <t>Price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F3" s="92" t="inlineStr">
        <is>
          <t>From Last Month</t>
        </is>
      </c>
      <c r="G3" s="90" t="n"/>
      <c r="H3" s="90" t="n"/>
      <c r="I3" s="91" t="n"/>
      <c r="J3" s="34">
        <f>'24-02'!J8</f>
        <v/>
      </c>
      <c r="L3" s="22" t="inlineStr">
        <is>
          <t>Mesin Cuci</t>
        </is>
      </c>
      <c r="M3" s="33" t="n">
        <v>9900</v>
      </c>
      <c r="N3" s="68" t="n"/>
      <c r="O3" s="69" t="n">
        <v>45381</v>
      </c>
      <c r="P3" s="22" t="inlineStr">
        <is>
          <t>Makan</t>
        </is>
      </c>
      <c r="Q3" s="33" t="n">
        <v>3822</v>
      </c>
    </row>
    <row r="4">
      <c r="A4" s="31" t="n">
        <v>45352</v>
      </c>
      <c r="B4" s="32" t="n"/>
      <c r="C4" s="33" t="n"/>
      <c r="D4" s="33">
        <f>D3-C4</f>
        <v/>
      </c>
      <c r="F4" s="89" t="n">
        <v>1</v>
      </c>
      <c r="G4" s="21" t="inlineStr">
        <is>
          <t>Biaya Listrik Di Rumah Temen</t>
        </is>
      </c>
      <c r="H4" s="33" t="n">
        <v>7500</v>
      </c>
      <c r="I4" s="66" t="n"/>
      <c r="J4" s="33">
        <f>J3-H4+I4</f>
        <v/>
      </c>
      <c r="L4" s="22" t="inlineStr">
        <is>
          <t>Kulkas</t>
        </is>
      </c>
      <c r="M4" s="33" t="n">
        <v>17900</v>
      </c>
      <c r="N4" s="68" t="n"/>
      <c r="O4" s="21" t="n"/>
      <c r="P4" s="22" t="inlineStr">
        <is>
          <t>Buah</t>
        </is>
      </c>
      <c r="Q4" s="33" t="n">
        <v>861</v>
      </c>
    </row>
    <row r="5">
      <c r="A5" s="31" t="n">
        <v>45353</v>
      </c>
      <c r="B5" s="32" t="inlineStr">
        <is>
          <t>Belanja Makan</t>
        </is>
      </c>
      <c r="C5" s="33">
        <f>432+1618</f>
        <v/>
      </c>
      <c r="D5" s="33">
        <f>D4-C5</f>
        <v/>
      </c>
      <c r="F5" s="89" t="n">
        <v>2</v>
      </c>
      <c r="G5" s="21" t="inlineStr">
        <is>
          <t>Transfer Pa</t>
        </is>
      </c>
      <c r="H5" s="33" t="n"/>
      <c r="I5" s="66" t="n">
        <v>990000</v>
      </c>
      <c r="J5" s="33">
        <f>J4-H5+I5</f>
        <v/>
      </c>
      <c r="L5" s="22" t="inlineStr">
        <is>
          <t>Biaya Ongkir</t>
        </is>
      </c>
      <c r="M5" s="33" t="n">
        <v>3000</v>
      </c>
      <c r="N5" s="68" t="n"/>
      <c r="O5" s="69" t="n">
        <v>45382</v>
      </c>
      <c r="P5" s="22" t="inlineStr">
        <is>
          <t>Makan</t>
        </is>
      </c>
      <c r="Q5" s="33" t="n">
        <v>2705</v>
      </c>
    </row>
    <row r="6">
      <c r="A6" s="31" t="n">
        <v>45354</v>
      </c>
      <c r="B6" s="22" t="inlineStr">
        <is>
          <t>Belanja</t>
        </is>
      </c>
      <c r="C6" s="33" t="n">
        <v>518</v>
      </c>
      <c r="D6" s="33">
        <f>D5-C6</f>
        <v/>
      </c>
      <c r="F6" s="89" t="n">
        <v>3</v>
      </c>
      <c r="G6" s="21" t="inlineStr">
        <is>
          <t>Uang Bulanan</t>
        </is>
      </c>
      <c r="H6" s="33" t="n">
        <v>55000</v>
      </c>
      <c r="I6" s="66" t="n"/>
      <c r="J6" s="33">
        <f>J5-H6+I6</f>
        <v/>
      </c>
      <c r="L6" s="22" t="inlineStr">
        <is>
          <t>Futon</t>
        </is>
      </c>
      <c r="M6" s="33" t="n">
        <v>5000</v>
      </c>
      <c r="N6" s="68" t="n"/>
      <c r="O6" s="69" t="n"/>
      <c r="P6" s="22" t="inlineStr">
        <is>
          <t>Makan</t>
        </is>
      </c>
      <c r="Q6" s="33" t="n">
        <v>1545</v>
      </c>
    </row>
    <row r="7">
      <c r="A7" s="31" t="n">
        <v>45355</v>
      </c>
      <c r="B7" s="22" t="n"/>
      <c r="C7" s="33" t="n"/>
      <c r="D7" s="33">
        <f>D6-C7</f>
        <v/>
      </c>
      <c r="F7" s="89" t="n">
        <v>4</v>
      </c>
      <c r="G7" s="21" t="inlineStr">
        <is>
          <t>Uang Kasih Pa</t>
        </is>
      </c>
      <c r="H7" s="33" t="n"/>
      <c r="I7" s="66" t="n">
        <v>50000</v>
      </c>
      <c r="J7" s="33">
        <f>J6-H7+I7</f>
        <v/>
      </c>
      <c r="L7" s="22" t="inlineStr">
        <is>
          <t>Laundry Pole</t>
        </is>
      </c>
      <c r="M7" s="33" t="n">
        <v>1182</v>
      </c>
      <c r="N7" s="68" t="n"/>
      <c r="O7" s="69" t="n"/>
      <c r="P7" s="22" t="inlineStr">
        <is>
          <t>Sushi</t>
        </is>
      </c>
      <c r="Q7" s="33" t="n">
        <v>5951</v>
      </c>
    </row>
    <row r="8">
      <c r="A8" s="31" t="n">
        <v>45356</v>
      </c>
      <c r="B8" s="22" t="inlineStr">
        <is>
          <t>Belanja Makan</t>
        </is>
      </c>
      <c r="C8" s="33">
        <f>3051</f>
        <v/>
      </c>
      <c r="D8" s="33">
        <f>D7-C8</f>
        <v/>
      </c>
      <c r="F8" s="89" t="n">
        <v>5</v>
      </c>
      <c r="G8" s="21" t="inlineStr">
        <is>
          <t>Uang Dorm</t>
        </is>
      </c>
      <c r="H8" s="33" t="n"/>
      <c r="I8" s="66" t="n">
        <v>23600</v>
      </c>
      <c r="J8" s="33">
        <f>J7-H8+I8</f>
        <v/>
      </c>
      <c r="L8" s="21" t="inlineStr">
        <is>
          <t>Kotatsu</t>
        </is>
      </c>
      <c r="M8" s="33" t="n">
        <v>8000</v>
      </c>
      <c r="N8" s="68" t="n"/>
      <c r="O8" s="70" t="inlineStr">
        <is>
          <t>Total</t>
        </is>
      </c>
      <c r="P8" s="61" t="n"/>
      <c r="Q8" s="34">
        <f>SUM(Q3:Q7)</f>
        <v/>
      </c>
    </row>
    <row r="9">
      <c r="A9" s="31" t="n">
        <v>45357</v>
      </c>
      <c r="B9" s="22" t="inlineStr">
        <is>
          <t>Belanja Makan</t>
        </is>
      </c>
      <c r="C9" s="33" t="n">
        <v>1272</v>
      </c>
      <c r="D9" s="33">
        <f>D8-C9</f>
        <v/>
      </c>
      <c r="F9" s="89" t="n">
        <v>6</v>
      </c>
      <c r="G9" s="21" t="inlineStr">
        <is>
          <t>Perabot</t>
        </is>
      </c>
      <c r="H9" s="33">
        <f>M17</f>
        <v/>
      </c>
      <c r="I9" s="66" t="n"/>
      <c r="J9" s="33">
        <f>J8-H9+I9</f>
        <v/>
      </c>
      <c r="L9" s="22" t="inlineStr">
        <is>
          <t>Alat Bersih2</t>
        </is>
      </c>
      <c r="M9" s="33" t="n">
        <v>581</v>
      </c>
      <c r="N9" s="68" t="n"/>
      <c r="O9" s="69" t="n"/>
      <c r="P9" s="21" t="n"/>
      <c r="Q9" s="33" t="n"/>
    </row>
    <row r="10">
      <c r="A10" s="31" t="n">
        <v>45358</v>
      </c>
      <c r="B10" s="22" t="n"/>
      <c r="C10" s="33" t="n"/>
      <c r="D10" s="33">
        <f>D9-C10</f>
        <v/>
      </c>
      <c r="F10" s="89" t="n">
        <v>7</v>
      </c>
      <c r="G10" s="21" t="inlineStr">
        <is>
          <t xml:space="preserve">Uang Sama Pa </t>
        </is>
      </c>
      <c r="H10" s="33">
        <f>Q8</f>
        <v/>
      </c>
      <c r="I10" s="66" t="n"/>
      <c r="J10" s="33">
        <f>J9-H10+I10</f>
        <v/>
      </c>
      <c r="L10" s="22" t="inlineStr">
        <is>
          <t>Alat Bersih2</t>
        </is>
      </c>
      <c r="M10" s="33" t="n">
        <v>1873</v>
      </c>
      <c r="N10" s="68" t="n"/>
      <c r="O10" s="69" t="n"/>
      <c r="P10" s="21" t="n"/>
      <c r="Q10" s="33" t="n"/>
    </row>
    <row r="11">
      <c r="A11" s="31" t="n">
        <v>45359</v>
      </c>
      <c r="B11" s="22" t="n"/>
      <c r="C11" s="33" t="n"/>
      <c r="D11" s="33">
        <f>D10-C11</f>
        <v/>
      </c>
      <c r="F11" s="89" t="n">
        <v>8</v>
      </c>
      <c r="G11" s="21" t="inlineStr">
        <is>
          <t>Rent</t>
        </is>
      </c>
      <c r="H11" s="33" t="n">
        <v>71530</v>
      </c>
      <c r="J11" s="33">
        <f>J10-H11+I11</f>
        <v/>
      </c>
      <c r="L11" s="21" t="inlineStr">
        <is>
          <t>Kursi</t>
        </is>
      </c>
      <c r="M11" s="33" t="n">
        <v>3984</v>
      </c>
      <c r="N11" s="68" t="n"/>
      <c r="O11" s="69" t="n"/>
      <c r="P11" s="21" t="n"/>
      <c r="Q11" s="33" t="n"/>
    </row>
    <row r="12">
      <c r="A12" s="31" t="n">
        <v>45360</v>
      </c>
      <c r="B12" s="22" t="inlineStr">
        <is>
          <t>Belanja Makan</t>
        </is>
      </c>
      <c r="C12" s="33">
        <f>1566+644+324+318</f>
        <v/>
      </c>
      <c r="D12" s="33">
        <f>D11-C12</f>
        <v/>
      </c>
      <c r="F12" s="99" t="inlineStr">
        <is>
          <t>Sisa</t>
        </is>
      </c>
      <c r="G12" s="90" t="n"/>
      <c r="H12" s="90" t="n"/>
      <c r="I12" s="91" t="n"/>
      <c r="J12" s="81">
        <f>J11-H12+I12</f>
        <v/>
      </c>
      <c r="L12" s="21" t="inlineStr">
        <is>
          <t>Alas Kulkas</t>
        </is>
      </c>
      <c r="M12" s="33" t="n">
        <v>1500</v>
      </c>
      <c r="N12" s="68" t="n"/>
      <c r="O12" s="69" t="n"/>
      <c r="P12" s="21" t="n"/>
      <c r="Q12" s="33" t="n"/>
    </row>
    <row r="13">
      <c r="A13" s="31" t="n">
        <v>45361</v>
      </c>
      <c r="B13" s="22" t="inlineStr">
        <is>
          <t>Belanja</t>
        </is>
      </c>
      <c r="C13" s="33">
        <f>850+408+910</f>
        <v/>
      </c>
      <c r="D13" s="33">
        <f>D12-C13</f>
        <v/>
      </c>
      <c r="F13" s="49" t="n"/>
      <c r="G13" s="50" t="n"/>
      <c r="H13" s="51" t="n"/>
      <c r="I13" s="71" t="n"/>
      <c r="J13" s="51" t="n"/>
      <c r="L13" s="21" t="inlineStr">
        <is>
          <t>Alas futon</t>
        </is>
      </c>
      <c r="M13" s="33" t="n">
        <v>3147</v>
      </c>
      <c r="N13" s="68" t="n"/>
      <c r="O13" s="69" t="n"/>
      <c r="P13" s="21" t="n"/>
      <c r="Q13" s="33" t="n"/>
    </row>
    <row r="14">
      <c r="A14" s="31" t="n">
        <v>45362</v>
      </c>
      <c r="B14" s="22" t="n"/>
      <c r="C14" s="33" t="n"/>
      <c r="D14" s="33">
        <f>D13-C14</f>
        <v/>
      </c>
      <c r="H14" s="33" t="n"/>
      <c r="I14" s="66" t="n"/>
      <c r="J14" s="33" t="n"/>
      <c r="L14" s="21" t="inlineStr">
        <is>
          <t>Lampu</t>
        </is>
      </c>
      <c r="M14" s="33" t="n">
        <v>2500</v>
      </c>
      <c r="N14" s="68" t="n"/>
      <c r="O14" s="69" t="n"/>
      <c r="P14" s="21" t="n"/>
      <c r="Q14" s="33" t="n"/>
    </row>
    <row r="15">
      <c r="A15" s="31" t="n">
        <v>45363</v>
      </c>
      <c r="B15" s="22" t="inlineStr">
        <is>
          <t>Belanja</t>
        </is>
      </c>
      <c r="C15" s="33">
        <f>660+1650</f>
        <v/>
      </c>
      <c r="D15" s="33">
        <f>D14-C15</f>
        <v/>
      </c>
      <c r="H15" s="33" t="n"/>
      <c r="I15" s="66" t="n"/>
      <c r="J15" s="33" t="n"/>
      <c r="L15" s="21" t="inlineStr">
        <is>
          <t>Bedsheet</t>
        </is>
      </c>
      <c r="M15" s="33">
        <f>1980+880</f>
        <v/>
      </c>
      <c r="N15" s="68" t="n"/>
      <c r="O15" s="69" t="n"/>
      <c r="P15" s="21" t="n"/>
      <c r="Q15" s="33" t="n"/>
    </row>
    <row r="16">
      <c r="B16" s="21" t="inlineStr">
        <is>
          <t>Makan</t>
        </is>
      </c>
      <c r="C16" s="33" t="n">
        <v>600</v>
      </c>
      <c r="D16" s="33">
        <f>D15-M9</f>
        <v/>
      </c>
      <c r="H16" s="33" t="n"/>
      <c r="I16" s="66" t="n"/>
      <c r="J16" s="33" t="n"/>
      <c r="L16" s="21" t="inlineStr">
        <is>
          <t>Gorden</t>
        </is>
      </c>
      <c r="M16" s="33" t="n">
        <v>3200</v>
      </c>
      <c r="N16" s="68" t="n"/>
      <c r="O16" s="69" t="n"/>
      <c r="P16" s="21" t="n"/>
      <c r="Q16" s="33" t="n"/>
    </row>
    <row r="17">
      <c r="A17" s="31" t="n">
        <v>45364</v>
      </c>
      <c r="B17" s="21" t="inlineStr">
        <is>
          <t>Belanja Makan</t>
        </is>
      </c>
      <c r="C17" s="33">
        <f>330+881</f>
        <v/>
      </c>
      <c r="D17" s="33">
        <f>D16-M10</f>
        <v/>
      </c>
      <c r="I17" s="66" t="n"/>
      <c r="J17" s="33" t="n"/>
      <c r="L17" s="61" t="inlineStr">
        <is>
          <t>Total</t>
        </is>
      </c>
      <c r="M17" s="34">
        <f>SUM(M3:M16)</f>
        <v/>
      </c>
    </row>
    <row r="18">
      <c r="A18" s="31" t="n">
        <v>45365</v>
      </c>
      <c r="B18" s="22" t="inlineStr">
        <is>
          <t>Makan</t>
        </is>
      </c>
      <c r="C18" s="33" t="n">
        <v>550</v>
      </c>
      <c r="D18" s="33">
        <f>D17-C18</f>
        <v/>
      </c>
      <c r="H18" s="33" t="n"/>
      <c r="I18" s="66" t="n"/>
      <c r="J18" s="33" t="n"/>
      <c r="K18" s="57" t="n"/>
      <c r="M18" s="33" t="n"/>
    </row>
    <row r="19">
      <c r="B19" s="22" t="inlineStr">
        <is>
          <t>Belanja</t>
        </is>
      </c>
      <c r="C19" s="33">
        <f>1278+1410+1320</f>
        <v/>
      </c>
      <c r="D19" s="33">
        <f>D18-C19</f>
        <v/>
      </c>
      <c r="G19" s="74" t="n"/>
      <c r="H19" s="33" t="n"/>
      <c r="I19" s="66" t="n"/>
      <c r="J19" s="33" t="n"/>
      <c r="M19" s="33" t="n"/>
    </row>
    <row r="20">
      <c r="A20" s="31" t="n">
        <v>45366</v>
      </c>
      <c r="B20" s="22" t="n"/>
      <c r="C20" s="33" t="n"/>
      <c r="D20" s="33">
        <f>D19-C20</f>
        <v/>
      </c>
      <c r="H20" s="33" t="n"/>
      <c r="I20" s="66" t="n"/>
      <c r="J20" s="33" t="n"/>
      <c r="M20" s="33" t="n"/>
    </row>
    <row r="21">
      <c r="A21" s="31" t="n">
        <v>45367</v>
      </c>
      <c r="C21" s="33" t="n"/>
      <c r="D21" s="33">
        <f>D20-C21</f>
        <v/>
      </c>
      <c r="H21" s="33" t="n"/>
      <c r="I21" s="66" t="n"/>
      <c r="J21" s="33" t="n"/>
      <c r="M21" s="33" t="n"/>
    </row>
    <row r="22">
      <c r="A22" s="31" t="n">
        <v>45368</v>
      </c>
      <c r="B22" s="21" t="inlineStr">
        <is>
          <t>Belanja Makan</t>
        </is>
      </c>
      <c r="C22" s="33" t="n">
        <v>1203</v>
      </c>
      <c r="D22" s="33">
        <f>D21-C22</f>
        <v/>
      </c>
      <c r="H22" s="33" t="n"/>
      <c r="I22" s="66" t="n"/>
      <c r="J22" s="33" t="n"/>
      <c r="M22" s="33" t="n"/>
    </row>
    <row r="23">
      <c r="A23" s="31" t="n">
        <v>45369</v>
      </c>
      <c r="C23" s="33" t="n"/>
      <c r="D23" s="33">
        <f>D22-C23</f>
        <v/>
      </c>
      <c r="H23" s="33" t="n"/>
      <c r="I23" s="66" t="n"/>
      <c r="J23" s="33" t="n"/>
      <c r="M23" s="33" t="n"/>
    </row>
    <row r="24">
      <c r="A24" s="31" t="n">
        <v>45370</v>
      </c>
      <c r="B24" s="22" t="inlineStr">
        <is>
          <t>Belanja</t>
        </is>
      </c>
      <c r="C24" s="33">
        <f>860+333</f>
        <v/>
      </c>
      <c r="D24" s="33">
        <f>D23-C24</f>
        <v/>
      </c>
      <c r="H24" s="33" t="n"/>
      <c r="I24" s="66" t="n"/>
      <c r="J24" s="33" t="n"/>
      <c r="M24" s="33" t="n"/>
    </row>
    <row r="25">
      <c r="A25" s="31" t="n">
        <v>45371</v>
      </c>
      <c r="B25" s="22" t="n"/>
      <c r="C25" s="33" t="n"/>
      <c r="D25" s="33">
        <f>D24-C25</f>
        <v/>
      </c>
      <c r="H25" s="33" t="n"/>
      <c r="I25" s="66" t="n"/>
      <c r="J25" s="33" t="n"/>
      <c r="M25" s="33" t="n"/>
    </row>
    <row r="26">
      <c r="A26" s="31" t="n">
        <v>45372</v>
      </c>
      <c r="B26" s="22" t="inlineStr">
        <is>
          <t>Beras</t>
        </is>
      </c>
      <c r="C26" s="33">
        <f>770+1725</f>
        <v/>
      </c>
      <c r="D26" s="33">
        <f>D25-C26</f>
        <v/>
      </c>
      <c r="H26" s="33" t="n"/>
      <c r="I26" s="66" t="n"/>
      <c r="J26" s="33" t="n"/>
      <c r="M26" s="33" t="n"/>
    </row>
    <row r="27">
      <c r="B27" s="22" t="inlineStr">
        <is>
          <t>Belanja</t>
        </is>
      </c>
      <c r="C27" s="33">
        <f>438+417</f>
        <v/>
      </c>
      <c r="D27" s="33">
        <f>D26-C27</f>
        <v/>
      </c>
      <c r="H27" s="33" t="n"/>
      <c r="I27" s="66" t="n"/>
      <c r="J27" s="33" t="n"/>
      <c r="M27" s="33" t="n"/>
    </row>
    <row r="28">
      <c r="B28" s="22" t="inlineStr">
        <is>
          <t>Belanja</t>
        </is>
      </c>
      <c r="C28" s="33" t="n">
        <v>1950</v>
      </c>
      <c r="D28" s="33">
        <f>D27-C28</f>
        <v/>
      </c>
      <c r="H28" s="33" t="n"/>
      <c r="I28" s="66" t="n"/>
      <c r="J28" s="33" t="n"/>
      <c r="M28" s="33" t="n"/>
    </row>
    <row r="29">
      <c r="A29" s="31" t="n">
        <v>45373</v>
      </c>
      <c r="B29" s="22" t="inlineStr">
        <is>
          <t>Makan</t>
        </is>
      </c>
      <c r="C29" s="33" t="n">
        <v>860</v>
      </c>
      <c r="D29" s="33">
        <f>D28-C29</f>
        <v/>
      </c>
      <c r="H29" s="33" t="n"/>
      <c r="I29" s="66" t="n"/>
      <c r="J29" s="33" t="n"/>
      <c r="M29" s="33" t="n"/>
    </row>
    <row r="30">
      <c r="A30" s="31" t="n">
        <v>45374</v>
      </c>
      <c r="B30" s="22" t="inlineStr">
        <is>
          <t>Belanja</t>
        </is>
      </c>
      <c r="C30" s="33">
        <f>404+1538-220</f>
        <v/>
      </c>
      <c r="D30" s="33">
        <f>D29-C30</f>
        <v/>
      </c>
      <c r="H30" s="33" t="n"/>
      <c r="I30" s="66" t="n"/>
      <c r="J30" s="33" t="n"/>
      <c r="M30" s="33" t="n"/>
    </row>
    <row r="31">
      <c r="B31" s="22" t="inlineStr">
        <is>
          <t xml:space="preserve">Panci </t>
        </is>
      </c>
      <c r="C31" s="33" t="n">
        <v>1230</v>
      </c>
      <c r="D31" s="33">
        <f>D30-C31</f>
        <v/>
      </c>
      <c r="H31" s="33" t="n"/>
      <c r="I31" s="66" t="n"/>
      <c r="J31" s="33" t="n"/>
      <c r="M31" s="33" t="n"/>
    </row>
    <row r="32">
      <c r="B32" s="21" t="inlineStr">
        <is>
          <t>Makan</t>
        </is>
      </c>
      <c r="C32" s="33" t="n">
        <v>675</v>
      </c>
      <c r="D32" s="33">
        <f>D31-C32</f>
        <v/>
      </c>
      <c r="H32" s="33" t="n"/>
      <c r="I32" s="66" t="n"/>
      <c r="J32" s="33" t="n"/>
      <c r="M32" s="33" t="n"/>
    </row>
    <row r="33">
      <c r="A33" s="31" t="n">
        <v>45375</v>
      </c>
      <c r="B33" s="22" t="inlineStr">
        <is>
          <t>Belanja Makan</t>
        </is>
      </c>
      <c r="C33" s="33">
        <f>2916+660</f>
        <v/>
      </c>
      <c r="D33" s="33">
        <f>D32-C33</f>
        <v/>
      </c>
    </row>
    <row r="34">
      <c r="A34" s="31" t="n">
        <v>45376</v>
      </c>
      <c r="B34" s="22" t="inlineStr">
        <is>
          <t>Belanja Makan</t>
        </is>
      </c>
      <c r="C34" s="33">
        <f>1333+550</f>
        <v/>
      </c>
      <c r="D34" s="33">
        <f>D33-C34</f>
        <v/>
      </c>
    </row>
    <row r="35">
      <c r="A35" s="31" t="n">
        <v>45377</v>
      </c>
      <c r="B35" s="22" t="n"/>
      <c r="C35" s="33" t="n"/>
      <c r="D35" s="33">
        <f>D34-C35</f>
        <v/>
      </c>
    </row>
    <row r="36">
      <c r="A36" s="31" t="n">
        <v>45378</v>
      </c>
      <c r="B36" s="22" t="n"/>
      <c r="C36" s="33" t="n"/>
      <c r="D36" s="33">
        <f>D35-C36</f>
        <v/>
      </c>
    </row>
    <row r="37">
      <c r="A37" s="31" t="n">
        <v>45379</v>
      </c>
      <c r="B37" s="22" t="inlineStr">
        <is>
          <t>Belanja</t>
        </is>
      </c>
      <c r="C37" s="33" t="n">
        <v>760</v>
      </c>
      <c r="D37" s="33">
        <f>D36-C37</f>
        <v/>
      </c>
    </row>
    <row r="38">
      <c r="B38" s="22" t="inlineStr">
        <is>
          <t>Belanja Makan</t>
        </is>
      </c>
      <c r="C38" s="33" t="n">
        <v>4898</v>
      </c>
      <c r="D38" s="33">
        <f>D37-C38</f>
        <v/>
      </c>
    </row>
    <row r="39">
      <c r="A39" s="31" t="n">
        <v>45380</v>
      </c>
      <c r="B39" s="22" t="inlineStr">
        <is>
          <t>SIM</t>
        </is>
      </c>
      <c r="C39" s="33" t="n">
        <v>2202</v>
      </c>
      <c r="D39" s="33">
        <f>D38-C39</f>
        <v/>
      </c>
    </row>
    <row r="40">
      <c r="A40" s="31" t="n">
        <v>45381</v>
      </c>
      <c r="B40" s="22" t="inlineStr">
        <is>
          <t>Belanja</t>
        </is>
      </c>
      <c r="C40" s="33" t="n">
        <v>1685</v>
      </c>
      <c r="D40" s="33">
        <f>D39-C40</f>
        <v/>
      </c>
    </row>
    <row r="41">
      <c r="A41" s="31" t="n">
        <v>45382</v>
      </c>
      <c r="B41" s="22" t="inlineStr">
        <is>
          <t>Belanja</t>
        </is>
      </c>
      <c r="C41" s="33" t="n">
        <v>453</v>
      </c>
      <c r="D41" s="33">
        <f>D40-C41</f>
        <v/>
      </c>
    </row>
    <row r="42">
      <c r="A42" s="101" t="n"/>
      <c r="B42" s="48" t="inlineStr">
        <is>
          <t>Sisa</t>
        </is>
      </c>
      <c r="C42" s="34" t="n"/>
      <c r="D42" s="34">
        <f>D41-C42</f>
        <v/>
      </c>
    </row>
    <row r="43">
      <c r="A43" s="101" t="n"/>
      <c r="B43" s="48" t="inlineStr">
        <is>
          <t>Total</t>
        </is>
      </c>
      <c r="C43" s="34">
        <f>SUM(C5:C41)</f>
        <v/>
      </c>
      <c r="D43" s="34" t="n"/>
    </row>
  </sheetData>
  <mergeCells count="5">
    <mergeCell ref="A1:D1"/>
    <mergeCell ref="F3:I3"/>
    <mergeCell ref="F12:I12"/>
    <mergeCell ref="A3:C3"/>
    <mergeCell ref="F1:J1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4"/>
  <sheetViews>
    <sheetView zoomScale="115" zoomScaleNormal="115" workbookViewId="0">
      <selection activeCell="D5" sqref="D5"/>
    </sheetView>
  </sheetViews>
  <sheetFormatPr baseColWidth="8" defaultColWidth="9.109375" defaultRowHeight="13.2"/>
  <cols>
    <col width="5.109375" customWidth="1" style="19" min="1" max="1"/>
    <col width="38.44140625" customWidth="1" style="19" min="2" max="3"/>
    <col width="38.44140625" customWidth="1" style="72" min="4" max="4"/>
    <col width="38.44140625" customWidth="1" style="19" min="5" max="5"/>
    <col width="9.109375" customWidth="1" style="19" min="6" max="6"/>
    <col width="30.33203125" customWidth="1" style="19" min="7" max="7"/>
    <col width="9.109375" customWidth="1" style="19" min="8" max="8"/>
    <col width="9.109375" customWidth="1" style="19" min="9" max="16384"/>
  </cols>
  <sheetData>
    <row r="1">
      <c r="A1" s="89" t="inlineStr">
        <is>
          <t>Recurring</t>
        </is>
      </c>
      <c r="B1" s="90" t="n"/>
      <c r="C1" s="90" t="n"/>
      <c r="D1" s="91" t="n"/>
    </row>
    <row r="2">
      <c r="A2" s="21" t="inlineStr">
        <is>
          <t>No</t>
        </is>
      </c>
      <c r="B2" s="21" t="inlineStr">
        <is>
          <t>Nama</t>
        </is>
      </c>
      <c r="C2" s="21" t="inlineStr">
        <is>
          <t>Kategori</t>
        </is>
      </c>
      <c r="D2" s="21" t="inlineStr">
        <is>
          <t>Amount</t>
        </is>
      </c>
    </row>
    <row r="3">
      <c r="A3" s="21" t="n">
        <v>1</v>
      </c>
      <c r="B3" s="21" t="inlineStr">
        <is>
          <t>Rent + Internet + Air Per Bulan</t>
        </is>
      </c>
      <c r="C3" s="21" t="inlineStr">
        <is>
          <t>Bill</t>
        </is>
      </c>
      <c r="D3" s="75" t="n">
        <v>71500</v>
      </c>
    </row>
    <row r="4">
      <c r="A4" s="21" t="n">
        <v>2</v>
      </c>
      <c r="B4" s="21" t="inlineStr">
        <is>
          <t>Electricity Per Bulan</t>
        </is>
      </c>
      <c r="C4" s="21" t="inlineStr">
        <is>
          <t>Bill</t>
        </is>
      </c>
      <c r="D4" s="75" t="n">
        <v>3000</v>
      </c>
    </row>
    <row r="5">
      <c r="A5" s="21" t="n">
        <v>3</v>
      </c>
      <c r="B5" s="21" t="inlineStr">
        <is>
          <t>SIM</t>
        </is>
      </c>
      <c r="C5" s="21" t="inlineStr">
        <is>
          <t>Bill</t>
        </is>
      </c>
      <c r="D5" s="75" t="n">
        <v>1200</v>
      </c>
    </row>
    <row r="6">
      <c r="A6" s="21" t="n">
        <v>4</v>
      </c>
      <c r="B6" s="21" t="inlineStr">
        <is>
          <t>Rata2 Makan Tahun Lalu</t>
        </is>
      </c>
      <c r="C6" s="21" t="inlineStr">
        <is>
          <t>Makan</t>
        </is>
      </c>
      <c r="D6" s="75" t="n">
        <v>44000</v>
      </c>
    </row>
    <row r="7">
      <c r="A7" s="100" t="inlineStr">
        <is>
          <t>Sum</t>
        </is>
      </c>
      <c r="B7" s="90" t="n"/>
      <c r="C7" s="91" t="n"/>
      <c r="D7" s="76">
        <f>SUM(D3:D6)</f>
        <v/>
      </c>
    </row>
    <row r="8">
      <c r="B8" s="73" t="n"/>
      <c r="C8" s="73" t="n"/>
    </row>
    <row r="9">
      <c r="B9" s="73" t="n"/>
      <c r="C9" s="73" t="n"/>
    </row>
    <row r="10">
      <c r="A10" s="89" t="inlineStr">
        <is>
          <t>One Time</t>
        </is>
      </c>
      <c r="B10" s="90" t="n"/>
      <c r="C10" s="91" t="n"/>
      <c r="D10" s="19" t="n"/>
    </row>
    <row r="11">
      <c r="A11" s="21" t="inlineStr">
        <is>
          <t>No</t>
        </is>
      </c>
      <c r="B11" s="21" t="inlineStr">
        <is>
          <t>Nama</t>
        </is>
      </c>
      <c r="C11" s="21" t="inlineStr">
        <is>
          <t>Amount</t>
        </is>
      </c>
    </row>
    <row r="12">
      <c r="A12" s="21" t="n">
        <v>1</v>
      </c>
      <c r="B12" s="21" t="inlineStr">
        <is>
          <t>Sepeda</t>
        </is>
      </c>
      <c r="C12" s="75" t="n">
        <v>15000</v>
      </c>
    </row>
    <row r="13">
      <c r="A13" s="21" t="n">
        <v>2</v>
      </c>
      <c r="B13" s="21" t="inlineStr">
        <is>
          <t>1 Year Health Insurance</t>
        </is>
      </c>
      <c r="C13" s="75" t="n">
        <v>18000</v>
      </c>
    </row>
    <row r="14">
      <c r="A14" s="21" t="n">
        <v>3</v>
      </c>
      <c r="B14" s="21" t="inlineStr">
        <is>
          <t>HP</t>
        </is>
      </c>
      <c r="C14" s="75" t="n">
        <v>50000</v>
      </c>
    </row>
  </sheetData>
  <mergeCells count="3">
    <mergeCell ref="A10:C10"/>
    <mergeCell ref="A1:D1"/>
    <mergeCell ref="A7:C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56"/>
  <sheetViews>
    <sheetView zoomScale="130" zoomScaleNormal="130" workbookViewId="0">
      <selection activeCell="H13" sqref="H13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21" min="3" max="4"/>
    <col width="1.77734375" customWidth="1" style="19" min="5" max="5"/>
    <col width="4" customWidth="1" style="89" min="6" max="6"/>
    <col width="37.77734375" customWidth="1" style="21" min="7" max="7"/>
    <col width="17.33203125" customWidth="1" style="21" min="8" max="8"/>
    <col width="17.33203125" customWidth="1" style="78" min="9" max="9"/>
    <col width="17.33203125" customWidth="1" style="21" min="10" max="10"/>
    <col width="1.77734375" customWidth="1" style="19" min="11" max="11"/>
    <col width="13.6640625" customWidth="1" style="19" min="12" max="12"/>
    <col width="18.44140625" customWidth="1" style="19" min="13" max="13"/>
    <col width="13.6640625" customWidth="1" style="19" min="14" max="14"/>
    <col width="8.77734375" customWidth="1" style="19" min="15" max="15"/>
    <col width="8.77734375" customWidth="1" style="19" min="16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  <c r="L2" s="21" t="inlineStr">
        <is>
          <t>Tanggal</t>
        </is>
      </c>
      <c r="M2" s="21" t="inlineStr">
        <is>
          <t>Nama</t>
        </is>
      </c>
      <c r="N2" s="21" t="inlineStr">
        <is>
          <t>Price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F3" s="92" t="inlineStr">
        <is>
          <t>From Last Month</t>
        </is>
      </c>
      <c r="G3" s="90" t="n"/>
      <c r="H3" s="90" t="n"/>
      <c r="I3" s="91" t="n"/>
      <c r="J3" s="34">
        <f>'24-03'!J12</f>
        <v/>
      </c>
      <c r="L3" s="31" t="n">
        <v>45383</v>
      </c>
      <c r="M3" s="22" t="inlineStr">
        <is>
          <t>Makan Sama Ka</t>
        </is>
      </c>
      <c r="N3" s="33" t="n">
        <v>3685</v>
      </c>
    </row>
    <row r="4">
      <c r="A4" s="31" t="n">
        <v>45383</v>
      </c>
      <c r="B4" s="32" t="inlineStr">
        <is>
          <t>Belanja</t>
        </is>
      </c>
      <c r="C4" s="33" t="n">
        <v>110</v>
      </c>
      <c r="D4" s="33">
        <f>D3-C4</f>
        <v/>
      </c>
      <c r="F4" s="89" t="n">
        <v>1</v>
      </c>
      <c r="G4" s="21" t="inlineStr">
        <is>
          <t>Microwave</t>
        </is>
      </c>
      <c r="H4" s="33" t="n">
        <v>7400</v>
      </c>
      <c r="I4" s="77" t="n"/>
      <c r="J4" s="33">
        <f>J3-H4+I4</f>
        <v/>
      </c>
      <c r="L4" s="31" t="n">
        <v>45384</v>
      </c>
      <c r="M4" s="22" t="inlineStr">
        <is>
          <t>Belanja Sama Ka</t>
        </is>
      </c>
      <c r="N4" s="33">
        <f>138+660</f>
        <v/>
      </c>
    </row>
    <row r="5">
      <c r="B5" s="32" t="inlineStr">
        <is>
          <t>Belanja</t>
        </is>
      </c>
      <c r="C5" s="33" t="n">
        <v>365</v>
      </c>
      <c r="D5" s="33">
        <f>D4-C5</f>
        <v/>
      </c>
      <c r="F5" s="89" t="n">
        <v>2</v>
      </c>
      <c r="G5" s="21" t="inlineStr">
        <is>
          <t>Uang Kasih Pa</t>
        </is>
      </c>
      <c r="H5" s="33" t="n"/>
      <c r="I5" s="77" t="n">
        <v>50000</v>
      </c>
      <c r="J5" s="33">
        <f>J4-H5+I5</f>
        <v/>
      </c>
      <c r="L5" s="31" t="n"/>
      <c r="M5" s="19" t="inlineStr">
        <is>
          <t>Makan bareng</t>
        </is>
      </c>
      <c r="N5" s="33" t="n">
        <v>4890</v>
      </c>
    </row>
    <row r="6">
      <c r="B6" s="32" t="inlineStr">
        <is>
          <t>Belanja</t>
        </is>
      </c>
      <c r="C6" s="33" t="n">
        <v>127</v>
      </c>
      <c r="D6" s="33">
        <f>D5-C6</f>
        <v/>
      </c>
      <c r="F6" s="89" t="n">
        <v>3</v>
      </c>
      <c r="G6" s="21" t="inlineStr">
        <is>
          <t>Uang Kasih Ka</t>
        </is>
      </c>
      <c r="H6" s="33" t="n"/>
      <c r="I6" s="77" t="n">
        <v>50000</v>
      </c>
      <c r="J6" s="33">
        <f>J5-H6+I6</f>
        <v/>
      </c>
      <c r="L6" s="31" t="n"/>
      <c r="M6" s="21" t="inlineStr">
        <is>
          <t>Belanja Sama Ka</t>
        </is>
      </c>
      <c r="N6" s="33">
        <f>1466+686+3047-800</f>
        <v/>
      </c>
    </row>
    <row r="7">
      <c r="B7" s="32" t="inlineStr">
        <is>
          <t>Belanja</t>
        </is>
      </c>
      <c r="C7" s="33" t="n">
        <v>1350</v>
      </c>
      <c r="D7" s="33">
        <f>D6-C7</f>
        <v/>
      </c>
      <c r="F7" s="89" t="n">
        <v>4</v>
      </c>
      <c r="G7" s="21" t="inlineStr">
        <is>
          <t xml:space="preserve">Sepeda </t>
        </is>
      </c>
      <c r="H7" s="33" t="n">
        <v>9900</v>
      </c>
      <c r="I7" s="77" t="n"/>
      <c r="J7" s="33">
        <f>J6-H7+I7</f>
        <v/>
      </c>
      <c r="L7" s="31" t="n"/>
      <c r="M7" s="22" t="n"/>
      <c r="N7" s="33" t="n"/>
    </row>
    <row r="8">
      <c r="B8" s="32" t="inlineStr">
        <is>
          <t>Belanja</t>
        </is>
      </c>
      <c r="C8" s="33" t="n">
        <v>880</v>
      </c>
      <c r="D8" s="33">
        <f>D7-C8</f>
        <v/>
      </c>
      <c r="F8" s="89" t="n">
        <v>5</v>
      </c>
      <c r="G8" s="21" t="inlineStr">
        <is>
          <t>Karpet</t>
        </is>
      </c>
      <c r="H8" s="33" t="n">
        <v>3890</v>
      </c>
      <c r="I8" s="77" t="n"/>
      <c r="J8" s="33">
        <f>J7-H8+I8</f>
        <v/>
      </c>
      <c r="L8" s="31" t="n"/>
      <c r="M8" s="21" t="n"/>
      <c r="N8" s="33" t="n"/>
    </row>
    <row r="9">
      <c r="B9" s="32" t="inlineStr">
        <is>
          <t>Belanja</t>
        </is>
      </c>
      <c r="C9" s="33" t="n">
        <v>1060</v>
      </c>
      <c r="D9" s="33">
        <f>D8-C9</f>
        <v/>
      </c>
      <c r="F9" s="89" t="n">
        <v>6</v>
      </c>
      <c r="G9" s="21" t="inlineStr">
        <is>
          <t>Pindahan</t>
        </is>
      </c>
      <c r="H9" s="33" t="n">
        <v>2000</v>
      </c>
      <c r="I9" s="77" t="n"/>
      <c r="J9" s="33">
        <f>J8-H9+I9</f>
        <v/>
      </c>
      <c r="L9" s="31" t="n"/>
      <c r="M9" s="21" t="n"/>
      <c r="N9" s="33" t="n"/>
    </row>
    <row r="10">
      <c r="A10" s="31" t="n">
        <v>45384</v>
      </c>
      <c r="B10" s="22" t="n"/>
      <c r="C10" s="33" t="n"/>
      <c r="D10" s="33">
        <f>D9-C10</f>
        <v/>
      </c>
      <c r="F10" s="89" t="n">
        <v>7</v>
      </c>
      <c r="G10" s="61" t="inlineStr">
        <is>
          <t>Rent</t>
        </is>
      </c>
      <c r="H10" s="34" t="n">
        <v>71530</v>
      </c>
      <c r="I10" s="77" t="n"/>
      <c r="J10" s="33">
        <f>J9-H10+I10</f>
        <v/>
      </c>
      <c r="L10" s="31" t="n"/>
      <c r="M10" s="21" t="n"/>
      <c r="N10" s="33" t="n"/>
    </row>
    <row r="11">
      <c r="A11" s="31" t="n">
        <v>45385</v>
      </c>
      <c r="B11" s="22" t="n"/>
      <c r="C11" s="33" t="n"/>
      <c r="D11" s="33">
        <f>D10-C11</f>
        <v/>
      </c>
      <c r="F11" s="89" t="n">
        <v>8</v>
      </c>
      <c r="G11" s="21" t="inlineStr">
        <is>
          <t>Jalan2 sm Ka2</t>
        </is>
      </c>
      <c r="H11" s="33" t="n">
        <v>13772</v>
      </c>
      <c r="I11" s="77" t="n"/>
      <c r="J11" s="33">
        <f>J10-H11+I11</f>
        <v/>
      </c>
      <c r="L11" s="31" t="n"/>
      <c r="M11" s="21" t="n"/>
      <c r="N11" s="33" t="n"/>
    </row>
    <row r="12">
      <c r="A12" s="31" t="n">
        <v>45386</v>
      </c>
      <c r="B12" s="22" t="inlineStr">
        <is>
          <t>Belanja Makan</t>
        </is>
      </c>
      <c r="C12" s="33" t="n">
        <v>610</v>
      </c>
      <c r="D12" s="33">
        <f>D11-C12</f>
        <v/>
      </c>
      <c r="F12" s="89" t="n">
        <v>9</v>
      </c>
      <c r="G12" s="21" t="inlineStr">
        <is>
          <t>Uang Bulanan</t>
        </is>
      </c>
      <c r="H12" s="33" t="n">
        <v>55000</v>
      </c>
      <c r="J12" s="33">
        <f>J11-H12+I12</f>
        <v/>
      </c>
      <c r="L12" s="31" t="n"/>
      <c r="M12" s="21" t="n"/>
      <c r="N12" s="33" t="n"/>
    </row>
    <row r="13">
      <c r="A13" s="31" t="n">
        <v>45387</v>
      </c>
      <c r="B13" s="22" t="inlineStr">
        <is>
          <t>Belanja Makan</t>
        </is>
      </c>
      <c r="C13" s="33" t="n">
        <v>1778</v>
      </c>
      <c r="D13" s="33">
        <f>D12-C13</f>
        <v/>
      </c>
      <c r="F13" s="89" t="n">
        <v>10</v>
      </c>
      <c r="G13" s="21" t="inlineStr">
        <is>
          <t>Listrik</t>
        </is>
      </c>
      <c r="H13" s="33" t="n">
        <v>1913</v>
      </c>
      <c r="J13" s="33">
        <f>J12-H13+I13</f>
        <v/>
      </c>
      <c r="L13" s="31" t="n"/>
      <c r="M13" s="21" t="n"/>
      <c r="N13" s="21" t="n"/>
    </row>
    <row r="14">
      <c r="A14" s="31" t="n">
        <v>45388</v>
      </c>
      <c r="B14" s="22" t="inlineStr">
        <is>
          <t>Belanja</t>
        </is>
      </c>
      <c r="C14" s="33" t="n">
        <v>660</v>
      </c>
      <c r="D14" s="33">
        <f>D13-C14</f>
        <v/>
      </c>
      <c r="F14" s="94" t="inlineStr">
        <is>
          <t>Sisa</t>
        </is>
      </c>
      <c r="G14" s="90" t="n"/>
      <c r="H14" s="90" t="n"/>
      <c r="I14" s="91" t="n"/>
      <c r="J14" s="33">
        <f>J13-H14+I14</f>
        <v/>
      </c>
      <c r="L14" s="31" t="n"/>
      <c r="M14" s="21" t="n"/>
      <c r="N14" s="21" t="n"/>
    </row>
    <row r="15">
      <c r="A15" s="31" t="n">
        <v>45389</v>
      </c>
      <c r="B15" s="22" t="n"/>
      <c r="C15" s="33" t="n"/>
      <c r="D15" s="33">
        <f>D14-C15</f>
        <v/>
      </c>
      <c r="F15" s="49" t="n"/>
      <c r="G15" s="50" t="n"/>
      <c r="H15" s="51" t="n"/>
      <c r="I15" s="80" t="n"/>
      <c r="J15" s="51" t="n"/>
      <c r="L15" s="69" t="inlineStr">
        <is>
          <t>Total</t>
        </is>
      </c>
      <c r="M15" s="21" t="n"/>
      <c r="N15" s="33">
        <f>SUM(N3:N12)</f>
        <v/>
      </c>
    </row>
    <row r="16">
      <c r="A16" s="31" t="n">
        <v>45390</v>
      </c>
      <c r="B16" s="22" t="inlineStr">
        <is>
          <t>Makan</t>
        </is>
      </c>
      <c r="C16" s="33">
        <f>590+240</f>
        <v/>
      </c>
      <c r="D16" s="33">
        <f>D15-C16</f>
        <v/>
      </c>
      <c r="H16" s="33" t="n"/>
      <c r="I16" s="77" t="n"/>
      <c r="J16" s="33" t="n"/>
      <c r="L16" s="79" t="n"/>
      <c r="N16" s="68" t="n"/>
    </row>
    <row r="17">
      <c r="B17" s="22" t="inlineStr">
        <is>
          <t>Belanja</t>
        </is>
      </c>
      <c r="C17" s="33" t="n">
        <v>770</v>
      </c>
      <c r="D17" s="33">
        <f>D16-C17</f>
        <v/>
      </c>
    </row>
    <row r="18">
      <c r="B18" s="22" t="inlineStr">
        <is>
          <t>Belanja</t>
        </is>
      </c>
      <c r="C18" s="33">
        <f>160</f>
        <v/>
      </c>
      <c r="D18" s="33">
        <f>D17-C18</f>
        <v/>
      </c>
    </row>
    <row r="19">
      <c r="A19" s="31" t="n">
        <v>45391</v>
      </c>
      <c r="B19" s="22" t="inlineStr">
        <is>
          <t>Belanja Makan</t>
        </is>
      </c>
      <c r="C19" s="33" t="n">
        <v>3825</v>
      </c>
      <c r="D19" s="33">
        <f>D18-C19</f>
        <v/>
      </c>
    </row>
    <row r="20">
      <c r="A20" s="31" t="n">
        <v>45392</v>
      </c>
      <c r="B20" s="22" t="inlineStr">
        <is>
          <t>Belanja</t>
        </is>
      </c>
      <c r="C20" s="33" t="n">
        <v>440</v>
      </c>
      <c r="D20" s="33">
        <f>D19-C20</f>
        <v/>
      </c>
    </row>
    <row r="21">
      <c r="B21" s="22" t="inlineStr">
        <is>
          <t>Belanja</t>
        </is>
      </c>
      <c r="C21" s="33">
        <f>197+318</f>
        <v/>
      </c>
      <c r="D21" s="33">
        <f>D20-C21</f>
        <v/>
      </c>
    </row>
    <row r="22">
      <c r="A22" s="31" t="n">
        <v>45393</v>
      </c>
      <c r="B22" s="22" t="inlineStr">
        <is>
          <t>Makan</t>
        </is>
      </c>
      <c r="C22" s="33" t="n">
        <v>590</v>
      </c>
      <c r="D22" s="33">
        <f>D21-C22</f>
        <v/>
      </c>
    </row>
    <row r="23">
      <c r="A23" s="31" t="n">
        <v>45394</v>
      </c>
      <c r="B23" s="22" t="inlineStr">
        <is>
          <t>Makan</t>
        </is>
      </c>
      <c r="C23" s="33" t="n">
        <v>520</v>
      </c>
      <c r="D23" s="33">
        <f>D22-C23</f>
        <v/>
      </c>
    </row>
    <row r="24">
      <c r="B24" s="22" t="inlineStr">
        <is>
          <t>Makan</t>
        </is>
      </c>
      <c r="C24" s="33" t="n">
        <v>720</v>
      </c>
      <c r="D24" s="33">
        <f>D23-C24</f>
        <v/>
      </c>
    </row>
    <row r="25">
      <c r="B25" s="21" t="inlineStr">
        <is>
          <t>Makan</t>
        </is>
      </c>
      <c r="C25" s="33" t="n">
        <v>590</v>
      </c>
      <c r="D25" s="33">
        <f>D24-C25</f>
        <v/>
      </c>
    </row>
    <row r="26">
      <c r="A26" s="31" t="n">
        <v>45395</v>
      </c>
      <c r="B26" s="22" t="inlineStr">
        <is>
          <t>Belanja Makan</t>
        </is>
      </c>
      <c r="C26" s="33">
        <f>700+2541</f>
        <v/>
      </c>
      <c r="D26" s="33">
        <f>D25-C26</f>
        <v/>
      </c>
    </row>
    <row r="27">
      <c r="B27" s="22" t="inlineStr">
        <is>
          <t>Belanja</t>
        </is>
      </c>
      <c r="C27" s="33" t="n">
        <v>220</v>
      </c>
      <c r="D27" s="33">
        <f>D26-C27</f>
        <v/>
      </c>
    </row>
    <row r="28">
      <c r="A28" s="31" t="n">
        <v>45396</v>
      </c>
      <c r="B28" s="22" t="n"/>
      <c r="C28" s="33" t="n"/>
      <c r="D28" s="33">
        <f>D27-C28</f>
        <v/>
      </c>
    </row>
    <row r="29">
      <c r="A29" s="31" t="n">
        <v>45397</v>
      </c>
      <c r="B29" s="22" t="inlineStr">
        <is>
          <t>Belanja</t>
        </is>
      </c>
      <c r="C29" s="33" t="n">
        <v>160</v>
      </c>
      <c r="D29" s="33">
        <f>D28-C29</f>
        <v/>
      </c>
    </row>
    <row r="30">
      <c r="B30" s="22" t="inlineStr">
        <is>
          <t>Belanja Makan</t>
        </is>
      </c>
      <c r="C30" s="33">
        <f>2350-1116</f>
        <v/>
      </c>
      <c r="D30" s="33">
        <f>D29-C30</f>
        <v/>
      </c>
    </row>
    <row r="31">
      <c r="A31" s="31" t="n">
        <v>45398</v>
      </c>
      <c r="B31" s="22" t="n"/>
      <c r="C31" s="33" t="n"/>
      <c r="D31" s="33">
        <f>D30-C31</f>
        <v/>
      </c>
    </row>
    <row r="32">
      <c r="A32" s="31" t="n">
        <v>45399</v>
      </c>
      <c r="B32" s="22" t="inlineStr">
        <is>
          <t>Makan</t>
        </is>
      </c>
      <c r="C32" s="33" t="n">
        <v>550</v>
      </c>
      <c r="D32" s="33">
        <f>D31-C32</f>
        <v/>
      </c>
    </row>
    <row r="33">
      <c r="A33" s="31" t="n">
        <v>45400</v>
      </c>
      <c r="B33" s="22" t="inlineStr">
        <is>
          <t>Belanja</t>
        </is>
      </c>
      <c r="C33" s="33">
        <f>129+220+880</f>
        <v/>
      </c>
      <c r="D33" s="33">
        <f>D32-C33</f>
        <v/>
      </c>
    </row>
    <row r="34">
      <c r="A34" s="31" t="n">
        <v>45401</v>
      </c>
      <c r="B34" s="22" t="inlineStr">
        <is>
          <t>Makan</t>
        </is>
      </c>
      <c r="C34" s="33" t="n">
        <v>800</v>
      </c>
      <c r="D34" s="33">
        <f>D33-C34</f>
        <v/>
      </c>
    </row>
    <row r="35">
      <c r="A35" s="31" t="n">
        <v>45402</v>
      </c>
      <c r="B35" s="22" t="inlineStr">
        <is>
          <t>Belanja Makan</t>
        </is>
      </c>
      <c r="C35" s="33">
        <f>1606+180</f>
        <v/>
      </c>
      <c r="D35" s="33">
        <f>D34-C35</f>
        <v/>
      </c>
    </row>
    <row r="36">
      <c r="A36" s="31" t="n"/>
      <c r="B36" s="22" t="inlineStr">
        <is>
          <t>Makan</t>
        </is>
      </c>
      <c r="C36" s="33" t="n"/>
      <c r="D36" s="33">
        <f>D35-C36</f>
        <v/>
      </c>
    </row>
    <row r="37">
      <c r="A37" s="31" t="n">
        <v>45403</v>
      </c>
      <c r="B37" s="21" t="inlineStr">
        <is>
          <t>Belanja</t>
        </is>
      </c>
      <c r="C37" s="33" t="n">
        <v>150</v>
      </c>
      <c r="D37" s="33">
        <f>D36-C37</f>
        <v/>
      </c>
    </row>
    <row r="38">
      <c r="A38" s="31" t="n">
        <v>45404</v>
      </c>
      <c r="B38" s="22" t="inlineStr">
        <is>
          <t>Makan</t>
        </is>
      </c>
      <c r="C38" s="33" t="n">
        <v>410</v>
      </c>
      <c r="D38" s="33">
        <f>D37-C38</f>
        <v/>
      </c>
    </row>
    <row r="39">
      <c r="A39" s="31" t="n">
        <v>45405</v>
      </c>
      <c r="B39" s="22" t="inlineStr">
        <is>
          <t>Belanja Makan</t>
        </is>
      </c>
      <c r="C39" s="33">
        <f>1870+172</f>
        <v/>
      </c>
      <c r="D39" s="33">
        <f>D38-C39</f>
        <v/>
      </c>
    </row>
    <row r="40">
      <c r="B40" s="22" t="inlineStr">
        <is>
          <t>Makan</t>
        </is>
      </c>
      <c r="C40" s="33" t="n">
        <v>590</v>
      </c>
      <c r="D40" s="33">
        <f>D39-C40</f>
        <v/>
      </c>
    </row>
    <row r="41">
      <c r="A41" s="31" t="n">
        <v>45406</v>
      </c>
      <c r="B41" s="21" t="inlineStr">
        <is>
          <t>Belanja</t>
        </is>
      </c>
      <c r="C41" s="33">
        <f>226+300</f>
        <v/>
      </c>
      <c r="D41" s="33">
        <f>D40-C41</f>
        <v/>
      </c>
    </row>
    <row r="42">
      <c r="B42" s="21" t="inlineStr">
        <is>
          <t>Makan</t>
        </is>
      </c>
      <c r="C42" s="33">
        <f>226+300</f>
        <v/>
      </c>
      <c r="D42" s="33">
        <f>D41-C42</f>
        <v/>
      </c>
    </row>
    <row r="43">
      <c r="A43" s="31" t="n">
        <v>45407</v>
      </c>
      <c r="B43" s="21" t="inlineStr">
        <is>
          <t>Makan</t>
        </is>
      </c>
      <c r="C43" s="33" t="n">
        <v>700</v>
      </c>
      <c r="D43" s="33">
        <f>D42-C43</f>
        <v/>
      </c>
    </row>
    <row r="44">
      <c r="A44" s="31" t="n"/>
      <c r="B44" s="21" t="inlineStr">
        <is>
          <t>Makan</t>
        </is>
      </c>
      <c r="C44" s="33" t="n">
        <v>690</v>
      </c>
      <c r="D44" s="33">
        <f>D43-C44</f>
        <v/>
      </c>
    </row>
    <row r="45">
      <c r="A45" s="31" t="n">
        <v>45408</v>
      </c>
      <c r="B45" s="22" t="inlineStr">
        <is>
          <t>Makan</t>
        </is>
      </c>
      <c r="C45" s="33">
        <f>550+170</f>
        <v/>
      </c>
      <c r="D45" s="33">
        <f>D44-C45</f>
        <v/>
      </c>
    </row>
    <row r="46">
      <c r="B46" s="21" t="inlineStr">
        <is>
          <t>Belanja</t>
        </is>
      </c>
      <c r="C46" s="33">
        <f>129+501+880</f>
        <v/>
      </c>
      <c r="D46" s="33">
        <f>D45-C46</f>
        <v/>
      </c>
    </row>
    <row r="47">
      <c r="A47" s="31" t="n">
        <v>45409</v>
      </c>
      <c r="B47" s="21" t="inlineStr">
        <is>
          <t>Belanja Makan</t>
        </is>
      </c>
      <c r="C47" s="33" t="n">
        <v>2034</v>
      </c>
      <c r="D47" s="33">
        <f>D46-C47</f>
        <v/>
      </c>
    </row>
    <row r="48">
      <c r="B48" s="21" t="inlineStr">
        <is>
          <t>Beras</t>
        </is>
      </c>
      <c r="C48" s="33" t="n">
        <v>2000</v>
      </c>
      <c r="D48" s="33">
        <f>D47-C48</f>
        <v/>
      </c>
    </row>
    <row r="49">
      <c r="B49" s="21" t="inlineStr">
        <is>
          <t>Makan</t>
        </is>
      </c>
      <c r="C49" s="33" t="n">
        <v>660</v>
      </c>
      <c r="D49" s="33">
        <f>D48-C49</f>
        <v/>
      </c>
    </row>
    <row r="50">
      <c r="B50" s="21" t="inlineStr">
        <is>
          <t>Belanja</t>
        </is>
      </c>
      <c r="C50" s="33" t="n">
        <v>1387</v>
      </c>
      <c r="D50" s="33">
        <f>D49-C50</f>
        <v/>
      </c>
    </row>
    <row r="51">
      <c r="A51" s="31" t="n">
        <v>45410</v>
      </c>
      <c r="B51" s="21" t="inlineStr">
        <is>
          <t>Belanja Makan</t>
        </is>
      </c>
      <c r="C51" s="33">
        <f>4200</f>
        <v/>
      </c>
      <c r="D51" s="33">
        <f>D50-C51</f>
        <v/>
      </c>
    </row>
    <row r="52">
      <c r="A52" s="31" t="n">
        <v>45411</v>
      </c>
      <c r="B52" s="21" t="inlineStr">
        <is>
          <t>Makan</t>
        </is>
      </c>
      <c r="C52" s="33">
        <f>120+370</f>
        <v/>
      </c>
      <c r="D52" s="33">
        <f>D51-C52</f>
        <v/>
      </c>
    </row>
    <row r="53">
      <c r="A53" s="31" t="n">
        <v>45412</v>
      </c>
      <c r="B53" s="21" t="inlineStr">
        <is>
          <t>Makan</t>
        </is>
      </c>
      <c r="C53" s="33" t="n">
        <v>590</v>
      </c>
      <c r="D53" s="33">
        <f>D52-C53</f>
        <v/>
      </c>
    </row>
    <row r="54">
      <c r="B54" s="21" t="inlineStr">
        <is>
          <t>Belanja</t>
        </is>
      </c>
      <c r="C54" s="33" t="n">
        <v>790</v>
      </c>
      <c r="D54" s="33">
        <f>D53-C54</f>
        <v/>
      </c>
    </row>
    <row r="55">
      <c r="A55" s="31" t="n"/>
      <c r="B55" s="21" t="inlineStr">
        <is>
          <t>SIM</t>
        </is>
      </c>
      <c r="C55" s="33" t="n">
        <v>2206</v>
      </c>
      <c r="D55" s="33">
        <f>D54-C55</f>
        <v/>
      </c>
    </row>
    <row r="56">
      <c r="A56" s="101" t="n"/>
      <c r="B56" s="61" t="inlineStr">
        <is>
          <t>Sisa</t>
        </is>
      </c>
      <c r="C56" s="34" t="n"/>
      <c r="D56" s="34">
        <f>D55-C56</f>
        <v/>
      </c>
    </row>
  </sheetData>
  <mergeCells count="5">
    <mergeCell ref="F14:I14"/>
    <mergeCell ref="A1:D1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39"/>
  <sheetViews>
    <sheetView zoomScale="145" zoomScaleNormal="145" workbookViewId="0">
      <selection activeCell="F9" sqref="F9:I9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21" min="3" max="4"/>
    <col width="8.77734375" customWidth="1" style="19" min="5" max="5"/>
    <col width="4" customWidth="1" style="89" min="6" max="6"/>
    <col width="37.77734375" customWidth="1" style="21" min="7" max="7"/>
    <col width="17.33203125" customWidth="1" style="21" min="8" max="10"/>
    <col width="8.77734375" customWidth="1" style="19" min="11" max="11"/>
    <col width="13.109375" bestFit="1" customWidth="1" style="19" min="12" max="12"/>
    <col width="8.77734375" customWidth="1" style="19" min="13" max="13"/>
    <col width="8.77734375" customWidth="1" style="19" min="14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F3" s="92" t="inlineStr">
        <is>
          <t>From Last Month</t>
        </is>
      </c>
      <c r="G3" s="90" t="n"/>
      <c r="H3" s="90" t="n"/>
      <c r="I3" s="91" t="n"/>
      <c r="J3" s="34">
        <f>'24-04'!J14</f>
        <v/>
      </c>
    </row>
    <row r="4">
      <c r="A4" s="31" t="n">
        <v>45383</v>
      </c>
      <c r="B4" s="32" t="inlineStr">
        <is>
          <t>Belanja Makan</t>
        </is>
      </c>
      <c r="C4" s="33" t="n">
        <v>3751</v>
      </c>
      <c r="D4" s="33">
        <f>D3-C4</f>
        <v/>
      </c>
      <c r="F4" s="89" t="n">
        <v>1</v>
      </c>
      <c r="G4" s="21" t="inlineStr">
        <is>
          <t>Uang Bulanan</t>
        </is>
      </c>
      <c r="H4" s="33" t="n">
        <v>55000</v>
      </c>
      <c r="I4" s="82" t="n"/>
      <c r="J4" s="33">
        <f>J3-H4+I4</f>
        <v/>
      </c>
    </row>
    <row r="5">
      <c r="A5" s="31" t="n">
        <v>45384</v>
      </c>
      <c r="B5" s="32" t="n"/>
      <c r="C5" s="33" t="n"/>
      <c r="D5" s="33">
        <f>D4-C5</f>
        <v/>
      </c>
      <c r="F5" s="89" t="n">
        <v>2</v>
      </c>
      <c r="G5" s="21" t="inlineStr">
        <is>
          <t>Tuition</t>
        </is>
      </c>
      <c r="H5" s="33" t="n">
        <v>634320</v>
      </c>
      <c r="I5" s="82" t="n"/>
      <c r="J5" s="33">
        <f>J4-H5+I5</f>
        <v/>
      </c>
    </row>
    <row r="6">
      <c r="A6" s="31" t="n">
        <v>45385</v>
      </c>
      <c r="B6" s="22" t="inlineStr">
        <is>
          <t>Belanja</t>
        </is>
      </c>
      <c r="C6" s="33">
        <f>297+690</f>
        <v/>
      </c>
      <c r="D6" s="33">
        <f>D5-C6</f>
        <v/>
      </c>
      <c r="F6" s="89" t="n">
        <v>3</v>
      </c>
      <c r="G6" s="21" t="inlineStr">
        <is>
          <t>Transfer</t>
        </is>
      </c>
      <c r="H6" s="33" t="n"/>
      <c r="I6" s="82" t="n">
        <v>400000</v>
      </c>
      <c r="J6" s="33">
        <f>J5-H6+I6</f>
        <v/>
      </c>
    </row>
    <row r="7">
      <c r="A7" s="31" t="n">
        <v>45386</v>
      </c>
      <c r="B7" s="22" t="inlineStr">
        <is>
          <t>Belanja Makan</t>
        </is>
      </c>
      <c r="C7" s="33">
        <f>740+410</f>
        <v/>
      </c>
      <c r="D7" s="33">
        <f>D6-C7</f>
        <v/>
      </c>
      <c r="F7" s="89" t="n">
        <v>4</v>
      </c>
      <c r="G7" s="21" t="inlineStr">
        <is>
          <t>Rent</t>
        </is>
      </c>
      <c r="H7" s="33" t="n">
        <v>71530</v>
      </c>
      <c r="J7" s="33">
        <f>J6-H7+I7</f>
        <v/>
      </c>
    </row>
    <row r="8">
      <c r="A8" s="31" t="n">
        <v>45387</v>
      </c>
      <c r="B8" s="22" t="n"/>
      <c r="C8" s="33" t="n"/>
      <c r="D8" s="33">
        <f>D7-C8</f>
        <v/>
      </c>
      <c r="F8" s="89" t="n">
        <v>5</v>
      </c>
      <c r="G8" s="21" t="inlineStr">
        <is>
          <t xml:space="preserve">Listrik </t>
        </is>
      </c>
      <c r="H8" s="33" t="n">
        <v>6141</v>
      </c>
      <c r="I8" s="82" t="n"/>
      <c r="J8" s="33">
        <f>J7-H8+I8</f>
        <v/>
      </c>
    </row>
    <row r="9">
      <c r="A9" s="31" t="n">
        <v>45388</v>
      </c>
      <c r="B9" s="21" t="inlineStr">
        <is>
          <t>Belanja Makan</t>
        </is>
      </c>
      <c r="C9" s="33" t="n">
        <v>2337</v>
      </c>
      <c r="D9" s="33">
        <f>D8-C10</f>
        <v/>
      </c>
      <c r="F9" s="89" t="inlineStr">
        <is>
          <t>Sisa</t>
        </is>
      </c>
      <c r="G9" s="90" t="n"/>
      <c r="H9" s="90" t="n"/>
      <c r="I9" s="91" t="n"/>
      <c r="J9" s="33">
        <f>J8-H9+I9</f>
        <v/>
      </c>
    </row>
    <row r="10">
      <c r="A10" s="31" t="n">
        <v>45389</v>
      </c>
      <c r="B10" s="22" t="inlineStr">
        <is>
          <t>Belanja</t>
        </is>
      </c>
      <c r="C10" s="33" t="n">
        <v>4665</v>
      </c>
      <c r="D10" s="33">
        <f>D9-C11</f>
        <v/>
      </c>
      <c r="H10" s="33" t="n"/>
      <c r="I10" s="82" t="n"/>
      <c r="J10" s="33" t="n"/>
    </row>
    <row r="11">
      <c r="B11" s="22" t="inlineStr">
        <is>
          <t>Makan</t>
        </is>
      </c>
      <c r="C11" s="33">
        <f>150+140+250</f>
        <v/>
      </c>
      <c r="D11" s="33">
        <f>D10-C12</f>
        <v/>
      </c>
      <c r="H11" s="33" t="n"/>
      <c r="I11" s="82" t="n"/>
      <c r="J11" s="33" t="n"/>
    </row>
    <row r="12">
      <c r="A12" s="31" t="n">
        <v>45390</v>
      </c>
      <c r="B12" s="22" t="n"/>
      <c r="C12" s="33" t="n"/>
      <c r="D12" s="33">
        <f>D11-C13</f>
        <v/>
      </c>
      <c r="H12" s="33" t="n"/>
      <c r="I12" s="82" t="n"/>
      <c r="J12" s="33" t="n"/>
    </row>
    <row r="13">
      <c r="A13" s="31" t="n">
        <v>45391</v>
      </c>
      <c r="B13" s="22" t="inlineStr">
        <is>
          <t>Belanja</t>
        </is>
      </c>
      <c r="C13" s="33" t="n">
        <v>770</v>
      </c>
      <c r="D13" s="33">
        <f>D12-C14</f>
        <v/>
      </c>
      <c r="H13" s="33" t="n"/>
      <c r="I13" s="82" t="n"/>
      <c r="J13" s="33" t="n"/>
    </row>
    <row r="14">
      <c r="B14" s="22" t="inlineStr">
        <is>
          <t>Belanja Makan</t>
        </is>
      </c>
      <c r="C14" s="33">
        <f>250+343+1000</f>
        <v/>
      </c>
      <c r="D14" s="33">
        <f>D13-C15</f>
        <v/>
      </c>
      <c r="H14" s="33" t="n"/>
      <c r="I14" s="82" t="n"/>
      <c r="J14" s="33" t="n"/>
    </row>
    <row r="15">
      <c r="A15" s="31" t="n">
        <v>45392</v>
      </c>
      <c r="B15" s="22" t="inlineStr">
        <is>
          <t>Belanja</t>
        </is>
      </c>
      <c r="C15" s="33">
        <f>450+300</f>
        <v/>
      </c>
      <c r="D15" s="33">
        <f>D14-C16</f>
        <v/>
      </c>
      <c r="H15" s="33" t="n"/>
      <c r="I15" s="82" t="n"/>
      <c r="J15" s="33" t="n"/>
    </row>
    <row r="16">
      <c r="B16" s="22" t="inlineStr">
        <is>
          <t>Belanja</t>
        </is>
      </c>
      <c r="C16" s="33" t="n">
        <v>216</v>
      </c>
      <c r="D16" s="33">
        <f>D15-C17</f>
        <v/>
      </c>
      <c r="H16" s="33" t="n"/>
      <c r="I16" s="82" t="n"/>
      <c r="J16" s="33" t="n"/>
    </row>
    <row r="17">
      <c r="A17" s="31" t="n">
        <v>45393</v>
      </c>
      <c r="B17" s="22" t="inlineStr">
        <is>
          <t>Belanja Makan</t>
        </is>
      </c>
      <c r="C17" s="33" t="n">
        <v>2263</v>
      </c>
      <c r="D17" s="33">
        <f>D16-C18</f>
        <v/>
      </c>
    </row>
    <row r="18">
      <c r="A18" s="31" t="n">
        <v>45394</v>
      </c>
      <c r="B18" s="22" t="inlineStr">
        <is>
          <t>Belanja</t>
        </is>
      </c>
      <c r="C18" s="33">
        <f>3533-1700</f>
        <v/>
      </c>
      <c r="D18" s="33">
        <f>D17-C19</f>
        <v/>
      </c>
    </row>
    <row r="19">
      <c r="B19" s="22" t="inlineStr">
        <is>
          <t>Belanja</t>
        </is>
      </c>
      <c r="C19" s="33">
        <f>968-480</f>
        <v/>
      </c>
      <c r="D19" s="33">
        <f>D18-C20</f>
        <v/>
      </c>
    </row>
    <row r="20">
      <c r="A20" s="31" t="n">
        <v>45395</v>
      </c>
      <c r="B20" s="22" t="n"/>
      <c r="C20" s="33" t="n"/>
      <c r="D20" s="33">
        <f>D19-C21</f>
        <v/>
      </c>
    </row>
    <row r="21">
      <c r="A21" s="31" t="n">
        <v>45396</v>
      </c>
      <c r="B21" s="22" t="inlineStr">
        <is>
          <t>Belanja</t>
        </is>
      </c>
      <c r="C21" s="33">
        <f>118+170+968</f>
        <v/>
      </c>
      <c r="D21" s="33">
        <f>D20-C22</f>
        <v/>
      </c>
    </row>
    <row r="22">
      <c r="A22" s="31" t="n">
        <v>45397</v>
      </c>
      <c r="B22" s="22" t="inlineStr">
        <is>
          <t>Sukiya Leo</t>
        </is>
      </c>
      <c r="C22" s="33" t="n"/>
      <c r="D22" s="33">
        <f>D21-C23</f>
        <v/>
      </c>
    </row>
    <row r="23">
      <c r="A23" s="31" t="n">
        <v>45398</v>
      </c>
      <c r="B23" s="22" t="inlineStr">
        <is>
          <t>Belanja Makan</t>
        </is>
      </c>
      <c r="C23" s="33">
        <f>2761+500+160</f>
        <v/>
      </c>
      <c r="D23" s="33">
        <f>D22-C24</f>
        <v/>
      </c>
    </row>
    <row r="24">
      <c r="A24" s="31" t="n">
        <v>45399</v>
      </c>
      <c r="B24" s="22" t="inlineStr">
        <is>
          <t>Makan</t>
        </is>
      </c>
      <c r="C24" s="33" t="n">
        <v>500</v>
      </c>
      <c r="D24" s="33">
        <f>D23-C25</f>
        <v/>
      </c>
    </row>
    <row r="25">
      <c r="A25" s="31" t="n">
        <v>45400</v>
      </c>
      <c r="B25" s="21" t="inlineStr">
        <is>
          <t>Kipas anging</t>
        </is>
      </c>
      <c r="C25" s="33" t="n">
        <v>3800</v>
      </c>
      <c r="D25" s="33">
        <f>D24-C26</f>
        <v/>
      </c>
    </row>
    <row r="26">
      <c r="A26" s="31" t="n">
        <v>45401</v>
      </c>
      <c r="B26" s="22" t="inlineStr">
        <is>
          <t>Belanja Makan</t>
        </is>
      </c>
      <c r="C26" s="33" t="n"/>
      <c r="D26" s="33">
        <f>D25-C27</f>
        <v/>
      </c>
    </row>
    <row r="27">
      <c r="A27" s="31" t="n">
        <v>45402</v>
      </c>
      <c r="B27" s="22" t="inlineStr">
        <is>
          <t>Makan</t>
        </is>
      </c>
      <c r="C27" s="33">
        <f>380+138</f>
        <v/>
      </c>
      <c r="D27" s="33">
        <f>D26-C28</f>
        <v/>
      </c>
    </row>
    <row r="28">
      <c r="B28" s="22" t="inlineStr">
        <is>
          <t>Belanja</t>
        </is>
      </c>
      <c r="C28" s="33">
        <f>138+220</f>
        <v/>
      </c>
      <c r="D28" s="33">
        <f>D27-C29</f>
        <v/>
      </c>
    </row>
    <row r="29">
      <c r="A29" s="31" t="n">
        <v>45403</v>
      </c>
      <c r="B29" s="22" t="n"/>
      <c r="C29" s="33" t="n"/>
      <c r="D29" s="33">
        <f>D28-C30</f>
        <v/>
      </c>
    </row>
    <row r="30">
      <c r="A30" s="31" t="n">
        <v>45404</v>
      </c>
      <c r="B30" s="22" t="n"/>
      <c r="C30" s="33" t="n"/>
      <c r="D30" s="33">
        <f>D29-C31</f>
        <v/>
      </c>
    </row>
    <row r="31">
      <c r="A31" s="31" t="n">
        <v>45405</v>
      </c>
      <c r="B31" s="22" t="n"/>
      <c r="C31" s="33" t="n"/>
      <c r="D31" s="33">
        <f>D30-C32</f>
        <v/>
      </c>
    </row>
    <row r="32">
      <c r="A32" s="31" t="n">
        <v>45406</v>
      </c>
      <c r="B32" s="22" t="inlineStr">
        <is>
          <t>Belanja</t>
        </is>
      </c>
      <c r="C32" s="33">
        <f>160+500+150+332+300+170</f>
        <v/>
      </c>
      <c r="D32" s="33">
        <f>D31-C33</f>
        <v/>
      </c>
    </row>
    <row r="33">
      <c r="A33" s="31" t="n">
        <v>45407</v>
      </c>
      <c r="B33" s="22" t="inlineStr">
        <is>
          <t>Belanja Makan</t>
        </is>
      </c>
      <c r="C33" s="33" t="n">
        <v>1712</v>
      </c>
      <c r="D33" s="33">
        <f>D32-C34</f>
        <v/>
      </c>
    </row>
    <row r="34">
      <c r="A34" s="31" t="n">
        <v>45408</v>
      </c>
      <c r="B34" s="22" t="n"/>
      <c r="C34" s="33" t="n"/>
      <c r="D34" s="33">
        <f>D33-C35</f>
        <v/>
      </c>
    </row>
    <row r="35">
      <c r="A35" s="31" t="n">
        <v>45409</v>
      </c>
      <c r="B35" s="22" t="inlineStr">
        <is>
          <t>Makan</t>
        </is>
      </c>
      <c r="C35" s="33">
        <f>109+217</f>
        <v/>
      </c>
      <c r="D35" s="33">
        <f>D34-C36</f>
        <v/>
      </c>
    </row>
    <row r="36">
      <c r="A36" s="31" t="n">
        <v>45410</v>
      </c>
      <c r="B36" s="22" t="n"/>
      <c r="C36" s="33" t="n"/>
      <c r="D36" s="33">
        <f>D35-C36</f>
        <v/>
      </c>
    </row>
    <row r="37">
      <c r="A37" s="31" t="n">
        <v>45411</v>
      </c>
      <c r="B37" s="22" t="inlineStr">
        <is>
          <t>Belanja Makan</t>
        </is>
      </c>
      <c r="C37" s="33">
        <f>480+3837</f>
        <v/>
      </c>
      <c r="D37" s="33">
        <f>D36-C37</f>
        <v/>
      </c>
    </row>
    <row r="38">
      <c r="A38" s="31" t="n">
        <v>45412</v>
      </c>
      <c r="B38" s="22" t="inlineStr">
        <is>
          <t>SIM</t>
        </is>
      </c>
      <c r="C38" s="33" t="n">
        <v>1270</v>
      </c>
      <c r="D38" s="33">
        <f>D37-C38</f>
        <v/>
      </c>
    </row>
    <row r="39">
      <c r="A39" s="101" t="inlineStr">
        <is>
          <t>Sisa</t>
        </is>
      </c>
      <c r="B39" s="90" t="n"/>
      <c r="C39" s="91" t="n"/>
      <c r="D39" s="34">
        <f>D38-C39</f>
        <v/>
      </c>
    </row>
  </sheetData>
  <mergeCells count="6">
    <mergeCell ref="A1:D1"/>
    <mergeCell ref="F9:I9"/>
    <mergeCell ref="F3:I3"/>
    <mergeCell ref="A3:C3"/>
    <mergeCell ref="A39:C39"/>
    <mergeCell ref="F1:J1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41"/>
  <sheetViews>
    <sheetView topLeftCell="A33" zoomScale="175" zoomScaleNormal="175" workbookViewId="0">
      <selection activeCell="B35" sqref="B35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21" min="3" max="4"/>
    <col width="8.77734375" customWidth="1" style="19" min="5" max="5"/>
    <col width="4" customWidth="1" style="89" min="6" max="6"/>
    <col width="37.77734375" customWidth="1" style="21" min="7" max="7"/>
    <col width="17.33203125" customWidth="1" style="21" min="8" max="10"/>
    <col width="8.77734375" customWidth="1" style="19" min="11" max="11"/>
    <col width="8.77734375" customWidth="1" style="19" min="12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F3" s="92" t="inlineStr">
        <is>
          <t>From Last Month</t>
        </is>
      </c>
      <c r="G3" s="90" t="n"/>
      <c r="H3" s="90" t="n"/>
      <c r="I3" s="91" t="n"/>
      <c r="J3" s="34">
        <f>'24-05'!J9</f>
        <v/>
      </c>
    </row>
    <row r="4">
      <c r="A4" s="31" t="n">
        <v>45444</v>
      </c>
      <c r="B4" s="32" t="inlineStr">
        <is>
          <t>Belanja Makan</t>
        </is>
      </c>
      <c r="C4" s="33" t="n">
        <v>2479</v>
      </c>
      <c r="D4" s="33">
        <f>D3-C4</f>
        <v/>
      </c>
      <c r="F4" s="89" t="n">
        <v>1</v>
      </c>
      <c r="G4" s="21" t="inlineStr">
        <is>
          <t>Uang Bulanan</t>
        </is>
      </c>
      <c r="H4" s="33" t="n">
        <v>55000</v>
      </c>
      <c r="I4" s="33" t="n"/>
      <c r="J4" s="33">
        <f>J3-H4+I4</f>
        <v/>
      </c>
    </row>
    <row r="5">
      <c r="A5" s="31" t="n">
        <v>45445</v>
      </c>
      <c r="B5" s="32" t="inlineStr">
        <is>
          <t>Belanja</t>
        </is>
      </c>
      <c r="C5" s="33">
        <f>203+110</f>
        <v/>
      </c>
      <c r="D5" s="33">
        <f>D4-C5</f>
        <v/>
      </c>
      <c r="F5" s="89" t="n">
        <v>2</v>
      </c>
      <c r="G5" s="21" t="inlineStr">
        <is>
          <t>Insurance</t>
        </is>
      </c>
      <c r="H5" s="33" t="n">
        <v>29612</v>
      </c>
      <c r="I5" s="33" t="n"/>
      <c r="J5" s="33">
        <f>J4-H5+I5</f>
        <v/>
      </c>
    </row>
    <row r="6">
      <c r="A6" s="31" t="n">
        <v>45446</v>
      </c>
      <c r="B6" s="22" t="inlineStr">
        <is>
          <t>Belanja</t>
        </is>
      </c>
      <c r="C6" s="33" t="n">
        <v>548</v>
      </c>
      <c r="D6" s="33">
        <f>D5-C6</f>
        <v/>
      </c>
      <c r="F6" s="89" t="n">
        <v>3</v>
      </c>
      <c r="G6" s="21" t="inlineStr">
        <is>
          <t>Rent</t>
        </is>
      </c>
      <c r="H6" s="33" t="n">
        <v>71530</v>
      </c>
      <c r="I6" s="33" t="n"/>
      <c r="J6" s="33">
        <f>J5-H6+I6</f>
        <v/>
      </c>
    </row>
    <row r="7">
      <c r="B7" s="22" t="inlineStr">
        <is>
          <t>Belanja</t>
        </is>
      </c>
      <c r="C7" s="33">
        <f>650</f>
        <v/>
      </c>
      <c r="D7" s="33">
        <f>D6-C7</f>
        <v/>
      </c>
      <c r="F7" s="89" t="n">
        <v>4</v>
      </c>
      <c r="G7" s="21" t="inlineStr">
        <is>
          <t>Listrik</t>
        </is>
      </c>
      <c r="H7" s="33" t="n">
        <v>5625</v>
      </c>
      <c r="I7" s="33" t="n"/>
      <c r="J7" s="33">
        <f>J6-H7+I7</f>
        <v/>
      </c>
    </row>
    <row r="8">
      <c r="A8" s="31" t="n">
        <v>45447</v>
      </c>
      <c r="B8" s="22" t="inlineStr">
        <is>
          <t>Charge Coop</t>
        </is>
      </c>
      <c r="C8" s="33" t="n">
        <v>5000</v>
      </c>
      <c r="D8" s="33">
        <f>D7-C8</f>
        <v/>
      </c>
      <c r="F8" s="89" t="inlineStr">
        <is>
          <t>Sisa</t>
        </is>
      </c>
      <c r="G8" s="90" t="n"/>
      <c r="H8" s="90" t="n"/>
      <c r="I8" s="91" t="n"/>
      <c r="J8" s="33">
        <f>J7-H8+I8</f>
        <v/>
      </c>
    </row>
    <row r="9">
      <c r="A9" s="31" t="n">
        <v>45448</v>
      </c>
      <c r="B9" s="22" t="inlineStr">
        <is>
          <t>Belanja</t>
        </is>
      </c>
      <c r="C9" s="33">
        <f>576+130</f>
        <v/>
      </c>
      <c r="D9" s="33">
        <f>D8-C9</f>
        <v/>
      </c>
      <c r="H9" s="33" t="n"/>
      <c r="I9" s="33" t="n"/>
      <c r="J9" s="33" t="n"/>
    </row>
    <row r="10">
      <c r="A10" s="31" t="n">
        <v>45449</v>
      </c>
      <c r="B10" s="22" t="inlineStr">
        <is>
          <t>Belanja Makan</t>
        </is>
      </c>
      <c r="C10" s="33">
        <f>1013+105</f>
        <v/>
      </c>
      <c r="D10" s="33">
        <f>D9-C10</f>
        <v/>
      </c>
      <c r="H10" s="33" t="n"/>
      <c r="I10" s="33" t="n"/>
      <c r="J10" s="33" t="n"/>
    </row>
    <row r="11">
      <c r="A11" s="31" t="n">
        <v>45450</v>
      </c>
      <c r="B11" s="21" t="inlineStr">
        <is>
          <t>Makan</t>
        </is>
      </c>
      <c r="C11" s="33" t="n">
        <v>500</v>
      </c>
      <c r="D11" s="33">
        <f>D10-C11</f>
        <v/>
      </c>
      <c r="H11" s="33" t="n"/>
      <c r="I11" s="33" t="n"/>
      <c r="J11" s="33" t="n"/>
    </row>
    <row r="12">
      <c r="A12" s="31" t="n">
        <v>45451</v>
      </c>
      <c r="B12" s="22" t="n"/>
      <c r="C12" s="33" t="n"/>
      <c r="D12" s="33">
        <f>D11-C12</f>
        <v/>
      </c>
      <c r="H12" s="33" t="n"/>
      <c r="I12" s="33" t="n"/>
      <c r="J12" s="33" t="n"/>
    </row>
    <row r="13">
      <c r="A13" s="31" t="n">
        <v>45452</v>
      </c>
      <c r="B13" s="22" t="inlineStr">
        <is>
          <t>Belanja</t>
        </is>
      </c>
      <c r="C13" s="33">
        <f>129+110+770</f>
        <v/>
      </c>
      <c r="D13" s="33">
        <f>D12-C13</f>
        <v/>
      </c>
      <c r="H13" s="33" t="n"/>
      <c r="I13" s="33" t="n"/>
      <c r="J13" s="33" t="n"/>
    </row>
    <row r="14">
      <c r="B14" s="22" t="inlineStr">
        <is>
          <t>Belanja Makan</t>
        </is>
      </c>
      <c r="C14" s="33">
        <f>2275-350</f>
        <v/>
      </c>
      <c r="D14" s="33">
        <f>D13-C14</f>
        <v/>
      </c>
      <c r="H14" s="33" t="n"/>
      <c r="I14" s="33" t="n"/>
      <c r="J14" s="33" t="n"/>
    </row>
    <row r="15">
      <c r="A15" s="31" t="n">
        <v>45453</v>
      </c>
      <c r="B15" s="22" t="inlineStr">
        <is>
          <t>Makan</t>
        </is>
      </c>
      <c r="C15" s="33" t="n">
        <v>570</v>
      </c>
      <c r="D15" s="33">
        <f>D14-C15</f>
        <v/>
      </c>
      <c r="H15" s="33" t="n"/>
      <c r="I15" s="33" t="n"/>
      <c r="J15" s="33" t="n"/>
    </row>
    <row r="16">
      <c r="A16" s="31" t="n">
        <v>45454</v>
      </c>
      <c r="B16" s="22" t="inlineStr">
        <is>
          <t>Beras</t>
        </is>
      </c>
      <c r="C16" s="33" t="n">
        <v>2000</v>
      </c>
      <c r="D16" s="33">
        <f>D15-C16</f>
        <v/>
      </c>
      <c r="H16" s="33" t="n"/>
      <c r="I16" s="33" t="n"/>
      <c r="J16" s="33" t="n"/>
    </row>
    <row r="17">
      <c r="B17" s="22" t="inlineStr">
        <is>
          <t>Makan</t>
        </is>
      </c>
      <c r="C17" s="33" t="n">
        <v>343</v>
      </c>
      <c r="D17" s="33">
        <f>D16-C17</f>
        <v/>
      </c>
    </row>
    <row r="18">
      <c r="B18" s="22" t="inlineStr">
        <is>
          <t>Belanja</t>
        </is>
      </c>
      <c r="C18" s="33" t="n">
        <v>1765</v>
      </c>
      <c r="D18" s="33">
        <f>D17-C18</f>
        <v/>
      </c>
    </row>
    <row r="19">
      <c r="A19" s="31" t="n">
        <v>45455</v>
      </c>
      <c r="B19" s="22" t="n"/>
      <c r="C19" s="33" t="n"/>
      <c r="D19" s="33">
        <f>D18-C19</f>
        <v/>
      </c>
    </row>
    <row r="20">
      <c r="A20" s="31" t="n">
        <v>45456</v>
      </c>
      <c r="B20" s="22" t="inlineStr">
        <is>
          <t>Belanja Makan</t>
        </is>
      </c>
      <c r="C20" s="33">
        <f>1664+1675</f>
        <v/>
      </c>
      <c r="D20" s="33">
        <f>D19-C20</f>
        <v/>
      </c>
    </row>
    <row r="21">
      <c r="A21" s="31" t="n">
        <v>45457</v>
      </c>
      <c r="B21" s="22" t="inlineStr">
        <is>
          <t>Belanja</t>
        </is>
      </c>
      <c r="C21" s="33" t="n">
        <v>379</v>
      </c>
      <c r="D21" s="33">
        <f>D20-C21</f>
        <v/>
      </c>
    </row>
    <row r="22">
      <c r="A22" s="31" t="n">
        <v>45458</v>
      </c>
      <c r="B22" s="22" t="n"/>
      <c r="C22" s="33" t="n"/>
      <c r="D22" s="33">
        <f>D21-C22</f>
        <v/>
      </c>
    </row>
    <row r="23">
      <c r="A23" s="31" t="n">
        <v>45459</v>
      </c>
      <c r="B23" s="22" t="inlineStr">
        <is>
          <t>Belanja Makan</t>
        </is>
      </c>
      <c r="C23" s="33" t="n">
        <v>1828</v>
      </c>
      <c r="D23" s="33">
        <f>D22-C23</f>
        <v/>
      </c>
    </row>
    <row r="24">
      <c r="A24" s="31" t="n">
        <v>45460</v>
      </c>
      <c r="B24" s="22" t="inlineStr">
        <is>
          <t>Makan</t>
        </is>
      </c>
      <c r="C24" s="33" t="n">
        <v>360</v>
      </c>
      <c r="D24" s="33">
        <f>D23-C24</f>
        <v/>
      </c>
    </row>
    <row r="25">
      <c r="A25" s="31" t="n">
        <v>45461</v>
      </c>
      <c r="B25" s="22" t="inlineStr">
        <is>
          <t>Belanja</t>
        </is>
      </c>
      <c r="C25" s="33" t="n">
        <v>875</v>
      </c>
      <c r="D25" s="33">
        <f>D24-C25</f>
        <v/>
      </c>
    </row>
    <row r="26">
      <c r="A26" s="31" t="n">
        <v>45462</v>
      </c>
      <c r="B26" s="22" t="inlineStr">
        <is>
          <t>Belanja Makan</t>
        </is>
      </c>
      <c r="C26" s="33" t="n">
        <v>1631</v>
      </c>
      <c r="D26" s="33">
        <f>D25-C26</f>
        <v/>
      </c>
    </row>
    <row r="27">
      <c r="A27" s="31" t="n">
        <v>45463</v>
      </c>
      <c r="B27" s="22" t="inlineStr">
        <is>
          <t>Belanja</t>
        </is>
      </c>
      <c r="C27" s="33" t="n">
        <v>1472</v>
      </c>
      <c r="D27" s="33">
        <f>D26-C27</f>
        <v/>
      </c>
    </row>
    <row r="28">
      <c r="A28" s="31" t="n">
        <v>45464</v>
      </c>
      <c r="B28" s="22" t="n"/>
      <c r="C28" s="33" t="n"/>
      <c r="D28" s="33">
        <f>D27-C28</f>
        <v/>
      </c>
    </row>
    <row r="29">
      <c r="A29" s="31" t="n">
        <v>45465</v>
      </c>
      <c r="B29" s="22" t="inlineStr">
        <is>
          <t>Belanja</t>
        </is>
      </c>
      <c r="C29" s="33" t="n">
        <v>572</v>
      </c>
      <c r="D29" s="33">
        <f>D28-C29</f>
        <v/>
      </c>
    </row>
    <row r="30">
      <c r="A30" s="31" t="n">
        <v>45466</v>
      </c>
      <c r="B30" s="22" t="inlineStr">
        <is>
          <t>Belanja Makan</t>
        </is>
      </c>
      <c r="C30" s="33" t="n">
        <v>1889</v>
      </c>
      <c r="D30" s="33">
        <f>D29-C30</f>
        <v/>
      </c>
    </row>
    <row r="31">
      <c r="B31" s="22" t="inlineStr">
        <is>
          <t>Makan</t>
        </is>
      </c>
      <c r="C31" s="33" t="n">
        <v>340</v>
      </c>
      <c r="D31" s="33">
        <f>D30-C31</f>
        <v/>
      </c>
    </row>
    <row r="32">
      <c r="A32" s="31" t="n">
        <v>45467</v>
      </c>
      <c r="B32" s="22" t="n"/>
      <c r="C32" s="33" t="n"/>
      <c r="D32" s="33">
        <f>D31-C32</f>
        <v/>
      </c>
    </row>
    <row r="33">
      <c r="A33" s="31" t="n">
        <v>45468</v>
      </c>
      <c r="B33" s="22" t="n"/>
      <c r="C33" s="33" t="n"/>
      <c r="D33" s="33">
        <f>D32-C33</f>
        <v/>
      </c>
    </row>
    <row r="34">
      <c r="A34" s="31" t="n">
        <v>45469</v>
      </c>
      <c r="B34" s="22" t="inlineStr">
        <is>
          <t>Belanja Makan</t>
        </is>
      </c>
      <c r="C34" s="33">
        <f>110+129+255+172+2053</f>
        <v/>
      </c>
      <c r="D34" s="33">
        <f>D33-C34</f>
        <v/>
      </c>
    </row>
    <row r="35">
      <c r="A35" s="31" t="n">
        <v>45470</v>
      </c>
      <c r="B35" s="22" t="n"/>
      <c r="C35" s="33" t="n"/>
      <c r="D35" s="33">
        <f>D34-C35</f>
        <v/>
      </c>
    </row>
    <row r="36">
      <c r="A36" s="31" t="n">
        <v>45471</v>
      </c>
      <c r="B36" s="22" t="inlineStr">
        <is>
          <t>Belanja Makan</t>
        </is>
      </c>
      <c r="C36" s="33" t="n">
        <v>1148</v>
      </c>
      <c r="D36" s="33">
        <f>D35-C36</f>
        <v/>
      </c>
    </row>
    <row r="37">
      <c r="A37" s="31" t="n"/>
      <c r="B37" s="22" t="inlineStr">
        <is>
          <t>Makan</t>
        </is>
      </c>
      <c r="C37" s="33" t="n">
        <v>905</v>
      </c>
      <c r="D37" s="33">
        <f>D36-C37</f>
        <v/>
      </c>
    </row>
    <row r="38">
      <c r="A38" s="31" t="n">
        <v>45472</v>
      </c>
      <c r="B38" s="22" t="inlineStr">
        <is>
          <t>Belanja</t>
        </is>
      </c>
      <c r="C38" s="33" t="n">
        <v>409</v>
      </c>
      <c r="D38" s="33">
        <f>D37-C38</f>
        <v/>
      </c>
    </row>
    <row r="39">
      <c r="A39" s="31" t="n">
        <v>45473</v>
      </c>
      <c r="B39" s="21" t="inlineStr">
        <is>
          <t>Belanja Makan</t>
        </is>
      </c>
      <c r="C39" s="33" t="n">
        <v>1478</v>
      </c>
      <c r="D39" s="33">
        <f>D38-C39</f>
        <v/>
      </c>
    </row>
    <row r="40">
      <c r="A40" s="31" t="n"/>
      <c r="B40" s="22" t="inlineStr">
        <is>
          <t>SIM</t>
        </is>
      </c>
      <c r="C40" s="33" t="n">
        <v>1347</v>
      </c>
      <c r="D40" s="33">
        <f>D39-C40</f>
        <v/>
      </c>
    </row>
    <row r="41">
      <c r="A41" s="101" t="inlineStr">
        <is>
          <t>Sisa</t>
        </is>
      </c>
      <c r="B41" s="90" t="n"/>
      <c r="C41" s="91" t="n"/>
      <c r="D41" s="34">
        <f>D40-C41</f>
        <v/>
      </c>
    </row>
  </sheetData>
  <mergeCells count="6">
    <mergeCell ref="A1:D1"/>
    <mergeCell ref="A41:C41"/>
    <mergeCell ref="F8:I8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52"/>
  <sheetViews>
    <sheetView topLeftCell="A37" zoomScale="145" zoomScaleNormal="145" workbookViewId="0">
      <selection activeCell="C53" sqref="C53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21" min="3" max="4"/>
    <col width="8.77734375" customWidth="1" style="19" min="5" max="5"/>
    <col width="4" customWidth="1" style="89" min="6" max="6"/>
    <col width="37.77734375" customWidth="1" style="21" min="7" max="7"/>
    <col width="17.33203125" customWidth="1" style="21" min="8" max="10"/>
    <col width="8.77734375" customWidth="1" style="19" min="11" max="11"/>
    <col width="8.77734375" customWidth="1" style="19" min="12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F3" s="92" t="inlineStr">
        <is>
          <t>From Last Month</t>
        </is>
      </c>
      <c r="G3" s="90" t="n"/>
      <c r="H3" s="90" t="n"/>
      <c r="I3" s="91" t="n"/>
      <c r="J3" s="34">
        <f>'24-06'!J8</f>
        <v/>
      </c>
    </row>
    <row r="4">
      <c r="A4" s="31" t="n">
        <v>45474</v>
      </c>
      <c r="B4" s="32" t="n"/>
      <c r="C4" s="33" t="n"/>
      <c r="D4" s="33">
        <f>D3-C4</f>
        <v/>
      </c>
      <c r="F4" s="89" t="n">
        <v>1</v>
      </c>
      <c r="G4" s="21" t="inlineStr">
        <is>
          <t>Uang Bulanan</t>
        </is>
      </c>
      <c r="H4" s="33" t="n">
        <v>55000</v>
      </c>
      <c r="I4" s="53" t="n"/>
      <c r="J4" s="33">
        <f>J3-H4+I4</f>
        <v/>
      </c>
    </row>
    <row r="5">
      <c r="A5" s="31" t="n">
        <v>45475</v>
      </c>
      <c r="B5" s="32" t="inlineStr">
        <is>
          <t>Belanja</t>
        </is>
      </c>
      <c r="C5" s="33">
        <f>230+1453</f>
        <v/>
      </c>
      <c r="D5" s="33">
        <f>D4-C5</f>
        <v/>
      </c>
      <c r="F5" s="89" t="n">
        <v>2</v>
      </c>
      <c r="G5" s="21" t="inlineStr">
        <is>
          <t>Rent</t>
        </is>
      </c>
      <c r="H5" s="33" t="n">
        <v>71530</v>
      </c>
      <c r="I5" s="53" t="n"/>
      <c r="J5" s="33">
        <f>J4-H5+I5</f>
        <v/>
      </c>
    </row>
    <row r="6">
      <c r="A6" s="31" t="n">
        <v>45476</v>
      </c>
      <c r="B6" s="22" t="n"/>
      <c r="C6" s="33" t="n"/>
      <c r="D6" s="33">
        <f>D5-C6</f>
        <v/>
      </c>
      <c r="F6" s="89" t="n">
        <v>3</v>
      </c>
      <c r="G6" s="21" t="inlineStr">
        <is>
          <t>Uang Pa2</t>
        </is>
      </c>
      <c r="I6" s="53">
        <f>1250000+943000</f>
        <v/>
      </c>
      <c r="J6" s="33">
        <f>J5-H6+I6</f>
        <v/>
      </c>
    </row>
    <row r="7">
      <c r="A7" s="31" t="n">
        <v>45477</v>
      </c>
      <c r="B7" s="22" t="inlineStr">
        <is>
          <t>Belanja</t>
        </is>
      </c>
      <c r="C7" s="33">
        <f>370+140+110</f>
        <v/>
      </c>
      <c r="D7" s="33">
        <f>D6-C7</f>
        <v/>
      </c>
      <c r="F7" s="89" t="n">
        <v>4</v>
      </c>
      <c r="G7" s="21" t="inlineStr">
        <is>
          <t>Listrik</t>
        </is>
      </c>
      <c r="H7" s="33" t="n">
        <v>6402</v>
      </c>
      <c r="I7" s="53" t="n"/>
      <c r="J7" s="33">
        <f>J6-H7+I7</f>
        <v/>
      </c>
    </row>
    <row r="8">
      <c r="A8" s="31" t="n">
        <v>45478</v>
      </c>
      <c r="B8" s="22" t="inlineStr">
        <is>
          <t>Makan</t>
        </is>
      </c>
      <c r="C8" s="33" t="n">
        <v>730</v>
      </c>
      <c r="D8" s="33">
        <f>D7-C8</f>
        <v/>
      </c>
      <c r="F8" s="89" t="inlineStr">
        <is>
          <t>Sisa</t>
        </is>
      </c>
      <c r="G8" s="90" t="n"/>
      <c r="H8" s="90" t="n"/>
      <c r="I8" s="91" t="n"/>
      <c r="J8" s="33">
        <f>J7-H8+I8</f>
        <v/>
      </c>
    </row>
    <row r="9">
      <c r="A9" s="31" t="n">
        <v>45479</v>
      </c>
      <c r="B9" s="22" t="inlineStr">
        <is>
          <t>Belanja</t>
        </is>
      </c>
      <c r="C9" s="33" t="n">
        <v>878</v>
      </c>
      <c r="D9" s="33">
        <f>D8-C9</f>
        <v/>
      </c>
      <c r="H9" s="33" t="n"/>
      <c r="I9" s="53" t="n"/>
      <c r="J9" s="33" t="n"/>
    </row>
    <row r="10">
      <c r="A10" s="31" t="n">
        <v>45480</v>
      </c>
      <c r="B10" s="22" t="inlineStr">
        <is>
          <t>Makan</t>
        </is>
      </c>
      <c r="C10" s="33" t="n">
        <v>590</v>
      </c>
      <c r="D10" s="33">
        <f>D9-C10</f>
        <v/>
      </c>
      <c r="H10" s="33" t="n"/>
      <c r="I10" s="53" t="n"/>
      <c r="J10" s="33" t="n"/>
    </row>
    <row r="11">
      <c r="B11" s="22" t="inlineStr">
        <is>
          <t>Belanja</t>
        </is>
      </c>
      <c r="C11" s="33" t="n">
        <v>328</v>
      </c>
      <c r="D11" s="33">
        <f>D10-C11</f>
        <v/>
      </c>
      <c r="H11" s="33" t="n"/>
      <c r="I11" s="53" t="n"/>
      <c r="J11" s="33" t="n"/>
    </row>
    <row r="12">
      <c r="B12" s="22" t="inlineStr">
        <is>
          <t>Belanja</t>
        </is>
      </c>
      <c r="C12" s="33">
        <f>657+440</f>
        <v/>
      </c>
      <c r="D12" s="33">
        <f>D11-C12</f>
        <v/>
      </c>
      <c r="H12" s="33" t="n"/>
      <c r="I12" s="53" t="n"/>
      <c r="J12" s="33" t="n"/>
    </row>
    <row r="13">
      <c r="B13" s="22" t="inlineStr">
        <is>
          <t>Belanja Makan</t>
        </is>
      </c>
      <c r="C13" s="33">
        <f>967-260</f>
        <v/>
      </c>
      <c r="D13" s="33">
        <f>D12-C13</f>
        <v/>
      </c>
      <c r="H13" s="33" t="n"/>
      <c r="I13" s="53" t="n"/>
      <c r="J13" s="33" t="n"/>
    </row>
    <row r="14">
      <c r="A14" s="31" t="n">
        <v>45481</v>
      </c>
      <c r="B14" s="22" t="n"/>
      <c r="C14" s="33" t="n"/>
      <c r="D14" s="33">
        <f>D13-C14</f>
        <v/>
      </c>
      <c r="H14" s="33" t="n"/>
      <c r="I14" s="53" t="n"/>
      <c r="J14" s="33" t="n"/>
    </row>
    <row r="15">
      <c r="A15" s="31" t="n">
        <v>45482</v>
      </c>
      <c r="B15" s="22" t="inlineStr">
        <is>
          <t>Belanja Makan</t>
        </is>
      </c>
      <c r="C15" s="33">
        <f>289+3379</f>
        <v/>
      </c>
      <c r="D15" s="33">
        <f>D14-C15</f>
        <v/>
      </c>
      <c r="H15" s="33" t="n"/>
      <c r="I15" s="53" t="n"/>
      <c r="J15" s="33" t="n"/>
    </row>
    <row r="16">
      <c r="B16" s="22" t="inlineStr">
        <is>
          <t>Belanja</t>
        </is>
      </c>
      <c r="C16" s="33" t="n">
        <v>668</v>
      </c>
      <c r="D16" s="33">
        <f>D15-C16</f>
        <v/>
      </c>
      <c r="H16" s="33" t="n"/>
      <c r="I16" s="53" t="n"/>
      <c r="J16" s="33" t="n"/>
    </row>
    <row r="17">
      <c r="A17" s="31" t="n"/>
      <c r="B17" s="22" t="inlineStr">
        <is>
          <t>Makan</t>
        </is>
      </c>
      <c r="C17" s="33" t="n">
        <v>660</v>
      </c>
      <c r="D17" s="33">
        <f>D16-C17</f>
        <v/>
      </c>
    </row>
    <row r="18">
      <c r="A18" s="31" t="n">
        <v>45483</v>
      </c>
      <c r="B18" s="22" t="inlineStr">
        <is>
          <t>University Coop Member</t>
        </is>
      </c>
      <c r="C18" s="33" t="n">
        <v>5000</v>
      </c>
      <c r="D18" s="33">
        <f>D17-C18</f>
        <v/>
      </c>
    </row>
    <row r="19">
      <c r="A19" s="31" t="n">
        <v>45484</v>
      </c>
      <c r="B19" s="22" t="n"/>
      <c r="C19" s="33" t="n"/>
      <c r="D19" s="33">
        <f>D18-C19</f>
        <v/>
      </c>
    </row>
    <row r="20">
      <c r="A20" s="31" t="n">
        <v>45485</v>
      </c>
      <c r="B20" s="22" t="inlineStr">
        <is>
          <t>Belanja Makan</t>
        </is>
      </c>
      <c r="C20" s="33">
        <f>754+1064</f>
        <v/>
      </c>
      <c r="D20" s="33">
        <f>D19-C20</f>
        <v/>
      </c>
    </row>
    <row r="21">
      <c r="A21" s="31" t="n">
        <v>45486</v>
      </c>
      <c r="B21" s="22" t="inlineStr">
        <is>
          <t>Belanja Makan</t>
        </is>
      </c>
      <c r="C21" s="33">
        <f>440+818</f>
        <v/>
      </c>
      <c r="D21" s="33">
        <f>D20-C21</f>
        <v/>
      </c>
    </row>
    <row r="22">
      <c r="B22" s="22" t="inlineStr">
        <is>
          <t>Daiso</t>
        </is>
      </c>
      <c r="C22" s="34" t="n">
        <v>438</v>
      </c>
      <c r="D22" s="33">
        <f>D21-C22</f>
        <v/>
      </c>
    </row>
    <row r="23">
      <c r="B23" s="22" t="inlineStr">
        <is>
          <t>Belanja</t>
        </is>
      </c>
      <c r="C23" s="33" t="n">
        <v>346</v>
      </c>
      <c r="D23" s="33">
        <f>D22-C23</f>
        <v/>
      </c>
    </row>
    <row r="24">
      <c r="A24" s="31" t="n">
        <v>45487</v>
      </c>
      <c r="B24" s="22" t="inlineStr">
        <is>
          <t>Belanja Makan</t>
        </is>
      </c>
      <c r="C24" s="33">
        <f>880+290+150</f>
        <v/>
      </c>
      <c r="D24" s="33">
        <f>D23-C24</f>
        <v/>
      </c>
    </row>
    <row r="25">
      <c r="A25" s="31" t="n">
        <v>45488</v>
      </c>
      <c r="B25" s="22" t="inlineStr">
        <is>
          <t>Payung</t>
        </is>
      </c>
      <c r="C25" s="33" t="n">
        <v>330</v>
      </c>
      <c r="D25" s="33">
        <f>D24-C25</f>
        <v/>
      </c>
    </row>
    <row r="26">
      <c r="A26" s="31" t="n">
        <v>45489</v>
      </c>
      <c r="B26" s="22" t="inlineStr">
        <is>
          <t>Belanja Makan</t>
        </is>
      </c>
      <c r="C26" s="33">
        <f>880+130+440</f>
        <v/>
      </c>
      <c r="D26" s="33">
        <f>D25-C26</f>
        <v/>
      </c>
    </row>
    <row r="27">
      <c r="A27" s="31" t="n">
        <v>45490</v>
      </c>
      <c r="B27" s="22" t="inlineStr">
        <is>
          <t>Belanja</t>
        </is>
      </c>
      <c r="C27" s="33">
        <f>170+323</f>
        <v/>
      </c>
      <c r="D27" s="33">
        <f>D26-C27</f>
        <v/>
      </c>
    </row>
    <row r="28">
      <c r="A28" s="31" t="n">
        <v>45491</v>
      </c>
      <c r="B28" s="22" t="n"/>
      <c r="C28" s="33" t="n"/>
      <c r="D28" s="33">
        <f>D27-C28</f>
        <v/>
      </c>
    </row>
    <row r="29">
      <c r="A29" s="31" t="n">
        <v>45492</v>
      </c>
      <c r="B29" s="22" t="inlineStr">
        <is>
          <t>Belanja Makan</t>
        </is>
      </c>
      <c r="C29" s="33">
        <f>290+213+363+911+170</f>
        <v/>
      </c>
      <c r="D29" s="33">
        <f>D28-C29</f>
        <v/>
      </c>
    </row>
    <row r="30">
      <c r="B30" s="22" t="inlineStr">
        <is>
          <t>Belanja</t>
        </is>
      </c>
      <c r="C30" s="33">
        <f>538-100</f>
        <v/>
      </c>
      <c r="D30" s="33">
        <f>D29-C30</f>
        <v/>
      </c>
    </row>
    <row r="31">
      <c r="B31" s="21" t="inlineStr">
        <is>
          <t>Makan</t>
        </is>
      </c>
      <c r="C31" s="33" t="n">
        <v>530</v>
      </c>
      <c r="D31" s="33">
        <f>D30-C31</f>
        <v/>
      </c>
    </row>
    <row r="32">
      <c r="A32" s="31" t="n">
        <v>45493</v>
      </c>
      <c r="B32" s="22" t="inlineStr">
        <is>
          <t>Makan</t>
        </is>
      </c>
      <c r="C32" s="33" t="n">
        <v>500</v>
      </c>
      <c r="D32" s="33">
        <f>D31-C32</f>
        <v/>
      </c>
    </row>
    <row r="33">
      <c r="B33" s="22" t="inlineStr">
        <is>
          <t>Belanja Makan</t>
        </is>
      </c>
      <c r="C33" s="33" t="n">
        <v>1760</v>
      </c>
      <c r="D33" s="33">
        <f>D32-C33</f>
        <v/>
      </c>
    </row>
    <row r="34">
      <c r="A34" s="31" t="n"/>
      <c r="B34" s="22" t="inlineStr">
        <is>
          <t>Belanja</t>
        </is>
      </c>
      <c r="C34" s="33" t="n">
        <v>162</v>
      </c>
      <c r="D34" s="33">
        <f>D33-C34</f>
        <v/>
      </c>
    </row>
    <row r="35">
      <c r="A35" s="31" t="n"/>
      <c r="B35" s="22" t="inlineStr">
        <is>
          <t>Belanja + Satvik</t>
        </is>
      </c>
      <c r="C35" s="33" t="n">
        <v>864</v>
      </c>
      <c r="D35" s="33">
        <f>D34-C35</f>
        <v/>
      </c>
    </row>
    <row r="36">
      <c r="A36" s="31" t="n">
        <v>45494</v>
      </c>
      <c r="B36" s="22" t="inlineStr">
        <is>
          <t>Belanja Makan</t>
        </is>
      </c>
      <c r="C36" s="33" t="n">
        <v>1880</v>
      </c>
      <c r="D36" s="33">
        <f>D35-C36</f>
        <v/>
      </c>
    </row>
    <row r="37">
      <c r="A37" s="31" t="n">
        <v>45495</v>
      </c>
      <c r="B37" s="22" t="inlineStr">
        <is>
          <t>Belanja</t>
        </is>
      </c>
      <c r="C37" s="33">
        <f>456+150+494</f>
        <v/>
      </c>
      <c r="D37" s="33">
        <f>D36-C37</f>
        <v/>
      </c>
    </row>
    <row r="38">
      <c r="B38" s="22" t="inlineStr">
        <is>
          <t>Belanja Makan</t>
        </is>
      </c>
      <c r="C38" s="33">
        <f>3034-1779</f>
        <v/>
      </c>
      <c r="D38" s="33">
        <f>D37-C38</f>
        <v/>
      </c>
    </row>
    <row r="39">
      <c r="B39" s="22" t="inlineStr">
        <is>
          <t>Beras</t>
        </is>
      </c>
      <c r="C39" s="33" t="n">
        <v>1779</v>
      </c>
      <c r="D39" s="33">
        <f>D38-C39</f>
        <v/>
      </c>
    </row>
    <row r="40">
      <c r="A40" s="31" t="n">
        <v>45496</v>
      </c>
      <c r="B40" s="22" t="n"/>
      <c r="C40" s="33" t="n"/>
      <c r="D40" s="33">
        <f>D39-C40</f>
        <v/>
      </c>
    </row>
    <row r="41">
      <c r="A41" s="31" t="n">
        <v>45497</v>
      </c>
      <c r="B41" s="22" t="inlineStr">
        <is>
          <t>Belanja</t>
        </is>
      </c>
      <c r="C41" s="33" t="n">
        <v>690</v>
      </c>
      <c r="D41" s="33">
        <f>D40-C41</f>
        <v/>
      </c>
    </row>
    <row r="42">
      <c r="A42" s="31" t="n">
        <v>45498</v>
      </c>
      <c r="B42" s="22" t="inlineStr">
        <is>
          <t>Belanja Makan</t>
        </is>
      </c>
      <c r="C42" s="33">
        <f>1629+438+162</f>
        <v/>
      </c>
      <c r="D42" s="33">
        <f>D41-C42</f>
        <v/>
      </c>
    </row>
    <row r="43">
      <c r="A43" s="31" t="n">
        <v>45499</v>
      </c>
      <c r="C43" s="33" t="n"/>
      <c r="D43" s="33">
        <f>D42-C43</f>
        <v/>
      </c>
    </row>
    <row r="44">
      <c r="A44" s="31" t="n">
        <v>45500</v>
      </c>
      <c r="B44" s="22" t="inlineStr">
        <is>
          <t>Belanja</t>
        </is>
      </c>
      <c r="C44" s="33" t="n">
        <v>700</v>
      </c>
      <c r="D44" s="33">
        <f>D43-C44</f>
        <v/>
      </c>
    </row>
    <row r="45">
      <c r="A45" s="31" t="n">
        <v>45501</v>
      </c>
      <c r="B45" s="21" t="inlineStr">
        <is>
          <t>Belanja</t>
        </is>
      </c>
      <c r="C45" s="33" t="n">
        <v>998</v>
      </c>
      <c r="D45" s="33">
        <f>D44-C45</f>
        <v/>
      </c>
    </row>
    <row r="46">
      <c r="B46" s="21" t="inlineStr">
        <is>
          <t>Belanja Makan</t>
        </is>
      </c>
      <c r="C46" s="33">
        <f>1995+232</f>
        <v/>
      </c>
      <c r="D46" s="33">
        <f>D45-C46</f>
        <v/>
      </c>
    </row>
    <row r="47">
      <c r="A47" s="31" t="n">
        <v>45502</v>
      </c>
      <c r="B47" s="21" t="inlineStr">
        <is>
          <t>Detergen</t>
        </is>
      </c>
      <c r="C47" s="33" t="n">
        <v>878</v>
      </c>
      <c r="D47" s="33">
        <f>D46-C47</f>
        <v/>
      </c>
    </row>
    <row r="48">
      <c r="B48" s="21" t="inlineStr">
        <is>
          <t>Detergen</t>
        </is>
      </c>
      <c r="C48" s="33" t="n">
        <v>1169</v>
      </c>
      <c r="D48" s="33">
        <f>D47-C48</f>
        <v/>
      </c>
    </row>
    <row r="49">
      <c r="A49" s="31" t="n"/>
      <c r="B49" s="21" t="inlineStr">
        <is>
          <t>Panci</t>
        </is>
      </c>
      <c r="C49" s="33" t="n">
        <v>2178</v>
      </c>
      <c r="D49" s="33">
        <f>D48-C49</f>
        <v/>
      </c>
    </row>
    <row r="50">
      <c r="A50" s="31" t="n">
        <v>45503</v>
      </c>
      <c r="B50" s="21" t="inlineStr">
        <is>
          <t>SIM</t>
        </is>
      </c>
      <c r="C50" s="33" t="n">
        <v>1203</v>
      </c>
      <c r="D50" s="33">
        <f>D49-C50</f>
        <v/>
      </c>
    </row>
    <row r="51">
      <c r="A51" s="31" t="n">
        <v>45504</v>
      </c>
      <c r="C51" s="33" t="n"/>
      <c r="D51" s="33">
        <f>D50-C51</f>
        <v/>
      </c>
    </row>
    <row r="52">
      <c r="A52" s="101" t="inlineStr">
        <is>
          <t>Sisa</t>
        </is>
      </c>
      <c r="B52" s="90" t="n"/>
      <c r="C52" s="91" t="n"/>
      <c r="D52" s="34">
        <f>D51-C52</f>
        <v/>
      </c>
    </row>
  </sheetData>
  <mergeCells count="6">
    <mergeCell ref="A1:D1"/>
    <mergeCell ref="F8:I8"/>
    <mergeCell ref="F3:I3"/>
    <mergeCell ref="A3:C3"/>
    <mergeCell ref="F1:J1"/>
    <mergeCell ref="A52:C52"/>
  </mergeCell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45"/>
  <sheetViews>
    <sheetView zoomScale="145" zoomScaleNormal="145" workbookViewId="0">
      <selection activeCell="G4" sqref="G4:H5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83" min="3" max="3"/>
    <col width="17.33203125" customWidth="1" style="21" min="4" max="4"/>
    <col width="8.77734375" customWidth="1" style="19" min="5" max="5"/>
    <col width="4" customWidth="1" style="89" min="6" max="6"/>
    <col width="37.77734375" customWidth="1" style="21" min="7" max="7"/>
    <col width="17.33203125" customWidth="1" style="21" min="8" max="10"/>
    <col width="8.77734375" customWidth="1" style="19" min="11" max="11"/>
    <col width="8.77734375" customWidth="1" style="19" min="12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F3" s="92" t="inlineStr">
        <is>
          <t>From Last Month</t>
        </is>
      </c>
      <c r="G3" s="90" t="n"/>
      <c r="H3" s="90" t="n"/>
      <c r="I3" s="91" t="n"/>
      <c r="J3" s="34">
        <f>'24-07'!J8</f>
        <v/>
      </c>
    </row>
    <row r="4">
      <c r="A4" s="31" t="n">
        <v>45505</v>
      </c>
      <c r="B4" s="32" t="inlineStr">
        <is>
          <t>Belanja Makan</t>
        </is>
      </c>
      <c r="C4" s="56" t="n">
        <v>1408</v>
      </c>
      <c r="D4" s="33">
        <f>D3-C4</f>
        <v/>
      </c>
      <c r="F4" s="89" t="n">
        <v>1</v>
      </c>
      <c r="G4" s="21" t="inlineStr">
        <is>
          <t>Uang Bulanan</t>
        </is>
      </c>
      <c r="H4" s="33" t="n">
        <v>55000</v>
      </c>
      <c r="I4" s="33" t="n"/>
      <c r="J4" s="33">
        <f>J3-H4+I4</f>
        <v/>
      </c>
    </row>
    <row r="5">
      <c r="B5" s="32" t="inlineStr">
        <is>
          <t>Belanja</t>
        </is>
      </c>
      <c r="C5" s="56" t="n">
        <v>394</v>
      </c>
      <c r="D5" s="33">
        <f>D4-C5</f>
        <v/>
      </c>
      <c r="F5" s="89" t="n">
        <v>2</v>
      </c>
      <c r="G5" s="21" t="inlineStr">
        <is>
          <t>Rent</t>
        </is>
      </c>
      <c r="H5" s="33" t="n">
        <v>71530</v>
      </c>
      <c r="I5" s="33" t="n"/>
      <c r="J5" s="33">
        <f>J4-H5+I5</f>
        <v/>
      </c>
    </row>
    <row r="6">
      <c r="A6" s="31" t="n">
        <v>45506</v>
      </c>
      <c r="B6" s="22" t="n"/>
      <c r="C6" s="56" t="n"/>
      <c r="D6" s="33">
        <f>D5-C6</f>
        <v/>
      </c>
      <c r="F6" s="89" t="n">
        <v>3</v>
      </c>
      <c r="G6" s="22" t="inlineStr">
        <is>
          <t>Sepeda</t>
        </is>
      </c>
      <c r="H6" s="33" t="n">
        <v>18900</v>
      </c>
      <c r="I6" s="33" t="n"/>
      <c r="J6" s="33">
        <f>J5-H6+I6</f>
        <v/>
      </c>
    </row>
    <row r="7">
      <c r="A7" s="31" t="n">
        <v>45507</v>
      </c>
      <c r="B7" s="22" t="inlineStr">
        <is>
          <t>Belanja Makan</t>
        </is>
      </c>
      <c r="C7" s="56" t="n">
        <v>915</v>
      </c>
      <c r="D7" s="33">
        <f>D6-C7</f>
        <v/>
      </c>
      <c r="F7" s="89" t="n">
        <v>4</v>
      </c>
      <c r="G7" s="21" t="inlineStr">
        <is>
          <t>Listrik</t>
        </is>
      </c>
      <c r="H7" s="33" t="n">
        <v>8878</v>
      </c>
      <c r="I7" s="33" t="n"/>
      <c r="J7" s="33">
        <f>J6-H7+I7</f>
        <v/>
      </c>
    </row>
    <row r="8">
      <c r="A8" s="31" t="n"/>
      <c r="B8" s="22" t="inlineStr">
        <is>
          <t>Celana Dalem</t>
        </is>
      </c>
      <c r="C8" s="56" t="n">
        <v>900</v>
      </c>
      <c r="D8" s="33">
        <f>D7-C8</f>
        <v/>
      </c>
      <c r="F8" s="92" t="inlineStr">
        <is>
          <t>Sisa</t>
        </is>
      </c>
      <c r="G8" s="90" t="n"/>
      <c r="H8" s="90" t="n"/>
      <c r="I8" s="91" t="n"/>
      <c r="J8" s="34">
        <f>J7-H8+I8</f>
        <v/>
      </c>
    </row>
    <row r="9">
      <c r="A9" s="31" t="n">
        <v>45509</v>
      </c>
      <c r="B9" s="22" t="inlineStr">
        <is>
          <t>Belanja Makan</t>
        </is>
      </c>
      <c r="C9" s="56">
        <f>1640+216</f>
        <v/>
      </c>
      <c r="D9" s="33">
        <f>D8-C9</f>
        <v/>
      </c>
      <c r="H9" s="33" t="n"/>
      <c r="I9" s="33" t="n"/>
      <c r="J9" s="33" t="n"/>
    </row>
    <row r="10">
      <c r="A10" s="31" t="n">
        <v>45510</v>
      </c>
      <c r="B10" s="22" t="n"/>
      <c r="C10" s="56" t="n"/>
      <c r="D10" s="33">
        <f>D9-C10</f>
        <v/>
      </c>
      <c r="H10" s="33" t="n"/>
      <c r="I10" s="33" t="n"/>
      <c r="J10" s="33" t="n"/>
    </row>
    <row r="11">
      <c r="A11" s="31" t="n">
        <v>45511</v>
      </c>
      <c r="B11" s="22" t="inlineStr">
        <is>
          <t>Belanja</t>
        </is>
      </c>
      <c r="C11" s="56">
        <f>220+327</f>
        <v/>
      </c>
      <c r="D11" s="33">
        <f>D10-C11</f>
        <v/>
      </c>
      <c r="H11" s="33" t="n"/>
      <c r="I11" s="33" t="n"/>
      <c r="J11" s="33" t="n"/>
    </row>
    <row r="12">
      <c r="A12" s="31" t="n">
        <v>45512</v>
      </c>
      <c r="B12" s="22" t="inlineStr">
        <is>
          <t>Belanja</t>
        </is>
      </c>
      <c r="C12" s="56" t="n">
        <v>1586</v>
      </c>
      <c r="D12" s="33">
        <f>D11-C12</f>
        <v/>
      </c>
      <c r="H12" s="33" t="n"/>
      <c r="I12" s="33" t="n"/>
      <c r="J12" s="33" t="n"/>
    </row>
    <row r="13">
      <c r="B13" s="22" t="inlineStr">
        <is>
          <t>Belanja Makan</t>
        </is>
      </c>
      <c r="C13" s="56" t="n">
        <v>945</v>
      </c>
      <c r="D13" s="33">
        <f>D12-C13</f>
        <v/>
      </c>
      <c r="H13" s="33" t="n"/>
      <c r="I13" s="33" t="n"/>
      <c r="J13" s="33" t="n"/>
    </row>
    <row r="14">
      <c r="A14" s="31" t="n">
        <v>45513</v>
      </c>
      <c r="B14" s="22" t="inlineStr">
        <is>
          <t>Belanja</t>
        </is>
      </c>
      <c r="C14" s="56">
        <f>550+220</f>
        <v/>
      </c>
      <c r="D14" s="33">
        <f>D13-C14</f>
        <v/>
      </c>
      <c r="H14" s="33" t="n"/>
      <c r="I14" s="33" t="n"/>
      <c r="J14" s="33" t="n"/>
    </row>
    <row r="15">
      <c r="B15" s="22" t="inlineStr">
        <is>
          <t>Belanja Makan</t>
        </is>
      </c>
      <c r="C15" s="56">
        <f>1091+1116+1078</f>
        <v/>
      </c>
      <c r="D15" s="33">
        <f>D14-C15</f>
        <v/>
      </c>
      <c r="H15" s="33" t="n"/>
      <c r="I15" s="33" t="n"/>
      <c r="J15" s="33" t="n"/>
    </row>
    <row r="16">
      <c r="A16" s="31" t="n">
        <v>45514</v>
      </c>
      <c r="B16" s="22" t="inlineStr">
        <is>
          <t>SIM</t>
        </is>
      </c>
      <c r="C16" s="56" t="n">
        <v>1203</v>
      </c>
      <c r="D16" s="33">
        <f>D15-C16</f>
        <v/>
      </c>
      <c r="H16" s="33" t="n"/>
      <c r="I16" s="33" t="n"/>
      <c r="J16" s="33" t="n"/>
    </row>
    <row r="17">
      <c r="B17" s="22" t="inlineStr">
        <is>
          <t>Belanja Makan</t>
        </is>
      </c>
      <c r="C17" s="56" t="n">
        <v>1274</v>
      </c>
      <c r="D17" s="33">
        <f>D16-C17</f>
        <v/>
      </c>
    </row>
    <row r="18">
      <c r="A18" s="31" t="n">
        <v>45515</v>
      </c>
      <c r="B18" s="22" t="inlineStr">
        <is>
          <t>Belanja Makan</t>
        </is>
      </c>
      <c r="C18" s="56">
        <f>727+1465</f>
        <v/>
      </c>
      <c r="D18" s="33">
        <f>D17-C18</f>
        <v/>
      </c>
    </row>
    <row r="19">
      <c r="B19" s="22" t="inlineStr">
        <is>
          <t>Belanja Makan</t>
        </is>
      </c>
      <c r="C19" s="56">
        <f>417+450</f>
        <v/>
      </c>
      <c r="D19" s="33">
        <f>D18-C19</f>
        <v/>
      </c>
    </row>
    <row r="20">
      <c r="A20" s="31" t="n"/>
      <c r="D20" s="33">
        <f>D19-C20</f>
        <v/>
      </c>
    </row>
    <row r="21">
      <c r="A21" s="31" t="n">
        <v>45516</v>
      </c>
      <c r="D21" s="33">
        <f>D20-C21</f>
        <v/>
      </c>
    </row>
    <row r="22">
      <c r="A22" s="31" t="n">
        <v>45517</v>
      </c>
      <c r="B22" s="22" t="inlineStr">
        <is>
          <t>Belanja</t>
        </is>
      </c>
      <c r="C22" s="56" t="n">
        <v>2505</v>
      </c>
      <c r="D22" s="33">
        <f>D21-C22</f>
        <v/>
      </c>
    </row>
    <row r="23">
      <c r="A23" s="31" t="n">
        <v>45518</v>
      </c>
      <c r="B23" s="22" t="inlineStr">
        <is>
          <t>Belanja Makan</t>
        </is>
      </c>
      <c r="C23" s="56" t="n">
        <v>2826</v>
      </c>
      <c r="D23" s="33">
        <f>D22-C23</f>
        <v/>
      </c>
    </row>
    <row r="24">
      <c r="A24" s="31" t="n">
        <v>45519</v>
      </c>
      <c r="B24" s="22" t="n"/>
      <c r="C24" s="56" t="n"/>
      <c r="D24" s="33">
        <f>D23-C24</f>
        <v/>
      </c>
    </row>
    <row r="25">
      <c r="A25" s="31" t="n">
        <v>45520</v>
      </c>
      <c r="B25" s="22" t="inlineStr">
        <is>
          <t>Belanja Makan</t>
        </is>
      </c>
      <c r="C25" s="56" t="n">
        <v>1334</v>
      </c>
      <c r="D25" s="33">
        <f>D24-C25</f>
        <v/>
      </c>
    </row>
    <row r="26">
      <c r="A26" s="31" t="n">
        <v>45521</v>
      </c>
      <c r="B26" s="22" t="inlineStr">
        <is>
          <t>Deterjen</t>
        </is>
      </c>
      <c r="C26" s="56">
        <f>438+220</f>
        <v/>
      </c>
      <c r="D26" s="33">
        <f>D25-C26</f>
        <v/>
      </c>
    </row>
    <row r="27">
      <c r="B27" s="22" t="inlineStr">
        <is>
          <t>Sprei</t>
        </is>
      </c>
      <c r="C27" s="56" t="n">
        <v>999</v>
      </c>
      <c r="D27" s="33">
        <f>D26-C27</f>
        <v/>
      </c>
    </row>
    <row r="28">
      <c r="A28" s="31" t="n">
        <v>45522</v>
      </c>
      <c r="B28" s="22" t="n"/>
      <c r="C28" s="56" t="n"/>
      <c r="D28" s="33">
        <f>D27-C28</f>
        <v/>
      </c>
    </row>
    <row r="29">
      <c r="A29" s="31" t="n">
        <v>45523</v>
      </c>
      <c r="B29" s="22" t="inlineStr">
        <is>
          <t>Belanja Makan</t>
        </is>
      </c>
      <c r="C29" s="56" t="n">
        <v>545</v>
      </c>
      <c r="D29" s="33">
        <f>D28-C29</f>
        <v/>
      </c>
    </row>
    <row r="30">
      <c r="A30" s="31" t="n">
        <v>45524</v>
      </c>
      <c r="B30" s="22" t="n"/>
      <c r="C30" s="56" t="n"/>
      <c r="D30" s="33">
        <f>D29-C30</f>
        <v/>
      </c>
    </row>
    <row r="31">
      <c r="A31" s="31" t="n">
        <v>45525</v>
      </c>
      <c r="B31" s="22" t="inlineStr">
        <is>
          <t>Belanja Makan</t>
        </is>
      </c>
      <c r="C31" s="56">
        <f>427+330-250</f>
        <v/>
      </c>
      <c r="D31" s="33">
        <f>D30-C31</f>
        <v/>
      </c>
    </row>
    <row r="32">
      <c r="B32" s="22" t="inlineStr">
        <is>
          <t>Belanja Makan</t>
        </is>
      </c>
      <c r="C32" s="56">
        <f>2525+2000</f>
        <v/>
      </c>
      <c r="D32" s="33">
        <f>D31-C32</f>
        <v/>
      </c>
    </row>
    <row r="33">
      <c r="A33" s="31" t="n">
        <v>45526</v>
      </c>
      <c r="C33" s="56" t="n"/>
      <c r="D33" s="33">
        <f>D32-C33</f>
        <v/>
      </c>
    </row>
    <row r="34">
      <c r="A34" s="31" t="n">
        <v>45527</v>
      </c>
      <c r="B34" s="21" t="inlineStr">
        <is>
          <t>Belanja Makan</t>
        </is>
      </c>
      <c r="C34" s="56">
        <f>660+913</f>
        <v/>
      </c>
      <c r="D34" s="33">
        <f>D33-C34</f>
        <v/>
      </c>
    </row>
    <row r="35">
      <c r="A35" s="31" t="n">
        <v>45528</v>
      </c>
      <c r="B35" s="22" t="inlineStr">
        <is>
          <t>Belanja Makan</t>
        </is>
      </c>
      <c r="C35" s="56">
        <f>224+946+1291</f>
        <v/>
      </c>
      <c r="D35" s="33">
        <f>D34-C35</f>
        <v/>
      </c>
    </row>
    <row r="36">
      <c r="A36" s="31" t="n">
        <v>45529</v>
      </c>
      <c r="B36" s="22" t="inlineStr">
        <is>
          <t>Belanja</t>
        </is>
      </c>
      <c r="C36" s="56" t="n">
        <v>326</v>
      </c>
      <c r="D36" s="33">
        <f>D35-C36</f>
        <v/>
      </c>
    </row>
    <row r="37">
      <c r="A37" s="31" t="n">
        <v>45530</v>
      </c>
      <c r="B37" s="22" t="n"/>
      <c r="C37" s="56" t="n"/>
      <c r="D37" s="33">
        <f>D36-C37</f>
        <v/>
      </c>
    </row>
    <row r="38">
      <c r="A38" s="31" t="n">
        <v>45531</v>
      </c>
      <c r="B38" s="22" t="inlineStr">
        <is>
          <t>Belanja Makan</t>
        </is>
      </c>
      <c r="C38" s="56" t="n">
        <v>3914</v>
      </c>
      <c r="D38" s="33">
        <f>D37-C38</f>
        <v/>
      </c>
    </row>
    <row r="39">
      <c r="A39" s="31" t="n">
        <v>45532</v>
      </c>
      <c r="B39" s="22" t="inlineStr">
        <is>
          <t>Belanja Makan</t>
        </is>
      </c>
      <c r="C39" s="56" t="n">
        <v>4460</v>
      </c>
      <c r="D39" s="33">
        <f>D38-C39</f>
        <v/>
      </c>
    </row>
    <row r="40">
      <c r="A40" s="31" t="n">
        <v>45533</v>
      </c>
      <c r="B40" s="21" t="inlineStr">
        <is>
          <t>Deterjen</t>
        </is>
      </c>
      <c r="C40" s="83" t="n">
        <v>654</v>
      </c>
      <c r="D40" s="33">
        <f>D39-C40</f>
        <v/>
      </c>
    </row>
    <row r="41">
      <c r="B41" s="22" t="inlineStr">
        <is>
          <t>Belanja Makan</t>
        </is>
      </c>
      <c r="C41" s="56">
        <f>145+1371</f>
        <v/>
      </c>
      <c r="D41" s="33">
        <f>D40-C41</f>
        <v/>
      </c>
    </row>
    <row r="42">
      <c r="A42" s="31" t="n">
        <v>45534</v>
      </c>
      <c r="B42" s="22" t="inlineStr">
        <is>
          <t>Belanja Makan</t>
        </is>
      </c>
      <c r="C42" s="56" t="n">
        <v>1584</v>
      </c>
      <c r="D42" s="33">
        <f>D41-C42</f>
        <v/>
      </c>
    </row>
    <row r="43">
      <c r="B43" s="22" t="inlineStr">
        <is>
          <t>Belanja Makan</t>
        </is>
      </c>
      <c r="C43" s="56" t="n">
        <v>1077</v>
      </c>
      <c r="D43" s="33">
        <f>D42-C43</f>
        <v/>
      </c>
    </row>
    <row r="44">
      <c r="A44" s="31" t="n">
        <v>45535</v>
      </c>
      <c r="B44" s="22" t="inlineStr">
        <is>
          <t>Belanja Makan</t>
        </is>
      </c>
      <c r="C44" s="56" t="n">
        <v>2066</v>
      </c>
      <c r="D44" s="33">
        <f>D43-C44</f>
        <v/>
      </c>
    </row>
    <row r="45">
      <c r="A45" s="101" t="n"/>
      <c r="B45" s="61" t="inlineStr">
        <is>
          <t>Sisa</t>
        </is>
      </c>
      <c r="C45" s="84" t="n"/>
      <c r="D45" s="34">
        <f>D44-C45</f>
        <v/>
      </c>
    </row>
  </sheetData>
  <mergeCells count="5">
    <mergeCell ref="A1:D1"/>
    <mergeCell ref="F8:I8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51"/>
  <sheetViews>
    <sheetView zoomScale="115" zoomScaleNormal="115" workbookViewId="0">
      <selection activeCell="G4" sqref="G4:H6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21" min="3" max="4"/>
    <col width="8.77734375" customWidth="1" style="19" min="5" max="5"/>
    <col width="4" customWidth="1" style="89" min="6" max="6"/>
    <col width="37.77734375" customWidth="1" style="21" min="7" max="7"/>
    <col width="17.33203125" customWidth="1" style="21" min="8" max="10"/>
    <col width="8.77734375" customWidth="1" style="19" min="11" max="11"/>
    <col width="26.44140625" customWidth="1" style="21" min="12" max="12"/>
    <col width="8.77734375" customWidth="1" style="85" min="13" max="13"/>
    <col width="8.77734375" customWidth="1" style="19" min="14" max="14"/>
    <col width="8.77734375" customWidth="1" style="19" min="15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  <c r="L1" s="19" t="n"/>
      <c r="M1" s="19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  <c r="L2" s="21" t="inlineStr">
        <is>
          <t>Jalan2 Sama Pa Ma</t>
        </is>
      </c>
      <c r="M2" s="21" t="inlineStr">
        <is>
          <t>Cost</t>
        </is>
      </c>
    </row>
    <row r="3">
      <c r="A3" s="92" t="inlineStr">
        <is>
          <t>Monthly Budget</t>
        </is>
      </c>
      <c r="B3" s="90" t="n"/>
      <c r="C3" s="91" t="n"/>
      <c r="D3" s="34" t="n">
        <v>60000</v>
      </c>
      <c r="F3" s="92" t="inlineStr">
        <is>
          <t>From Last Month</t>
        </is>
      </c>
      <c r="G3" s="90" t="n"/>
      <c r="H3" s="90" t="n"/>
      <c r="I3" s="91" t="n"/>
      <c r="J3" s="34">
        <f>'24-08'!J8</f>
        <v/>
      </c>
      <c r="L3" s="21" t="inlineStr">
        <is>
          <t>IC Charge</t>
        </is>
      </c>
      <c r="M3" s="85" t="n">
        <v>3000</v>
      </c>
    </row>
    <row r="4">
      <c r="A4" s="31" t="n">
        <v>45536</v>
      </c>
      <c r="B4" s="32" t="inlineStr">
        <is>
          <t>Belanja</t>
        </is>
      </c>
      <c r="C4" s="33" t="n">
        <v>1184</v>
      </c>
      <c r="D4" s="33">
        <f>D3-C4</f>
        <v/>
      </c>
      <c r="F4" s="89" t="n">
        <v>1</v>
      </c>
      <c r="G4" s="21" t="inlineStr">
        <is>
          <t>Uang Bulanan</t>
        </is>
      </c>
      <c r="H4" s="33" t="n">
        <v>60000</v>
      </c>
      <c r="I4" s="42" t="n"/>
      <c r="J4" s="33">
        <f>J3-H4+I4</f>
        <v/>
      </c>
      <c r="L4" s="21" t="inlineStr">
        <is>
          <t>Makan</t>
        </is>
      </c>
      <c r="M4" s="85" t="n">
        <v>450</v>
      </c>
    </row>
    <row r="5">
      <c r="B5" s="32" t="inlineStr">
        <is>
          <t>Belanja Makan</t>
        </is>
      </c>
      <c r="C5" s="33" t="n">
        <v>3132</v>
      </c>
      <c r="D5" s="33">
        <f>D4-C5</f>
        <v/>
      </c>
      <c r="F5" s="89" t="n">
        <v>2</v>
      </c>
      <c r="G5" s="21" t="inlineStr">
        <is>
          <t>Rent</t>
        </is>
      </c>
      <c r="H5" s="33" t="n">
        <v>71788</v>
      </c>
      <c r="I5" s="42" t="n"/>
      <c r="J5" s="33">
        <f>J4-H5+I5</f>
        <v/>
      </c>
      <c r="L5" s="21" t="inlineStr">
        <is>
          <t>Celana</t>
        </is>
      </c>
      <c r="M5" s="85" t="n">
        <v>1990</v>
      </c>
    </row>
    <row r="6">
      <c r="B6" s="22" t="inlineStr">
        <is>
          <t>Belanja</t>
        </is>
      </c>
      <c r="C6" s="33" t="n">
        <v>3288</v>
      </c>
      <c r="D6" s="33">
        <f>D5-C6</f>
        <v/>
      </c>
      <c r="F6" s="89" t="n">
        <v>3</v>
      </c>
      <c r="G6" s="21" t="inlineStr">
        <is>
          <t>Uang Dari Pa</t>
        </is>
      </c>
      <c r="H6" s="33" t="n"/>
      <c r="I6" s="42" t="n">
        <v>400000</v>
      </c>
      <c r="J6" s="33">
        <f>J5-H6+I6</f>
        <v/>
      </c>
      <c r="L6" s="21" t="inlineStr">
        <is>
          <t>Makan</t>
        </is>
      </c>
      <c r="M6" s="85" t="n">
        <v>1123</v>
      </c>
    </row>
    <row r="7">
      <c r="A7" s="31" t="n">
        <v>45537</v>
      </c>
      <c r="B7" s="22" t="inlineStr">
        <is>
          <t>SIM</t>
        </is>
      </c>
      <c r="C7" s="33" t="n">
        <v>1331</v>
      </c>
      <c r="D7" s="33">
        <f>D6-C7</f>
        <v/>
      </c>
      <c r="F7" s="89" t="n">
        <v>4</v>
      </c>
      <c r="G7" s="21" t="inlineStr">
        <is>
          <t>Handphone</t>
        </is>
      </c>
      <c r="H7" s="33" t="n">
        <v>63500</v>
      </c>
      <c r="I7" s="42" t="n"/>
      <c r="J7" s="33">
        <f>J6-H7+I7</f>
        <v/>
      </c>
      <c r="L7" s="21" t="inlineStr">
        <is>
          <t>Sepatu Ma2</t>
        </is>
      </c>
      <c r="M7" s="85" t="n">
        <v>5160</v>
      </c>
    </row>
    <row r="8">
      <c r="A8" s="31" t="n">
        <v>45538</v>
      </c>
      <c r="B8" s="22" t="inlineStr">
        <is>
          <t>Belanja Makan</t>
        </is>
      </c>
      <c r="C8" s="33" t="n">
        <v>2777</v>
      </c>
      <c r="D8" s="33">
        <f>D7-C8</f>
        <v/>
      </c>
      <c r="F8" s="89" t="n">
        <v>5</v>
      </c>
      <c r="G8" s="21" t="inlineStr">
        <is>
          <t>Jalan2 Pa Ma</t>
        </is>
      </c>
      <c r="H8" s="33">
        <f>M14</f>
        <v/>
      </c>
      <c r="I8" s="42" t="n"/>
      <c r="J8" s="33">
        <f>J7-H8+I8</f>
        <v/>
      </c>
      <c r="L8" s="21" t="inlineStr">
        <is>
          <t>Konbini</t>
        </is>
      </c>
      <c r="M8" s="85" t="n">
        <v>1199</v>
      </c>
    </row>
    <row r="9">
      <c r="A9" s="31" t="n">
        <v>45539</v>
      </c>
      <c r="B9" s="22" t="n"/>
      <c r="C9" s="33" t="n"/>
      <c r="D9" s="33">
        <f>D8-C9</f>
        <v/>
      </c>
      <c r="F9" s="92" t="n"/>
      <c r="G9" s="61" t="n"/>
      <c r="H9" s="34" t="n"/>
      <c r="I9" s="86" t="n"/>
      <c r="J9" s="34">
        <f>J8-H9+I9</f>
        <v/>
      </c>
      <c r="L9" s="21" t="inlineStr">
        <is>
          <t>Konbini</t>
        </is>
      </c>
      <c r="M9" s="85" t="n">
        <v>3427</v>
      </c>
    </row>
    <row r="10">
      <c r="A10" s="31" t="n">
        <v>45540</v>
      </c>
      <c r="B10" s="22" t="n"/>
      <c r="C10" s="33" t="n"/>
      <c r="D10" s="33">
        <f>D9-C10</f>
        <v/>
      </c>
      <c r="H10" s="33" t="n"/>
      <c r="I10" s="42" t="n"/>
      <c r="J10" s="33" t="n"/>
      <c r="L10" s="21" t="inlineStr">
        <is>
          <t>Burger</t>
        </is>
      </c>
      <c r="M10" s="85">
        <f>961+2354</f>
        <v/>
      </c>
    </row>
    <row r="11">
      <c r="A11" s="31" t="n">
        <v>45541</v>
      </c>
      <c r="B11" s="22" t="inlineStr">
        <is>
          <t>Sabun Sampo</t>
        </is>
      </c>
      <c r="C11" s="33" t="n">
        <v>1317</v>
      </c>
      <c r="D11" s="33">
        <f>D10-C11</f>
        <v/>
      </c>
      <c r="H11" s="33" t="n"/>
      <c r="I11" s="42" t="n"/>
      <c r="J11" s="33" t="n"/>
      <c r="L11" s="21" t="inlineStr">
        <is>
          <t>Belanja</t>
        </is>
      </c>
      <c r="M11" s="85" t="n">
        <v>270</v>
      </c>
    </row>
    <row r="12">
      <c r="B12" s="22" t="inlineStr">
        <is>
          <t>Belanja Makan</t>
        </is>
      </c>
      <c r="C12" s="33" t="n">
        <v>1703</v>
      </c>
      <c r="D12" s="33">
        <f>D11-C12</f>
        <v/>
      </c>
      <c r="H12" s="33" t="n"/>
      <c r="I12" s="42" t="n"/>
      <c r="J12" s="33" t="n"/>
      <c r="L12" s="21" t="inlineStr">
        <is>
          <t>Makan</t>
        </is>
      </c>
      <c r="M12" s="85" t="n">
        <v>1208</v>
      </c>
    </row>
    <row r="13">
      <c r="A13" s="31" t="n">
        <v>45542</v>
      </c>
      <c r="B13" s="22" t="n"/>
      <c r="C13" s="33" t="n"/>
      <c r="D13" s="33">
        <f>D12-C13</f>
        <v/>
      </c>
      <c r="H13" s="33" t="n"/>
      <c r="I13" s="42" t="n"/>
      <c r="J13" s="33" t="n"/>
      <c r="L13" s="21" t="inlineStr">
        <is>
          <t>Konbini</t>
        </is>
      </c>
      <c r="M13" s="85" t="n">
        <v>351</v>
      </c>
    </row>
    <row r="14">
      <c r="A14" s="31" t="n">
        <v>45543</v>
      </c>
      <c r="B14" s="22" t="inlineStr">
        <is>
          <t>Belanja</t>
        </is>
      </c>
      <c r="C14" s="33" t="n">
        <v>899</v>
      </c>
      <c r="D14" s="33">
        <f>D13-C14</f>
        <v/>
      </c>
      <c r="H14" s="33" t="n"/>
      <c r="I14" s="42" t="n"/>
      <c r="J14" s="33" t="n"/>
      <c r="L14" s="61" t="inlineStr">
        <is>
          <t>Total</t>
        </is>
      </c>
      <c r="M14" s="76">
        <f>SUM(M3:M13)</f>
        <v/>
      </c>
    </row>
    <row r="15">
      <c r="A15" s="31" t="n">
        <v>45544</v>
      </c>
      <c r="B15" s="22" t="inlineStr">
        <is>
          <t>Belanja</t>
        </is>
      </c>
      <c r="C15" s="33" t="n">
        <v>1911</v>
      </c>
      <c r="D15" s="33">
        <f>D14-C15</f>
        <v/>
      </c>
      <c r="H15" s="33" t="n"/>
      <c r="I15" s="42" t="n"/>
      <c r="J15" s="33" t="n"/>
    </row>
    <row r="16">
      <c r="A16" s="31" t="n">
        <v>45545</v>
      </c>
      <c r="B16" s="22" t="inlineStr">
        <is>
          <t>Belanja Makan</t>
        </is>
      </c>
      <c r="C16" s="33" t="n">
        <v>1080</v>
      </c>
      <c r="D16" s="33">
        <f>D15-C16</f>
        <v/>
      </c>
      <c r="H16" s="33" t="n"/>
      <c r="I16" s="42" t="n"/>
      <c r="J16" s="33" t="n"/>
    </row>
    <row r="17">
      <c r="A17" s="31" t="n"/>
      <c r="B17" s="22" t="inlineStr">
        <is>
          <t>Belanja + Beras</t>
        </is>
      </c>
      <c r="C17" s="33" t="n">
        <v>2913</v>
      </c>
      <c r="D17" s="33">
        <f>D16-C17</f>
        <v/>
      </c>
    </row>
    <row r="18">
      <c r="A18" s="31" t="n">
        <v>45546</v>
      </c>
      <c r="B18" s="22" t="n"/>
      <c r="C18" s="33" t="n"/>
      <c r="D18" s="33">
        <f>D17-C18</f>
        <v/>
      </c>
    </row>
    <row r="19">
      <c r="A19" s="31" t="n">
        <v>45547</v>
      </c>
      <c r="B19" s="22" t="inlineStr">
        <is>
          <t>Belanja Makan</t>
        </is>
      </c>
      <c r="C19" s="33" t="n">
        <v>1598</v>
      </c>
      <c r="D19" s="33">
        <f>D18-C19</f>
        <v/>
      </c>
    </row>
    <row r="20">
      <c r="B20" s="22" t="inlineStr">
        <is>
          <t>Potong Rambut</t>
        </is>
      </c>
      <c r="C20" s="33" t="n">
        <v>2000</v>
      </c>
      <c r="D20" s="33">
        <f>D19-C20</f>
        <v/>
      </c>
    </row>
    <row r="21">
      <c r="A21" s="31" t="n">
        <v>45548</v>
      </c>
      <c r="B21" s="22" t="n"/>
      <c r="C21" s="33" t="n"/>
      <c r="D21" s="33">
        <f>D20-C21</f>
        <v/>
      </c>
    </row>
    <row r="22">
      <c r="A22" s="31" t="n">
        <v>45549</v>
      </c>
      <c r="B22" s="22" t="n"/>
      <c r="C22" s="33" t="n"/>
      <c r="D22" s="33">
        <f>D21-C22</f>
        <v/>
      </c>
    </row>
    <row r="23">
      <c r="A23" s="31" t="n">
        <v>45550</v>
      </c>
      <c r="B23" s="22" t="n"/>
      <c r="C23" s="33" t="n"/>
      <c r="D23" s="33">
        <f>D22-C23</f>
        <v/>
      </c>
    </row>
    <row r="24">
      <c r="A24" s="31" t="n">
        <v>45551</v>
      </c>
      <c r="B24" s="22" t="inlineStr">
        <is>
          <t>Makan</t>
        </is>
      </c>
      <c r="C24" s="33" t="n">
        <v>430</v>
      </c>
      <c r="D24" s="33">
        <f>D23-C24</f>
        <v/>
      </c>
    </row>
    <row r="25">
      <c r="A25" s="31" t="n">
        <v>45552</v>
      </c>
      <c r="B25" s="22" t="inlineStr">
        <is>
          <t>Belanja</t>
        </is>
      </c>
      <c r="C25" s="33">
        <f>330+1406+733</f>
        <v/>
      </c>
      <c r="D25" s="33">
        <f>D24-C25</f>
        <v/>
      </c>
    </row>
    <row r="26">
      <c r="B26" s="22" t="inlineStr">
        <is>
          <t>Belanja</t>
        </is>
      </c>
      <c r="C26" s="33" t="n">
        <v>108</v>
      </c>
      <c r="D26" s="33">
        <f>D25-C26</f>
        <v/>
      </c>
    </row>
    <row r="27">
      <c r="A27" s="31" t="n">
        <v>45553</v>
      </c>
      <c r="B27" s="22" t="inlineStr">
        <is>
          <t>Makan</t>
        </is>
      </c>
      <c r="C27" s="33" t="n">
        <v>646</v>
      </c>
      <c r="D27" s="33">
        <f>D26-C27</f>
        <v/>
      </c>
    </row>
    <row r="28">
      <c r="A28" s="31" t="n">
        <v>45554</v>
      </c>
      <c r="B28" s="22" t="inlineStr">
        <is>
          <t>Makan</t>
        </is>
      </c>
      <c r="C28" s="33" t="n">
        <v>770</v>
      </c>
      <c r="D28" s="33">
        <f>D27-C28</f>
        <v/>
      </c>
    </row>
    <row r="29">
      <c r="A29" s="31" t="n">
        <v>45555</v>
      </c>
      <c r="B29" s="22" t="inlineStr">
        <is>
          <t>Makan</t>
        </is>
      </c>
      <c r="C29" s="33" t="n">
        <v>780</v>
      </c>
      <c r="D29" s="33">
        <f>D28-C29</f>
        <v/>
      </c>
    </row>
    <row r="30">
      <c r="A30" s="31" t="n">
        <v>45556</v>
      </c>
      <c r="B30" s="21" t="inlineStr">
        <is>
          <t>Belanja Makan</t>
        </is>
      </c>
      <c r="C30" s="33" t="n">
        <v>1208</v>
      </c>
      <c r="D30" s="33">
        <f>D29-C30</f>
        <v/>
      </c>
    </row>
    <row r="31">
      <c r="B31" s="22" t="inlineStr">
        <is>
          <t>Belanja Makan</t>
        </is>
      </c>
      <c r="C31" s="33" t="n">
        <v>640</v>
      </c>
      <c r="D31" s="33">
        <f>D30-C31</f>
        <v/>
      </c>
    </row>
    <row r="32">
      <c r="A32" s="31" t="n">
        <v>45557</v>
      </c>
      <c r="B32" s="22" t="inlineStr">
        <is>
          <t>Belanja Makan</t>
        </is>
      </c>
      <c r="C32" s="33" t="n">
        <v>2501</v>
      </c>
      <c r="D32" s="33">
        <f>D31-C32</f>
        <v/>
      </c>
    </row>
    <row r="33">
      <c r="B33" s="22" t="inlineStr">
        <is>
          <t>Makan</t>
        </is>
      </c>
      <c r="C33" s="33">
        <f>597+200</f>
        <v/>
      </c>
      <c r="D33" s="33">
        <f>D32-C33</f>
        <v/>
      </c>
    </row>
    <row r="34">
      <c r="A34" s="31" t="n">
        <v>45558</v>
      </c>
      <c r="B34" s="22" t="inlineStr">
        <is>
          <t>Nyemil</t>
        </is>
      </c>
      <c r="C34" s="33" t="n">
        <v>251</v>
      </c>
      <c r="D34" s="33">
        <f>D33-C34</f>
        <v/>
      </c>
    </row>
    <row r="35">
      <c r="A35" s="31" t="n"/>
      <c r="B35" s="22" t="inlineStr">
        <is>
          <t>Deterjen</t>
        </is>
      </c>
      <c r="C35" s="33" t="n">
        <v>632</v>
      </c>
      <c r="D35" s="33">
        <f>D34-C35</f>
        <v/>
      </c>
    </row>
    <row r="36">
      <c r="A36" s="31" t="n"/>
      <c r="B36" s="22" t="inlineStr">
        <is>
          <t>Belanja</t>
        </is>
      </c>
      <c r="C36" s="33">
        <f>430+438</f>
        <v/>
      </c>
      <c r="D36" s="33">
        <f>D35-C36</f>
        <v/>
      </c>
    </row>
    <row r="37">
      <c r="A37" s="31" t="n"/>
      <c r="B37" s="22" t="inlineStr">
        <is>
          <t>Belanja Makan</t>
        </is>
      </c>
      <c r="C37" s="33" t="n">
        <v>1123</v>
      </c>
      <c r="D37" s="33">
        <f>D36-C37</f>
        <v/>
      </c>
    </row>
    <row r="38">
      <c r="A38" s="31" t="n"/>
      <c r="B38" s="22" t="inlineStr">
        <is>
          <t>Baju</t>
        </is>
      </c>
      <c r="C38" s="33">
        <f>1290+180</f>
        <v/>
      </c>
      <c r="D38" s="33">
        <f>D37-C38</f>
        <v/>
      </c>
    </row>
    <row r="39">
      <c r="A39" s="31" t="n">
        <v>45559</v>
      </c>
      <c r="B39" s="22" t="inlineStr">
        <is>
          <t>Belanja Makan</t>
        </is>
      </c>
      <c r="C39" s="33">
        <f>680+353+365</f>
        <v/>
      </c>
      <c r="D39" s="33">
        <f>D38-C39</f>
        <v/>
      </c>
    </row>
    <row r="40">
      <c r="A40" s="31" t="n">
        <v>45560</v>
      </c>
      <c r="B40" s="22" t="inlineStr">
        <is>
          <t>Belanja Makan</t>
        </is>
      </c>
      <c r="C40" s="33" t="n">
        <v>3706</v>
      </c>
      <c r="D40" s="33">
        <f>D39-C40</f>
        <v/>
      </c>
    </row>
    <row r="41">
      <c r="A41" s="31" t="n">
        <v>45561</v>
      </c>
      <c r="D41" s="33">
        <f>D40-C41</f>
        <v/>
      </c>
    </row>
    <row r="42">
      <c r="A42" s="31" t="n">
        <v>45562</v>
      </c>
      <c r="B42" s="22" t="inlineStr">
        <is>
          <t>Deterjen</t>
        </is>
      </c>
      <c r="C42" s="33">
        <f>500+657</f>
        <v/>
      </c>
      <c r="D42" s="33">
        <f>D41-C42</f>
        <v/>
      </c>
    </row>
    <row r="43">
      <c r="B43" s="22" t="inlineStr">
        <is>
          <t>Makan</t>
        </is>
      </c>
      <c r="C43" s="33">
        <f>430+189+189</f>
        <v/>
      </c>
      <c r="D43" s="33">
        <f>D42-C43</f>
        <v/>
      </c>
    </row>
    <row r="44">
      <c r="A44" s="31" t="n">
        <v>45563</v>
      </c>
      <c r="B44" s="22" t="inlineStr">
        <is>
          <t xml:space="preserve">Belanja </t>
        </is>
      </c>
      <c r="C44" s="33" t="n">
        <v>637</v>
      </c>
      <c r="D44" s="33">
        <f>D43-C44</f>
        <v/>
      </c>
    </row>
    <row r="45">
      <c r="B45" s="21" t="inlineStr">
        <is>
          <t>Makan</t>
        </is>
      </c>
      <c r="C45" s="33" t="n">
        <v>750</v>
      </c>
      <c r="D45" s="33">
        <f>D44-C45</f>
        <v/>
      </c>
    </row>
    <row r="46">
      <c r="A46" s="31" t="n">
        <v>45564</v>
      </c>
      <c r="B46" s="21" t="inlineStr">
        <is>
          <t>Makan</t>
        </is>
      </c>
      <c r="C46" s="33" t="n">
        <v>680</v>
      </c>
      <c r="D46" s="33">
        <f>D45-C46</f>
        <v/>
      </c>
    </row>
    <row r="47">
      <c r="B47" s="21" t="inlineStr">
        <is>
          <t>Makan</t>
        </is>
      </c>
      <c r="C47" s="33" t="n">
        <v>680</v>
      </c>
      <c r="D47" s="33">
        <f>D46-C47</f>
        <v/>
      </c>
    </row>
    <row r="48">
      <c r="A48" s="31" t="n"/>
      <c r="B48" s="21" t="inlineStr">
        <is>
          <t>Kaos Kaki</t>
        </is>
      </c>
      <c r="C48" s="33" t="n">
        <v>1600</v>
      </c>
      <c r="D48" s="33">
        <f>D47-C48</f>
        <v/>
      </c>
    </row>
    <row r="49">
      <c r="A49" s="31" t="n">
        <v>45565</v>
      </c>
      <c r="B49" s="21" t="inlineStr">
        <is>
          <t>Makan</t>
        </is>
      </c>
      <c r="C49" s="33" t="n">
        <v>310</v>
      </c>
      <c r="D49" s="33">
        <f>D48-C49</f>
        <v/>
      </c>
    </row>
    <row r="50">
      <c r="B50" s="21" t="inlineStr">
        <is>
          <t>Belanja Makan</t>
        </is>
      </c>
      <c r="C50" s="33" t="n">
        <v>2428</v>
      </c>
      <c r="D50" s="33">
        <f>D49-C50</f>
        <v/>
      </c>
    </row>
    <row r="51">
      <c r="A51" s="101" t="n"/>
      <c r="B51" s="61" t="n"/>
      <c r="C51" s="34" t="n"/>
      <c r="D51" s="34">
        <f>D50-C51</f>
        <v/>
      </c>
    </row>
  </sheetData>
  <mergeCells count="4">
    <mergeCell ref="F1:J1"/>
    <mergeCell ref="A1:D1"/>
    <mergeCell ref="F3:I3"/>
    <mergeCell ref="A3:C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9"/>
  <sheetViews>
    <sheetView zoomScale="110" zoomScaleNormal="110" workbookViewId="0">
      <selection activeCell="K11" sqref="K11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21" min="3" max="4"/>
    <col width="8.77734375" customWidth="1" style="19" min="5" max="5"/>
    <col width="4" customWidth="1" style="89" min="6" max="6"/>
    <col width="37.77734375" customWidth="1" style="21" min="7" max="7"/>
    <col width="17.33203125" customWidth="1" style="21" min="8" max="10"/>
    <col width="8.77734375" customWidth="1" style="19" min="11" max="12"/>
    <col width="10.33203125" bestFit="1" customWidth="1" style="19" min="13" max="13"/>
    <col width="8.77734375" customWidth="1" style="19" min="14" max="14"/>
    <col width="8.77734375" customWidth="1" style="19" min="15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F3" s="92" t="inlineStr">
        <is>
          <t>From Last Month</t>
        </is>
      </c>
      <c r="G3" s="90" t="n"/>
      <c r="H3" s="90" t="n"/>
      <c r="I3" s="91" t="n"/>
      <c r="J3" s="34" t="n">
        <v>407808</v>
      </c>
    </row>
    <row r="4">
      <c r="A4" s="31" t="n">
        <v>45047</v>
      </c>
      <c r="B4" s="32" t="inlineStr">
        <is>
          <t>Lunch</t>
        </is>
      </c>
      <c r="C4" s="33" t="n">
        <v>500</v>
      </c>
      <c r="D4" s="33">
        <f>D3-C4</f>
        <v/>
      </c>
      <c r="F4" s="89" t="n">
        <v>1</v>
      </c>
      <c r="G4" s="21" t="inlineStr">
        <is>
          <t>Rent Dorm</t>
        </is>
      </c>
      <c r="H4" s="33">
        <f>42260+55</f>
        <v/>
      </c>
      <c r="I4" s="33" t="n"/>
      <c r="J4" s="33">
        <f>J3+I4-H4</f>
        <v/>
      </c>
    </row>
    <row r="5">
      <c r="A5" s="31" t="n"/>
      <c r="B5" s="32" t="inlineStr">
        <is>
          <t>Belanja Makan</t>
        </is>
      </c>
      <c r="C5" s="33" t="n">
        <v>6850</v>
      </c>
      <c r="D5" s="33">
        <f>D4-C5</f>
        <v/>
      </c>
      <c r="F5" s="89" t="n">
        <v>2</v>
      </c>
      <c r="G5" s="21" t="inlineStr">
        <is>
          <t>Variable Expenses</t>
        </is>
      </c>
      <c r="H5" s="33" t="n">
        <v>55000</v>
      </c>
      <c r="I5" s="33" t="n"/>
      <c r="J5" s="33">
        <f>J4+I5-H5</f>
        <v/>
      </c>
    </row>
    <row r="6">
      <c r="A6" s="31" t="n">
        <v>45048</v>
      </c>
      <c r="B6" s="22" t="inlineStr">
        <is>
          <t>Lunch</t>
        </is>
      </c>
      <c r="C6" s="33" t="n">
        <v>500</v>
      </c>
      <c r="D6" s="33">
        <f>D5-C6</f>
        <v/>
      </c>
      <c r="F6" s="94" t="inlineStr">
        <is>
          <t>Sisa Uang Bulan Ini + Buat Bulan Depan</t>
        </is>
      </c>
      <c r="G6" s="90" t="n"/>
      <c r="H6" s="90" t="n"/>
      <c r="I6" s="91" t="n"/>
      <c r="J6" s="37">
        <f>J5+I6-H6</f>
        <v/>
      </c>
    </row>
    <row r="7">
      <c r="A7" s="31" t="n"/>
      <c r="B7" s="22" t="inlineStr">
        <is>
          <t>Laundry</t>
        </is>
      </c>
      <c r="C7" s="33" t="n">
        <v>200</v>
      </c>
      <c r="D7" s="33">
        <f>D6-C7</f>
        <v/>
      </c>
      <c r="F7" s="38" t="n"/>
      <c r="G7" s="39" t="n"/>
      <c r="H7" s="40" t="n"/>
      <c r="I7" s="40" t="n"/>
      <c r="J7" s="40" t="n"/>
    </row>
    <row r="8">
      <c r="A8" s="31" t="n">
        <v>45049</v>
      </c>
      <c r="B8" s="22" t="n"/>
      <c r="C8" s="33" t="n"/>
      <c r="D8" s="33">
        <f>D7-C8</f>
        <v/>
      </c>
    </row>
    <row r="9">
      <c r="A9" s="31" t="n">
        <v>45050</v>
      </c>
      <c r="B9" s="22" t="n"/>
      <c r="C9" s="33" t="n"/>
      <c r="D9" s="33">
        <f>D8-C9</f>
        <v/>
      </c>
      <c r="H9" s="33" t="n"/>
      <c r="I9" s="33" t="n"/>
      <c r="J9" s="33" t="n"/>
    </row>
    <row r="10">
      <c r="A10" s="31" t="n">
        <v>45051</v>
      </c>
      <c r="B10" s="22" t="inlineStr">
        <is>
          <t>Beras 10kg</t>
        </is>
      </c>
      <c r="C10" s="33">
        <f>5020</f>
        <v/>
      </c>
      <c r="D10" s="33">
        <f>D9-C10</f>
        <v/>
      </c>
      <c r="H10" s="33" t="n"/>
      <c r="I10" s="33" t="n"/>
      <c r="J10" s="33" t="n"/>
    </row>
    <row r="11">
      <c r="A11" s="31" t="n"/>
      <c r="B11" s="22" t="inlineStr">
        <is>
          <t>Belanja Makan</t>
        </is>
      </c>
      <c r="C11" s="33" t="n">
        <v>2690</v>
      </c>
      <c r="D11" s="33">
        <f>D10-C11</f>
        <v/>
      </c>
      <c r="H11" s="33" t="n"/>
      <c r="I11" s="33" t="n"/>
      <c r="J11" s="33" t="n"/>
    </row>
    <row r="12">
      <c r="A12" s="31" t="n">
        <v>45052</v>
      </c>
      <c r="B12" s="22" t="inlineStr">
        <is>
          <t>Laundry</t>
        </is>
      </c>
      <c r="C12" s="33" t="n">
        <v>200</v>
      </c>
      <c r="D12" s="33">
        <f>D11-C12</f>
        <v/>
      </c>
      <c r="H12" s="33" t="n"/>
      <c r="I12" s="33" t="n"/>
      <c r="J12" s="33" t="n"/>
    </row>
    <row r="13">
      <c r="A13" s="31" t="n">
        <v>45053</v>
      </c>
      <c r="B13" s="22" t="n"/>
      <c r="C13" s="33" t="n"/>
      <c r="D13" s="33">
        <f>D12-C13</f>
        <v/>
      </c>
      <c r="H13" s="33" t="n"/>
      <c r="I13" s="33" t="n"/>
      <c r="J13" s="33" t="n"/>
    </row>
    <row r="14">
      <c r="A14" s="31" t="n">
        <v>45054</v>
      </c>
      <c r="B14" s="22" t="inlineStr">
        <is>
          <t>Lunch</t>
        </is>
      </c>
      <c r="C14" s="33" t="n">
        <v>500</v>
      </c>
      <c r="D14" s="33">
        <f>D13-C14</f>
        <v/>
      </c>
      <c r="H14" s="33" t="n"/>
      <c r="I14" s="33" t="n"/>
      <c r="J14" s="33" t="n"/>
    </row>
    <row r="15">
      <c r="A15" s="31" t="n">
        <v>45055</v>
      </c>
      <c r="B15" s="22" t="n"/>
      <c r="C15" s="33" t="n"/>
      <c r="D15" s="33">
        <f>D14-C15</f>
        <v/>
      </c>
      <c r="H15" s="33" t="n"/>
      <c r="I15" s="33" t="n"/>
      <c r="J15" s="33" t="n"/>
    </row>
    <row r="16">
      <c r="A16" s="31" t="n">
        <v>45056</v>
      </c>
      <c r="B16" s="22" t="inlineStr">
        <is>
          <t>Detergen + Alat bersih</t>
        </is>
      </c>
      <c r="C16" s="33" t="n">
        <v>1180</v>
      </c>
      <c r="D16" s="33">
        <f>D15-C16</f>
        <v/>
      </c>
      <c r="H16" s="33" t="n"/>
      <c r="I16" s="33" t="n"/>
      <c r="J16" s="33" t="n"/>
    </row>
    <row r="17">
      <c r="A17" s="31" t="n"/>
      <c r="B17" s="22" t="inlineStr">
        <is>
          <t>Laundry</t>
        </is>
      </c>
      <c r="C17" s="33" t="n">
        <v>200</v>
      </c>
      <c r="D17" s="33">
        <f>D16-C17</f>
        <v/>
      </c>
    </row>
    <row r="18">
      <c r="A18" s="31" t="n">
        <v>45057</v>
      </c>
      <c r="B18" s="22" t="inlineStr">
        <is>
          <t>Lunch</t>
        </is>
      </c>
      <c r="C18" s="33" t="n">
        <v>500</v>
      </c>
      <c r="D18" s="33">
        <f>D17-C18</f>
        <v/>
      </c>
    </row>
    <row r="19">
      <c r="A19" s="31" t="n">
        <v>45058</v>
      </c>
      <c r="B19" s="22" t="inlineStr">
        <is>
          <t>Lunch</t>
        </is>
      </c>
      <c r="C19" s="33" t="n">
        <v>600</v>
      </c>
      <c r="D19" s="33">
        <f>D18-C19</f>
        <v/>
      </c>
    </row>
    <row r="20">
      <c r="A20" s="31" t="n">
        <v>45059</v>
      </c>
      <c r="B20" s="22" t="n"/>
      <c r="C20" s="33" t="n"/>
      <c r="D20" s="33">
        <f>D19-C20</f>
        <v/>
      </c>
    </row>
    <row r="21">
      <c r="A21" s="31" t="n">
        <v>45060</v>
      </c>
      <c r="B21" s="22" t="inlineStr">
        <is>
          <t>Belanja Makan</t>
        </is>
      </c>
      <c r="C21" s="33" t="n">
        <v>810</v>
      </c>
      <c r="D21" s="33">
        <f>D20-C21</f>
        <v/>
      </c>
    </row>
    <row r="22">
      <c r="A22" s="31" t="n">
        <v>45061</v>
      </c>
      <c r="B22" s="22" t="inlineStr">
        <is>
          <t>Lunch</t>
        </is>
      </c>
      <c r="C22" s="33" t="n">
        <v>500</v>
      </c>
      <c r="D22" s="33">
        <f>D21-C22</f>
        <v/>
      </c>
    </row>
    <row r="23">
      <c r="A23" s="31" t="n"/>
      <c r="B23" s="22" t="inlineStr">
        <is>
          <t>Laundry</t>
        </is>
      </c>
      <c r="C23" s="33" t="n">
        <v>300</v>
      </c>
      <c r="D23" s="33">
        <f>D22-C23</f>
        <v/>
      </c>
    </row>
    <row r="24">
      <c r="A24" s="31" t="n">
        <v>45062</v>
      </c>
      <c r="B24" s="22" t="inlineStr">
        <is>
          <t>Lunch</t>
        </is>
      </c>
      <c r="C24" s="33" t="n">
        <v>500</v>
      </c>
      <c r="D24" s="33">
        <f>D23-C24</f>
        <v/>
      </c>
    </row>
    <row r="25">
      <c r="A25" s="31" t="n">
        <v>45063</v>
      </c>
      <c r="B25" s="22" t="n"/>
      <c r="C25" s="33" t="n"/>
      <c r="D25" s="33">
        <f>D24-C25</f>
        <v/>
      </c>
    </row>
    <row r="26">
      <c r="A26" s="31" t="n">
        <v>45064</v>
      </c>
      <c r="B26" s="22" t="inlineStr">
        <is>
          <t>Breakfast</t>
        </is>
      </c>
      <c r="C26" s="33" t="n">
        <v>600</v>
      </c>
      <c r="D26" s="33">
        <f>D25-C26</f>
        <v/>
      </c>
    </row>
    <row r="27">
      <c r="A27" s="31" t="n"/>
      <c r="B27" s="22" t="inlineStr">
        <is>
          <t>Lunch</t>
        </is>
      </c>
      <c r="C27" s="33" t="n">
        <v>500</v>
      </c>
      <c r="D27" s="33">
        <f>D26-C27</f>
        <v/>
      </c>
    </row>
    <row r="28">
      <c r="A28" s="31" t="n">
        <v>45065</v>
      </c>
      <c r="B28" s="22" t="inlineStr">
        <is>
          <t>Lunch</t>
        </is>
      </c>
      <c r="C28" s="33" t="n">
        <v>500</v>
      </c>
      <c r="D28" s="33">
        <f>D27-C28</f>
        <v/>
      </c>
    </row>
    <row r="29">
      <c r="A29" s="31" t="n"/>
      <c r="B29" s="22" t="inlineStr">
        <is>
          <t>Penghapus</t>
        </is>
      </c>
      <c r="C29" s="33" t="n">
        <v>88</v>
      </c>
      <c r="D29" s="33">
        <f>D28-C29</f>
        <v/>
      </c>
    </row>
    <row r="30">
      <c r="A30" s="31" t="n">
        <v>45066</v>
      </c>
      <c r="B30" s="22" t="n"/>
      <c r="C30" s="33" t="n"/>
      <c r="D30" s="33">
        <f>D29-C30</f>
        <v/>
      </c>
    </row>
    <row r="31">
      <c r="A31" s="31" t="n">
        <v>45067</v>
      </c>
      <c r="B31" s="22" t="inlineStr">
        <is>
          <t>Belanja Makan</t>
        </is>
      </c>
      <c r="C31" s="33" t="n">
        <v>8632</v>
      </c>
      <c r="D31" s="33">
        <f>D30-C31</f>
        <v/>
      </c>
    </row>
    <row r="32">
      <c r="A32" s="31" t="n"/>
      <c r="B32" s="22" t="inlineStr">
        <is>
          <t>Laundry</t>
        </is>
      </c>
      <c r="C32" s="33" t="n">
        <v>200</v>
      </c>
      <c r="D32" s="33">
        <f>D31-C32</f>
        <v/>
      </c>
    </row>
    <row r="33">
      <c r="A33" s="31" t="n">
        <v>45068</v>
      </c>
      <c r="B33" s="22" t="n"/>
      <c r="C33" s="33" t="n"/>
      <c r="D33" s="33">
        <f>D32-C33</f>
        <v/>
      </c>
    </row>
    <row r="34">
      <c r="A34" s="31" t="n">
        <v>45069</v>
      </c>
      <c r="B34" s="22" t="inlineStr">
        <is>
          <t>Lunch</t>
        </is>
      </c>
      <c r="C34" s="33" t="n">
        <v>500</v>
      </c>
      <c r="D34" s="33">
        <f>D33-C34</f>
        <v/>
      </c>
    </row>
    <row r="35">
      <c r="A35" s="31" t="n">
        <v>45070</v>
      </c>
      <c r="B35" s="22" t="n"/>
      <c r="C35" s="33" t="n"/>
      <c r="D35" s="33">
        <f>D34-C35</f>
        <v/>
      </c>
    </row>
    <row r="36">
      <c r="A36" s="31" t="n">
        <v>45071</v>
      </c>
      <c r="B36" s="22" t="inlineStr">
        <is>
          <t>Lunch</t>
        </is>
      </c>
      <c r="C36" s="33" t="n">
        <v>500</v>
      </c>
      <c r="D36" s="33">
        <f>D35-C36</f>
        <v/>
      </c>
    </row>
    <row r="37">
      <c r="A37" s="31" t="n">
        <v>45072</v>
      </c>
      <c r="B37" s="22" t="inlineStr">
        <is>
          <t>Lunch</t>
        </is>
      </c>
      <c r="C37" s="33" t="n">
        <v>500</v>
      </c>
      <c r="D37" s="33">
        <f>D36-C37</f>
        <v/>
      </c>
    </row>
    <row r="38">
      <c r="A38" s="31" t="n">
        <v>45073</v>
      </c>
      <c r="B38" s="22" t="inlineStr">
        <is>
          <t>Laundry</t>
        </is>
      </c>
      <c r="C38" s="33" t="n">
        <v>200</v>
      </c>
      <c r="D38" s="33">
        <f>D37-C38</f>
        <v/>
      </c>
    </row>
    <row r="39">
      <c r="A39" s="31" t="n">
        <v>45074</v>
      </c>
      <c r="B39" s="22" t="n"/>
      <c r="C39" s="33" t="n"/>
      <c r="D39" s="33">
        <f>D38-C39</f>
        <v/>
      </c>
    </row>
    <row r="40">
      <c r="A40" s="31" t="n">
        <v>45075</v>
      </c>
      <c r="B40" s="22" t="inlineStr">
        <is>
          <t>Lunch</t>
        </is>
      </c>
      <c r="C40" s="33" t="n">
        <v>590</v>
      </c>
      <c r="D40" s="33">
        <f>D39-C40</f>
        <v/>
      </c>
    </row>
    <row r="41">
      <c r="A41" s="31" t="n">
        <v>45076</v>
      </c>
      <c r="B41" s="22" t="inlineStr">
        <is>
          <t>Alat tulis + Notebook</t>
        </is>
      </c>
      <c r="C41" s="33" t="n">
        <v>643</v>
      </c>
      <c r="D41" s="33">
        <f>D40-C41</f>
        <v/>
      </c>
    </row>
    <row r="42">
      <c r="A42" s="31" t="n">
        <v>45077</v>
      </c>
      <c r="B42" s="22" t="inlineStr">
        <is>
          <t>Calculator</t>
        </is>
      </c>
      <c r="C42" s="33" t="n">
        <v>2200</v>
      </c>
      <c r="D42" s="33">
        <f>D41-C42</f>
        <v/>
      </c>
    </row>
    <row r="43">
      <c r="A43" s="31" t="n"/>
      <c r="B43" s="22" t="inlineStr">
        <is>
          <t>Power strip</t>
        </is>
      </c>
      <c r="C43" s="33" t="n">
        <v>1136</v>
      </c>
      <c r="D43" s="33">
        <f>D42-C43</f>
        <v/>
      </c>
    </row>
    <row r="44">
      <c r="A44" s="46" t="n"/>
      <c r="B44" s="21" t="inlineStr">
        <is>
          <t>Phone SIM Fee</t>
        </is>
      </c>
      <c r="C44" s="33" t="n">
        <v>2203</v>
      </c>
      <c r="D44" s="33">
        <f>D43-C44</f>
        <v/>
      </c>
    </row>
    <row r="45">
      <c r="A45" s="93" t="inlineStr">
        <is>
          <t>Sum</t>
        </is>
      </c>
      <c r="B45" s="91" t="n"/>
      <c r="C45" s="37">
        <f>SUM(C4:C44)</f>
        <v/>
      </c>
      <c r="D45" s="37" t="n"/>
    </row>
    <row r="46">
      <c r="A46" s="94" t="inlineStr">
        <is>
          <t>Sisa Budget</t>
        </is>
      </c>
      <c r="B46" s="91" t="n"/>
      <c r="C46" s="41" t="n"/>
      <c r="D46" s="37">
        <f>D44</f>
        <v/>
      </c>
    </row>
    <row r="49">
      <c r="D49" s="33">
        <f>D46+'23-06'!D46+'23-07'!D44</f>
        <v/>
      </c>
    </row>
  </sheetData>
  <mergeCells count="7">
    <mergeCell ref="A1:D1"/>
    <mergeCell ref="F3:I3"/>
    <mergeCell ref="A45:B45"/>
    <mergeCell ref="A46:B46"/>
    <mergeCell ref="A3:C3"/>
    <mergeCell ref="F1:J1"/>
    <mergeCell ref="F6:I6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56"/>
  <sheetViews>
    <sheetView topLeftCell="A26" zoomScale="130" zoomScaleNormal="130" workbookViewId="0">
      <selection activeCell="F9" sqref="F9:I9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21" min="3" max="4"/>
    <col width="8.77734375" customWidth="1" style="19" min="5" max="5"/>
    <col width="4" customWidth="1" style="89" min="6" max="6"/>
    <col width="37.77734375" customWidth="1" style="21" min="7" max="7"/>
    <col width="17.33203125" customWidth="1" style="21" min="8" max="8"/>
    <col width="17.33203125" customWidth="1" style="88" min="9" max="9"/>
    <col width="17.33203125" customWidth="1" style="21" min="10" max="10"/>
    <col width="8.77734375" customWidth="1" style="19" min="11" max="11"/>
    <col width="8.77734375" customWidth="1" style="19" min="12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60000</v>
      </c>
      <c r="F3" s="92" t="inlineStr">
        <is>
          <t>From Last Month</t>
        </is>
      </c>
      <c r="G3" s="90" t="n"/>
      <c r="H3" s="90" t="n"/>
      <c r="I3" s="91" t="n"/>
      <c r="J3" s="34">
        <f>'24-09'!J9</f>
        <v/>
      </c>
    </row>
    <row r="4">
      <c r="A4" s="31" t="n">
        <v>45566</v>
      </c>
      <c r="B4" s="32" t="inlineStr">
        <is>
          <t>Makan</t>
        </is>
      </c>
      <c r="C4" s="33" t="n">
        <v>590</v>
      </c>
      <c r="D4" s="33">
        <f>D3-C4</f>
        <v/>
      </c>
      <c r="F4" s="89" t="n">
        <v>1</v>
      </c>
      <c r="G4" s="21" t="inlineStr">
        <is>
          <t>Transfer Pa</t>
        </is>
      </c>
      <c r="H4" s="33" t="n"/>
      <c r="I4" s="87" t="n">
        <v>1200000</v>
      </c>
      <c r="J4" s="33">
        <f>J3-H4+I4</f>
        <v/>
      </c>
    </row>
    <row r="5">
      <c r="B5" s="32" t="inlineStr">
        <is>
          <t>Belanja Makan</t>
        </is>
      </c>
      <c r="C5" s="33" t="n">
        <v>1926</v>
      </c>
      <c r="D5" s="33">
        <f>D4-C5</f>
        <v/>
      </c>
      <c r="F5" s="89" t="n">
        <v>2</v>
      </c>
      <c r="G5" s="21" t="inlineStr">
        <is>
          <t>Uang Bulanan</t>
        </is>
      </c>
      <c r="H5" s="33" t="n">
        <v>60000</v>
      </c>
      <c r="I5" s="87" t="n"/>
      <c r="J5" s="33">
        <f>J4-H5+I5</f>
        <v/>
      </c>
    </row>
    <row r="6">
      <c r="A6" s="31" t="n">
        <v>45567</v>
      </c>
      <c r="B6" s="22" t="inlineStr">
        <is>
          <t>Sabun</t>
        </is>
      </c>
      <c r="C6" s="33" t="n">
        <v>498</v>
      </c>
      <c r="D6" s="33">
        <f>D5-C6</f>
        <v/>
      </c>
      <c r="F6" s="89" t="n">
        <v>3</v>
      </c>
      <c r="G6" s="21" t="inlineStr">
        <is>
          <t>Rent</t>
        </is>
      </c>
      <c r="H6" s="33" t="n">
        <v>71788</v>
      </c>
      <c r="I6" s="87" t="n"/>
      <c r="J6" s="33">
        <f>J5-H6+I6</f>
        <v/>
      </c>
    </row>
    <row r="7">
      <c r="A7" s="31" t="n">
        <v>45568</v>
      </c>
      <c r="D7" s="33">
        <f>D6-C7</f>
        <v/>
      </c>
      <c r="F7" s="89" t="n">
        <v>4</v>
      </c>
      <c r="G7" s="21" t="inlineStr">
        <is>
          <t>Transfer Pa</t>
        </is>
      </c>
      <c r="H7" s="33" t="n"/>
      <c r="I7" s="87" t="n">
        <v>1220000</v>
      </c>
      <c r="J7" s="33">
        <f>J6-H7+I7</f>
        <v/>
      </c>
    </row>
    <row r="8">
      <c r="A8" s="31" t="n">
        <v>45569</v>
      </c>
      <c r="B8" s="22" t="inlineStr">
        <is>
          <t>Belanja Makan</t>
        </is>
      </c>
      <c r="C8" s="33" t="n">
        <v>2128</v>
      </c>
      <c r="D8" s="33">
        <f>D7-C8</f>
        <v/>
      </c>
      <c r="F8" s="89" t="n">
        <v>5</v>
      </c>
      <c r="G8" s="21" t="inlineStr">
        <is>
          <t>Listrik</t>
        </is>
      </c>
      <c r="H8" s="33" t="n">
        <v>6379</v>
      </c>
      <c r="I8" s="87" t="n"/>
      <c r="J8" s="33">
        <f>J7-H8+I8</f>
        <v/>
      </c>
    </row>
    <row r="9">
      <c r="B9" s="22" t="inlineStr">
        <is>
          <t>Belanja Makan</t>
        </is>
      </c>
      <c r="C9" s="33" t="n">
        <v>2343</v>
      </c>
      <c r="D9" s="33">
        <f>D8-C9</f>
        <v/>
      </c>
      <c r="F9" s="92" t="inlineStr">
        <is>
          <t>Sisa</t>
        </is>
      </c>
      <c r="G9" s="90" t="n"/>
      <c r="H9" s="90" t="n"/>
      <c r="I9" s="91" t="n"/>
      <c r="J9" s="34">
        <f>J8-H9+I9</f>
        <v/>
      </c>
    </row>
    <row r="10">
      <c r="A10" s="31" t="n">
        <v>45570</v>
      </c>
      <c r="B10" s="22" t="inlineStr">
        <is>
          <t>Belanja Makan</t>
        </is>
      </c>
      <c r="C10" s="33" t="n">
        <v>2769</v>
      </c>
      <c r="D10" s="33">
        <f>D9-C10</f>
        <v/>
      </c>
      <c r="H10" s="33" t="n"/>
      <c r="I10" s="87" t="n"/>
      <c r="J10" s="33" t="n"/>
    </row>
    <row r="11">
      <c r="B11" s="22" t="inlineStr">
        <is>
          <t>Belanja</t>
        </is>
      </c>
      <c r="C11" s="33">
        <f>548+183</f>
        <v/>
      </c>
      <c r="D11" s="33">
        <f>D10-C11</f>
        <v/>
      </c>
      <c r="H11" s="33" t="n"/>
      <c r="I11" s="87" t="n"/>
      <c r="J11" s="33" t="n"/>
    </row>
    <row r="12">
      <c r="A12" s="31" t="n">
        <v>45571</v>
      </c>
      <c r="B12" s="22" t="inlineStr">
        <is>
          <t>Belanja</t>
        </is>
      </c>
      <c r="C12" s="33">
        <f>162+792</f>
        <v/>
      </c>
      <c r="D12" s="33">
        <f>D11-C12</f>
        <v/>
      </c>
      <c r="H12" s="33" t="n"/>
      <c r="I12" s="87" t="n"/>
      <c r="J12" s="33" t="n"/>
    </row>
    <row r="13">
      <c r="B13" s="22" t="inlineStr">
        <is>
          <t>Belanja Makan</t>
        </is>
      </c>
      <c r="C13" s="33" t="n">
        <v>1490</v>
      </c>
      <c r="D13" s="33">
        <f>D12-C13</f>
        <v/>
      </c>
      <c r="H13" s="33" t="n"/>
      <c r="I13" s="87" t="n"/>
      <c r="J13" s="33" t="n"/>
    </row>
    <row r="14">
      <c r="A14" s="31" t="n">
        <v>45572</v>
      </c>
      <c r="B14" s="21" t="inlineStr">
        <is>
          <t>Makan</t>
        </is>
      </c>
      <c r="C14" s="33">
        <f>400+189</f>
        <v/>
      </c>
      <c r="D14" s="33">
        <f>D13-C14</f>
        <v/>
      </c>
      <c r="H14" s="33" t="n"/>
      <c r="I14" s="87" t="n"/>
      <c r="J14" s="33" t="n"/>
    </row>
    <row r="15">
      <c r="B15" s="22" t="inlineStr">
        <is>
          <t>Belanja Makan</t>
        </is>
      </c>
      <c r="C15" s="33" t="n">
        <v>771</v>
      </c>
      <c r="D15" s="33">
        <f>D14-C15</f>
        <v/>
      </c>
      <c r="H15" s="33" t="n"/>
      <c r="I15" s="87" t="n"/>
      <c r="J15" s="33" t="n"/>
    </row>
    <row r="16">
      <c r="A16" s="31" t="n">
        <v>45573</v>
      </c>
      <c r="B16" s="22" t="inlineStr">
        <is>
          <t>Makan</t>
        </is>
      </c>
      <c r="C16" s="33" t="n">
        <v>700</v>
      </c>
      <c r="D16" s="33">
        <f>D15-C16</f>
        <v/>
      </c>
      <c r="H16" s="33" t="n"/>
      <c r="I16" s="87" t="n"/>
      <c r="J16" s="33" t="n"/>
    </row>
    <row r="17">
      <c r="B17" s="22" t="inlineStr">
        <is>
          <t>Makan</t>
        </is>
      </c>
      <c r="C17" s="33" t="n">
        <v>578</v>
      </c>
      <c r="D17" s="33">
        <f>D16-C17</f>
        <v/>
      </c>
    </row>
    <row r="18">
      <c r="A18" s="31" t="n">
        <v>45574</v>
      </c>
      <c r="B18" s="22" t="inlineStr">
        <is>
          <t>SIM</t>
        </is>
      </c>
      <c r="C18" s="33" t="n">
        <v>1203</v>
      </c>
      <c r="D18" s="33">
        <f>D17-C18</f>
        <v/>
      </c>
    </row>
    <row r="19">
      <c r="B19" s="22" t="inlineStr">
        <is>
          <t>Sampo</t>
        </is>
      </c>
      <c r="C19" s="33" t="n">
        <v>788</v>
      </c>
      <c r="D19" s="33">
        <f>D18-C19</f>
        <v/>
      </c>
    </row>
    <row r="20">
      <c r="A20" s="31" t="n">
        <v>45575</v>
      </c>
      <c r="B20" s="22" t="inlineStr">
        <is>
          <t>Belanja makan</t>
        </is>
      </c>
      <c r="C20" s="33" t="n">
        <v>1371</v>
      </c>
      <c r="D20" s="33">
        <f>D19-C20</f>
        <v/>
      </c>
    </row>
    <row r="21">
      <c r="A21" s="31" t="n">
        <v>45576</v>
      </c>
      <c r="B21" s="22" t="inlineStr">
        <is>
          <t>Belanja makan</t>
        </is>
      </c>
      <c r="C21" s="33" t="n">
        <v>1738</v>
      </c>
      <c r="D21" s="33">
        <f>D20-C21</f>
        <v/>
      </c>
    </row>
    <row r="22">
      <c r="A22" s="31" t="n">
        <v>45577</v>
      </c>
      <c r="B22" s="22" t="inlineStr">
        <is>
          <t>Belanja Makan</t>
        </is>
      </c>
      <c r="C22" s="33" t="n">
        <v>1010</v>
      </c>
      <c r="D22" s="33">
        <f>D21-C22</f>
        <v/>
      </c>
    </row>
    <row r="23">
      <c r="B23" s="22" t="inlineStr">
        <is>
          <t>Makan</t>
        </is>
      </c>
      <c r="C23" s="33" t="n">
        <v>550</v>
      </c>
      <c r="D23" s="33">
        <f>D22-C23</f>
        <v/>
      </c>
    </row>
    <row r="24">
      <c r="A24" s="31" t="n">
        <v>45578</v>
      </c>
      <c r="B24" s="22" t="inlineStr">
        <is>
          <t>Belanja Makan</t>
        </is>
      </c>
      <c r="C24" s="33" t="n">
        <v>1624</v>
      </c>
      <c r="D24" s="33">
        <f>D23-C24</f>
        <v/>
      </c>
    </row>
    <row r="25">
      <c r="B25" s="22" t="inlineStr">
        <is>
          <t>Belanja Makan</t>
        </is>
      </c>
      <c r="C25" s="33" t="n">
        <v>1389</v>
      </c>
      <c r="D25" s="33">
        <f>D24-C25</f>
        <v/>
      </c>
    </row>
    <row r="26">
      <c r="A26" s="31" t="n">
        <v>45579</v>
      </c>
      <c r="B26" s="22" t="inlineStr">
        <is>
          <t>Makan</t>
        </is>
      </c>
      <c r="C26" s="33" t="n">
        <v>590</v>
      </c>
      <c r="D26" s="33">
        <f>D25-C26</f>
        <v/>
      </c>
    </row>
    <row r="27">
      <c r="B27" s="22" t="inlineStr">
        <is>
          <t>Belanja Makan</t>
        </is>
      </c>
      <c r="C27" s="33">
        <f>168*2+1200</f>
        <v/>
      </c>
      <c r="D27" s="33">
        <f>D26-C27</f>
        <v/>
      </c>
    </row>
    <row r="28">
      <c r="A28" s="31" t="n">
        <v>45580</v>
      </c>
      <c r="B28" s="22" t="inlineStr">
        <is>
          <t>Belanja</t>
        </is>
      </c>
      <c r="C28" s="33">
        <f>2130+288+178</f>
        <v/>
      </c>
      <c r="D28" s="33">
        <f>D27-C28</f>
        <v/>
      </c>
    </row>
    <row r="29">
      <c r="A29" s="31" t="n">
        <v>45581</v>
      </c>
      <c r="B29" s="22" t="inlineStr">
        <is>
          <t>Belanja Makan</t>
        </is>
      </c>
      <c r="C29" s="33" t="n">
        <v>818</v>
      </c>
      <c r="D29" s="33">
        <f>D28-C29</f>
        <v/>
      </c>
    </row>
    <row r="30">
      <c r="B30" s="22" t="inlineStr">
        <is>
          <t>Belanja</t>
        </is>
      </c>
      <c r="C30" s="33" t="n">
        <v>1090</v>
      </c>
      <c r="D30" s="33">
        <f>D29-C30</f>
        <v/>
      </c>
    </row>
    <row r="31">
      <c r="A31" s="31" t="n">
        <v>45582</v>
      </c>
      <c r="B31" s="22" t="inlineStr">
        <is>
          <t>Makan</t>
        </is>
      </c>
      <c r="C31" s="33" t="n">
        <v>782</v>
      </c>
      <c r="D31" s="33">
        <f>D30-C31</f>
        <v/>
      </c>
    </row>
    <row r="32">
      <c r="B32" s="22" t="inlineStr">
        <is>
          <t>Makan</t>
        </is>
      </c>
      <c r="C32" s="33">
        <f>130+221+429</f>
        <v/>
      </c>
      <c r="D32" s="33">
        <f>D31-C32</f>
        <v/>
      </c>
    </row>
    <row r="33">
      <c r="A33" s="31" t="n">
        <v>45583</v>
      </c>
      <c r="B33" s="22" t="n"/>
      <c r="C33" s="33">
        <f>442+362</f>
        <v/>
      </c>
      <c r="D33" s="33">
        <f>D32-C33</f>
        <v/>
      </c>
    </row>
    <row r="34">
      <c r="A34" s="31" t="n">
        <v>45584</v>
      </c>
      <c r="B34" s="22" t="inlineStr">
        <is>
          <t>Belanja Makan</t>
        </is>
      </c>
      <c r="C34" s="33" t="n">
        <v>4256</v>
      </c>
      <c r="D34" s="33">
        <f>D33-C34</f>
        <v/>
      </c>
    </row>
    <row r="35">
      <c r="A35" s="31" t="n">
        <v>45585</v>
      </c>
      <c r="B35" s="22" t="inlineStr">
        <is>
          <t>Belanja</t>
        </is>
      </c>
      <c r="C35" s="33" t="n">
        <v>2860</v>
      </c>
      <c r="D35" s="33">
        <f>D34-C35</f>
        <v/>
      </c>
    </row>
    <row r="36">
      <c r="A36" s="31" t="n">
        <v>45586</v>
      </c>
      <c r="B36" s="22" t="inlineStr">
        <is>
          <t>Belanja Makan</t>
        </is>
      </c>
      <c r="C36" s="33" t="n">
        <v>382</v>
      </c>
      <c r="D36" s="33">
        <f>D35-C36</f>
        <v/>
      </c>
    </row>
    <row r="37">
      <c r="B37" s="22" t="inlineStr">
        <is>
          <t>Belanja Makan</t>
        </is>
      </c>
      <c r="C37" s="33" t="n">
        <v>221</v>
      </c>
      <c r="D37" s="33">
        <f>D36-C37</f>
        <v/>
      </c>
    </row>
    <row r="38">
      <c r="A38" s="31" t="n">
        <v>45587</v>
      </c>
      <c r="B38" s="22" t="inlineStr">
        <is>
          <t>Belanja Makan</t>
        </is>
      </c>
      <c r="C38" s="33" t="n">
        <v>468</v>
      </c>
      <c r="D38" s="33">
        <f>D37-C38</f>
        <v/>
      </c>
    </row>
    <row r="39">
      <c r="B39" s="22" t="inlineStr">
        <is>
          <t>Makan</t>
        </is>
      </c>
      <c r="C39" s="33" t="n">
        <v>680</v>
      </c>
      <c r="D39" s="33">
        <f>D38-C39</f>
        <v/>
      </c>
    </row>
    <row r="40">
      <c r="A40" s="31" t="n">
        <v>45588</v>
      </c>
      <c r="D40" s="33">
        <f>D39-C40</f>
        <v/>
      </c>
    </row>
    <row r="41">
      <c r="A41" s="31" t="n">
        <v>45589</v>
      </c>
      <c r="B41" s="22" t="inlineStr">
        <is>
          <t>Belanja</t>
        </is>
      </c>
      <c r="C41" s="33">
        <f>266+178+406</f>
        <v/>
      </c>
      <c r="D41" s="33">
        <f>D40-C41</f>
        <v/>
      </c>
    </row>
    <row r="42">
      <c r="A42" s="31" t="n">
        <v>45590</v>
      </c>
      <c r="B42" s="22" t="inlineStr">
        <is>
          <t>Belanja</t>
        </is>
      </c>
      <c r="C42" s="33">
        <f>534+108</f>
        <v/>
      </c>
      <c r="D42" s="33">
        <f>D41-C42</f>
        <v/>
      </c>
    </row>
    <row r="43">
      <c r="A43" s="31" t="n"/>
      <c r="B43" s="22" t="inlineStr">
        <is>
          <t>Belanja Makan</t>
        </is>
      </c>
      <c r="C43" s="33" t="n">
        <v>1530</v>
      </c>
      <c r="D43" s="33">
        <f>D42-C43</f>
        <v/>
      </c>
    </row>
    <row r="44">
      <c r="A44" s="31" t="n">
        <v>45591</v>
      </c>
      <c r="B44" s="22" t="inlineStr">
        <is>
          <t>Belanja</t>
        </is>
      </c>
      <c r="C44" s="33" t="n">
        <v>638</v>
      </c>
      <c r="D44" s="33">
        <f>D43-C44</f>
        <v/>
      </c>
    </row>
    <row r="45">
      <c r="A45" s="31" t="n"/>
      <c r="B45" s="22" t="inlineStr">
        <is>
          <t>Belanja</t>
        </is>
      </c>
      <c r="C45" s="33" t="n">
        <v>864</v>
      </c>
      <c r="D45" s="33">
        <f>D44-C45</f>
        <v/>
      </c>
    </row>
    <row r="46">
      <c r="A46" s="31" t="n"/>
      <c r="B46" s="22" t="inlineStr">
        <is>
          <t>Belanja Makan</t>
        </is>
      </c>
      <c r="C46" s="33" t="n">
        <v>2076</v>
      </c>
      <c r="D46" s="33">
        <f>D45-C46</f>
        <v/>
      </c>
    </row>
    <row r="47">
      <c r="A47" s="31" t="n">
        <v>45592</v>
      </c>
      <c r="B47" s="21" t="inlineStr">
        <is>
          <t>Makan</t>
        </is>
      </c>
      <c r="C47" s="33" t="n">
        <v>810</v>
      </c>
      <c r="D47" s="33">
        <f>D46-C47</f>
        <v/>
      </c>
    </row>
    <row r="48">
      <c r="A48" s="31" t="n">
        <v>45593</v>
      </c>
      <c r="B48" s="21" t="inlineStr">
        <is>
          <t>Makan</t>
        </is>
      </c>
      <c r="C48" s="33" t="n">
        <v>780</v>
      </c>
      <c r="D48" s="33">
        <f>D47-C48</f>
        <v/>
      </c>
    </row>
    <row r="49">
      <c r="A49" s="31" t="n"/>
      <c r="B49" s="21" t="inlineStr">
        <is>
          <t>Belanja</t>
        </is>
      </c>
      <c r="C49" s="33" t="n">
        <v>468</v>
      </c>
      <c r="D49" s="33">
        <f>D48-C49</f>
        <v/>
      </c>
    </row>
    <row r="50">
      <c r="A50" s="31" t="n"/>
      <c r="B50" s="21" t="inlineStr">
        <is>
          <t>Belanja</t>
        </is>
      </c>
      <c r="C50" s="33" t="n">
        <v>725</v>
      </c>
      <c r="D50" s="33">
        <f>D49-C50</f>
        <v/>
      </c>
    </row>
    <row r="51">
      <c r="A51" s="31" t="n">
        <v>45594</v>
      </c>
      <c r="B51" s="21" t="inlineStr">
        <is>
          <t>Belanja Makan</t>
        </is>
      </c>
      <c r="C51" s="33" t="n">
        <v>1604</v>
      </c>
      <c r="D51" s="33">
        <f>D50-C51</f>
        <v/>
      </c>
    </row>
    <row r="52">
      <c r="B52" s="21" t="inlineStr">
        <is>
          <t>Belanja Makan</t>
        </is>
      </c>
      <c r="C52" s="33" t="n">
        <v>1387</v>
      </c>
      <c r="D52" s="33">
        <f>D51-C52</f>
        <v/>
      </c>
    </row>
    <row r="53">
      <c r="A53" s="31" t="n">
        <v>45595</v>
      </c>
      <c r="C53" s="33" t="n">
        <v>2502</v>
      </c>
      <c r="D53" s="33">
        <f>D52-C53</f>
        <v/>
      </c>
    </row>
    <row r="54">
      <c r="A54" s="31" t="n">
        <v>45596</v>
      </c>
      <c r="C54" s="33" t="n">
        <v>741</v>
      </c>
      <c r="D54" s="33">
        <f>D53-C54</f>
        <v/>
      </c>
    </row>
    <row r="55">
      <c r="A55" s="31" t="n"/>
      <c r="C55" s="33" t="n"/>
      <c r="D55" s="33">
        <f>D54-C55</f>
        <v/>
      </c>
    </row>
    <row r="56">
      <c r="A56" s="31" t="n"/>
      <c r="C56" s="33" t="n"/>
      <c r="D56" s="33">
        <f>D55-C56</f>
        <v/>
      </c>
    </row>
  </sheetData>
  <mergeCells count="5">
    <mergeCell ref="A1:D1"/>
    <mergeCell ref="F9:I9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40"/>
  <sheetViews>
    <sheetView topLeftCell="A9" zoomScale="110" zoomScaleNormal="110" workbookViewId="0">
      <selection activeCell="I37" sqref="I37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21" min="3" max="4"/>
    <col width="8.77734375" customWidth="1" style="19" min="5" max="5"/>
    <col width="4" customWidth="1" style="89" min="6" max="6"/>
    <col width="37.77734375" customWidth="1" style="21" min="7" max="7"/>
    <col width="17.33203125" customWidth="1" style="21" min="8" max="10"/>
    <col width="8.77734375" customWidth="1" style="19" min="11" max="11"/>
    <col width="8.77734375" customWidth="1" style="19" min="12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F3" s="92" t="inlineStr">
        <is>
          <t>From Last Month</t>
        </is>
      </c>
      <c r="G3" s="90" t="n"/>
      <c r="H3" s="90" t="n"/>
      <c r="I3" s="91" t="n"/>
      <c r="J3" s="34" t="n"/>
    </row>
    <row r="4">
      <c r="A4" s="31" t="n"/>
      <c r="B4" s="32" t="n"/>
      <c r="C4" s="33" t="n"/>
      <c r="D4" s="33">
        <f>D3-C4</f>
        <v/>
      </c>
      <c r="F4" s="89" t="n">
        <v>1</v>
      </c>
      <c r="H4" s="33" t="n"/>
      <c r="I4" s="33" t="n"/>
      <c r="J4" s="33">
        <f>J3-H4+I4</f>
        <v/>
      </c>
    </row>
    <row r="5">
      <c r="A5" s="31" t="n"/>
      <c r="B5" s="32" t="n"/>
      <c r="C5" s="33" t="n"/>
      <c r="D5" s="33">
        <f>D4-C5</f>
        <v/>
      </c>
      <c r="F5" s="89" t="n">
        <v>2</v>
      </c>
      <c r="H5" s="33" t="n"/>
      <c r="I5" s="33" t="n"/>
      <c r="J5" s="33">
        <f>J4-H5+I5</f>
        <v/>
      </c>
    </row>
    <row r="6">
      <c r="A6" s="31" t="n"/>
      <c r="B6" s="22" t="n"/>
      <c r="C6" s="33" t="n"/>
      <c r="D6" s="33">
        <f>D5-C6</f>
        <v/>
      </c>
      <c r="F6" s="89" t="n">
        <v>3</v>
      </c>
      <c r="H6" s="33" t="n"/>
      <c r="I6" s="33" t="n"/>
      <c r="J6" s="33">
        <f>J5-H6+I6</f>
        <v/>
      </c>
    </row>
    <row r="7">
      <c r="A7" s="31" t="n"/>
      <c r="B7" s="22" t="n"/>
      <c r="C7" s="33" t="n"/>
      <c r="D7" s="33">
        <f>D6-C7</f>
        <v/>
      </c>
      <c r="F7" s="89" t="n">
        <v>4</v>
      </c>
      <c r="H7" s="33" t="n"/>
      <c r="I7" s="33" t="n"/>
      <c r="J7" s="33">
        <f>J6-H7+I7</f>
        <v/>
      </c>
    </row>
    <row r="8">
      <c r="A8" s="31" t="n"/>
      <c r="B8" s="22" t="n"/>
      <c r="C8" s="33" t="n"/>
      <c r="D8" s="33">
        <f>D7-C8</f>
        <v/>
      </c>
      <c r="F8" s="89" t="n">
        <v>5</v>
      </c>
      <c r="H8" s="33" t="n"/>
      <c r="I8" s="33" t="n"/>
      <c r="J8" s="33">
        <f>J7-H8+I8</f>
        <v/>
      </c>
    </row>
    <row r="9">
      <c r="A9" s="31" t="n"/>
      <c r="B9" s="22" t="n"/>
      <c r="C9" s="33" t="n"/>
      <c r="D9" s="33">
        <f>D8-C9</f>
        <v/>
      </c>
      <c r="H9" s="33" t="n"/>
      <c r="I9" s="33" t="n"/>
      <c r="J9" s="33" t="n"/>
    </row>
    <row r="10">
      <c r="A10" s="31" t="n"/>
      <c r="B10" s="22" t="n"/>
      <c r="C10" s="33" t="n"/>
      <c r="D10" s="33">
        <f>D9-C10</f>
        <v/>
      </c>
      <c r="H10" s="33" t="n"/>
      <c r="I10" s="33" t="n"/>
      <c r="J10" s="33" t="n"/>
    </row>
    <row r="11">
      <c r="A11" s="31" t="n"/>
      <c r="B11" s="22" t="n"/>
      <c r="C11" s="33" t="n"/>
      <c r="D11" s="33">
        <f>D10-C11</f>
        <v/>
      </c>
      <c r="H11" s="33" t="n"/>
      <c r="I11" s="33" t="n"/>
      <c r="J11" s="33" t="n"/>
    </row>
    <row r="12">
      <c r="A12" s="31" t="n"/>
      <c r="B12" s="22" t="n"/>
      <c r="C12" s="33" t="n"/>
      <c r="D12" s="33">
        <f>D11-C12</f>
        <v/>
      </c>
      <c r="H12" s="33" t="n"/>
      <c r="I12" s="33" t="n"/>
      <c r="J12" s="33" t="n"/>
    </row>
    <row r="13">
      <c r="A13" s="31" t="n"/>
      <c r="B13" s="22" t="n"/>
      <c r="C13" s="33" t="n"/>
      <c r="D13" s="33">
        <f>D12-C13</f>
        <v/>
      </c>
      <c r="H13" s="33" t="n"/>
      <c r="I13" s="33" t="n"/>
      <c r="J13" s="33" t="n"/>
    </row>
    <row r="14">
      <c r="A14" s="31" t="n"/>
      <c r="B14" s="22" t="n"/>
      <c r="C14" s="33" t="n"/>
      <c r="D14" s="33">
        <f>D13-C14</f>
        <v/>
      </c>
      <c r="H14" s="33" t="n"/>
      <c r="I14" s="33" t="n"/>
      <c r="J14" s="33" t="n"/>
    </row>
    <row r="15">
      <c r="A15" s="31" t="n"/>
      <c r="B15" s="22" t="n"/>
      <c r="C15" s="33" t="n"/>
      <c r="D15" s="33">
        <f>D14-C15</f>
        <v/>
      </c>
      <c r="H15" s="33" t="n"/>
      <c r="I15" s="33" t="n"/>
      <c r="J15" s="33" t="n"/>
    </row>
    <row r="16">
      <c r="A16" s="31" t="n"/>
      <c r="B16" s="22" t="n"/>
      <c r="C16" s="33" t="n"/>
      <c r="D16" s="33">
        <f>D15-C16</f>
        <v/>
      </c>
      <c r="H16" s="33" t="n"/>
      <c r="I16" s="33" t="n"/>
      <c r="J16" s="33" t="n"/>
    </row>
    <row r="17">
      <c r="A17" s="31" t="n"/>
      <c r="B17" s="22" t="n"/>
      <c r="C17" s="33" t="n"/>
      <c r="D17" s="33">
        <f>D16-C17</f>
        <v/>
      </c>
    </row>
    <row r="18">
      <c r="A18" s="31" t="n"/>
      <c r="B18" s="22" t="n"/>
      <c r="C18" s="33" t="n"/>
      <c r="D18" s="33">
        <f>D17-C18</f>
        <v/>
      </c>
    </row>
    <row r="19">
      <c r="A19" s="31" t="n"/>
      <c r="B19" s="22" t="n"/>
      <c r="C19" s="33" t="n"/>
      <c r="D19" s="33">
        <f>D18-C19</f>
        <v/>
      </c>
    </row>
    <row r="20">
      <c r="A20" s="31" t="n"/>
      <c r="B20" s="22" t="n"/>
      <c r="C20" s="33" t="n"/>
      <c r="D20" s="33">
        <f>D19-C20</f>
        <v/>
      </c>
    </row>
    <row r="21">
      <c r="A21" s="31" t="n"/>
      <c r="B21" s="22" t="n"/>
      <c r="C21" s="33" t="n"/>
      <c r="D21" s="33">
        <f>D20-C21</f>
        <v/>
      </c>
    </row>
    <row r="22">
      <c r="A22" s="31" t="n"/>
      <c r="B22" s="22" t="n"/>
      <c r="C22" s="33" t="n"/>
      <c r="D22" s="33">
        <f>D21-C22</f>
        <v/>
      </c>
    </row>
    <row r="23">
      <c r="A23" s="31" t="n"/>
      <c r="B23" s="22" t="n"/>
      <c r="C23" s="33" t="n"/>
      <c r="D23" s="33">
        <f>D22-C23</f>
        <v/>
      </c>
    </row>
    <row r="24">
      <c r="A24" s="31" t="n"/>
      <c r="B24" s="22" t="n"/>
      <c r="C24" s="33" t="n"/>
      <c r="D24" s="33">
        <f>D23-C24</f>
        <v/>
      </c>
    </row>
    <row r="25">
      <c r="A25" s="31" t="n"/>
      <c r="B25" s="22" t="n"/>
      <c r="C25" s="33" t="n"/>
      <c r="D25" s="33">
        <f>D24-C25</f>
        <v/>
      </c>
    </row>
    <row r="26">
      <c r="A26" s="31" t="n"/>
      <c r="B26" s="22" t="n"/>
      <c r="C26" s="33" t="n"/>
      <c r="D26" s="33">
        <f>D25-C26</f>
        <v/>
      </c>
    </row>
    <row r="27">
      <c r="A27" s="31" t="n"/>
      <c r="B27" s="22" t="n"/>
      <c r="C27" s="33" t="n"/>
      <c r="D27" s="33">
        <f>D26-C27</f>
        <v/>
      </c>
    </row>
    <row r="28">
      <c r="A28" s="31" t="n"/>
      <c r="B28" s="22" t="n"/>
      <c r="C28" s="33" t="n"/>
      <c r="D28" s="33">
        <f>D27-C28</f>
        <v/>
      </c>
    </row>
    <row r="29">
      <c r="A29" s="31" t="n"/>
      <c r="B29" s="22" t="n"/>
      <c r="C29" s="33" t="n"/>
      <c r="D29" s="33">
        <f>D28-C29</f>
        <v/>
      </c>
    </row>
    <row r="30">
      <c r="A30" s="31" t="n"/>
      <c r="B30" s="22" t="n"/>
      <c r="C30" s="33" t="n"/>
      <c r="D30" s="33">
        <f>D29-C30</f>
        <v/>
      </c>
    </row>
    <row r="31">
      <c r="A31" s="31" t="n"/>
      <c r="B31" s="22" t="n"/>
      <c r="C31" s="33" t="n"/>
      <c r="D31" s="33">
        <f>D30-C31</f>
        <v/>
      </c>
    </row>
    <row r="32">
      <c r="A32" s="31" t="n"/>
      <c r="B32" s="22" t="n"/>
      <c r="C32" s="33" t="n"/>
      <c r="D32" s="33">
        <f>D31-C32</f>
        <v/>
      </c>
    </row>
    <row r="33">
      <c r="A33" s="31" t="n"/>
      <c r="B33" s="22" t="n"/>
      <c r="C33" s="33" t="n"/>
      <c r="D33" s="33">
        <f>D32-C33</f>
        <v/>
      </c>
    </row>
    <row r="34">
      <c r="A34" s="31" t="n"/>
      <c r="B34" s="22" t="n"/>
      <c r="C34" s="33" t="n"/>
      <c r="D34" s="33">
        <f>D33-C34</f>
        <v/>
      </c>
    </row>
    <row r="35">
      <c r="A35" s="31" t="n"/>
      <c r="B35" s="22" t="n"/>
      <c r="C35" s="33" t="n"/>
      <c r="D35" s="33">
        <f>D34-C35</f>
        <v/>
      </c>
    </row>
    <row r="36">
      <c r="A36" s="31" t="n"/>
      <c r="B36" s="22" t="n"/>
      <c r="C36" s="33" t="n"/>
      <c r="D36" s="33">
        <f>D35-C36</f>
        <v/>
      </c>
    </row>
    <row r="37">
      <c r="A37" s="31" t="n"/>
      <c r="B37" s="22" t="n"/>
      <c r="C37" s="33" t="n"/>
      <c r="D37" s="33">
        <f>D36-C37</f>
        <v/>
      </c>
    </row>
    <row r="38">
      <c r="A38" s="31" t="n"/>
      <c r="B38" s="22" t="n"/>
      <c r="C38" s="33" t="n"/>
      <c r="D38" s="33">
        <f>D37-C38</f>
        <v/>
      </c>
    </row>
    <row r="39">
      <c r="A39" s="31" t="n"/>
      <c r="B39" s="22" t="n"/>
      <c r="C39" s="33" t="n"/>
      <c r="D39" s="33">
        <f>D38-C39</f>
        <v/>
      </c>
    </row>
    <row r="40">
      <c r="A40" s="31" t="n"/>
      <c r="B40" s="22" t="n"/>
      <c r="C40" s="33" t="n"/>
      <c r="D40" s="33">
        <f>D39-C40</f>
        <v/>
      </c>
    </row>
  </sheetData>
  <mergeCells count="4">
    <mergeCell ref="F1:J1"/>
    <mergeCell ref="A1:D1"/>
    <mergeCell ref="F3:I3"/>
    <mergeCell ref="A3:C3"/>
  </mergeCells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82"/>
  <sheetViews>
    <sheetView zoomScale="160" zoomScaleNormal="160" workbookViewId="0">
      <selection activeCell="C49" sqref="C49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21" min="3" max="4"/>
    <col width="8.77734375" customWidth="1" style="19" min="5" max="5"/>
    <col width="4" customWidth="1" style="89" min="6" max="6"/>
    <col width="37.77734375" customWidth="1" style="21" min="7" max="7"/>
    <col width="17.33203125" customWidth="1" style="21" min="8" max="10"/>
    <col width="8.77734375" customWidth="1" style="19" min="11" max="11"/>
    <col width="8.77734375" customWidth="1" style="19" min="12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60000</v>
      </c>
      <c r="F3" s="92" t="inlineStr">
        <is>
          <t>From Last Month</t>
        </is>
      </c>
      <c r="G3" s="90" t="n"/>
      <c r="H3" s="90" t="n"/>
      <c r="I3" s="91" t="n"/>
      <c r="J3" s="34">
        <f>'24-10'!J9</f>
        <v/>
      </c>
    </row>
    <row r="4">
      <c r="A4" s="31" t="n">
        <v>45597</v>
      </c>
      <c r="B4" s="32" t="inlineStr">
        <is>
          <t>Belanja Makan</t>
        </is>
      </c>
      <c r="C4" s="33" t="n">
        <v>1631</v>
      </c>
      <c r="D4" s="33">
        <f>D3-C4</f>
        <v/>
      </c>
      <c r="F4" s="89" t="n">
        <v>1</v>
      </c>
      <c r="G4" s="21" t="inlineStr">
        <is>
          <t>Uang Bulanan</t>
        </is>
      </c>
      <c r="H4" s="33" t="n">
        <v>60000</v>
      </c>
      <c r="I4" s="33" t="n"/>
      <c r="J4" s="33">
        <f>J3-H4+I4</f>
        <v/>
      </c>
    </row>
    <row r="5">
      <c r="A5" s="31" t="n">
        <v>45598</v>
      </c>
      <c r="B5" s="32" t="n"/>
      <c r="C5" s="33" t="n"/>
      <c r="D5" s="33">
        <f>D4-C5</f>
        <v/>
      </c>
      <c r="F5" s="89" t="n">
        <v>2</v>
      </c>
      <c r="G5" s="21" t="inlineStr">
        <is>
          <t>Insurance Sepeda</t>
        </is>
      </c>
      <c r="H5" s="33" t="n">
        <v>1800</v>
      </c>
      <c r="I5" s="33" t="n"/>
      <c r="J5" s="33">
        <f>J4-H5+I5</f>
        <v/>
      </c>
    </row>
    <row r="6">
      <c r="A6" s="31" t="n">
        <v>45599</v>
      </c>
      <c r="B6" s="22" t="inlineStr">
        <is>
          <t>Belanja</t>
        </is>
      </c>
      <c r="C6" s="33">
        <f>759</f>
        <v/>
      </c>
      <c r="D6" s="33">
        <f>D5-C6</f>
        <v/>
      </c>
      <c r="F6" s="89" t="n">
        <v>3</v>
      </c>
      <c r="G6" s="21" t="inlineStr">
        <is>
          <t>Rent</t>
        </is>
      </c>
      <c r="H6" s="33" t="n">
        <v>71788</v>
      </c>
      <c r="I6" s="33" t="n"/>
      <c r="J6" s="33">
        <f>J5-H6+I6</f>
        <v/>
      </c>
    </row>
    <row r="7">
      <c r="A7" s="31" t="n"/>
      <c r="B7" s="22" t="inlineStr">
        <is>
          <t>Belanja Makan</t>
        </is>
      </c>
      <c r="C7" s="33" t="n">
        <v>1895</v>
      </c>
      <c r="D7" s="33">
        <f>D6-C7</f>
        <v/>
      </c>
      <c r="F7" s="89" t="n">
        <v>4</v>
      </c>
      <c r="G7" s="21" t="inlineStr">
        <is>
          <t>Listrik</t>
        </is>
      </c>
      <c r="H7" s="33" t="n"/>
      <c r="I7" s="33" t="n"/>
      <c r="J7" s="33">
        <f>J6-H7+I7</f>
        <v/>
      </c>
    </row>
    <row r="8">
      <c r="A8" s="31" t="n">
        <v>45600</v>
      </c>
      <c r="B8" s="22" t="inlineStr">
        <is>
          <t>Belanja</t>
        </is>
      </c>
      <c r="C8" s="33" t="n">
        <v>214</v>
      </c>
      <c r="D8" s="33">
        <f>D7-C8</f>
        <v/>
      </c>
      <c r="F8" s="89" t="n">
        <v>5</v>
      </c>
      <c r="G8" s="41" t="inlineStr">
        <is>
          <t>Tuition</t>
        </is>
      </c>
      <c r="H8" s="37" t="n">
        <v>617960</v>
      </c>
      <c r="I8" s="33" t="n"/>
      <c r="J8" s="33">
        <f>J7-H8+I8</f>
        <v/>
      </c>
    </row>
    <row r="9">
      <c r="A9" s="31" t="n">
        <v>45601</v>
      </c>
      <c r="B9" s="22" t="inlineStr">
        <is>
          <t>Belanja</t>
        </is>
      </c>
      <c r="C9" s="33" t="n">
        <v>790</v>
      </c>
      <c r="D9" s="33">
        <f>D8-C9</f>
        <v/>
      </c>
      <c r="H9" s="33" t="n"/>
      <c r="I9" s="33" t="n"/>
      <c r="J9" s="33" t="n"/>
    </row>
    <row r="10">
      <c r="A10" s="31" t="n">
        <v>45602</v>
      </c>
      <c r="B10" s="22" t="inlineStr">
        <is>
          <t>Potong Rambut</t>
        </is>
      </c>
      <c r="C10" s="33" t="n">
        <v>1800</v>
      </c>
      <c r="D10" s="33">
        <f>D9-C10</f>
        <v/>
      </c>
      <c r="H10" s="33" t="n"/>
      <c r="I10" s="33" t="n"/>
      <c r="J10" s="33" t="n"/>
    </row>
    <row r="11">
      <c r="A11" s="31" t="n">
        <v>45603</v>
      </c>
      <c r="B11" s="22" t="inlineStr">
        <is>
          <t>Belanja Makan</t>
        </is>
      </c>
      <c r="C11" s="33" t="n">
        <v>2964</v>
      </c>
      <c r="D11" s="33">
        <f>D10-C11</f>
        <v/>
      </c>
      <c r="H11" s="33" t="n"/>
      <c r="I11" s="33" t="n"/>
      <c r="J11" s="33" t="n"/>
    </row>
    <row r="12">
      <c r="B12" s="22" t="inlineStr">
        <is>
          <t>Belanja</t>
        </is>
      </c>
      <c r="C12" s="33" t="n">
        <v>389</v>
      </c>
      <c r="D12" s="33">
        <f>D11-C12</f>
        <v/>
      </c>
      <c r="H12" s="33" t="n"/>
      <c r="I12" s="33" t="n"/>
      <c r="J12" s="33" t="n"/>
    </row>
    <row r="13">
      <c r="B13" s="22" t="inlineStr">
        <is>
          <t>Belanja</t>
        </is>
      </c>
      <c r="C13" s="33" t="n">
        <v>730</v>
      </c>
      <c r="D13" s="33">
        <f>D12-C13</f>
        <v/>
      </c>
      <c r="H13" s="33" t="n"/>
      <c r="I13" s="33" t="n"/>
      <c r="J13" s="33" t="n"/>
    </row>
    <row r="14">
      <c r="A14" s="31" t="n">
        <v>45604</v>
      </c>
      <c r="B14" s="22" t="inlineStr">
        <is>
          <t>Belanja Makan</t>
        </is>
      </c>
      <c r="C14" s="33" t="n">
        <v>532</v>
      </c>
      <c r="D14" s="33">
        <f>D13-C14</f>
        <v/>
      </c>
      <c r="H14" s="33" t="n"/>
      <c r="I14" s="33" t="n"/>
      <c r="J14" s="33" t="n"/>
    </row>
    <row r="15">
      <c r="B15" s="22" t="n"/>
      <c r="C15" s="33" t="n">
        <v>539</v>
      </c>
      <c r="D15" s="33">
        <f>D14-C15</f>
        <v/>
      </c>
      <c r="H15" s="33" t="n"/>
      <c r="I15" s="33" t="n"/>
      <c r="J15" s="33" t="n"/>
    </row>
    <row r="16">
      <c r="A16" s="31" t="n">
        <v>45605</v>
      </c>
      <c r="B16" s="22" t="inlineStr">
        <is>
          <t>Belanja Makan</t>
        </is>
      </c>
      <c r="C16" s="33" t="n">
        <v>1300</v>
      </c>
      <c r="D16" s="33">
        <f>D15-C16</f>
        <v/>
      </c>
      <c r="H16" s="33" t="n"/>
      <c r="I16" s="33" t="n"/>
      <c r="J16" s="33" t="n"/>
    </row>
    <row r="17">
      <c r="A17" s="31" t="n">
        <v>45606</v>
      </c>
      <c r="B17" s="22" t="inlineStr">
        <is>
          <t>Deterjen</t>
        </is>
      </c>
      <c r="C17" s="33" t="n">
        <v>1479</v>
      </c>
      <c r="D17" s="33">
        <f>D16-C17</f>
        <v/>
      </c>
    </row>
    <row r="18">
      <c r="A18" s="31" t="n">
        <v>45607</v>
      </c>
      <c r="C18" s="33" t="n"/>
      <c r="D18" s="33">
        <f>D17-C18</f>
        <v/>
      </c>
    </row>
    <row r="19">
      <c r="A19" s="31" t="n">
        <v>45608</v>
      </c>
      <c r="B19" s="22" t="inlineStr">
        <is>
          <t>Belanja</t>
        </is>
      </c>
      <c r="C19" s="33" t="n">
        <v>373</v>
      </c>
      <c r="D19" s="33">
        <f>D18-C19</f>
        <v/>
      </c>
    </row>
    <row r="20">
      <c r="B20" s="22" t="inlineStr">
        <is>
          <t>Belanja Makan</t>
        </is>
      </c>
      <c r="C20" s="33" t="n">
        <v>278</v>
      </c>
      <c r="D20" s="33">
        <f>D19-C20</f>
        <v/>
      </c>
    </row>
    <row r="21">
      <c r="A21" s="31" t="n">
        <v>45609</v>
      </c>
      <c r="B21" s="22" t="inlineStr">
        <is>
          <t>Belanja Makan</t>
        </is>
      </c>
      <c r="C21" s="33" t="n">
        <v>921</v>
      </c>
      <c r="D21" s="33">
        <f>D20-C21</f>
        <v/>
      </c>
    </row>
    <row r="22">
      <c r="A22" s="31" t="n">
        <v>45610</v>
      </c>
      <c r="B22" s="22" t="inlineStr">
        <is>
          <t>Belanja Makan</t>
        </is>
      </c>
      <c r="C22" s="33">
        <f>228+408+640</f>
        <v/>
      </c>
      <c r="D22" s="33">
        <f>D21-C22</f>
        <v/>
      </c>
    </row>
    <row r="23">
      <c r="B23" s="22" t="inlineStr">
        <is>
          <t>Belanja Makan</t>
        </is>
      </c>
      <c r="C23" s="33" t="n">
        <v>778</v>
      </c>
      <c r="D23" s="33">
        <f>D22-C23</f>
        <v/>
      </c>
    </row>
    <row r="24">
      <c r="B24" s="22" t="inlineStr">
        <is>
          <t>Belanja Makan</t>
        </is>
      </c>
      <c r="C24" s="33" t="n">
        <v>330</v>
      </c>
      <c r="D24" s="33">
        <f>D23-C24</f>
        <v/>
      </c>
    </row>
    <row r="25">
      <c r="A25" s="31" t="n">
        <v>45611</v>
      </c>
      <c r="B25" s="22" t="n"/>
      <c r="C25" s="33" t="n"/>
      <c r="D25" s="33">
        <f>D24-C25</f>
        <v/>
      </c>
    </row>
    <row r="26">
      <c r="A26" s="31" t="n">
        <v>45612</v>
      </c>
      <c r="B26" s="22" t="n"/>
      <c r="C26" s="33" t="n"/>
      <c r="D26" s="33">
        <f>D25-C26</f>
        <v/>
      </c>
    </row>
    <row r="27">
      <c r="A27" s="31" t="n">
        <v>45613</v>
      </c>
      <c r="B27" s="22" t="inlineStr">
        <is>
          <t>Belanja</t>
        </is>
      </c>
      <c r="C27" s="33" t="n">
        <v>306</v>
      </c>
      <c r="D27" s="33">
        <f>D26-C27</f>
        <v/>
      </c>
    </row>
    <row r="28">
      <c r="B28" s="22" t="inlineStr">
        <is>
          <t>Belanja Makan</t>
        </is>
      </c>
      <c r="C28" s="33" t="n">
        <v>3201</v>
      </c>
      <c r="D28" s="33">
        <f>D27-C28</f>
        <v/>
      </c>
    </row>
    <row r="29">
      <c r="A29" s="31" t="n">
        <v>45614</v>
      </c>
      <c r="B29" s="22" t="inlineStr">
        <is>
          <t>Belanja Makan</t>
        </is>
      </c>
      <c r="C29" s="33" t="n">
        <v>2009</v>
      </c>
      <c r="D29" s="33">
        <f>D28-C29</f>
        <v/>
      </c>
    </row>
    <row r="30">
      <c r="B30" s="22" t="inlineStr">
        <is>
          <t>Belanja Makan</t>
        </is>
      </c>
      <c r="C30" s="33">
        <f>750+108</f>
        <v/>
      </c>
      <c r="D30" s="33">
        <f>D29-C30</f>
        <v/>
      </c>
    </row>
    <row r="31">
      <c r="A31" s="31" t="n">
        <v>45615</v>
      </c>
      <c r="B31" s="22" t="inlineStr">
        <is>
          <t>Makan</t>
        </is>
      </c>
      <c r="C31" s="33" t="n">
        <v>514</v>
      </c>
      <c r="D31" s="33">
        <f>D30-C31</f>
        <v/>
      </c>
    </row>
    <row r="32">
      <c r="B32" s="22" t="inlineStr">
        <is>
          <t>Makan</t>
        </is>
      </c>
      <c r="C32" s="33" t="n">
        <v>221</v>
      </c>
      <c r="D32" s="33">
        <f>D31-C32</f>
        <v/>
      </c>
    </row>
    <row r="33">
      <c r="A33" s="31" t="n"/>
      <c r="B33" s="22" t="inlineStr">
        <is>
          <t>Deterjen</t>
        </is>
      </c>
      <c r="C33" s="33" t="n">
        <v>1314</v>
      </c>
      <c r="D33" s="33">
        <f>D32-C33</f>
        <v/>
      </c>
    </row>
    <row r="34">
      <c r="A34" s="31" t="n">
        <v>45616</v>
      </c>
      <c r="B34" s="22" t="inlineStr">
        <is>
          <t>Makan</t>
        </is>
      </c>
      <c r="C34" s="33" t="n">
        <v>600</v>
      </c>
      <c r="D34" s="33">
        <f>D33-C34</f>
        <v/>
      </c>
    </row>
    <row r="35">
      <c r="A35" s="31" t="n"/>
      <c r="B35" s="22" t="inlineStr">
        <is>
          <t>Belanja</t>
        </is>
      </c>
      <c r="C35" s="33" t="n">
        <v>510</v>
      </c>
      <c r="D35" s="33">
        <f>D34-C35</f>
        <v/>
      </c>
    </row>
    <row r="36">
      <c r="A36" s="31" t="n">
        <v>45617</v>
      </c>
      <c r="B36" s="22" t="inlineStr">
        <is>
          <t>Belanja</t>
        </is>
      </c>
      <c r="C36" s="33" t="n">
        <v>979</v>
      </c>
      <c r="D36" s="33">
        <f>D35-C36</f>
        <v/>
      </c>
    </row>
    <row r="37">
      <c r="A37" s="31" t="n"/>
      <c r="B37" s="22" t="inlineStr">
        <is>
          <t>Belanja</t>
        </is>
      </c>
      <c r="C37" s="33" t="n">
        <v>128</v>
      </c>
      <c r="D37" s="33">
        <f>D36-C37</f>
        <v/>
      </c>
    </row>
    <row r="38">
      <c r="A38" s="31" t="n"/>
      <c r="B38" s="22" t="inlineStr">
        <is>
          <t>Belanja Makan</t>
        </is>
      </c>
      <c r="C38" s="33" t="n">
        <v>1129</v>
      </c>
      <c r="D38" s="33">
        <f>D37-C38</f>
        <v/>
      </c>
    </row>
    <row r="39">
      <c r="A39" s="31" t="n"/>
      <c r="B39" s="22" t="n"/>
      <c r="C39" s="33" t="n"/>
      <c r="D39" s="33">
        <f>D38-C39</f>
        <v/>
      </c>
    </row>
    <row r="40">
      <c r="A40" s="31" t="n"/>
      <c r="B40" s="22" t="n"/>
      <c r="C40" s="33" t="n"/>
      <c r="D40" s="33">
        <f>D39-C40</f>
        <v/>
      </c>
    </row>
    <row r="41">
      <c r="A41" s="31" t="n"/>
      <c r="B41" s="22" t="n"/>
      <c r="C41" s="33" t="n"/>
      <c r="D41" s="33">
        <f>D40-C41</f>
        <v/>
      </c>
    </row>
    <row r="42">
      <c r="D42" s="33">
        <f>D41-C42</f>
        <v/>
      </c>
    </row>
    <row r="43">
      <c r="D43" s="33">
        <f>D42-C43</f>
        <v/>
      </c>
    </row>
    <row r="44">
      <c r="D44" s="33">
        <f>D43-C44</f>
        <v/>
      </c>
    </row>
    <row r="45">
      <c r="D45" s="33">
        <f>D44-C45</f>
        <v/>
      </c>
    </row>
    <row r="46">
      <c r="D46" s="33">
        <f>D45-C46</f>
        <v/>
      </c>
    </row>
    <row r="47">
      <c r="D47" s="33">
        <f>D46-C47</f>
        <v/>
      </c>
    </row>
    <row r="48">
      <c r="D48" s="33">
        <f>D47-C48</f>
        <v/>
      </c>
    </row>
    <row r="49">
      <c r="D49" s="33">
        <f>D48-C49</f>
        <v/>
      </c>
    </row>
    <row r="50">
      <c r="D50" s="33">
        <f>D49-C50</f>
        <v/>
      </c>
    </row>
    <row r="51">
      <c r="D51" s="33">
        <f>D50-C51</f>
        <v/>
      </c>
    </row>
    <row r="52">
      <c r="D52" s="33">
        <f>D51-C52</f>
        <v/>
      </c>
    </row>
    <row r="53">
      <c r="D53" s="33">
        <f>D52-C53</f>
        <v/>
      </c>
    </row>
    <row r="54">
      <c r="D54" s="33">
        <f>D53-C54</f>
        <v/>
      </c>
    </row>
    <row r="55">
      <c r="D55" s="33">
        <f>D54-C55</f>
        <v/>
      </c>
    </row>
    <row r="56">
      <c r="D56" s="33">
        <f>D55-C56</f>
        <v/>
      </c>
    </row>
    <row r="57">
      <c r="D57" s="33">
        <f>D56-C57</f>
        <v/>
      </c>
    </row>
    <row r="58">
      <c r="D58" s="33">
        <f>D57-C58</f>
        <v/>
      </c>
    </row>
    <row r="59">
      <c r="D59" s="33">
        <f>D58-C59</f>
        <v/>
      </c>
    </row>
    <row r="60">
      <c r="D60" s="33">
        <f>D59-C60</f>
        <v/>
      </c>
    </row>
    <row r="61">
      <c r="D61" s="33">
        <f>D60-C61</f>
        <v/>
      </c>
    </row>
    <row r="62">
      <c r="D62" s="33">
        <f>D61-C62</f>
        <v/>
      </c>
    </row>
    <row r="63">
      <c r="D63" s="33">
        <f>D62-C63</f>
        <v/>
      </c>
    </row>
    <row r="64">
      <c r="D64" s="33">
        <f>D63-C64</f>
        <v/>
      </c>
    </row>
    <row r="65">
      <c r="D65" s="33">
        <f>D64-C65</f>
        <v/>
      </c>
    </row>
    <row r="66">
      <c r="D66" s="33">
        <f>D65-C66</f>
        <v/>
      </c>
    </row>
    <row r="67">
      <c r="D67" s="33">
        <f>D66-C67</f>
        <v/>
      </c>
    </row>
    <row r="68">
      <c r="D68" s="33">
        <f>D67-C68</f>
        <v/>
      </c>
    </row>
    <row r="69">
      <c r="D69" s="33">
        <f>D68-C69</f>
        <v/>
      </c>
    </row>
    <row r="70">
      <c r="D70" s="33">
        <f>D69-C70</f>
        <v/>
      </c>
    </row>
    <row r="71">
      <c r="D71" s="33">
        <f>D70-C71</f>
        <v/>
      </c>
    </row>
    <row r="72">
      <c r="D72" s="33">
        <f>D71-C72</f>
        <v/>
      </c>
    </row>
    <row r="73">
      <c r="D73" s="33">
        <f>D72-C73</f>
        <v/>
      </c>
    </row>
    <row r="74">
      <c r="D74" s="33">
        <f>D73-C74</f>
        <v/>
      </c>
    </row>
    <row r="75">
      <c r="D75" s="33">
        <f>D74-C75</f>
        <v/>
      </c>
    </row>
    <row r="76">
      <c r="D76" s="33">
        <f>D75-C76</f>
        <v/>
      </c>
    </row>
    <row r="77">
      <c r="D77" s="33">
        <f>D76-C77</f>
        <v/>
      </c>
    </row>
    <row r="78">
      <c r="D78" s="33">
        <f>D77-C78</f>
        <v/>
      </c>
    </row>
    <row r="79">
      <c r="D79" s="33">
        <f>D78-C79</f>
        <v/>
      </c>
    </row>
    <row r="80">
      <c r="D80" s="33">
        <f>D79-C80</f>
        <v/>
      </c>
    </row>
    <row r="81">
      <c r="A81" t="inlineStr">
        <is>
          <t>2024/11/21</t>
        </is>
      </c>
      <c r="B81" t="inlineStr">
        <is>
          <t>HANKYU OASIS (買物)</t>
        </is>
      </c>
      <c r="C81" t="inlineStr">
        <is>
          <t>128</t>
        </is>
      </c>
    </row>
    <row r="82">
      <c r="A82" t="inlineStr">
        <is>
          <t>2024/11/21</t>
        </is>
      </c>
      <c r="B82" t="inlineStr">
        <is>
          <t>HANKYU OASIS (買物)</t>
        </is>
      </c>
      <c r="C82" t="inlineStr">
        <is>
          <t>128</t>
        </is>
      </c>
    </row>
  </sheetData>
  <mergeCells count="4">
    <mergeCell ref="F1:J1"/>
    <mergeCell ref="A1:D1"/>
    <mergeCell ref="F3:I3"/>
    <mergeCell ref="A3:C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6"/>
  <sheetViews>
    <sheetView zoomScale="110" zoomScaleNormal="110" workbookViewId="0">
      <selection activeCell="G40" sqref="G40:G43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21" min="3" max="4"/>
    <col width="8.77734375" customWidth="1" style="19" min="5" max="5"/>
    <col width="4" customWidth="1" style="89" min="6" max="6"/>
    <col width="37.77734375" customWidth="1" style="21" min="7" max="7"/>
    <col width="17.33203125" customWidth="1" style="21" min="8" max="8"/>
    <col width="17.33203125" customWidth="1" style="43" min="9" max="9"/>
    <col width="17.33203125" customWidth="1" style="21" min="10" max="10"/>
    <col width="8.77734375" customWidth="1" style="19" min="11" max="11"/>
    <col width="8.77734375" customWidth="1" style="19" min="12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F3" s="92" t="inlineStr">
        <is>
          <t>From Last Month</t>
        </is>
      </c>
      <c r="G3" s="90" t="n"/>
      <c r="H3" s="90" t="n"/>
      <c r="I3" s="91" t="n"/>
      <c r="J3" s="34">
        <f>'23-05'!J6</f>
        <v/>
      </c>
    </row>
    <row r="4">
      <c r="A4" s="29" t="n">
        <v>45078</v>
      </c>
      <c r="B4" s="27" t="inlineStr">
        <is>
          <t>Lunch</t>
        </is>
      </c>
      <c r="C4" s="18">
        <f>500+130</f>
        <v/>
      </c>
      <c r="D4" s="33">
        <f>D3-C4</f>
        <v/>
      </c>
      <c r="F4" s="89" t="n">
        <v>1</v>
      </c>
      <c r="G4" s="21" t="inlineStr">
        <is>
          <t>Uang Kiriman 1</t>
        </is>
      </c>
      <c r="H4" s="33" t="n"/>
      <c r="I4" s="42" t="n">
        <v>100000</v>
      </c>
      <c r="J4" s="33">
        <f>J3+I4-H4</f>
        <v/>
      </c>
    </row>
    <row r="5">
      <c r="A5" s="29" t="n"/>
      <c r="B5" s="27" t="inlineStr">
        <is>
          <t>Uang Kiriman</t>
        </is>
      </c>
      <c r="C5" s="18" t="n"/>
      <c r="D5" s="33">
        <f>D4-C5</f>
        <v/>
      </c>
      <c r="F5" s="89" t="n">
        <v>2</v>
      </c>
      <c r="G5" s="21" t="inlineStr">
        <is>
          <t>Uang Kiriman 2</t>
        </is>
      </c>
      <c r="H5" s="33" t="n"/>
      <c r="I5" s="42" t="n">
        <v>402500</v>
      </c>
      <c r="J5" s="33">
        <f>J4+I5-H5</f>
        <v/>
      </c>
    </row>
    <row r="6">
      <c r="A6" s="29" t="n">
        <v>45079</v>
      </c>
      <c r="B6" s="28" t="n"/>
      <c r="C6" s="18" t="n"/>
      <c r="D6" s="33">
        <f>D5-C6</f>
        <v/>
      </c>
      <c r="F6" s="89" t="n">
        <v>3</v>
      </c>
      <c r="G6" s="21" t="inlineStr">
        <is>
          <t>Rent Dorm</t>
        </is>
      </c>
      <c r="H6" s="33" t="n">
        <v>42512</v>
      </c>
      <c r="I6" s="42" t="n"/>
      <c r="J6" s="33">
        <f>J5+I6-H6</f>
        <v/>
      </c>
    </row>
    <row r="7">
      <c r="A7" s="29" t="n">
        <v>45080</v>
      </c>
      <c r="B7" s="28" t="inlineStr">
        <is>
          <t>Belanja</t>
        </is>
      </c>
      <c r="C7" s="18">
        <f>6988</f>
        <v/>
      </c>
      <c r="D7" s="33">
        <f>D6-C7</f>
        <v/>
      </c>
      <c r="F7" s="89" t="n">
        <v>4</v>
      </c>
      <c r="G7" s="21" t="inlineStr">
        <is>
          <t>Health Insurance</t>
        </is>
      </c>
      <c r="H7" s="33" t="n">
        <v>18090</v>
      </c>
      <c r="I7" s="42" t="n"/>
      <c r="J7" s="33">
        <f>J6+I7-H7</f>
        <v/>
      </c>
    </row>
    <row r="8">
      <c r="A8" s="29" t="n">
        <v>45081</v>
      </c>
      <c r="B8" s="28" t="n"/>
      <c r="C8" s="18" t="n"/>
      <c r="D8" s="33">
        <f>D7-C8</f>
        <v/>
      </c>
      <c r="F8" s="89" t="n">
        <v>5</v>
      </c>
      <c r="G8" s="21" t="inlineStr">
        <is>
          <t>Variable Expenses</t>
        </is>
      </c>
      <c r="H8" s="33" t="n">
        <v>55000</v>
      </c>
      <c r="I8" s="42" t="n"/>
      <c r="J8" s="33">
        <f>J7+I8-H8</f>
        <v/>
      </c>
    </row>
    <row r="9">
      <c r="A9" s="29" t="n">
        <v>45082</v>
      </c>
      <c r="B9" s="28" t="inlineStr">
        <is>
          <t>Lunch</t>
        </is>
      </c>
      <c r="C9" s="18" t="n">
        <v>500</v>
      </c>
      <c r="D9" s="33">
        <f>D8-C9</f>
        <v/>
      </c>
      <c r="F9" s="89" t="n">
        <v>6</v>
      </c>
      <c r="G9" s="21" t="inlineStr">
        <is>
          <t>Pasokon</t>
        </is>
      </c>
      <c r="H9" s="33" t="n">
        <v>136000</v>
      </c>
      <c r="I9" s="42" t="n"/>
      <c r="J9" s="33">
        <f>J8+I9-H9</f>
        <v/>
      </c>
    </row>
    <row r="10">
      <c r="A10" s="29" t="n">
        <v>45083</v>
      </c>
      <c r="B10" s="28" t="inlineStr">
        <is>
          <t>Lunch</t>
        </is>
      </c>
      <c r="C10" s="18" t="n">
        <v>500</v>
      </c>
      <c r="D10" s="33">
        <f>D9-C10</f>
        <v/>
      </c>
      <c r="F10" s="94" t="inlineStr">
        <is>
          <t>Sisa Uang Bulan Ini + Buat Bulan Depan</t>
        </is>
      </c>
      <c r="G10" s="90" t="n"/>
      <c r="H10" s="90" t="n"/>
      <c r="I10" s="91" t="n"/>
      <c r="J10" s="37">
        <f>J9</f>
        <v/>
      </c>
    </row>
    <row r="11">
      <c r="A11" s="29" t="n">
        <v>45084</v>
      </c>
      <c r="B11" s="28" t="inlineStr">
        <is>
          <t>Uang Kiriman</t>
        </is>
      </c>
      <c r="C11" s="18" t="n"/>
      <c r="D11" s="33">
        <f>D10-C11</f>
        <v/>
      </c>
      <c r="F11" s="44" t="n"/>
      <c r="G11" s="36" t="n"/>
      <c r="H11" s="35" t="n"/>
      <c r="I11" s="45" t="n"/>
      <c r="J11" s="35" t="n"/>
    </row>
    <row r="12">
      <c r="A12" s="29" t="n"/>
      <c r="B12" s="28" t="inlineStr">
        <is>
          <t>Lunch</t>
        </is>
      </c>
      <c r="C12" s="18" t="n">
        <v>500</v>
      </c>
      <c r="D12" s="33">
        <f>D11-C12</f>
        <v/>
      </c>
    </row>
    <row r="13">
      <c r="A13" s="29" t="n">
        <v>45085</v>
      </c>
      <c r="B13" s="28" t="inlineStr">
        <is>
          <t>Belanja Makan</t>
        </is>
      </c>
      <c r="C13" s="18" t="n">
        <v>3991</v>
      </c>
      <c r="D13" s="33">
        <f>D12-C13</f>
        <v/>
      </c>
      <c r="H13" s="33" t="n"/>
      <c r="I13" s="42" t="n"/>
      <c r="J13" s="33" t="n"/>
    </row>
    <row r="14">
      <c r="A14" s="29" t="n">
        <v>45086</v>
      </c>
      <c r="B14" s="28" t="inlineStr">
        <is>
          <t>Lunch</t>
        </is>
      </c>
      <c r="C14" s="18" t="n">
        <v>700</v>
      </c>
      <c r="D14" s="33">
        <f>D13-C14</f>
        <v/>
      </c>
      <c r="H14" s="33" t="n"/>
      <c r="I14" s="42" t="n"/>
      <c r="J14" s="33" t="n"/>
    </row>
    <row r="15">
      <c r="A15" s="29" t="n"/>
      <c r="B15" s="28" t="inlineStr">
        <is>
          <t>Laundry</t>
        </is>
      </c>
      <c r="C15" s="18" t="n">
        <v>200</v>
      </c>
      <c r="D15" s="33">
        <f>D14-C15</f>
        <v/>
      </c>
      <c r="H15" s="33" t="n"/>
      <c r="I15" s="42" t="n"/>
      <c r="J15" s="33" t="n"/>
    </row>
    <row r="16">
      <c r="A16" s="29" t="n">
        <v>45087</v>
      </c>
      <c r="B16" s="28" t="n"/>
      <c r="C16" s="18" t="n"/>
      <c r="D16" s="33">
        <f>D15-C16</f>
        <v/>
      </c>
      <c r="H16" s="33" t="n"/>
      <c r="I16" s="42" t="n"/>
      <c r="J16" s="33" t="n"/>
    </row>
    <row r="17">
      <c r="A17" s="29" t="n">
        <v>45088</v>
      </c>
      <c r="B17" s="28" t="n"/>
      <c r="C17" s="18" t="n"/>
      <c r="D17" s="33">
        <f>D16-C17</f>
        <v/>
      </c>
    </row>
    <row r="18">
      <c r="A18" s="29" t="n">
        <v>45089</v>
      </c>
      <c r="B18" s="28" t="inlineStr">
        <is>
          <t>Belanja Makan</t>
        </is>
      </c>
      <c r="C18" s="18">
        <f>4197+130</f>
        <v/>
      </c>
      <c r="D18" s="33">
        <f>D17-C18</f>
        <v/>
      </c>
    </row>
    <row r="19">
      <c r="A19" s="29" t="n"/>
      <c r="B19" s="28" t="inlineStr">
        <is>
          <t>Transportasi Ke City Hall</t>
        </is>
      </c>
      <c r="C19" s="18">
        <f>200*2+370*2</f>
        <v/>
      </c>
      <c r="D19" s="33">
        <f>D18-C19</f>
        <v/>
      </c>
    </row>
    <row r="20">
      <c r="A20" s="29" t="n">
        <v>45090</v>
      </c>
      <c r="B20" s="28" t="inlineStr">
        <is>
          <t>Lunch</t>
        </is>
      </c>
      <c r="C20" s="18" t="n">
        <v>500</v>
      </c>
      <c r="D20" s="33">
        <f>D19-C20</f>
        <v/>
      </c>
    </row>
    <row r="21">
      <c r="A21" s="29" t="n"/>
      <c r="B21" s="28" t="inlineStr">
        <is>
          <t>Laundry</t>
        </is>
      </c>
      <c r="C21" s="18" t="n">
        <v>300</v>
      </c>
      <c r="D21" s="33">
        <f>D20-C21</f>
        <v/>
      </c>
    </row>
    <row r="22">
      <c r="A22" s="29" t="n">
        <v>45091</v>
      </c>
      <c r="B22" s="28" t="n"/>
      <c r="C22" s="18" t="n"/>
      <c r="D22" s="33">
        <f>D21-C22</f>
        <v/>
      </c>
    </row>
    <row r="23">
      <c r="A23" s="29" t="n">
        <v>45092</v>
      </c>
      <c r="B23" s="28" t="inlineStr">
        <is>
          <t>Lunch</t>
        </is>
      </c>
      <c r="C23" s="18" t="n">
        <v>636</v>
      </c>
      <c r="D23" s="33">
        <f>D22-C23</f>
        <v/>
      </c>
    </row>
    <row r="24">
      <c r="A24" s="29" t="n">
        <v>45093</v>
      </c>
      <c r="B24" s="28" t="inlineStr">
        <is>
          <t>Lunch</t>
        </is>
      </c>
      <c r="C24" s="18">
        <f>160+500</f>
        <v/>
      </c>
      <c r="D24" s="33">
        <f>D23-C24</f>
        <v/>
      </c>
    </row>
    <row r="25">
      <c r="A25" s="29" t="n"/>
      <c r="B25" s="28" t="inlineStr">
        <is>
          <t>Belanja Makan</t>
        </is>
      </c>
      <c r="C25" s="18" t="n">
        <v>1101</v>
      </c>
      <c r="D25" s="33">
        <f>D24-C25</f>
        <v/>
      </c>
    </row>
    <row r="26">
      <c r="A26" s="29" t="n"/>
      <c r="B26" s="28" t="inlineStr">
        <is>
          <t>Laundry</t>
        </is>
      </c>
      <c r="C26" s="18" t="n">
        <v>200</v>
      </c>
      <c r="D26" s="33">
        <f>D25-C26</f>
        <v/>
      </c>
    </row>
    <row r="27">
      <c r="A27" s="29" t="n">
        <v>45094</v>
      </c>
      <c r="B27" s="28" t="inlineStr">
        <is>
          <t>Laundry</t>
        </is>
      </c>
      <c r="C27" s="18" t="n">
        <v>200</v>
      </c>
      <c r="D27" s="33">
        <f>D26-C27</f>
        <v/>
      </c>
    </row>
    <row r="28">
      <c r="A28" s="29" t="n">
        <v>45095</v>
      </c>
      <c r="B28" s="28" t="inlineStr">
        <is>
          <t>Belanja</t>
        </is>
      </c>
      <c r="C28" s="18">
        <f>990+4013</f>
        <v/>
      </c>
      <c r="D28" s="33">
        <f>D27-C28</f>
        <v/>
      </c>
    </row>
    <row r="29">
      <c r="A29" s="29" t="n">
        <v>45096</v>
      </c>
      <c r="B29" s="28" t="n"/>
      <c r="C29" s="18" t="n"/>
      <c r="D29" s="33">
        <f>D28-C29</f>
        <v/>
      </c>
    </row>
    <row r="30">
      <c r="A30" s="29" t="n">
        <v>45097</v>
      </c>
      <c r="B30" s="28" t="inlineStr">
        <is>
          <t>Beras</t>
        </is>
      </c>
      <c r="C30" s="18" t="n">
        <v>3950</v>
      </c>
      <c r="D30" s="33">
        <f>D29-C30</f>
        <v/>
      </c>
    </row>
    <row r="31">
      <c r="A31" s="29" t="n">
        <v>45098</v>
      </c>
      <c r="B31" s="28" t="inlineStr">
        <is>
          <t>Laundry</t>
        </is>
      </c>
      <c r="C31" s="18" t="n">
        <v>400</v>
      </c>
      <c r="D31" s="33">
        <f>D30-C31</f>
        <v/>
      </c>
    </row>
    <row r="32">
      <c r="A32" s="29" t="n">
        <v>45099</v>
      </c>
      <c r="B32" s="28" t="inlineStr">
        <is>
          <t>Lunch</t>
        </is>
      </c>
      <c r="C32" s="18" t="n">
        <v>637</v>
      </c>
      <c r="D32" s="33">
        <f>D31-C32</f>
        <v/>
      </c>
    </row>
    <row r="33">
      <c r="A33" s="29" t="n">
        <v>45100</v>
      </c>
      <c r="B33" s="28" t="inlineStr">
        <is>
          <t>Laundry</t>
        </is>
      </c>
      <c r="C33" s="18" t="n">
        <v>100</v>
      </c>
      <c r="D33" s="33">
        <f>D32-C33</f>
        <v/>
      </c>
    </row>
    <row r="34">
      <c r="A34" s="29" t="n">
        <v>45101</v>
      </c>
      <c r="B34" s="28" t="inlineStr">
        <is>
          <t>Belanja Makan</t>
        </is>
      </c>
      <c r="C34" s="18">
        <f>3360+(3075-(3+276+199+89+199+282+129+169+398+139))</f>
        <v/>
      </c>
      <c r="D34" s="33">
        <f>D33-C34</f>
        <v/>
      </c>
    </row>
    <row r="35">
      <c r="A35" s="29" t="n"/>
      <c r="B35" s="28" t="inlineStr">
        <is>
          <t>Batre</t>
        </is>
      </c>
      <c r="C35" s="18" t="n">
        <v>127</v>
      </c>
      <c r="D35" s="33">
        <f>D34-C35</f>
        <v/>
      </c>
    </row>
    <row r="36">
      <c r="A36" s="29" t="n">
        <v>45102</v>
      </c>
      <c r="B36" s="28" t="inlineStr">
        <is>
          <t>Laundry</t>
        </is>
      </c>
      <c r="C36" s="18" t="n">
        <v>300</v>
      </c>
      <c r="D36" s="33">
        <f>D35-C36</f>
        <v/>
      </c>
    </row>
    <row r="37">
      <c r="A37" s="29" t="n">
        <v>45103</v>
      </c>
      <c r="B37" s="28" t="inlineStr">
        <is>
          <t>Lunch</t>
        </is>
      </c>
      <c r="C37" s="18" t="n">
        <v>440</v>
      </c>
      <c r="D37" s="33">
        <f>D36-C37</f>
        <v/>
      </c>
    </row>
    <row r="38">
      <c r="A38" s="29" t="n">
        <v>45104</v>
      </c>
      <c r="B38" s="28" t="inlineStr">
        <is>
          <t>Lunch</t>
        </is>
      </c>
      <c r="C38" s="18" t="n">
        <v>459</v>
      </c>
      <c r="D38" s="33">
        <f>D37-C38</f>
        <v/>
      </c>
    </row>
    <row r="39">
      <c r="A39" s="29" t="n"/>
      <c r="B39" s="28" t="inlineStr">
        <is>
          <t>Badminton</t>
        </is>
      </c>
      <c r="C39" s="18" t="n">
        <v>200</v>
      </c>
      <c r="D39" s="33">
        <f>D38-C39</f>
        <v/>
      </c>
    </row>
    <row r="40">
      <c r="A40" s="29" t="n">
        <v>45105</v>
      </c>
      <c r="B40" s="28" t="inlineStr">
        <is>
          <t>Makan</t>
        </is>
      </c>
      <c r="C40" s="18" t="n">
        <v>525</v>
      </c>
      <c r="D40" s="33">
        <f>D39-C40</f>
        <v/>
      </c>
    </row>
    <row r="41">
      <c r="A41" s="29" t="n">
        <v>45106</v>
      </c>
      <c r="B41" s="28" t="inlineStr">
        <is>
          <t>Lunch</t>
        </is>
      </c>
      <c r="C41" s="18" t="n">
        <v>500</v>
      </c>
      <c r="D41" s="33">
        <f>D40-C41</f>
        <v/>
      </c>
    </row>
    <row r="42">
      <c r="A42" s="29" t="n"/>
      <c r="B42" s="21" t="inlineStr">
        <is>
          <t>Phone SIM Fee</t>
        </is>
      </c>
      <c r="C42" s="33" t="n">
        <v>2203</v>
      </c>
      <c r="D42" s="33">
        <f>D41-C42</f>
        <v/>
      </c>
    </row>
    <row r="43">
      <c r="A43" s="30" t="n"/>
      <c r="B43" s="28" t="inlineStr">
        <is>
          <t>Laundry</t>
        </is>
      </c>
      <c r="C43" s="18" t="n">
        <v>300</v>
      </c>
      <c r="D43" s="33">
        <f>D42-C43</f>
        <v/>
      </c>
    </row>
    <row r="44">
      <c r="A44" s="29" t="n">
        <v>45107</v>
      </c>
      <c r="B44" s="28" t="inlineStr">
        <is>
          <t>Lunch</t>
        </is>
      </c>
      <c r="C44" s="18" t="n">
        <v>500</v>
      </c>
      <c r="D44" s="33">
        <f>D43-C44</f>
        <v/>
      </c>
    </row>
    <row r="45">
      <c r="A45" s="95" t="inlineStr">
        <is>
          <t>Sum</t>
        </is>
      </c>
      <c r="B45" s="96" t="n"/>
      <c r="C45" s="37">
        <f>SUM(C4:C44)</f>
        <v/>
      </c>
      <c r="D45" s="37" t="n"/>
    </row>
    <row r="46">
      <c r="A46" s="94" t="inlineStr">
        <is>
          <t>Sisa Budget</t>
        </is>
      </c>
      <c r="B46" s="91" t="n"/>
      <c r="C46" s="37" t="n"/>
      <c r="D46" s="37">
        <f>D44</f>
        <v/>
      </c>
    </row>
  </sheetData>
  <mergeCells count="7">
    <mergeCell ref="A1:D1"/>
    <mergeCell ref="F3:I3"/>
    <mergeCell ref="A45:B45"/>
    <mergeCell ref="A46:B46"/>
    <mergeCell ref="A3:C3"/>
    <mergeCell ref="F1:J1"/>
    <mergeCell ref="F10:I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4"/>
  <sheetViews>
    <sheetView zoomScale="115" zoomScaleNormal="115" workbookViewId="0">
      <selection activeCell="K14" sqref="K14:K23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21" min="3" max="4"/>
    <col width="8.77734375" customWidth="1" style="19" min="5" max="5"/>
    <col width="4" customWidth="1" style="89" min="6" max="6"/>
    <col width="37.77734375" customWidth="1" style="21" min="7" max="7"/>
    <col width="17.33203125" customWidth="1" style="21" min="8" max="10"/>
    <col width="10" bestFit="1" customWidth="1" style="19" min="11" max="11"/>
    <col width="8.77734375" customWidth="1" style="19" min="12" max="12"/>
    <col width="8.77734375" customWidth="1" style="19" min="13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F3" s="92" t="inlineStr">
        <is>
          <t>From Last Month</t>
        </is>
      </c>
      <c r="G3" s="90" t="n"/>
      <c r="H3" s="90" t="n"/>
      <c r="I3" s="91" t="n"/>
      <c r="J3" s="34">
        <f>'23-06'!J10</f>
        <v/>
      </c>
    </row>
    <row r="4">
      <c r="A4" s="24" t="n">
        <v>45108</v>
      </c>
      <c r="B4" s="25" t="inlineStr">
        <is>
          <t>Belanja</t>
        </is>
      </c>
      <c r="C4" s="20">
        <f>245+1559</f>
        <v/>
      </c>
      <c r="D4" s="33">
        <f>D3-C4</f>
        <v/>
      </c>
      <c r="F4" s="89" t="n">
        <v>1</v>
      </c>
      <c r="G4" s="21" t="inlineStr">
        <is>
          <t>Rent Dorm</t>
        </is>
      </c>
      <c r="H4" s="33">
        <f>42926+55</f>
        <v/>
      </c>
      <c r="I4" s="33" t="n"/>
      <c r="J4" s="33">
        <f>J3-H4+I4</f>
        <v/>
      </c>
    </row>
    <row r="5">
      <c r="A5" s="24" t="n"/>
      <c r="B5" s="26" t="inlineStr">
        <is>
          <t>Laundry</t>
        </is>
      </c>
      <c r="C5" s="20" t="n">
        <v>200</v>
      </c>
      <c r="D5" s="33">
        <f>D4-C5</f>
        <v/>
      </c>
      <c r="F5" s="89" t="n">
        <v>3</v>
      </c>
      <c r="G5" s="21" t="inlineStr">
        <is>
          <t>Variable Expenses</t>
        </is>
      </c>
      <c r="H5" s="33" t="n">
        <v>55000</v>
      </c>
      <c r="I5" s="33" t="n"/>
      <c r="J5" s="33">
        <f>J4-H5+I5</f>
        <v/>
      </c>
    </row>
    <row r="6">
      <c r="A6" s="24" t="n">
        <v>45109</v>
      </c>
      <c r="B6" s="25" t="inlineStr">
        <is>
          <t>BBQ</t>
        </is>
      </c>
      <c r="C6" s="20" t="n">
        <v>1000</v>
      </c>
      <c r="D6" s="33">
        <f>D5-C6</f>
        <v/>
      </c>
      <c r="F6" s="89" t="n">
        <v>4</v>
      </c>
      <c r="G6" s="21" t="inlineStr">
        <is>
          <t>Potong Rambut</t>
        </is>
      </c>
      <c r="H6" s="33" t="n">
        <v>2000</v>
      </c>
      <c r="I6" s="33" t="n"/>
      <c r="J6" s="33">
        <f>J5-H6+I6</f>
        <v/>
      </c>
    </row>
    <row r="7">
      <c r="A7" s="24" t="n">
        <v>45110</v>
      </c>
      <c r="B7" s="25" t="inlineStr">
        <is>
          <t>Lunch</t>
        </is>
      </c>
      <c r="C7" s="20" t="n">
        <v>450</v>
      </c>
      <c r="D7" s="33">
        <f>D6-C7</f>
        <v/>
      </c>
      <c r="F7" s="94" t="inlineStr">
        <is>
          <t>Sisa Uang Bulan Ini + Buat Bulan Depan</t>
        </is>
      </c>
      <c r="G7" s="90" t="n"/>
      <c r="H7" s="90" t="n"/>
      <c r="I7" s="91" t="n"/>
      <c r="J7" s="37">
        <f>J6</f>
        <v/>
      </c>
    </row>
    <row r="8">
      <c r="A8" s="24" t="n">
        <v>45111</v>
      </c>
      <c r="B8" s="26" t="inlineStr">
        <is>
          <t>Belanja</t>
        </is>
      </c>
      <c r="C8" s="20">
        <f>4351-500+150+162</f>
        <v/>
      </c>
      <c r="D8" s="33">
        <f>D7-C8</f>
        <v/>
      </c>
      <c r="F8" s="44" t="n"/>
      <c r="G8" s="36" t="n"/>
      <c r="H8" s="35" t="n"/>
      <c r="I8" s="45" t="n"/>
      <c r="J8" s="45" t="n"/>
    </row>
    <row r="9">
      <c r="A9" s="24" t="n">
        <v>45112</v>
      </c>
      <c r="B9" s="26" t="inlineStr">
        <is>
          <t>Jihanki</t>
        </is>
      </c>
      <c r="C9" s="20" t="n">
        <v>150</v>
      </c>
      <c r="D9" s="33">
        <f>D8-C9</f>
        <v/>
      </c>
    </row>
    <row r="10">
      <c r="A10" s="24" t="n">
        <v>45113</v>
      </c>
      <c r="B10" s="26" t="inlineStr">
        <is>
          <t>Lunch</t>
        </is>
      </c>
      <c r="C10" s="20" t="n">
        <v>500</v>
      </c>
      <c r="D10" s="33">
        <f>D9-C10</f>
        <v/>
      </c>
      <c r="H10" s="33" t="n"/>
      <c r="I10" s="33" t="n"/>
      <c r="J10" s="33" t="n"/>
    </row>
    <row r="11">
      <c r="A11" s="24" t="n">
        <v>45114</v>
      </c>
      <c r="B11" s="26" t="inlineStr">
        <is>
          <t>Lunch</t>
        </is>
      </c>
      <c r="C11" s="20" t="n">
        <v>500</v>
      </c>
      <c r="D11" s="33">
        <f>D10-C11</f>
        <v/>
      </c>
      <c r="H11" s="33" t="n"/>
      <c r="I11" s="33" t="n"/>
      <c r="J11" s="33" t="n"/>
    </row>
    <row r="12">
      <c r="A12" s="24" t="n"/>
      <c r="B12" s="26" t="inlineStr">
        <is>
          <t>Belanja</t>
        </is>
      </c>
      <c r="C12" s="20">
        <f>2420+150+2201+220</f>
        <v/>
      </c>
      <c r="D12" s="33">
        <f>D11-C12</f>
        <v/>
      </c>
      <c r="H12" s="33" t="n"/>
      <c r="I12" s="33" t="n"/>
      <c r="J12" s="33" t="n"/>
    </row>
    <row r="13">
      <c r="A13" s="24" t="n"/>
      <c r="B13" s="26" t="inlineStr">
        <is>
          <t>Laundry</t>
        </is>
      </c>
      <c r="C13" s="20" t="n">
        <v>300</v>
      </c>
      <c r="D13" s="33">
        <f>D12-C13</f>
        <v/>
      </c>
      <c r="H13" s="33" t="n"/>
      <c r="I13" s="33" t="n"/>
      <c r="J13" s="33" t="n"/>
    </row>
    <row r="14">
      <c r="A14" s="24" t="n">
        <v>45115</v>
      </c>
      <c r="B14" s="26" t="n"/>
      <c r="C14" s="20" t="n"/>
      <c r="D14" s="33">
        <f>D13-C14</f>
        <v/>
      </c>
      <c r="H14" s="33" t="n"/>
      <c r="I14" s="33" t="n"/>
      <c r="J14" s="33" t="n"/>
    </row>
    <row r="15">
      <c r="A15" s="24" t="n">
        <v>45116</v>
      </c>
      <c r="B15" s="26" t="n"/>
      <c r="C15" s="20" t="n"/>
      <c r="D15" s="33">
        <f>D14-C15</f>
        <v/>
      </c>
      <c r="H15" s="33" t="n"/>
      <c r="I15" s="33" t="n"/>
      <c r="J15" s="33" t="n"/>
    </row>
    <row r="16">
      <c r="A16" s="24" t="n">
        <v>45117</v>
      </c>
      <c r="B16" s="26" t="inlineStr">
        <is>
          <t>Laundry</t>
        </is>
      </c>
      <c r="C16" s="20" t="n">
        <v>400</v>
      </c>
      <c r="D16" s="33">
        <f>D15-C16</f>
        <v/>
      </c>
      <c r="H16" s="33" t="n"/>
      <c r="I16" s="33" t="n"/>
      <c r="J16" s="33" t="n"/>
    </row>
    <row r="17">
      <c r="A17" s="24" t="n">
        <v>45118</v>
      </c>
      <c r="B17" s="26" t="n"/>
      <c r="C17" s="20" t="n"/>
      <c r="D17" s="33">
        <f>D16-C17</f>
        <v/>
      </c>
    </row>
    <row r="18">
      <c r="A18" s="24" t="n">
        <v>45119</v>
      </c>
      <c r="B18" s="26" t="inlineStr">
        <is>
          <t>Belanja</t>
        </is>
      </c>
      <c r="C18" s="20">
        <f>706+1300+4595</f>
        <v/>
      </c>
      <c r="D18" s="33">
        <f>D17-C18</f>
        <v/>
      </c>
    </row>
    <row r="19">
      <c r="A19" s="24" t="n">
        <v>45120</v>
      </c>
      <c r="B19" s="26" t="inlineStr">
        <is>
          <t>Lunch</t>
        </is>
      </c>
      <c r="C19" s="20" t="n">
        <v>640</v>
      </c>
      <c r="D19" s="33">
        <f>D18-C19</f>
        <v/>
      </c>
    </row>
    <row r="20">
      <c r="A20" s="24" t="n">
        <v>45121</v>
      </c>
      <c r="B20" s="26" t="inlineStr">
        <is>
          <t>Laundry</t>
        </is>
      </c>
      <c r="C20" s="20" t="n">
        <v>300</v>
      </c>
      <c r="D20" s="33">
        <f>D19-C20</f>
        <v/>
      </c>
    </row>
    <row r="21">
      <c r="A21" s="24" t="n">
        <v>45122</v>
      </c>
      <c r="B21" s="26" t="inlineStr">
        <is>
          <t>Lunch</t>
        </is>
      </c>
      <c r="C21" s="20" t="n">
        <v>670</v>
      </c>
      <c r="D21" s="33">
        <f>D20-C21</f>
        <v/>
      </c>
    </row>
    <row r="22">
      <c r="A22" s="24" t="n"/>
      <c r="B22" s="26" t="n"/>
      <c r="C22" s="20" t="n"/>
      <c r="D22" s="33">
        <f>D21-C22</f>
        <v/>
      </c>
    </row>
    <row r="23">
      <c r="A23" s="24" t="n">
        <v>45123</v>
      </c>
      <c r="B23" s="26" t="n"/>
      <c r="C23" s="20" t="n"/>
      <c r="D23" s="33">
        <f>D22-C23</f>
        <v/>
      </c>
    </row>
    <row r="24">
      <c r="A24" s="24" t="n">
        <v>45124</v>
      </c>
      <c r="B24" s="26" t="n"/>
      <c r="C24" s="20" t="n"/>
      <c r="D24" s="33">
        <f>D23-C24</f>
        <v/>
      </c>
    </row>
    <row r="25">
      <c r="A25" s="24" t="n">
        <v>45125</v>
      </c>
      <c r="B25" s="26" t="inlineStr">
        <is>
          <t>Belanja</t>
        </is>
      </c>
      <c r="C25" s="20">
        <f>2347+2773</f>
        <v/>
      </c>
      <c r="D25" s="33">
        <f>D24-C25</f>
        <v/>
      </c>
    </row>
    <row r="26">
      <c r="A26" s="24" t="n">
        <v>45126</v>
      </c>
      <c r="B26" s="26" t="n"/>
      <c r="C26" s="20" t="n"/>
      <c r="D26" s="33">
        <f>D25-C26</f>
        <v/>
      </c>
    </row>
    <row r="27">
      <c r="A27" s="24" t="n">
        <v>45127</v>
      </c>
      <c r="B27" s="26" t="inlineStr">
        <is>
          <t>Lunch</t>
        </is>
      </c>
      <c r="C27" s="20" t="n">
        <v>600</v>
      </c>
      <c r="D27" s="33">
        <f>D26-C27</f>
        <v/>
      </c>
    </row>
    <row r="28">
      <c r="A28" s="24" t="n">
        <v>45128</v>
      </c>
      <c r="B28" s="26" t="inlineStr">
        <is>
          <t>Lunch</t>
        </is>
      </c>
      <c r="C28" s="20" t="n">
        <v>454</v>
      </c>
      <c r="D28" s="33">
        <f>D27-C28</f>
        <v/>
      </c>
    </row>
    <row r="29">
      <c r="A29" s="24" t="n"/>
      <c r="B29" s="26" t="inlineStr">
        <is>
          <t>Buku</t>
        </is>
      </c>
      <c r="C29" s="20" t="n">
        <v>100</v>
      </c>
      <c r="D29" s="33">
        <f>D28-C29</f>
        <v/>
      </c>
    </row>
    <row r="30">
      <c r="A30" s="24" t="n"/>
      <c r="B30" s="26" t="inlineStr">
        <is>
          <t>Binder</t>
        </is>
      </c>
      <c r="C30" s="20" t="n">
        <v>792</v>
      </c>
      <c r="D30" s="33">
        <f>D29-C30</f>
        <v/>
      </c>
    </row>
    <row r="31">
      <c r="A31" s="24" t="n">
        <v>45129</v>
      </c>
      <c r="B31" s="26" t="inlineStr">
        <is>
          <t>Belanja</t>
        </is>
      </c>
      <c r="C31" s="20">
        <f>150+2752</f>
        <v/>
      </c>
      <c r="D31" s="33">
        <f>D30-C31</f>
        <v/>
      </c>
    </row>
    <row r="32">
      <c r="A32" s="24" t="n">
        <v>45130</v>
      </c>
      <c r="B32" s="26" t="inlineStr">
        <is>
          <t>Kaos Kaki + Sikat Gigi</t>
        </is>
      </c>
      <c r="C32" s="20" t="n">
        <v>853</v>
      </c>
      <c r="D32" s="33">
        <f>D31-C32</f>
        <v/>
      </c>
    </row>
    <row r="33">
      <c r="A33" s="24" t="n">
        <v>45131</v>
      </c>
      <c r="B33" s="26" t="inlineStr">
        <is>
          <t>Celana Pendek</t>
        </is>
      </c>
      <c r="C33" s="20" t="n">
        <v>1990</v>
      </c>
      <c r="D33" s="33">
        <f>D32-C33</f>
        <v/>
      </c>
    </row>
    <row r="34">
      <c r="A34" s="24" t="n">
        <v>45132</v>
      </c>
      <c r="B34" s="26" t="n"/>
      <c r="C34" s="20" t="n"/>
      <c r="D34" s="33">
        <f>D33-C34</f>
        <v/>
      </c>
    </row>
    <row r="35">
      <c r="A35" s="24" t="n">
        <v>45133</v>
      </c>
      <c r="B35" s="26" t="inlineStr">
        <is>
          <t>Fee Narik Uang</t>
        </is>
      </c>
      <c r="C35" s="20" t="n">
        <v>220</v>
      </c>
      <c r="D35" s="33">
        <f>D34-C35</f>
        <v/>
      </c>
      <c r="G35" s="74">
        <f>C43-C40-C35-C33-C32-C30-C29-C6</f>
        <v/>
      </c>
    </row>
    <row r="36">
      <c r="A36" s="24" t="n">
        <v>45134</v>
      </c>
      <c r="B36" s="26" t="n"/>
      <c r="C36" s="20" t="n"/>
      <c r="D36" s="33">
        <f>D35-C36</f>
        <v/>
      </c>
    </row>
    <row r="37">
      <c r="A37" s="24" t="n"/>
      <c r="B37" s="26" t="inlineStr">
        <is>
          <t>Laundry</t>
        </is>
      </c>
      <c r="C37" s="20">
        <f>100+100+100+100</f>
        <v/>
      </c>
      <c r="D37" s="33">
        <f>D36-C37</f>
        <v/>
      </c>
    </row>
    <row r="38">
      <c r="A38" s="24" t="n">
        <v>45135</v>
      </c>
      <c r="B38" s="26" t="inlineStr">
        <is>
          <t>Belanja Makan</t>
        </is>
      </c>
      <c r="C38" s="20">
        <f>88+192+7739</f>
        <v/>
      </c>
      <c r="D38" s="33">
        <f>D37-C38</f>
        <v/>
      </c>
    </row>
    <row r="39">
      <c r="A39" s="24" t="n">
        <v>45136</v>
      </c>
      <c r="B39" s="26" t="n"/>
      <c r="C39" s="20" t="n"/>
      <c r="D39" s="33">
        <f>D38-C39</f>
        <v/>
      </c>
    </row>
    <row r="40">
      <c r="A40" s="24" t="n">
        <v>45137</v>
      </c>
      <c r="B40" s="21" t="inlineStr">
        <is>
          <t>Phone SIM Fee</t>
        </is>
      </c>
      <c r="C40" s="33" t="n">
        <v>2313</v>
      </c>
      <c r="D40" s="33">
        <f>D39-C40</f>
        <v/>
      </c>
    </row>
    <row r="41">
      <c r="A41" s="24" t="n">
        <v>45138</v>
      </c>
      <c r="B41" s="26" t="inlineStr">
        <is>
          <t>Laundry</t>
        </is>
      </c>
      <c r="C41" s="20" t="n">
        <v>300</v>
      </c>
      <c r="D41" s="33">
        <f>D40-C41</f>
        <v/>
      </c>
    </row>
    <row r="42">
      <c r="A42" s="24" t="n"/>
      <c r="B42" s="26" t="inlineStr">
        <is>
          <t>Beras</t>
        </is>
      </c>
      <c r="C42" s="20" t="n">
        <v>1961</v>
      </c>
      <c r="D42" s="33">
        <f>D41-C42</f>
        <v/>
      </c>
    </row>
    <row r="43">
      <c r="A43" s="95" t="inlineStr">
        <is>
          <t>Sum</t>
        </is>
      </c>
      <c r="B43" s="96" t="n"/>
      <c r="C43" s="37">
        <f>SUM(C4:C42)</f>
        <v/>
      </c>
      <c r="D43" s="37" t="n"/>
    </row>
    <row r="44">
      <c r="A44" s="94" t="inlineStr">
        <is>
          <t>Sisa Budget</t>
        </is>
      </c>
      <c r="B44" s="91" t="n"/>
      <c r="C44" s="37" t="n"/>
      <c r="D44" s="37">
        <f>D42</f>
        <v/>
      </c>
    </row>
  </sheetData>
  <mergeCells count="7">
    <mergeCell ref="A1:D1"/>
    <mergeCell ref="F7:I7"/>
    <mergeCell ref="A43:B43"/>
    <mergeCell ref="F3:I3"/>
    <mergeCell ref="A44:B44"/>
    <mergeCell ref="A3:C3"/>
    <mergeCell ref="F1:J1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7"/>
  <sheetViews>
    <sheetView zoomScale="115" zoomScaleNormal="115" workbookViewId="0">
      <selection activeCell="G35" sqref="G35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21" min="3" max="4"/>
    <col width="8.77734375" customWidth="1" style="19" min="5" max="5"/>
    <col width="4" customWidth="1" style="89" min="6" max="6"/>
    <col width="37.77734375" customWidth="1" style="21" min="7" max="7"/>
    <col width="17.33203125" customWidth="1" style="21" min="8" max="10"/>
    <col width="8.77734375" customWidth="1" style="19" min="11" max="11"/>
    <col width="8.77734375" customWidth="1" style="19" min="12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F3" s="92" t="inlineStr">
        <is>
          <t>From Last Month</t>
        </is>
      </c>
      <c r="G3" s="90" t="n"/>
      <c r="H3" s="90" t="n"/>
      <c r="I3" s="91" t="n"/>
      <c r="J3" s="34">
        <f>'23-07'!J7</f>
        <v/>
      </c>
    </row>
    <row r="4">
      <c r="A4" s="24" t="n">
        <v>45139</v>
      </c>
      <c r="B4" s="32" t="n"/>
      <c r="C4" s="33" t="n"/>
      <c r="D4" s="33">
        <f>D3-C4</f>
        <v/>
      </c>
      <c r="F4" s="89" t="n">
        <v>1</v>
      </c>
      <c r="G4" s="21" t="inlineStr">
        <is>
          <t>Expense</t>
        </is>
      </c>
      <c r="H4" s="55" t="n">
        <v>55000</v>
      </c>
      <c r="I4" s="33" t="n"/>
      <c r="J4" s="33">
        <f>J3-H4+I4</f>
        <v/>
      </c>
    </row>
    <row r="5">
      <c r="A5" s="24" t="n">
        <v>45140</v>
      </c>
      <c r="B5" s="32" t="n"/>
      <c r="C5" s="33" t="n"/>
      <c r="D5" s="33">
        <f>D4-C5</f>
        <v/>
      </c>
      <c r="F5" s="89" t="n">
        <v>2</v>
      </c>
      <c r="G5" s="21" t="inlineStr">
        <is>
          <t>Dorm</t>
        </is>
      </c>
      <c r="H5" s="56">
        <f>45374+55</f>
        <v/>
      </c>
      <c r="I5" s="33" t="n"/>
      <c r="J5" s="33">
        <f>J4-H5+I5</f>
        <v/>
      </c>
    </row>
    <row r="6">
      <c r="A6" s="24" t="n">
        <v>45141</v>
      </c>
      <c r="B6" s="22" t="inlineStr">
        <is>
          <t>Belanja</t>
        </is>
      </c>
      <c r="C6" s="33">
        <f>3291+390+240</f>
        <v/>
      </c>
      <c r="D6" s="33">
        <f>D5-C6</f>
        <v/>
      </c>
      <c r="F6" s="89" t="n">
        <v>3</v>
      </c>
      <c r="H6" s="33" t="n"/>
      <c r="I6" s="33" t="n"/>
      <c r="J6" s="33">
        <f>J5-H6+I6</f>
        <v/>
      </c>
    </row>
    <row r="7">
      <c r="A7" s="24" t="n">
        <v>45142</v>
      </c>
      <c r="B7" s="22" t="n"/>
      <c r="C7" s="33" t="n"/>
      <c r="D7" s="33">
        <f>D6-C7</f>
        <v/>
      </c>
      <c r="F7" s="94" t="inlineStr">
        <is>
          <t>Sisa</t>
        </is>
      </c>
      <c r="G7" s="90" t="n"/>
      <c r="H7" s="90" t="n"/>
      <c r="I7" s="91" t="n"/>
      <c r="J7" s="37">
        <f>J6-H7+I7</f>
        <v/>
      </c>
    </row>
    <row r="8">
      <c r="A8" s="24" t="n">
        <v>45143</v>
      </c>
      <c r="B8" s="22" t="n"/>
      <c r="C8" s="33" t="n"/>
      <c r="D8" s="33">
        <f>D7-C8</f>
        <v/>
      </c>
      <c r="F8" s="49" t="n">
        <v>5</v>
      </c>
      <c r="G8" s="50" t="n"/>
      <c r="H8" s="51" t="n"/>
      <c r="I8" s="51" t="n"/>
      <c r="J8" s="52">
        <f>J7-H8+I8</f>
        <v/>
      </c>
    </row>
    <row r="9">
      <c r="A9" s="24" t="n">
        <v>45144</v>
      </c>
      <c r="B9" s="22" t="n"/>
      <c r="C9" s="33" t="n"/>
      <c r="D9" s="33">
        <f>D8-C9</f>
        <v/>
      </c>
      <c r="H9" s="33" t="n"/>
      <c r="I9" s="33" t="n"/>
      <c r="J9" s="33" t="n"/>
    </row>
    <row r="10">
      <c r="A10" s="24" t="n">
        <v>45145</v>
      </c>
      <c r="B10" s="22" t="inlineStr">
        <is>
          <t>Umbrella</t>
        </is>
      </c>
      <c r="C10" s="33" t="n">
        <v>1527</v>
      </c>
      <c r="D10" s="33">
        <f>D9-C10</f>
        <v/>
      </c>
      <c r="H10" s="33" t="n"/>
      <c r="I10" s="33" t="n"/>
      <c r="J10" s="33" t="n"/>
    </row>
    <row r="11">
      <c r="A11" s="24" t="n"/>
      <c r="B11" s="22" t="inlineStr">
        <is>
          <t>Belanja</t>
        </is>
      </c>
      <c r="C11" s="33">
        <f>440+2929+840</f>
        <v/>
      </c>
      <c r="D11" s="33">
        <f>D10-C11</f>
        <v/>
      </c>
      <c r="H11" s="33" t="n"/>
      <c r="I11" s="33" t="n"/>
      <c r="J11" s="33" t="n"/>
    </row>
    <row r="12">
      <c r="A12" s="24" t="n">
        <v>45146</v>
      </c>
      <c r="B12" s="22" t="n"/>
      <c r="C12" s="33" t="n"/>
      <c r="D12" s="33">
        <f>D11-C12</f>
        <v/>
      </c>
      <c r="H12" s="33" t="n"/>
      <c r="I12" s="33" t="n"/>
      <c r="J12" s="33" t="n"/>
    </row>
    <row r="13">
      <c r="A13" s="24" t="n">
        <v>45147</v>
      </c>
      <c r="B13" s="22" t="inlineStr">
        <is>
          <t>Laundry</t>
        </is>
      </c>
      <c r="C13" s="33" t="n">
        <v>300</v>
      </c>
      <c r="D13" s="33">
        <f>D12-C13</f>
        <v/>
      </c>
      <c r="H13" s="33" t="n"/>
      <c r="I13" s="33" t="n"/>
      <c r="J13" s="33" t="n"/>
    </row>
    <row r="14">
      <c r="A14" s="24" t="n">
        <v>45148</v>
      </c>
      <c r="B14" s="22" t="n"/>
      <c r="C14" s="33" t="n"/>
      <c r="D14" s="33">
        <f>D13-C14</f>
        <v/>
      </c>
      <c r="H14" s="33" t="n"/>
      <c r="I14" s="33" t="n"/>
      <c r="J14" s="33" t="n"/>
    </row>
    <row r="15">
      <c r="A15" s="24" t="n">
        <v>45149</v>
      </c>
      <c r="B15" s="22" t="inlineStr">
        <is>
          <t>Laundry</t>
        </is>
      </c>
      <c r="C15" s="33" t="n">
        <v>300</v>
      </c>
      <c r="D15" s="33">
        <f>D14-C15</f>
        <v/>
      </c>
      <c r="H15" s="33" t="n"/>
      <c r="I15" s="33" t="n"/>
      <c r="J15" s="33" t="n"/>
    </row>
    <row r="16">
      <c r="A16" s="24" t="n">
        <v>45150</v>
      </c>
      <c r="B16" s="22" t="inlineStr">
        <is>
          <t>Belanja</t>
        </is>
      </c>
      <c r="C16" s="33" t="n">
        <v>3740</v>
      </c>
      <c r="D16" s="33">
        <f>D15-C16</f>
        <v/>
      </c>
      <c r="H16" s="33" t="n"/>
      <c r="I16" s="33" t="n"/>
      <c r="J16" s="33" t="n"/>
    </row>
    <row r="17">
      <c r="A17" s="24" t="n">
        <v>45151</v>
      </c>
      <c r="B17" s="22" t="n"/>
      <c r="C17" s="33" t="n"/>
      <c r="D17" s="33">
        <f>D16-C17</f>
        <v/>
      </c>
    </row>
    <row r="18">
      <c r="A18" s="24" t="n">
        <v>45152</v>
      </c>
      <c r="B18" s="22" t="n"/>
      <c r="C18" s="33" t="n"/>
      <c r="D18" s="33">
        <f>D17-C18</f>
        <v/>
      </c>
    </row>
    <row r="19">
      <c r="A19" s="24" t="n">
        <v>45153</v>
      </c>
      <c r="B19" s="22" t="n"/>
      <c r="C19" s="33" t="n"/>
      <c r="D19" s="33">
        <f>D18-C19</f>
        <v/>
      </c>
    </row>
    <row r="20">
      <c r="A20" s="24" t="n">
        <v>45154</v>
      </c>
      <c r="B20" s="22" t="inlineStr">
        <is>
          <t>Belanja Makan</t>
        </is>
      </c>
      <c r="C20" s="33">
        <f>4522+500+130+240+510+110</f>
        <v/>
      </c>
      <c r="D20" s="33">
        <f>D19-C20</f>
        <v/>
      </c>
    </row>
    <row r="21">
      <c r="A21" s="24" t="n">
        <v>45155</v>
      </c>
      <c r="B21" s="22" t="n"/>
      <c r="C21" s="33" t="n"/>
      <c r="D21" s="33">
        <f>D20-C21</f>
        <v/>
      </c>
    </row>
    <row r="22">
      <c r="A22" s="24" t="n">
        <v>45156</v>
      </c>
      <c r="C22" s="33" t="n"/>
      <c r="D22" s="33">
        <f>D21-C22</f>
        <v/>
      </c>
    </row>
    <row r="23">
      <c r="A23" s="24" t="n">
        <v>45157</v>
      </c>
      <c r="B23" s="22" t="inlineStr">
        <is>
          <t>Laundry</t>
        </is>
      </c>
      <c r="C23" s="33" t="n">
        <v>300</v>
      </c>
      <c r="D23" s="33">
        <f>D22-C23</f>
        <v/>
      </c>
    </row>
    <row r="24">
      <c r="A24" s="24" t="n">
        <v>45158</v>
      </c>
      <c r="B24" s="22" t="inlineStr">
        <is>
          <t>Belanja</t>
        </is>
      </c>
      <c r="C24" s="33">
        <f>3986+3736+130</f>
        <v/>
      </c>
      <c r="D24" s="33">
        <f>D23-C24</f>
        <v/>
      </c>
    </row>
    <row r="25">
      <c r="A25" s="24" t="n">
        <v>45159</v>
      </c>
      <c r="D25" s="33">
        <f>D24-C25</f>
        <v/>
      </c>
    </row>
    <row r="26">
      <c r="A26" s="24" t="n">
        <v>45160</v>
      </c>
      <c r="D26" s="33">
        <f>D25-C26</f>
        <v/>
      </c>
    </row>
    <row r="27">
      <c r="A27" s="24" t="n">
        <v>45161</v>
      </c>
      <c r="B27" s="22" t="inlineStr">
        <is>
          <t>Laundry</t>
        </is>
      </c>
      <c r="C27" s="33" t="n">
        <v>300</v>
      </c>
      <c r="D27" s="33">
        <f>D26-C27</f>
        <v/>
      </c>
    </row>
    <row r="28">
      <c r="A28" s="24" t="n">
        <v>45162</v>
      </c>
      <c r="B28" s="22" t="n"/>
      <c r="C28" s="33" t="n"/>
      <c r="D28" s="33">
        <f>D27-C28</f>
        <v/>
      </c>
    </row>
    <row r="29">
      <c r="A29" s="24" t="n">
        <v>45163</v>
      </c>
      <c r="B29" s="22" t="inlineStr">
        <is>
          <t>Belanja Makan</t>
        </is>
      </c>
      <c r="C29" s="33" t="n">
        <v>4140</v>
      </c>
      <c r="D29" s="33">
        <f>D28-C29</f>
        <v/>
      </c>
    </row>
    <row r="30">
      <c r="A30" s="24" t="n">
        <v>45164</v>
      </c>
      <c r="B30" s="22" t="inlineStr">
        <is>
          <t>Laundry</t>
        </is>
      </c>
      <c r="C30" s="33" t="n">
        <v>300</v>
      </c>
      <c r="D30" s="33">
        <f>D29-C30</f>
        <v/>
      </c>
    </row>
    <row r="31">
      <c r="A31" s="24" t="n">
        <v>45165</v>
      </c>
      <c r="B31" s="22" t="n"/>
      <c r="C31" s="33" t="n"/>
      <c r="D31" s="33">
        <f>D30-C31</f>
        <v/>
      </c>
    </row>
    <row r="32">
      <c r="A32" s="24" t="n">
        <v>45166</v>
      </c>
      <c r="B32" s="22" t="n"/>
      <c r="C32" s="33" t="n"/>
      <c r="D32" s="33">
        <f>D31-C32</f>
        <v/>
      </c>
    </row>
    <row r="33">
      <c r="A33" s="24" t="n">
        <v>45167</v>
      </c>
      <c r="B33" s="22" t="inlineStr">
        <is>
          <t>Laundry</t>
        </is>
      </c>
      <c r="C33" s="33" t="n">
        <v>300</v>
      </c>
      <c r="D33" s="33">
        <f>D32-C33</f>
        <v/>
      </c>
    </row>
    <row r="34">
      <c r="A34" s="24" t="n">
        <v>45168</v>
      </c>
      <c r="B34" s="22" t="inlineStr">
        <is>
          <t>Mobile SIM</t>
        </is>
      </c>
      <c r="C34" s="33" t="n">
        <v>2203</v>
      </c>
      <c r="D34" s="33">
        <f>D33-C34</f>
        <v/>
      </c>
      <c r="G34" s="74">
        <f>C36-C34-C10</f>
        <v/>
      </c>
    </row>
    <row r="35">
      <c r="A35" s="24" t="n">
        <v>45169</v>
      </c>
      <c r="B35" s="22" t="inlineStr">
        <is>
          <t>Belanja Makan</t>
        </is>
      </c>
      <c r="C35" s="33">
        <f>2910+2962</f>
        <v/>
      </c>
      <c r="D35" s="33">
        <f>D34-C35</f>
        <v/>
      </c>
    </row>
    <row r="36">
      <c r="A36" s="101" t="n"/>
      <c r="B36" s="48" t="inlineStr">
        <is>
          <t>Total</t>
        </is>
      </c>
      <c r="C36" s="34">
        <f>SUM(C4:C35)</f>
        <v/>
      </c>
      <c r="D36" s="34" t="n"/>
    </row>
    <row r="37">
      <c r="A37" s="101" t="n"/>
      <c r="B37" s="48" t="inlineStr">
        <is>
          <t>Sisa</t>
        </is>
      </c>
      <c r="C37" s="34" t="n"/>
      <c r="D37" s="34">
        <f>D35</f>
        <v/>
      </c>
    </row>
  </sheetData>
  <mergeCells count="5">
    <mergeCell ref="A1:D1"/>
    <mergeCell ref="F7:I7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8"/>
  <sheetViews>
    <sheetView zoomScale="115" zoomScaleNormal="115" workbookViewId="0">
      <selection activeCell="G25" sqref="G25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21" min="3" max="4"/>
    <col width="8.77734375" customWidth="1" style="19" min="5" max="5"/>
    <col width="4" customWidth="1" style="89" min="6" max="6"/>
    <col width="37.77734375" customWidth="1" style="21" min="7" max="7"/>
    <col width="17.33203125" customWidth="1" style="21" min="8" max="8"/>
    <col width="17.33203125" customWidth="1" style="54" min="9" max="9"/>
    <col width="17.33203125" customWidth="1" style="21" min="10" max="10"/>
    <col width="8.77734375" customWidth="1" style="19" min="11" max="11"/>
    <col width="13.109375" bestFit="1" customWidth="1" style="19" min="12" max="12"/>
    <col width="8.77734375" customWidth="1" style="19" min="13" max="13"/>
    <col width="8.77734375" customWidth="1" style="19" min="14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F3" s="97" t="inlineStr">
        <is>
          <t>From Last Month</t>
        </is>
      </c>
      <c r="G3" s="90" t="n"/>
      <c r="H3" s="90" t="n"/>
      <c r="I3" s="91" t="n"/>
      <c r="J3" s="34">
        <f>'23-08'!J7</f>
        <v/>
      </c>
    </row>
    <row r="4">
      <c r="A4" s="24" t="n">
        <v>45170</v>
      </c>
      <c r="B4" s="32" t="inlineStr">
        <is>
          <t>Belanja</t>
        </is>
      </c>
      <c r="C4" s="33" t="n">
        <v>3228</v>
      </c>
      <c r="D4" s="33">
        <f>D3-C4</f>
        <v/>
      </c>
      <c r="F4" s="89" t="n">
        <v>1</v>
      </c>
      <c r="G4" s="22" t="inlineStr">
        <is>
          <t>Kartu IC Kereta Pa &amp; Ma + Isi</t>
        </is>
      </c>
      <c r="H4" s="33" t="n">
        <v>10000</v>
      </c>
      <c r="I4" s="53" t="n"/>
      <c r="J4" s="33">
        <f>J3-H4+I4</f>
        <v/>
      </c>
    </row>
    <row r="5">
      <c r="A5" s="24" t="n">
        <v>45171</v>
      </c>
      <c r="B5" s="22" t="inlineStr">
        <is>
          <t>Laundry</t>
        </is>
      </c>
      <c r="C5" s="33" t="n">
        <v>300</v>
      </c>
      <c r="D5" s="33">
        <f>D4-C5</f>
        <v/>
      </c>
      <c r="F5" s="89" t="n">
        <v>2</v>
      </c>
      <c r="G5" s="21" t="inlineStr">
        <is>
          <t>Isi Uang</t>
        </is>
      </c>
      <c r="H5" s="33" t="n"/>
      <c r="I5" s="53" t="n">
        <v>800000</v>
      </c>
      <c r="J5" s="33">
        <f>J4-H5+I5</f>
        <v/>
      </c>
    </row>
    <row r="6">
      <c r="A6" s="24" t="n">
        <v>45172</v>
      </c>
      <c r="B6" s="22" t="n"/>
      <c r="C6" s="33" t="n"/>
      <c r="D6" s="33">
        <f>D5-C6</f>
        <v/>
      </c>
      <c r="F6" s="89" t="n">
        <v>3</v>
      </c>
      <c r="G6" s="21" t="inlineStr">
        <is>
          <t>Fee Bank</t>
        </is>
      </c>
      <c r="H6" s="33" t="n">
        <v>220</v>
      </c>
      <c r="I6" s="53" t="n"/>
      <c r="J6" s="33">
        <f>J5-H6+I6</f>
        <v/>
      </c>
    </row>
    <row r="7">
      <c r="A7" s="24" t="n">
        <v>45173</v>
      </c>
      <c r="C7" s="33" t="n"/>
      <c r="D7" s="33">
        <f>D6-C7</f>
        <v/>
      </c>
      <c r="F7" s="89" t="n">
        <v>4</v>
      </c>
      <c r="G7" s="21" t="inlineStr">
        <is>
          <t>Kartu Isi IC Kereta De</t>
        </is>
      </c>
      <c r="H7" s="33" t="n">
        <v>6000</v>
      </c>
      <c r="I7" s="53" t="n"/>
      <c r="J7" s="33">
        <f>J6-H7+I7</f>
        <v/>
      </c>
    </row>
    <row r="8">
      <c r="A8" s="24" t="n">
        <v>45174</v>
      </c>
      <c r="B8" s="21" t="inlineStr">
        <is>
          <t>Belanja Makan</t>
        </is>
      </c>
      <c r="C8" s="33">
        <f>1952+140+130+2175</f>
        <v/>
      </c>
      <c r="D8" s="33">
        <f>D7-C8</f>
        <v/>
      </c>
      <c r="F8" s="89" t="n">
        <v>5</v>
      </c>
      <c r="G8" s="21" t="inlineStr">
        <is>
          <t>Potong Rambut</t>
        </is>
      </c>
      <c r="H8" s="33" t="n">
        <v>2000</v>
      </c>
      <c r="I8" s="53" t="n"/>
      <c r="J8" s="33">
        <f>J7-H8+I8</f>
        <v/>
      </c>
    </row>
    <row r="9">
      <c r="A9" s="24" t="n">
        <v>45175</v>
      </c>
      <c r="B9" s="22" t="inlineStr">
        <is>
          <t>Laundry</t>
        </is>
      </c>
      <c r="C9" s="33" t="n">
        <v>300</v>
      </c>
      <c r="D9" s="33">
        <f>D8-C9</f>
        <v/>
      </c>
      <c r="F9" s="89" t="n">
        <v>6</v>
      </c>
      <c r="G9" s="21" t="inlineStr">
        <is>
          <t>Uang Bulanan</t>
        </is>
      </c>
      <c r="H9" s="33" t="n">
        <v>55000</v>
      </c>
      <c r="I9" s="53" t="n"/>
      <c r="J9" s="33">
        <f>J8-H9+I9</f>
        <v/>
      </c>
    </row>
    <row r="10">
      <c r="A10" s="24" t="n">
        <v>45176</v>
      </c>
      <c r="B10" s="22" t="inlineStr">
        <is>
          <t>Belanja Makan</t>
        </is>
      </c>
      <c r="C10" s="33" t="n">
        <v>2201</v>
      </c>
      <c r="D10" s="33">
        <f>D9-C10</f>
        <v/>
      </c>
      <c r="F10" s="89" t="n">
        <v>7</v>
      </c>
      <c r="G10" s="21" t="inlineStr">
        <is>
          <t>Rent</t>
        </is>
      </c>
      <c r="H10" s="33" t="n">
        <v>47878</v>
      </c>
      <c r="J10" s="33">
        <f>J9-H10+I10</f>
        <v/>
      </c>
    </row>
    <row r="11">
      <c r="A11" s="24" t="n">
        <v>45177</v>
      </c>
      <c r="D11" s="33">
        <f>D10-C11</f>
        <v/>
      </c>
      <c r="J11" s="33">
        <f>J10-H11+I11</f>
        <v/>
      </c>
    </row>
    <row r="12">
      <c r="A12" s="24" t="n">
        <v>45178</v>
      </c>
      <c r="B12" s="22" t="n"/>
      <c r="C12" s="33" t="n"/>
      <c r="D12" s="33">
        <f>D11-C12</f>
        <v/>
      </c>
      <c r="F12" s="94" t="inlineStr">
        <is>
          <t>Sisa</t>
        </is>
      </c>
      <c r="G12" s="90" t="n"/>
      <c r="H12" s="90" t="n"/>
      <c r="I12" s="91" t="n"/>
      <c r="J12" s="37">
        <f>J11-H12+I12</f>
        <v/>
      </c>
    </row>
    <row r="13">
      <c r="A13" s="24" t="n">
        <v>45179</v>
      </c>
      <c r="B13" s="22" t="n"/>
      <c r="C13" s="33" t="n"/>
      <c r="D13" s="33">
        <f>D12-C13</f>
        <v/>
      </c>
      <c r="F13" s="44" t="n"/>
      <c r="G13" s="36" t="n"/>
      <c r="H13" s="35" t="n"/>
      <c r="I13" s="58" t="n"/>
      <c r="J13" s="35" t="n"/>
    </row>
    <row r="14">
      <c r="A14" s="24" t="n">
        <v>45180</v>
      </c>
      <c r="B14" s="22" t="inlineStr">
        <is>
          <t>Laundry</t>
        </is>
      </c>
      <c r="C14" s="33" t="n">
        <v>300</v>
      </c>
      <c r="D14" s="33">
        <f>D13-C14</f>
        <v/>
      </c>
      <c r="H14" s="33" t="n"/>
      <c r="I14" s="53" t="n"/>
      <c r="J14" s="33" t="n"/>
    </row>
    <row r="15">
      <c r="A15" s="24" t="n"/>
      <c r="B15" s="22" t="inlineStr">
        <is>
          <t>Belanja Makan</t>
        </is>
      </c>
      <c r="C15" s="33">
        <f>1122+150+150+150+108</f>
        <v/>
      </c>
      <c r="D15" s="33">
        <f>D14-C15</f>
        <v/>
      </c>
      <c r="H15" s="33" t="n"/>
      <c r="I15" s="53" t="n"/>
      <c r="J15" s="33" t="n"/>
    </row>
    <row r="16">
      <c r="A16" s="24" t="n">
        <v>45181</v>
      </c>
      <c r="B16" s="22" t="n"/>
      <c r="C16" s="33" t="n"/>
      <c r="D16" s="33">
        <f>D15-C16</f>
        <v/>
      </c>
      <c r="H16" s="33" t="n"/>
      <c r="I16" s="53" t="n"/>
      <c r="J16" s="33" t="n"/>
    </row>
    <row r="17">
      <c r="A17" s="24" t="n">
        <v>45182</v>
      </c>
      <c r="B17" s="22" t="inlineStr">
        <is>
          <t>Belanja</t>
        </is>
      </c>
      <c r="C17" s="33">
        <f>110+878</f>
        <v/>
      </c>
      <c r="D17" s="33">
        <f>D16-C17</f>
        <v/>
      </c>
    </row>
    <row r="18">
      <c r="A18" s="24" t="n">
        <v>45183</v>
      </c>
      <c r="B18" s="22" t="inlineStr">
        <is>
          <t>Belanja Makan</t>
        </is>
      </c>
      <c r="C18" s="33" t="n">
        <v>3206</v>
      </c>
      <c r="D18" s="33">
        <f>D17-C18</f>
        <v/>
      </c>
    </row>
    <row r="19">
      <c r="A19" s="24" t="n">
        <v>45184</v>
      </c>
      <c r="B19" s="22" t="inlineStr"/>
      <c r="C19" s="33" t="n"/>
      <c r="D19" s="33">
        <f>D18-C19</f>
        <v/>
      </c>
    </row>
    <row r="20">
      <c r="A20" s="24" t="n">
        <v>45185</v>
      </c>
      <c r="B20" s="22" t="inlineStr">
        <is>
          <t>Laundry</t>
        </is>
      </c>
      <c r="C20" s="33" t="n">
        <v>300</v>
      </c>
      <c r="D20" s="33">
        <f>D19-C20</f>
        <v/>
      </c>
    </row>
    <row r="21">
      <c r="A21" s="24" t="n">
        <v>45186</v>
      </c>
      <c r="B21" s="22" t="inlineStr">
        <is>
          <t>Belanja Makan</t>
        </is>
      </c>
      <c r="C21" s="33">
        <f>1079+3709</f>
        <v/>
      </c>
      <c r="D21" s="33">
        <f>D20-C21</f>
        <v/>
      </c>
    </row>
    <row r="22">
      <c r="A22" s="24" t="n">
        <v>45187</v>
      </c>
      <c r="B22" s="22" t="n"/>
      <c r="C22" s="33" t="n"/>
      <c r="D22" s="33">
        <f>D21-C22</f>
        <v/>
      </c>
    </row>
    <row r="23">
      <c r="A23" s="24" t="n">
        <v>45188</v>
      </c>
      <c r="C23" s="33" t="n"/>
      <c r="D23" s="33">
        <f>D22-C23</f>
        <v/>
      </c>
    </row>
    <row r="24">
      <c r="A24" s="24" t="n">
        <v>45189</v>
      </c>
      <c r="B24" s="22" t="inlineStr">
        <is>
          <t>Belanja Makan</t>
        </is>
      </c>
      <c r="C24" s="33">
        <f>2428+84+150+140+3681</f>
        <v/>
      </c>
      <c r="D24" s="33">
        <f>D23-C24</f>
        <v/>
      </c>
      <c r="G24" s="74">
        <f>C38-C36</f>
        <v/>
      </c>
    </row>
    <row r="25">
      <c r="A25" s="24" t="n">
        <v>45190</v>
      </c>
      <c r="B25" s="22" t="n"/>
      <c r="C25" s="33" t="n"/>
      <c r="D25" s="33">
        <f>D24-C25</f>
        <v/>
      </c>
    </row>
    <row r="26">
      <c r="A26" s="24" t="n">
        <v>45191</v>
      </c>
      <c r="D26" s="33">
        <f>D25-C26</f>
        <v/>
      </c>
    </row>
    <row r="27">
      <c r="A27" s="24" t="n">
        <v>45192</v>
      </c>
      <c r="D27" s="33">
        <f>D26-C27</f>
        <v/>
      </c>
    </row>
    <row r="28">
      <c r="A28" s="24" t="n">
        <v>45193</v>
      </c>
      <c r="B28" s="22" t="n"/>
      <c r="C28" s="33" t="n"/>
      <c r="D28" s="33">
        <f>D27-C28</f>
        <v/>
      </c>
    </row>
    <row r="29">
      <c r="A29" s="24" t="n">
        <v>45194</v>
      </c>
      <c r="B29" s="22" t="inlineStr">
        <is>
          <t>Belanja Makan</t>
        </is>
      </c>
      <c r="C29" s="33" t="n">
        <v>3825</v>
      </c>
      <c r="D29" s="33">
        <f>D28-C29</f>
        <v/>
      </c>
    </row>
    <row r="30">
      <c r="A30" s="24" t="n">
        <v>45195</v>
      </c>
      <c r="B30" s="22" t="inlineStr">
        <is>
          <t>Makan</t>
        </is>
      </c>
      <c r="C30" s="33">
        <f>240+275</f>
        <v/>
      </c>
      <c r="D30" s="33">
        <f>D29-C30</f>
        <v/>
      </c>
    </row>
    <row r="31">
      <c r="A31" s="24" t="n">
        <v>45196</v>
      </c>
      <c r="B31" s="22" t="inlineStr">
        <is>
          <t>Makan</t>
        </is>
      </c>
      <c r="C31" s="33" t="n">
        <v>500</v>
      </c>
      <c r="D31" s="33">
        <f>D30-C31</f>
        <v/>
      </c>
    </row>
    <row r="32">
      <c r="A32" s="24" t="n">
        <v>45197</v>
      </c>
      <c r="B32" s="22" t="inlineStr">
        <is>
          <t>Makan</t>
        </is>
      </c>
      <c r="C32" s="33" t="n">
        <v>680</v>
      </c>
      <c r="D32" s="33">
        <f>D31-C32</f>
        <v/>
      </c>
    </row>
    <row r="33">
      <c r="A33" s="24" t="n"/>
      <c r="B33" s="22" t="inlineStr">
        <is>
          <t>Beras</t>
        </is>
      </c>
      <c r="C33" s="33" t="n">
        <v>2250</v>
      </c>
      <c r="D33" s="33">
        <f>D32-C33</f>
        <v/>
      </c>
    </row>
    <row r="34">
      <c r="A34" s="24" t="n">
        <v>45198</v>
      </c>
      <c r="B34" s="22" t="inlineStr">
        <is>
          <t>Belanja Makan</t>
        </is>
      </c>
      <c r="C34" s="33" t="n">
        <v>3817</v>
      </c>
      <c r="D34" s="33">
        <f>D33-C34</f>
        <v/>
      </c>
    </row>
    <row r="35">
      <c r="A35" s="24" t="n">
        <v>45199</v>
      </c>
      <c r="B35" s="22" t="inlineStr">
        <is>
          <t>Belanja Makan</t>
        </is>
      </c>
      <c r="C35" s="33">
        <f>2151+500</f>
        <v/>
      </c>
      <c r="D35" s="33">
        <f>D34-C35</f>
        <v/>
      </c>
    </row>
    <row r="36">
      <c r="A36" s="24" t="n"/>
      <c r="B36" s="21" t="inlineStr">
        <is>
          <t>SIM</t>
        </is>
      </c>
      <c r="C36" s="33" t="n">
        <v>2203</v>
      </c>
      <c r="D36" s="33">
        <f>D35-C36</f>
        <v/>
      </c>
    </row>
    <row r="37">
      <c r="A37" s="92" t="n"/>
      <c r="B37" s="48" t="inlineStr">
        <is>
          <t>Sisa</t>
        </is>
      </c>
      <c r="C37" s="34" t="n"/>
      <c r="D37" s="34">
        <f>D36-C37</f>
        <v/>
      </c>
    </row>
    <row r="38">
      <c r="A38" s="60" t="n"/>
      <c r="B38" s="48" t="inlineStr">
        <is>
          <t>Total</t>
        </is>
      </c>
      <c r="C38" s="34">
        <f>SUM(C4:C36)</f>
        <v/>
      </c>
      <c r="D38" s="34" t="n"/>
    </row>
  </sheetData>
  <mergeCells count="5">
    <mergeCell ref="A1:D1"/>
    <mergeCell ref="F3:I3"/>
    <mergeCell ref="F12:I12"/>
    <mergeCell ref="A3:C3"/>
    <mergeCell ref="F1:J1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7"/>
  <sheetViews>
    <sheetView zoomScale="110" zoomScaleNormal="110" workbookViewId="0">
      <selection activeCell="C58" sqref="C58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21" min="3" max="4"/>
    <col width="8.77734375" customWidth="1" style="19" min="5" max="5"/>
    <col width="4" customWidth="1" style="89" min="6" max="6"/>
    <col width="37.77734375" customWidth="1" style="21" min="7" max="7"/>
    <col width="17.33203125" customWidth="1" style="21" min="8" max="10"/>
    <col width="8.77734375" customWidth="1" style="19" min="11" max="12"/>
    <col width="13.109375" bestFit="1" customWidth="1" style="19" min="13" max="13"/>
    <col width="8.77734375" customWidth="1" style="19" min="14" max="14"/>
    <col width="8.77734375" customWidth="1" style="19" min="15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F3" s="92" t="inlineStr">
        <is>
          <t>From Last Month</t>
        </is>
      </c>
      <c r="G3" s="90" t="n"/>
      <c r="H3" s="90" t="n"/>
      <c r="I3" s="91" t="n"/>
      <c r="J3" s="34">
        <f>'23-09'!J12</f>
        <v/>
      </c>
    </row>
    <row r="4">
      <c r="A4" s="31" t="n">
        <v>45200</v>
      </c>
      <c r="B4" s="32" t="inlineStr">
        <is>
          <t>Laundry</t>
        </is>
      </c>
      <c r="C4" s="33" t="n">
        <v>400</v>
      </c>
      <c r="D4" s="33">
        <f>D3-C4</f>
        <v/>
      </c>
      <c r="F4" s="89" t="n">
        <v>1</v>
      </c>
      <c r="G4" s="21" t="inlineStr">
        <is>
          <t>Co-op insurance</t>
        </is>
      </c>
      <c r="H4" s="33" t="n">
        <v>7000</v>
      </c>
      <c r="I4" s="33" t="n"/>
      <c r="J4" s="33">
        <f>J3-H4+I4</f>
        <v/>
      </c>
    </row>
    <row r="5">
      <c r="A5" s="31" t="n"/>
      <c r="B5" s="32" t="inlineStr">
        <is>
          <t>Lunch</t>
        </is>
      </c>
      <c r="C5" s="33" t="n">
        <v>600</v>
      </c>
      <c r="D5" s="33">
        <f>D4-C5</f>
        <v/>
      </c>
      <c r="F5" s="89" t="n">
        <v>2</v>
      </c>
      <c r="G5" s="21" t="inlineStr">
        <is>
          <t>Expense Bulanan</t>
        </is>
      </c>
      <c r="H5" s="33" t="n">
        <v>55000</v>
      </c>
      <c r="I5" s="33" t="n"/>
      <c r="J5" s="33">
        <f>J4-H5+I5</f>
        <v/>
      </c>
    </row>
    <row r="6">
      <c r="A6" s="31" t="n">
        <v>45201</v>
      </c>
      <c r="B6" s="32" t="inlineStr">
        <is>
          <t>Lunch</t>
        </is>
      </c>
      <c r="C6" s="33" t="n">
        <v>700</v>
      </c>
      <c r="D6" s="33">
        <f>D5-C6</f>
        <v/>
      </c>
      <c r="F6" s="89" t="n">
        <v>3</v>
      </c>
      <c r="G6" s="21" t="inlineStr">
        <is>
          <t>Rent</t>
        </is>
      </c>
      <c r="H6" s="33" t="n">
        <v>45428</v>
      </c>
      <c r="I6" s="33" t="n"/>
      <c r="J6" s="33">
        <f>J5-H6+I6</f>
        <v/>
      </c>
    </row>
    <row r="7">
      <c r="A7" s="31" t="n">
        <v>45202</v>
      </c>
      <c r="B7" s="32" t="inlineStr">
        <is>
          <t>Lunch</t>
        </is>
      </c>
      <c r="C7" s="33" t="n"/>
      <c r="D7" s="33">
        <f>D6-C7</f>
        <v/>
      </c>
      <c r="F7" s="89" t="n">
        <v>4</v>
      </c>
      <c r="G7" s="21" t="inlineStr">
        <is>
          <t>Mobile SIM</t>
        </is>
      </c>
      <c r="H7" s="33" t="n">
        <v>2203</v>
      </c>
      <c r="I7" s="33" t="n"/>
      <c r="J7" s="33">
        <f>J6-H7+I7</f>
        <v/>
      </c>
    </row>
    <row r="8">
      <c r="A8" s="31" t="n"/>
      <c r="B8" s="32" t="inlineStr">
        <is>
          <t>Belanja Makan</t>
        </is>
      </c>
      <c r="C8" s="33" t="n">
        <v>2467</v>
      </c>
      <c r="D8" s="33">
        <f>D7-C8</f>
        <v/>
      </c>
      <c r="H8" s="33" t="n"/>
      <c r="I8" s="33" t="n"/>
      <c r="J8" s="33">
        <f>J7-H8+I8</f>
        <v/>
      </c>
    </row>
    <row r="9">
      <c r="A9" s="31" t="n">
        <v>45203</v>
      </c>
      <c r="B9" s="32" t="inlineStr">
        <is>
          <t>Lunch</t>
        </is>
      </c>
      <c r="C9" s="33" t="n"/>
      <c r="D9" s="33">
        <f>D8-C9</f>
        <v/>
      </c>
      <c r="F9" s="94" t="inlineStr">
        <is>
          <t>Sisa</t>
        </is>
      </c>
      <c r="G9" s="90" t="n"/>
      <c r="H9" s="90" t="n"/>
      <c r="I9" s="91" t="n"/>
      <c r="J9" s="37">
        <f>J8-H9+I9</f>
        <v/>
      </c>
    </row>
    <row r="10">
      <c r="A10" s="31" t="n"/>
      <c r="B10" s="32" t="inlineStr">
        <is>
          <t>Laundry</t>
        </is>
      </c>
      <c r="C10" s="33" t="n">
        <v>300</v>
      </c>
      <c r="D10" s="33">
        <f>D9-C10</f>
        <v/>
      </c>
      <c r="F10" s="49" t="n"/>
      <c r="G10" s="50" t="n"/>
      <c r="H10" s="51" t="n"/>
      <c r="I10" s="51" t="n"/>
      <c r="J10" s="51" t="n"/>
    </row>
    <row r="11">
      <c r="A11" s="31" t="n">
        <v>45204</v>
      </c>
      <c r="B11" s="32" t="inlineStr">
        <is>
          <t>Lunch</t>
        </is>
      </c>
      <c r="C11" s="33" t="n"/>
      <c r="D11" s="33">
        <f>D10-C11</f>
        <v/>
      </c>
      <c r="H11" s="33" t="n"/>
      <c r="I11" s="33" t="n"/>
      <c r="J11" s="33" t="n"/>
    </row>
    <row r="12">
      <c r="A12" s="31" t="n">
        <v>45205</v>
      </c>
      <c r="B12" s="22" t="inlineStr">
        <is>
          <t>Lunch</t>
        </is>
      </c>
      <c r="C12" s="33" t="n">
        <v>500</v>
      </c>
      <c r="D12" s="33">
        <f>D11-C12</f>
        <v/>
      </c>
      <c r="H12" s="33" t="n"/>
      <c r="I12" s="33" t="n"/>
      <c r="J12" s="33" t="n"/>
    </row>
    <row r="13">
      <c r="A13" s="31" t="n">
        <v>45206</v>
      </c>
      <c r="B13" s="22" t="inlineStr">
        <is>
          <t>Belanja Makan</t>
        </is>
      </c>
      <c r="C13" s="33">
        <f>7800</f>
        <v/>
      </c>
      <c r="D13" s="33">
        <f>D12-C13</f>
        <v/>
      </c>
      <c r="H13" s="33" t="n"/>
      <c r="I13" s="33" t="n"/>
      <c r="J13" s="33" t="n"/>
    </row>
    <row r="14">
      <c r="B14" s="22" t="inlineStr">
        <is>
          <t>Laundry</t>
        </is>
      </c>
      <c r="C14" s="33" t="n">
        <v>300</v>
      </c>
      <c r="D14" s="33">
        <f>D13-C14</f>
        <v/>
      </c>
      <c r="H14" s="33" t="n"/>
      <c r="I14" s="33" t="n"/>
      <c r="J14" s="33" t="n"/>
    </row>
    <row r="15">
      <c r="A15" s="31" t="n">
        <v>45207</v>
      </c>
      <c r="B15" s="22" t="inlineStr">
        <is>
          <t>Belanja</t>
        </is>
      </c>
      <c r="C15" s="33" t="n">
        <v>4300</v>
      </c>
      <c r="D15" s="33">
        <f>D14-C15</f>
        <v/>
      </c>
      <c r="H15" s="33" t="n"/>
      <c r="I15" s="33" t="n"/>
      <c r="J15" s="33" t="n"/>
    </row>
    <row r="16">
      <c r="A16" s="31" t="n">
        <v>45208</v>
      </c>
      <c r="B16" s="22" t="inlineStr">
        <is>
          <t>Lunch</t>
        </is>
      </c>
      <c r="C16" s="33" t="n">
        <v>600</v>
      </c>
      <c r="D16" s="33">
        <f>D15-C16</f>
        <v/>
      </c>
      <c r="H16" s="33" t="n"/>
      <c r="I16" s="33" t="n"/>
      <c r="J16" s="33" t="n"/>
    </row>
    <row r="17">
      <c r="A17" s="31" t="n">
        <v>45209</v>
      </c>
      <c r="B17" s="22" t="inlineStr">
        <is>
          <t>Lunch</t>
        </is>
      </c>
      <c r="C17" s="33" t="n">
        <v>600</v>
      </c>
      <c r="D17" s="33">
        <f>D16-C17</f>
        <v/>
      </c>
    </row>
    <row r="18">
      <c r="A18" s="31" t="n">
        <v>45210</v>
      </c>
      <c r="B18" s="22" t="inlineStr">
        <is>
          <t>Lunch</t>
        </is>
      </c>
      <c r="C18" s="33" t="n">
        <v>700</v>
      </c>
      <c r="D18" s="33">
        <f>D17-C18</f>
        <v/>
      </c>
    </row>
    <row r="19">
      <c r="A19" s="31" t="n">
        <v>45211</v>
      </c>
      <c r="B19" s="22" t="inlineStr">
        <is>
          <t>Belanja</t>
        </is>
      </c>
      <c r="C19" s="33">
        <f>2042+437</f>
        <v/>
      </c>
      <c r="D19" s="33">
        <f>D18-C19</f>
        <v/>
      </c>
    </row>
    <row r="20">
      <c r="A20" s="31" t="n"/>
      <c r="B20" s="22" t="inlineStr">
        <is>
          <t>Lunch</t>
        </is>
      </c>
      <c r="C20" s="33" t="n">
        <v>600</v>
      </c>
      <c r="D20" s="33">
        <f>D19-C20</f>
        <v/>
      </c>
    </row>
    <row r="21">
      <c r="A21" s="31" t="n">
        <v>45212</v>
      </c>
      <c r="B21" s="22" t="n"/>
      <c r="C21" s="33" t="n"/>
      <c r="D21" s="33">
        <f>D20-C21</f>
        <v/>
      </c>
    </row>
    <row r="22">
      <c r="A22" s="31" t="n">
        <v>45213</v>
      </c>
      <c r="B22" s="22" t="n"/>
      <c r="C22" s="33" t="n"/>
      <c r="D22" s="33">
        <f>D21-C22</f>
        <v/>
      </c>
    </row>
    <row r="23">
      <c r="A23" s="31" t="n">
        <v>45214</v>
      </c>
      <c r="B23" s="22" t="inlineStr">
        <is>
          <t>Belanja Makan</t>
        </is>
      </c>
      <c r="C23" s="33" t="n">
        <v>3355</v>
      </c>
      <c r="D23" s="33">
        <f>D22-C23</f>
        <v/>
      </c>
    </row>
    <row r="24">
      <c r="A24" s="31" t="n">
        <v>45215</v>
      </c>
      <c r="B24" s="22" t="inlineStr">
        <is>
          <t>Laundry</t>
        </is>
      </c>
      <c r="C24" s="33" t="n">
        <v>300</v>
      </c>
      <c r="D24" s="33">
        <f>D23-C24</f>
        <v/>
      </c>
    </row>
    <row r="25">
      <c r="B25" s="22" t="inlineStr">
        <is>
          <t>Makan</t>
        </is>
      </c>
      <c r="C25" s="33" t="n">
        <v>600</v>
      </c>
      <c r="D25" s="33">
        <f>D24-C25</f>
        <v/>
      </c>
    </row>
    <row r="26">
      <c r="A26" s="31" t="n">
        <v>45216</v>
      </c>
      <c r="B26" s="22" t="inlineStr">
        <is>
          <t>Makan</t>
        </is>
      </c>
      <c r="C26" s="33" t="n">
        <v>600</v>
      </c>
      <c r="D26" s="33">
        <f>D25-C26</f>
        <v/>
      </c>
    </row>
    <row r="27">
      <c r="A27" s="31" t="n">
        <v>45217</v>
      </c>
      <c r="B27" s="22" t="inlineStr">
        <is>
          <t>Makan</t>
        </is>
      </c>
      <c r="C27" s="33" t="n">
        <v>600</v>
      </c>
      <c r="D27" s="33">
        <f>D26-C27</f>
        <v/>
      </c>
    </row>
    <row r="28">
      <c r="A28" s="31" t="n">
        <v>45218</v>
      </c>
      <c r="B28" s="22" t="inlineStr">
        <is>
          <t>Makan</t>
        </is>
      </c>
      <c r="C28" s="33" t="n">
        <v>600</v>
      </c>
      <c r="D28" s="33">
        <f>D27-C28</f>
        <v/>
      </c>
    </row>
    <row r="29">
      <c r="B29" s="22" t="inlineStr">
        <is>
          <t xml:space="preserve">Belanja </t>
        </is>
      </c>
      <c r="C29" s="33">
        <f>3962-700-400+500</f>
        <v/>
      </c>
      <c r="D29" s="33">
        <f>D28-C29</f>
        <v/>
      </c>
    </row>
    <row r="30">
      <c r="A30" s="31" t="n">
        <v>45219</v>
      </c>
      <c r="B30" s="22" t="inlineStr">
        <is>
          <t>Beras</t>
        </is>
      </c>
      <c r="C30" s="33" t="n">
        <v>3096</v>
      </c>
      <c r="D30" s="33">
        <f>D29-C30</f>
        <v/>
      </c>
    </row>
    <row r="31">
      <c r="A31" s="31" t="n">
        <v>45220</v>
      </c>
      <c r="B31" s="22" t="inlineStr">
        <is>
          <t>Laundry</t>
        </is>
      </c>
      <c r="C31" s="33" t="n">
        <v>300</v>
      </c>
      <c r="D31" s="33">
        <f>D30-C31</f>
        <v/>
      </c>
    </row>
    <row r="32">
      <c r="A32" s="31" t="n">
        <v>45221</v>
      </c>
      <c r="B32" s="22" t="inlineStr">
        <is>
          <t>Belanja</t>
        </is>
      </c>
      <c r="C32" s="33">
        <f>5104+452+400+2083</f>
        <v/>
      </c>
      <c r="D32" s="33">
        <f>D31-C32</f>
        <v/>
      </c>
    </row>
    <row r="33">
      <c r="A33" s="31" t="n">
        <v>45222</v>
      </c>
      <c r="B33" s="22" t="inlineStr">
        <is>
          <t>Makan</t>
        </is>
      </c>
      <c r="C33" s="33" t="n">
        <v>480</v>
      </c>
      <c r="D33" s="33">
        <f>D32-C33</f>
        <v/>
      </c>
    </row>
    <row r="34">
      <c r="A34" s="31" t="n">
        <v>45223</v>
      </c>
      <c r="B34" s="22" t="inlineStr">
        <is>
          <t>Makan</t>
        </is>
      </c>
      <c r="C34" s="33" t="n">
        <v>600</v>
      </c>
      <c r="D34" s="33">
        <f>D33-C34</f>
        <v/>
      </c>
    </row>
    <row r="35">
      <c r="A35" s="31" t="n">
        <v>45224</v>
      </c>
      <c r="B35" s="22" t="inlineStr">
        <is>
          <t>Makan</t>
        </is>
      </c>
      <c r="C35" s="33" t="n">
        <v>600</v>
      </c>
      <c r="D35" s="33">
        <f>D34-C35</f>
        <v/>
      </c>
    </row>
    <row r="36">
      <c r="B36" s="22" t="inlineStr">
        <is>
          <t>Belanja</t>
        </is>
      </c>
      <c r="C36" s="33">
        <f>829+619</f>
        <v/>
      </c>
      <c r="D36" s="33">
        <f>D35-C36</f>
        <v/>
      </c>
    </row>
    <row r="37">
      <c r="A37" s="31" t="n">
        <v>45225</v>
      </c>
      <c r="B37" s="22" t="inlineStr">
        <is>
          <t>Belanja</t>
        </is>
      </c>
      <c r="C37" s="33" t="n">
        <v>820</v>
      </c>
      <c r="D37" s="33">
        <f>D36-C37</f>
        <v/>
      </c>
    </row>
    <row r="38">
      <c r="B38" s="21" t="inlineStr">
        <is>
          <t>Makan</t>
        </is>
      </c>
      <c r="C38" s="33" t="n">
        <v>500</v>
      </c>
      <c r="D38" s="33">
        <f>D37-C38</f>
        <v/>
      </c>
    </row>
    <row r="39">
      <c r="A39" s="31" t="n">
        <v>45226</v>
      </c>
      <c r="B39" s="22" t="inlineStr">
        <is>
          <t>Belanja</t>
        </is>
      </c>
      <c r="C39" s="33" t="n">
        <v>898</v>
      </c>
      <c r="D39" s="33">
        <f>D38-C39</f>
        <v/>
      </c>
    </row>
    <row r="40">
      <c r="A40" s="31" t="n"/>
      <c r="B40" s="22" t="inlineStr">
        <is>
          <t>Makan</t>
        </is>
      </c>
      <c r="C40" s="33" t="n">
        <v>480</v>
      </c>
      <c r="D40" s="33">
        <f>D39-C40</f>
        <v/>
      </c>
    </row>
    <row r="41">
      <c r="A41" s="31" t="n">
        <v>45227</v>
      </c>
      <c r="B41" s="22" t="inlineStr">
        <is>
          <t>Belanja</t>
        </is>
      </c>
      <c r="C41" s="33" t="n">
        <v>1844</v>
      </c>
      <c r="D41" s="33">
        <f>D40-C41</f>
        <v/>
      </c>
    </row>
    <row r="42">
      <c r="B42" s="22" t="inlineStr">
        <is>
          <t>Makan</t>
        </is>
      </c>
      <c r="C42" s="33" t="n">
        <v>480</v>
      </c>
      <c r="D42" s="33">
        <f>D41-C42</f>
        <v/>
      </c>
    </row>
    <row r="43">
      <c r="A43" s="31" t="n">
        <v>45228</v>
      </c>
      <c r="B43" s="22" t="inlineStr">
        <is>
          <t>Laundry</t>
        </is>
      </c>
      <c r="C43" s="33" t="n">
        <v>200</v>
      </c>
      <c r="D43" s="33">
        <f>D42-C43</f>
        <v/>
      </c>
    </row>
    <row r="44">
      <c r="A44" s="31" t="n">
        <v>45229</v>
      </c>
      <c r="B44" s="22" t="inlineStr">
        <is>
          <t>Makan</t>
        </is>
      </c>
      <c r="C44" s="33" t="n">
        <v>480</v>
      </c>
      <c r="D44" s="33">
        <f>D43-C44</f>
        <v/>
      </c>
    </row>
    <row r="45">
      <c r="A45" s="31" t="n">
        <v>45230</v>
      </c>
      <c r="B45" s="22" t="inlineStr">
        <is>
          <t>Makan</t>
        </is>
      </c>
      <c r="C45" s="33" t="n">
        <v>480</v>
      </c>
      <c r="D45" s="33">
        <f>D44-C45</f>
        <v/>
      </c>
    </row>
    <row r="46">
      <c r="A46" s="101" t="n"/>
      <c r="B46" s="48" t="inlineStr">
        <is>
          <t>Sisa</t>
        </is>
      </c>
      <c r="C46" s="34" t="n"/>
      <c r="D46" s="34">
        <f>D45-C46</f>
        <v/>
      </c>
    </row>
    <row r="47">
      <c r="A47" s="101" t="n"/>
      <c r="B47" s="48" t="inlineStr">
        <is>
          <t>Total</t>
        </is>
      </c>
      <c r="C47" s="34">
        <f>SUM(C4:C45)</f>
        <v/>
      </c>
      <c r="D47" s="34" t="n"/>
    </row>
  </sheetData>
  <mergeCells count="5">
    <mergeCell ref="A1:D1"/>
    <mergeCell ref="F9:I9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41"/>
  <sheetViews>
    <sheetView zoomScale="110" zoomScaleNormal="110" workbookViewId="0">
      <selection activeCell="G35" sqref="G35:G45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21" min="3" max="4"/>
    <col width="8.77734375" customWidth="1" style="19" min="5" max="5"/>
    <col width="4" customWidth="1" style="89" min="6" max="6"/>
    <col width="37.77734375" customWidth="1" style="21" min="7" max="7"/>
    <col width="17.33203125" customWidth="1" style="21" min="8" max="10"/>
    <col width="8.77734375" customWidth="1" style="19" min="11" max="11"/>
    <col width="11.33203125" bestFit="1" customWidth="1" style="19" min="12" max="12"/>
    <col width="8.77734375" customWidth="1" style="19" min="13" max="13"/>
    <col width="8.77734375" customWidth="1" style="19" min="14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F3" s="92" t="inlineStr">
        <is>
          <t>From Last Month</t>
        </is>
      </c>
      <c r="G3" s="90" t="n"/>
      <c r="H3" s="90" t="n"/>
      <c r="I3" s="91" t="n"/>
      <c r="J3" s="34">
        <f>'23-10'!J9</f>
        <v/>
      </c>
    </row>
    <row r="4">
      <c r="A4" s="31" t="n">
        <v>45231</v>
      </c>
      <c r="B4" s="32" t="inlineStr">
        <is>
          <t>Makan</t>
        </is>
      </c>
      <c r="C4" s="33" t="n">
        <v>500</v>
      </c>
      <c r="D4" s="33">
        <f>D3-C4</f>
        <v/>
      </c>
      <c r="F4" s="89" t="n">
        <v>1</v>
      </c>
      <c r="G4" s="21" t="inlineStr">
        <is>
          <t>Kalkulator</t>
        </is>
      </c>
      <c r="H4" s="33" t="n">
        <v>21510</v>
      </c>
      <c r="I4" s="33" t="n"/>
      <c r="J4" s="33">
        <f>J3-H4+I4</f>
        <v/>
      </c>
    </row>
    <row r="5">
      <c r="A5" s="31" t="n">
        <v>45232</v>
      </c>
      <c r="B5" s="32" t="inlineStr">
        <is>
          <t>Makan</t>
        </is>
      </c>
      <c r="C5" s="33" t="n">
        <v>500</v>
      </c>
      <c r="D5" s="33">
        <f>D4-C5</f>
        <v/>
      </c>
      <c r="F5" s="89" t="n">
        <v>2</v>
      </c>
      <c r="G5" s="21" t="inlineStr">
        <is>
          <t>Uang Bulanan</t>
        </is>
      </c>
      <c r="H5" s="33" t="n">
        <v>42987</v>
      </c>
      <c r="I5" s="33" t="n"/>
      <c r="J5" s="33">
        <f>J4-H5+I5</f>
        <v/>
      </c>
    </row>
    <row r="6">
      <c r="A6" s="31" t="n">
        <v>45233</v>
      </c>
      <c r="B6" s="22" t="inlineStr">
        <is>
          <t>Makan</t>
        </is>
      </c>
      <c r="C6" s="33" t="n">
        <v>500</v>
      </c>
      <c r="D6" s="33">
        <f>D5-C6</f>
        <v/>
      </c>
      <c r="F6" s="89" t="n">
        <v>3</v>
      </c>
      <c r="G6" s="21" t="inlineStr">
        <is>
          <t>Rent</t>
        </is>
      </c>
      <c r="H6" s="33" t="n">
        <v>43736</v>
      </c>
      <c r="I6" s="33" t="n"/>
      <c r="J6" s="33">
        <f>J5-H6+I6</f>
        <v/>
      </c>
    </row>
    <row r="7">
      <c r="B7" s="22" t="inlineStr">
        <is>
          <t>Belanja</t>
        </is>
      </c>
      <c r="C7" s="33">
        <f>4387+793</f>
        <v/>
      </c>
      <c r="D7" s="33">
        <f>D6-C7</f>
        <v/>
      </c>
      <c r="F7" s="89" t="n">
        <v>4</v>
      </c>
      <c r="H7" s="33" t="n"/>
      <c r="I7" s="33" t="n"/>
      <c r="J7" s="33">
        <f>J6-H7+I7</f>
        <v/>
      </c>
    </row>
    <row r="8">
      <c r="A8" s="31" t="n">
        <v>45234</v>
      </c>
      <c r="B8" s="22" t="n"/>
      <c r="C8" s="33" t="n"/>
      <c r="D8" s="33">
        <f>D7-C8</f>
        <v/>
      </c>
      <c r="F8" s="94" t="inlineStr">
        <is>
          <t>Sisa</t>
        </is>
      </c>
      <c r="G8" s="90" t="n"/>
      <c r="H8" s="90" t="n"/>
      <c r="I8" s="91" t="n"/>
      <c r="J8" s="37">
        <f>J7-H8+I8</f>
        <v/>
      </c>
    </row>
    <row r="9">
      <c r="A9" s="31" t="n">
        <v>45235</v>
      </c>
      <c r="B9" s="22" t="n"/>
      <c r="C9" s="33" t="n"/>
      <c r="D9" s="33">
        <f>D8-C9</f>
        <v/>
      </c>
      <c r="F9" s="49" t="n"/>
      <c r="G9" s="50" t="n"/>
      <c r="H9" s="51" t="n"/>
      <c r="I9" s="51" t="n"/>
      <c r="J9" s="51" t="n"/>
    </row>
    <row r="10">
      <c r="A10" s="31" t="n">
        <v>45236</v>
      </c>
      <c r="B10" s="22" t="inlineStr">
        <is>
          <t>Makan</t>
        </is>
      </c>
      <c r="C10" s="33" t="n">
        <v>450</v>
      </c>
      <c r="D10" s="33">
        <f>D9-C10</f>
        <v/>
      </c>
      <c r="H10" s="33" t="n"/>
      <c r="I10" s="33" t="n"/>
      <c r="J10" s="33" t="n"/>
    </row>
    <row r="11">
      <c r="A11" s="31" t="n">
        <v>45237</v>
      </c>
      <c r="B11" s="22" t="inlineStr">
        <is>
          <t>Belanja</t>
        </is>
      </c>
      <c r="C11" s="33" t="n">
        <v>4830</v>
      </c>
      <c r="D11" s="33">
        <f>D10-C11</f>
        <v/>
      </c>
      <c r="H11" s="33" t="n"/>
      <c r="I11" s="33" t="n"/>
      <c r="J11" s="33" t="n"/>
    </row>
    <row r="12">
      <c r="A12" s="31" t="n">
        <v>45238</v>
      </c>
      <c r="B12" s="22" t="inlineStr">
        <is>
          <t>Makan</t>
        </is>
      </c>
      <c r="C12" s="33" t="n">
        <v>500</v>
      </c>
      <c r="D12" s="33">
        <f>D11-C12</f>
        <v/>
      </c>
      <c r="H12" s="33" t="n"/>
      <c r="I12" s="33" t="n"/>
      <c r="J12" s="33" t="n"/>
    </row>
    <row r="13">
      <c r="A13" s="31" t="n">
        <v>45239</v>
      </c>
      <c r="B13" s="22" t="inlineStr">
        <is>
          <t>Makan</t>
        </is>
      </c>
      <c r="C13" s="33" t="n">
        <v>500</v>
      </c>
      <c r="D13" s="33">
        <f>D12-C13</f>
        <v/>
      </c>
      <c r="H13" s="33" t="n"/>
      <c r="I13" s="33" t="n"/>
      <c r="J13" s="33" t="n"/>
    </row>
    <row r="14">
      <c r="A14" s="31" t="n">
        <v>45240</v>
      </c>
      <c r="B14" s="22" t="inlineStr">
        <is>
          <t>Makan</t>
        </is>
      </c>
      <c r="C14" s="33" t="n">
        <v>500</v>
      </c>
      <c r="D14" s="33">
        <f>D13-C14</f>
        <v/>
      </c>
      <c r="H14" s="33" t="n"/>
      <c r="I14" s="33" t="n"/>
      <c r="J14" s="33" t="n"/>
    </row>
    <row r="15">
      <c r="A15" s="31" t="n">
        <v>45241</v>
      </c>
      <c r="B15" s="22" t="inlineStr">
        <is>
          <t>Belanja</t>
        </is>
      </c>
      <c r="C15" s="33" t="n">
        <v>3469</v>
      </c>
      <c r="D15" s="33">
        <f>D14-C15</f>
        <v/>
      </c>
      <c r="H15" s="33" t="n"/>
      <c r="I15" s="33" t="n"/>
      <c r="J15" s="33" t="n"/>
    </row>
    <row r="16">
      <c r="B16" s="22" t="inlineStr">
        <is>
          <t>Laundry</t>
        </is>
      </c>
      <c r="C16" s="33" t="n">
        <v>200</v>
      </c>
      <c r="D16" s="33">
        <f>D15-C16</f>
        <v/>
      </c>
      <c r="H16" s="33" t="n"/>
      <c r="I16" s="33" t="n"/>
      <c r="J16" s="33" t="n"/>
      <c r="L16" s="57">
        <f>J6-SUM(C4:C21)</f>
        <v/>
      </c>
    </row>
    <row r="17">
      <c r="A17" s="31" t="n">
        <v>45242</v>
      </c>
      <c r="B17" s="22" t="n"/>
      <c r="C17" s="33" t="n"/>
      <c r="D17" s="33">
        <f>D16-C17</f>
        <v/>
      </c>
    </row>
    <row r="18">
      <c r="A18" s="31" t="n">
        <v>45243</v>
      </c>
      <c r="B18" s="22" t="inlineStr">
        <is>
          <t>Makan</t>
        </is>
      </c>
      <c r="C18" s="33" t="n">
        <v>500</v>
      </c>
      <c r="D18" s="33">
        <f>D17-C18</f>
        <v/>
      </c>
    </row>
    <row r="19">
      <c r="A19" s="31" t="n">
        <v>45244</v>
      </c>
      <c r="B19" s="22" t="inlineStr">
        <is>
          <t>Makan</t>
        </is>
      </c>
      <c r="C19" s="33" t="n">
        <v>500</v>
      </c>
      <c r="D19" s="33">
        <f>D18-C19</f>
        <v/>
      </c>
    </row>
    <row r="20">
      <c r="A20" s="31" t="n">
        <v>45245</v>
      </c>
      <c r="B20" s="22" t="inlineStr">
        <is>
          <t>Belanja</t>
        </is>
      </c>
      <c r="C20" s="33" t="n">
        <v>1220</v>
      </c>
      <c r="D20" s="33">
        <f>D19-C20</f>
        <v/>
      </c>
    </row>
    <row r="21">
      <c r="A21" s="31" t="n">
        <v>45246</v>
      </c>
      <c r="B21" s="22" t="inlineStr">
        <is>
          <t>Belanja</t>
        </is>
      </c>
      <c r="C21" s="33">
        <f>780+2847</f>
        <v/>
      </c>
      <c r="D21" s="33">
        <f>D20-C21</f>
        <v/>
      </c>
    </row>
    <row r="22">
      <c r="A22" s="31" t="n">
        <v>45247</v>
      </c>
      <c r="B22" s="22" t="n"/>
      <c r="C22" s="33" t="n"/>
      <c r="D22" s="33">
        <f>D21-C22</f>
        <v/>
      </c>
    </row>
    <row r="23">
      <c r="A23" s="31" t="n">
        <v>45248</v>
      </c>
      <c r="B23" s="22" t="inlineStr">
        <is>
          <t>Belanja</t>
        </is>
      </c>
      <c r="C23" s="33">
        <f>3175+459</f>
        <v/>
      </c>
      <c r="D23" s="33">
        <f>D22-C23</f>
        <v/>
      </c>
    </row>
    <row r="24">
      <c r="A24" s="31" t="n">
        <v>45249</v>
      </c>
      <c r="B24" s="22" t="inlineStr">
        <is>
          <t>Laundry</t>
        </is>
      </c>
      <c r="C24" s="33" t="n">
        <v>400</v>
      </c>
      <c r="D24" s="33">
        <f>D23-C24</f>
        <v/>
      </c>
    </row>
    <row r="25">
      <c r="A25" s="31" t="n">
        <v>45250</v>
      </c>
      <c r="B25" s="22" t="n"/>
      <c r="C25" s="33" t="n"/>
      <c r="D25" s="33">
        <f>D24-C25</f>
        <v/>
      </c>
    </row>
    <row r="26">
      <c r="A26" s="31" t="n">
        <v>45251</v>
      </c>
      <c r="B26" s="22" t="inlineStr">
        <is>
          <t>Makan</t>
        </is>
      </c>
      <c r="C26" s="33" t="n">
        <v>650</v>
      </c>
      <c r="D26" s="33">
        <f>D25-C26</f>
        <v/>
      </c>
    </row>
    <row r="27">
      <c r="A27" s="31" t="n">
        <v>45252</v>
      </c>
      <c r="B27" s="22" t="inlineStr">
        <is>
          <t>Makan</t>
        </is>
      </c>
      <c r="C27" s="33" t="n">
        <v>650</v>
      </c>
      <c r="D27" s="33">
        <f>D26-C27</f>
        <v/>
      </c>
    </row>
    <row r="28">
      <c r="A28" s="31" t="n">
        <v>45253</v>
      </c>
      <c r="B28" s="22" t="inlineStr">
        <is>
          <t>Makan</t>
        </is>
      </c>
      <c r="C28" s="33" t="n">
        <v>650</v>
      </c>
      <c r="D28" s="33">
        <f>D27-C28</f>
        <v/>
      </c>
    </row>
    <row r="29">
      <c r="B29" s="21" t="inlineStr">
        <is>
          <t>Belanja</t>
        </is>
      </c>
      <c r="C29" s="33">
        <f>907+340+340</f>
        <v/>
      </c>
      <c r="D29" s="33">
        <f>D28-C29</f>
        <v/>
      </c>
    </row>
    <row r="30">
      <c r="A30" s="31" t="n">
        <v>45254</v>
      </c>
      <c r="B30" s="22" t="inlineStr">
        <is>
          <t>Makan</t>
        </is>
      </c>
      <c r="C30" s="33" t="n">
        <v>650</v>
      </c>
      <c r="D30" s="33">
        <f>D29-C30</f>
        <v/>
      </c>
    </row>
    <row r="31">
      <c r="B31" s="22" t="inlineStr">
        <is>
          <t>Laundry</t>
        </is>
      </c>
      <c r="C31" s="33" t="n"/>
      <c r="D31" s="33">
        <f>D30-C31</f>
        <v/>
      </c>
    </row>
    <row r="32">
      <c r="A32" s="31" t="n">
        <v>45255</v>
      </c>
      <c r="B32" s="22" t="n"/>
      <c r="C32" s="33" t="n"/>
      <c r="D32" s="33">
        <f>D31-C32</f>
        <v/>
      </c>
    </row>
    <row r="33">
      <c r="A33" s="31" t="n">
        <v>45256</v>
      </c>
      <c r="B33" s="22" t="inlineStr">
        <is>
          <t>Belanja</t>
        </is>
      </c>
      <c r="C33" s="33" t="n">
        <v>4131</v>
      </c>
      <c r="D33" s="33">
        <f>D32-C33</f>
        <v/>
      </c>
    </row>
    <row r="34">
      <c r="A34" s="31" t="n">
        <v>45257</v>
      </c>
      <c r="B34" s="22" t="inlineStr">
        <is>
          <t>Makan</t>
        </is>
      </c>
      <c r="C34" s="33" t="n">
        <v>500</v>
      </c>
      <c r="D34" s="33">
        <f>D33-C34</f>
        <v/>
      </c>
    </row>
    <row r="35">
      <c r="A35" s="31" t="n">
        <v>45258</v>
      </c>
      <c r="B35" s="22" t="inlineStr">
        <is>
          <t>Makan</t>
        </is>
      </c>
      <c r="C35" s="33" t="n">
        <v>640</v>
      </c>
      <c r="D35" s="33">
        <f>D34-C35</f>
        <v/>
      </c>
    </row>
    <row r="36">
      <c r="A36" s="31" t="n">
        <v>45259</v>
      </c>
      <c r="B36" s="22" t="inlineStr">
        <is>
          <t>Makan</t>
        </is>
      </c>
      <c r="C36" s="33" t="n">
        <v>560</v>
      </c>
      <c r="D36" s="33">
        <f>D35-C36</f>
        <v/>
      </c>
    </row>
    <row r="37">
      <c r="B37" s="22" t="inlineStr">
        <is>
          <t>Belanja</t>
        </is>
      </c>
      <c r="C37" s="33" t="n">
        <v>977</v>
      </c>
      <c r="D37" s="33">
        <f>D36-C37</f>
        <v/>
      </c>
    </row>
    <row r="38">
      <c r="A38" s="31" t="n">
        <v>45260</v>
      </c>
      <c r="B38" s="22" t="inlineStr">
        <is>
          <t>Beras</t>
        </is>
      </c>
      <c r="C38" s="33" t="n">
        <v>2561</v>
      </c>
      <c r="D38" s="33">
        <f>D37-C38</f>
        <v/>
      </c>
    </row>
    <row r="39">
      <c r="A39" s="31" t="n"/>
      <c r="B39" s="21" t="inlineStr">
        <is>
          <t>SIM</t>
        </is>
      </c>
      <c r="C39" s="33" t="n">
        <v>2421</v>
      </c>
      <c r="D39" s="33">
        <f>D38-C39</f>
        <v/>
      </c>
    </row>
    <row r="40">
      <c r="A40" s="101" t="n"/>
      <c r="B40" s="48" t="inlineStr">
        <is>
          <t>Sisa</t>
        </is>
      </c>
      <c r="C40" s="34" t="n"/>
      <c r="D40" s="34">
        <f>D39-C40</f>
        <v/>
      </c>
    </row>
    <row r="41">
      <c r="A41" s="101" t="n"/>
      <c r="B41" s="48" t="inlineStr">
        <is>
          <t>Total</t>
        </is>
      </c>
      <c r="C41" s="34">
        <f>SUM(C4:C39)</f>
        <v/>
      </c>
      <c r="D41" s="34" t="n"/>
    </row>
  </sheetData>
  <mergeCells count="5">
    <mergeCell ref="A1:D1"/>
    <mergeCell ref="F8:I8"/>
    <mergeCell ref="F3:I3"/>
    <mergeCell ref="A3:C3"/>
    <mergeCell ref="F1:J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42"/>
  <sheetViews>
    <sheetView zoomScale="110" zoomScaleNormal="110" workbookViewId="0">
      <selection activeCell="G39" sqref="G39"/>
    </sheetView>
  </sheetViews>
  <sheetFormatPr baseColWidth="8" defaultColWidth="8.77734375" defaultRowHeight="13.2"/>
  <cols>
    <col width="12.77734375" customWidth="1" style="89" min="1" max="1"/>
    <col width="30.109375" customWidth="1" style="21" min="2" max="2"/>
    <col width="17.33203125" customWidth="1" style="21" min="3" max="4"/>
    <col width="10" bestFit="1" customWidth="1" style="19" min="5" max="5"/>
    <col width="4" customWidth="1" style="89" min="6" max="6"/>
    <col width="37.77734375" customWidth="1" style="21" min="7" max="7"/>
    <col width="17.33203125" customWidth="1" style="21" min="8" max="8"/>
    <col width="17.33203125" customWidth="1" style="54" min="9" max="9"/>
    <col width="17.33203125" customWidth="1" style="21" min="10" max="10"/>
    <col width="8.77734375" customWidth="1" style="19" min="11" max="11"/>
    <col width="8.77734375" customWidth="1" style="19" min="12" max="16384"/>
  </cols>
  <sheetData>
    <row r="1">
      <c r="A1" s="89" t="inlineStr">
        <is>
          <t>Variable Expenses</t>
        </is>
      </c>
      <c r="B1" s="90" t="n"/>
      <c r="C1" s="90" t="n"/>
      <c r="D1" s="91" t="n"/>
      <c r="F1" s="89" t="inlineStr">
        <is>
          <t>Fixed Expenses &amp; Input</t>
        </is>
      </c>
      <c r="G1" s="90" t="n"/>
      <c r="H1" s="90" t="n"/>
      <c r="I1" s="90" t="n"/>
      <c r="J1" s="91" t="n"/>
    </row>
    <row r="2">
      <c r="A2" s="89" t="inlineStr">
        <is>
          <t>Date</t>
        </is>
      </c>
      <c r="B2" s="89" t="inlineStr">
        <is>
          <t>Name</t>
        </is>
      </c>
      <c r="C2" s="89" t="inlineStr">
        <is>
          <t>Output</t>
        </is>
      </c>
      <c r="D2" s="89" t="inlineStr">
        <is>
          <t>Budget Left</t>
        </is>
      </c>
      <c r="F2" s="89" t="inlineStr">
        <is>
          <t>No</t>
        </is>
      </c>
      <c r="G2" s="89" t="inlineStr">
        <is>
          <t>Name</t>
        </is>
      </c>
      <c r="H2" s="89" t="inlineStr">
        <is>
          <t>Output</t>
        </is>
      </c>
      <c r="I2" s="89" t="inlineStr">
        <is>
          <t>Input</t>
        </is>
      </c>
      <c r="J2" s="89" t="inlineStr">
        <is>
          <t>Total Remainings</t>
        </is>
      </c>
    </row>
    <row r="3">
      <c r="A3" s="92" t="inlineStr">
        <is>
          <t>Monthly Budget</t>
        </is>
      </c>
      <c r="B3" s="90" t="n"/>
      <c r="C3" s="91" t="n"/>
      <c r="D3" s="34" t="n">
        <v>55000</v>
      </c>
      <c r="E3" s="57" t="n"/>
      <c r="F3" s="92" t="inlineStr">
        <is>
          <t>From Last Month</t>
        </is>
      </c>
      <c r="G3" s="90" t="n"/>
      <c r="H3" s="90" t="n"/>
      <c r="I3" s="91" t="n"/>
      <c r="J3" s="34" t="n">
        <v>822000</v>
      </c>
    </row>
    <row r="4">
      <c r="A4" s="31" t="n">
        <v>45261</v>
      </c>
      <c r="B4" s="32" t="inlineStr">
        <is>
          <t>Makan</t>
        </is>
      </c>
      <c r="C4" s="33">
        <f>190+170+450</f>
        <v/>
      </c>
      <c r="D4" s="33">
        <f>D3-C4</f>
        <v/>
      </c>
      <c r="F4" s="89" t="n">
        <v>1</v>
      </c>
      <c r="G4" s="21" t="inlineStr">
        <is>
          <t>Jaket</t>
        </is>
      </c>
      <c r="H4" s="33" t="n">
        <v>10000</v>
      </c>
      <c r="I4" s="53" t="n"/>
      <c r="J4" s="33">
        <f>J3-H4+I4</f>
        <v/>
      </c>
    </row>
    <row r="5">
      <c r="B5" s="32" t="inlineStr">
        <is>
          <t>Laundry</t>
        </is>
      </c>
      <c r="C5" s="33" t="n">
        <v>500</v>
      </c>
      <c r="D5" s="33">
        <f>D4-C5</f>
        <v/>
      </c>
      <c r="F5" s="89" t="n">
        <v>2</v>
      </c>
      <c r="G5" s="21" t="inlineStr">
        <is>
          <t xml:space="preserve">Jaket </t>
        </is>
      </c>
      <c r="H5" s="33" t="n">
        <v>4400</v>
      </c>
      <c r="I5" s="53" t="n"/>
      <c r="J5" s="33">
        <f>J4-H5+I5</f>
        <v/>
      </c>
    </row>
    <row r="6">
      <c r="A6" s="31" t="n">
        <v>45262</v>
      </c>
      <c r="B6" s="22" t="inlineStr">
        <is>
          <t>Belanja</t>
        </is>
      </c>
      <c r="C6" s="33" t="n">
        <v>4483</v>
      </c>
      <c r="D6" s="33">
        <f>D5-C6</f>
        <v/>
      </c>
      <c r="F6" s="89" t="n">
        <v>3</v>
      </c>
      <c r="G6" s="21" t="inlineStr">
        <is>
          <t>Transfer Pa2</t>
        </is>
      </c>
      <c r="H6" s="33" t="n"/>
      <c r="I6" s="53" t="n">
        <v>700000</v>
      </c>
      <c r="J6" s="33">
        <f>J5-H6+I6</f>
        <v/>
      </c>
    </row>
    <row r="7">
      <c r="A7" s="31" t="n">
        <v>45263</v>
      </c>
      <c r="B7" s="22" t="inlineStr">
        <is>
          <t>Belanja</t>
        </is>
      </c>
      <c r="C7" s="33" t="n">
        <v>1660</v>
      </c>
      <c r="D7" s="33">
        <f>D6-C7</f>
        <v/>
      </c>
      <c r="F7" s="89" t="n">
        <v>4</v>
      </c>
      <c r="G7" s="21" t="inlineStr">
        <is>
          <t>Blender</t>
        </is>
      </c>
      <c r="H7" s="33" t="n">
        <v>8718</v>
      </c>
      <c r="I7" s="53" t="n"/>
      <c r="J7" s="33">
        <f>J6-H7+I7</f>
        <v/>
      </c>
    </row>
    <row r="8">
      <c r="A8" s="31" t="n">
        <v>45264</v>
      </c>
      <c r="B8" s="22" t="inlineStr">
        <is>
          <t>Makan</t>
        </is>
      </c>
      <c r="C8" s="33" t="n">
        <v>400</v>
      </c>
      <c r="D8" s="33">
        <f>D7-C8</f>
        <v/>
      </c>
      <c r="F8" s="89" t="n">
        <v>5</v>
      </c>
      <c r="G8" s="21" t="inlineStr">
        <is>
          <t>Sepatu</t>
        </is>
      </c>
      <c r="H8" s="33" t="n">
        <v>7878</v>
      </c>
      <c r="I8" s="53" t="n"/>
      <c r="J8" s="33">
        <f>J7-H8+I8</f>
        <v/>
      </c>
    </row>
    <row r="9">
      <c r="A9" s="31" t="n">
        <v>45265</v>
      </c>
      <c r="B9" s="22" t="n"/>
      <c r="C9" s="33" t="n"/>
      <c r="D9" s="33">
        <f>D8-C9</f>
        <v/>
      </c>
      <c r="F9" s="89" t="n">
        <v>6</v>
      </c>
      <c r="G9" s="21" t="inlineStr">
        <is>
          <t>Rent Dorm</t>
        </is>
      </c>
      <c r="H9" s="33">
        <f>43826+440</f>
        <v/>
      </c>
      <c r="I9" s="53" t="n"/>
      <c r="J9" s="33">
        <f>J8-H9+I9</f>
        <v/>
      </c>
    </row>
    <row r="10">
      <c r="A10" s="31" t="n">
        <v>45266</v>
      </c>
      <c r="B10" s="22" t="inlineStr">
        <is>
          <t>Makan</t>
        </is>
      </c>
      <c r="C10" s="33" t="n">
        <v>650</v>
      </c>
      <c r="D10" s="33">
        <f>D9-C10</f>
        <v/>
      </c>
      <c r="F10" s="89" t="n">
        <v>7</v>
      </c>
      <c r="G10" s="21" t="inlineStr">
        <is>
          <t>Transfer Kontrak Apartement Osaka</t>
        </is>
      </c>
      <c r="H10" s="33" t="n">
        <v>205700</v>
      </c>
      <c r="I10" s="53" t="n"/>
      <c r="J10" s="33">
        <f>J9-H10+I10</f>
        <v/>
      </c>
    </row>
    <row r="11">
      <c r="A11" s="31" t="n">
        <v>45267</v>
      </c>
      <c r="B11" s="22" t="inlineStr">
        <is>
          <t>Makan</t>
        </is>
      </c>
      <c r="C11" s="33" t="n">
        <v>440</v>
      </c>
      <c r="D11" s="33">
        <f>D10-C11</f>
        <v/>
      </c>
      <c r="F11" s="89" t="n">
        <v>8</v>
      </c>
      <c r="G11" s="21" t="inlineStr">
        <is>
          <t>Biaya Bulanan</t>
        </is>
      </c>
      <c r="H11" s="33" t="n">
        <v>55000</v>
      </c>
      <c r="I11" s="53" t="n"/>
      <c r="J11" s="33">
        <f>J10-H11+I11</f>
        <v/>
      </c>
    </row>
    <row r="12">
      <c r="B12" s="22" t="inlineStr">
        <is>
          <t>Belanja</t>
        </is>
      </c>
      <c r="C12" s="33" t="n">
        <v>2015</v>
      </c>
      <c r="D12" s="33">
        <f>D11-C12</f>
        <v/>
      </c>
      <c r="F12" s="94" t="inlineStr">
        <is>
          <t>Sisa</t>
        </is>
      </c>
      <c r="G12" s="90" t="n"/>
      <c r="H12" s="90" t="n"/>
      <c r="I12" s="91" t="n"/>
      <c r="J12" s="37">
        <f>J11-H12+I12</f>
        <v/>
      </c>
    </row>
    <row r="13">
      <c r="A13" s="31" t="n">
        <v>45268</v>
      </c>
      <c r="B13" s="22" t="inlineStr">
        <is>
          <t>Makan</t>
        </is>
      </c>
      <c r="C13" s="33" t="n">
        <v>500</v>
      </c>
      <c r="D13" s="33">
        <f>D12-C13</f>
        <v/>
      </c>
      <c r="F13" s="49" t="n"/>
      <c r="G13" s="50" t="n"/>
      <c r="H13" s="51" t="n"/>
      <c r="I13" s="51" t="n"/>
      <c r="J13" s="51" t="n"/>
    </row>
    <row r="14">
      <c r="A14" s="31" t="n"/>
      <c r="B14" s="22" t="inlineStr">
        <is>
          <t>Belanja</t>
        </is>
      </c>
      <c r="C14" s="33" t="n">
        <v>1521</v>
      </c>
      <c r="D14" s="33">
        <f>D13-C14</f>
        <v/>
      </c>
      <c r="H14" s="33" t="n"/>
      <c r="I14" s="53" t="n"/>
      <c r="J14" s="33" t="n"/>
    </row>
    <row r="15">
      <c r="A15" s="31" t="n">
        <v>45269</v>
      </c>
      <c r="B15" s="22" t="inlineStr">
        <is>
          <t>Belanja</t>
        </is>
      </c>
      <c r="C15" s="33">
        <f>2820+700</f>
        <v/>
      </c>
      <c r="D15" s="33">
        <f>D14-C15</f>
        <v/>
      </c>
      <c r="H15" s="33" t="n"/>
      <c r="I15" s="53" t="n"/>
      <c r="J15" s="33" t="n"/>
    </row>
    <row r="16">
      <c r="A16" s="31" t="n">
        <v>45270</v>
      </c>
      <c r="B16" s="22" t="n"/>
      <c r="C16" s="33" t="n"/>
      <c r="D16" s="33">
        <f>D15-C16</f>
        <v/>
      </c>
      <c r="H16" s="33" t="n"/>
      <c r="I16" s="53" t="n"/>
      <c r="J16" s="33" t="n"/>
    </row>
    <row r="17">
      <c r="A17" s="31" t="n">
        <v>45271</v>
      </c>
      <c r="B17" s="22" t="inlineStr">
        <is>
          <t>Belanja</t>
        </is>
      </c>
      <c r="C17" s="33" t="n">
        <v>2515</v>
      </c>
      <c r="D17" s="33">
        <f>D16-C17</f>
        <v/>
      </c>
    </row>
    <row r="18">
      <c r="B18" s="22" t="inlineStr">
        <is>
          <t>Makan</t>
        </is>
      </c>
      <c r="C18" s="33" t="n">
        <v>460</v>
      </c>
      <c r="D18" s="33">
        <f>D17-C18</f>
        <v/>
      </c>
    </row>
    <row r="19">
      <c r="A19" s="31" t="n">
        <v>45272</v>
      </c>
      <c r="B19" s="22" t="inlineStr">
        <is>
          <t>Belanja</t>
        </is>
      </c>
      <c r="C19" s="33" t="n">
        <v>2317</v>
      </c>
      <c r="D19" s="33">
        <f>D18-C19</f>
        <v/>
      </c>
    </row>
    <row r="20">
      <c r="A20" s="31" t="n">
        <v>45273</v>
      </c>
      <c r="B20" s="22" t="inlineStr">
        <is>
          <t>Makan</t>
        </is>
      </c>
      <c r="C20" s="33" t="n">
        <v>600</v>
      </c>
      <c r="D20" s="33">
        <f>D19-C20</f>
        <v/>
      </c>
    </row>
    <row r="21">
      <c r="A21" s="31" t="n">
        <v>45274</v>
      </c>
      <c r="B21" s="22" t="inlineStr">
        <is>
          <t>Belanja</t>
        </is>
      </c>
      <c r="C21" s="33">
        <f>1652+349</f>
        <v/>
      </c>
      <c r="D21" s="33">
        <f>D20-C21</f>
        <v/>
      </c>
    </row>
    <row r="22">
      <c r="A22" s="31" t="n">
        <v>45275</v>
      </c>
      <c r="B22" s="22" t="inlineStr">
        <is>
          <t>Laundry</t>
        </is>
      </c>
      <c r="C22" s="33" t="n">
        <v>100</v>
      </c>
      <c r="D22" s="33">
        <f>D21-C22</f>
        <v/>
      </c>
    </row>
    <row r="23">
      <c r="A23" s="31" t="n">
        <v>45276</v>
      </c>
      <c r="B23" s="22" t="inlineStr">
        <is>
          <t>Belanja</t>
        </is>
      </c>
      <c r="C23" s="33">
        <f>2200+2347</f>
        <v/>
      </c>
      <c r="D23" s="33">
        <f>D22-C23</f>
        <v/>
      </c>
    </row>
    <row r="24">
      <c r="A24" s="31" t="n">
        <v>45277</v>
      </c>
      <c r="B24" s="22" t="inlineStr">
        <is>
          <t>Laundry</t>
        </is>
      </c>
      <c r="C24" s="33" t="n">
        <v>300</v>
      </c>
      <c r="D24" s="33">
        <f>D23-C24</f>
        <v/>
      </c>
    </row>
    <row r="25">
      <c r="A25" s="31" t="n">
        <v>45278</v>
      </c>
      <c r="B25" s="22" t="n"/>
      <c r="C25" s="33" t="n"/>
      <c r="D25" s="33">
        <f>D24-C25</f>
        <v/>
      </c>
    </row>
    <row r="26">
      <c r="A26" s="31" t="n">
        <v>45279</v>
      </c>
      <c r="B26" s="22" t="inlineStr">
        <is>
          <t>Laundry</t>
        </is>
      </c>
      <c r="C26" s="33" t="n">
        <v>200</v>
      </c>
      <c r="D26" s="33">
        <f>D25-C26</f>
        <v/>
      </c>
    </row>
    <row r="27">
      <c r="A27" s="31" t="n">
        <v>45280</v>
      </c>
      <c r="B27" s="22" t="inlineStr">
        <is>
          <t>Belanja</t>
        </is>
      </c>
      <c r="C27" s="33" t="n">
        <v>4200</v>
      </c>
      <c r="D27" s="33">
        <f>D26-C27</f>
        <v/>
      </c>
    </row>
    <row r="28">
      <c r="A28" s="31" t="n">
        <v>45281</v>
      </c>
      <c r="B28" s="22" t="inlineStr">
        <is>
          <t>Makan</t>
        </is>
      </c>
      <c r="C28" s="33" t="n">
        <v>600</v>
      </c>
      <c r="D28" s="33">
        <f>D27-C28</f>
        <v/>
      </c>
    </row>
    <row r="29">
      <c r="A29" s="31" t="n">
        <v>45282</v>
      </c>
      <c r="B29" s="22" t="inlineStr">
        <is>
          <t>Belanja</t>
        </is>
      </c>
      <c r="C29" s="33">
        <f>2300+791</f>
        <v/>
      </c>
      <c r="D29" s="33">
        <f>D28-C29</f>
        <v/>
      </c>
    </row>
    <row r="30">
      <c r="A30" s="31" t="n">
        <v>45283</v>
      </c>
      <c r="B30" s="22" t="inlineStr">
        <is>
          <t>Belanja</t>
        </is>
      </c>
      <c r="C30" s="33" t="n">
        <v>2481</v>
      </c>
      <c r="D30" s="33">
        <f>D29-C30</f>
        <v/>
      </c>
    </row>
    <row r="31">
      <c r="B31" s="22" t="inlineStr">
        <is>
          <t>Belanja</t>
        </is>
      </c>
      <c r="C31" s="33">
        <f>2520+1000</f>
        <v/>
      </c>
      <c r="D31" s="33">
        <f>D30-C31</f>
        <v/>
      </c>
    </row>
    <row r="32">
      <c r="B32" s="22" t="inlineStr">
        <is>
          <t>Belanja</t>
        </is>
      </c>
      <c r="C32" s="33" t="n">
        <v>4864</v>
      </c>
      <c r="D32" s="33">
        <f>D31-C32</f>
        <v/>
      </c>
    </row>
    <row r="33">
      <c r="A33" s="31" t="n">
        <v>45284</v>
      </c>
      <c r="B33" s="21" t="inlineStr">
        <is>
          <t>SIM</t>
        </is>
      </c>
      <c r="C33" s="33" t="n">
        <v>2200</v>
      </c>
      <c r="D33" s="33">
        <f>D32-C33</f>
        <v/>
      </c>
    </row>
    <row r="34">
      <c r="A34" s="31" t="n">
        <v>45285</v>
      </c>
      <c r="B34" s="22" t="n"/>
      <c r="C34" s="33" t="n"/>
      <c r="D34" s="33">
        <f>D33-C34</f>
        <v/>
      </c>
    </row>
    <row r="35">
      <c r="A35" s="31" t="n">
        <v>45286</v>
      </c>
      <c r="B35" s="22" t="inlineStr">
        <is>
          <t>Belanja</t>
        </is>
      </c>
      <c r="C35" s="33" t="n">
        <v>1300</v>
      </c>
      <c r="D35" s="33">
        <f>D34-C35</f>
        <v/>
      </c>
    </row>
    <row r="36">
      <c r="A36" s="31" t="n">
        <v>45287</v>
      </c>
      <c r="B36" s="22" t="inlineStr">
        <is>
          <t>Laundry</t>
        </is>
      </c>
      <c r="C36" s="33" t="n">
        <v>300</v>
      </c>
      <c r="D36" s="33">
        <f>D35-C36</f>
        <v/>
      </c>
    </row>
    <row r="37">
      <c r="A37" s="31" t="n">
        <v>45288</v>
      </c>
      <c r="B37" s="22" t="n"/>
      <c r="C37" s="33" t="n"/>
      <c r="D37" s="33">
        <f>D36-C37</f>
        <v/>
      </c>
    </row>
    <row r="38">
      <c r="A38" s="31" t="n">
        <v>45289</v>
      </c>
      <c r="B38" s="22" t="inlineStr">
        <is>
          <t>Belanja</t>
        </is>
      </c>
      <c r="C38" s="33" t="n">
        <v>460</v>
      </c>
      <c r="D38" s="33">
        <f>D37-C38</f>
        <v/>
      </c>
      <c r="G38" s="74">
        <f>C42-C38-C36-C24-C26-C5</f>
        <v/>
      </c>
    </row>
    <row r="39">
      <c r="A39" s="31" t="n">
        <v>45290</v>
      </c>
      <c r="B39" s="22" t="n"/>
      <c r="C39" s="33" t="n"/>
      <c r="D39" s="33">
        <f>D38-C39</f>
        <v/>
      </c>
    </row>
    <row r="40">
      <c r="A40" s="31" t="n">
        <v>45291</v>
      </c>
      <c r="B40" s="22" t="n"/>
      <c r="C40" s="33" t="n"/>
      <c r="D40" s="33">
        <f>D39-C40</f>
        <v/>
      </c>
    </row>
    <row r="41">
      <c r="A41" s="101" t="n"/>
      <c r="B41" s="48" t="inlineStr">
        <is>
          <t>Sisa</t>
        </is>
      </c>
      <c r="C41" s="34" t="n"/>
      <c r="D41" s="34">
        <f>D40-C41</f>
        <v/>
      </c>
    </row>
    <row r="42">
      <c r="A42" s="101" t="n"/>
      <c r="B42" s="61" t="inlineStr">
        <is>
          <t>Total</t>
        </is>
      </c>
      <c r="C42" s="34">
        <f>SUM(C4:C40)</f>
        <v/>
      </c>
      <c r="D42" s="34" t="n"/>
    </row>
  </sheetData>
  <mergeCells count="5">
    <mergeCell ref="A1:D1"/>
    <mergeCell ref="F3:I3"/>
    <mergeCell ref="F12:I12"/>
    <mergeCell ref="A3:C3"/>
    <mergeCell ref="F1:J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Ifal Malela</dc:creator>
  <dcterms:created xmlns:dcterms="http://purl.org/dc/terms/" xmlns:xsi="http://www.w3.org/2001/XMLSchema-instance" xsi:type="dcterms:W3CDTF">2023-07-03T10:10:34Z</dcterms:created>
  <dcterms:modified xmlns:dcterms="http://purl.org/dc/terms/" xmlns:xsi="http://www.w3.org/2001/XMLSchema-instance" xsi:type="dcterms:W3CDTF">2024-11-21T14:19:41Z</dcterms:modified>
  <cp:lastModifiedBy>Ａｎｄｉｆａｌｌｉｈ Ｎｏｏｒ ＭＡＬＥＬＡ(is0751hr)</cp:lastModifiedBy>
</cp:coreProperties>
</file>