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Zed/proyek/parsemoney/"/>
    </mc:Choice>
  </mc:AlternateContent>
  <xr:revisionPtr revIDLastSave="0" documentId="13_ncr:1_{CC9E3B47-62F7-CC48-A04C-97DF56C652D9}" xr6:coauthVersionLast="47" xr6:coauthVersionMax="47" xr10:uidLastSave="{00000000-0000-0000-0000-000000000000}"/>
  <bookViews>
    <workbookView xWindow="0" yWindow="500" windowWidth="33600" windowHeight="19260" tabRatio="824" xr2:uid="{00000000-000D-0000-FFFF-FFFF00000000}"/>
  </bookViews>
  <sheets>
    <sheet name="23-04" sheetId="1" r:id="rId1"/>
    <sheet name="23-05" sheetId="2" r:id="rId2"/>
    <sheet name="23-06" sheetId="3" r:id="rId3"/>
    <sheet name="23-07" sheetId="4" r:id="rId4"/>
    <sheet name="23-08" sheetId="5" r:id="rId5"/>
    <sheet name="23-09" sheetId="6" r:id="rId6"/>
    <sheet name="23-10" sheetId="7" r:id="rId7"/>
    <sheet name="23-11" sheetId="8" r:id="rId8"/>
    <sheet name="23-12" sheetId="9" r:id="rId9"/>
    <sheet name="24-01" sheetId="10" r:id="rId10"/>
    <sheet name="24-02" sheetId="11" r:id="rId11"/>
    <sheet name="24-03" sheetId="12" r:id="rId12"/>
    <sheet name="Keuangan Tahunan" sheetId="13" r:id="rId13"/>
    <sheet name="24-04" sheetId="14" r:id="rId14"/>
    <sheet name="24-05" sheetId="15" r:id="rId15"/>
    <sheet name="24-06" sheetId="16" r:id="rId16"/>
    <sheet name="24-07" sheetId="17" r:id="rId17"/>
    <sheet name="24-08" sheetId="18" r:id="rId18"/>
    <sheet name="24-09" sheetId="19" r:id="rId19"/>
    <sheet name="24-10" sheetId="20" r:id="rId20"/>
    <sheet name="24-11" sheetId="21" r:id="rId21"/>
    <sheet name="Template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2" l="1"/>
  <c r="J7" i="22" s="1"/>
  <c r="J8" i="22" s="1"/>
  <c r="D6" i="22"/>
  <c r="D7" i="22" s="1"/>
  <c r="D8" i="22" s="1"/>
  <c r="D9" i="22" s="1"/>
  <c r="D10" i="22" s="1"/>
  <c r="D11" i="22" s="1"/>
  <c r="D12" i="22" s="1"/>
  <c r="D13" i="22" s="1"/>
  <c r="D14" i="22" s="1"/>
  <c r="D15" i="22" s="1"/>
  <c r="D16" i="22" s="1"/>
  <c r="D17" i="22" s="1"/>
  <c r="D18" i="22" s="1"/>
  <c r="D19" i="22" s="1"/>
  <c r="D20" i="22" s="1"/>
  <c r="D21" i="22" s="1"/>
  <c r="D22" i="22" s="1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D37" i="22" s="1"/>
  <c r="D38" i="22" s="1"/>
  <c r="D39" i="22" s="1"/>
  <c r="D40" i="22" s="1"/>
  <c r="J5" i="22"/>
  <c r="D5" i="22"/>
  <c r="J4" i="22"/>
  <c r="D4" i="22"/>
  <c r="C30" i="21"/>
  <c r="C22" i="21"/>
  <c r="D8" i="2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D37" i="21" s="1"/>
  <c r="D38" i="21" s="1"/>
  <c r="D39" i="21" s="1"/>
  <c r="D40" i="21" s="1"/>
  <c r="D41" i="21" s="1"/>
  <c r="D42" i="21" s="1"/>
  <c r="D43" i="21" s="1"/>
  <c r="D44" i="21" s="1"/>
  <c r="D45" i="21" s="1"/>
  <c r="D46" i="21" s="1"/>
  <c r="D47" i="21" s="1"/>
  <c r="D48" i="21" s="1"/>
  <c r="D49" i="21" s="1"/>
  <c r="D50" i="21" s="1"/>
  <c r="D51" i="21" s="1"/>
  <c r="D52" i="21" s="1"/>
  <c r="D53" i="21" s="1"/>
  <c r="D54" i="21" s="1"/>
  <c r="D55" i="21" s="1"/>
  <c r="D56" i="21" s="1"/>
  <c r="D57" i="21" s="1"/>
  <c r="D58" i="21" s="1"/>
  <c r="D59" i="21" s="1"/>
  <c r="D60" i="21" s="1"/>
  <c r="D61" i="21" s="1"/>
  <c r="D62" i="21" s="1"/>
  <c r="D63" i="21" s="1"/>
  <c r="D64" i="21" s="1"/>
  <c r="D65" i="21" s="1"/>
  <c r="D66" i="21" s="1"/>
  <c r="D67" i="21" s="1"/>
  <c r="D68" i="21" s="1"/>
  <c r="D69" i="21" s="1"/>
  <c r="D70" i="21" s="1"/>
  <c r="D71" i="21" s="1"/>
  <c r="D72" i="21" s="1"/>
  <c r="D73" i="21" s="1"/>
  <c r="D74" i="21" s="1"/>
  <c r="D75" i="21" s="1"/>
  <c r="D76" i="21" s="1"/>
  <c r="D77" i="21" s="1"/>
  <c r="D78" i="21" s="1"/>
  <c r="D79" i="21" s="1"/>
  <c r="D80" i="21" s="1"/>
  <c r="C6" i="21"/>
  <c r="D5" i="21"/>
  <c r="D6" i="21" s="1"/>
  <c r="D7" i="21" s="1"/>
  <c r="D4" i="21"/>
  <c r="C42" i="20"/>
  <c r="C41" i="20"/>
  <c r="C33" i="20"/>
  <c r="C32" i="20"/>
  <c r="C28" i="20"/>
  <c r="C27" i="20"/>
  <c r="C14" i="20"/>
  <c r="C12" i="20"/>
  <c r="C11" i="20"/>
  <c r="D7" i="20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D32" i="20" s="1"/>
  <c r="D33" i="20" s="1"/>
  <c r="D34" i="20" s="1"/>
  <c r="D35" i="20" s="1"/>
  <c r="D36" i="20" s="1"/>
  <c r="D37" i="20" s="1"/>
  <c r="D38" i="20" s="1"/>
  <c r="D39" i="20" s="1"/>
  <c r="D40" i="20" s="1"/>
  <c r="D41" i="20" s="1"/>
  <c r="D42" i="20" s="1"/>
  <c r="D43" i="20" s="1"/>
  <c r="D44" i="20" s="1"/>
  <c r="D45" i="20" s="1"/>
  <c r="D46" i="20" s="1"/>
  <c r="D47" i="20" s="1"/>
  <c r="D48" i="20" s="1"/>
  <c r="D49" i="20" s="1"/>
  <c r="D50" i="20" s="1"/>
  <c r="D51" i="20" s="1"/>
  <c r="D52" i="20" s="1"/>
  <c r="D53" i="20" s="1"/>
  <c r="D54" i="20" s="1"/>
  <c r="D55" i="20" s="1"/>
  <c r="D56" i="20" s="1"/>
  <c r="D4" i="20"/>
  <c r="D5" i="20" s="1"/>
  <c r="D6" i="20" s="1"/>
  <c r="C43" i="19"/>
  <c r="C42" i="19"/>
  <c r="C39" i="19"/>
  <c r="C38" i="19"/>
  <c r="C36" i="19"/>
  <c r="C33" i="19"/>
  <c r="C25" i="19"/>
  <c r="D11" i="19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M10" i="19"/>
  <c r="M14" i="19" s="1"/>
  <c r="D10" i="19"/>
  <c r="H8" i="19"/>
  <c r="D8" i="19"/>
  <c r="D9" i="19" s="1"/>
  <c r="D7" i="19"/>
  <c r="D4" i="19"/>
  <c r="D5" i="19" s="1"/>
  <c r="D6" i="19" s="1"/>
  <c r="C41" i="18"/>
  <c r="D38" i="18"/>
  <c r="D39" i="18" s="1"/>
  <c r="D40" i="18" s="1"/>
  <c r="D41" i="18" s="1"/>
  <c r="D42" i="18" s="1"/>
  <c r="D43" i="18" s="1"/>
  <c r="D44" i="18" s="1"/>
  <c r="D45" i="18" s="1"/>
  <c r="C35" i="18"/>
  <c r="C34" i="18"/>
  <c r="C32" i="18"/>
  <c r="C31" i="18"/>
  <c r="D28" i="18"/>
  <c r="D29" i="18" s="1"/>
  <c r="D30" i="18" s="1"/>
  <c r="D31" i="18" s="1"/>
  <c r="D32" i="18" s="1"/>
  <c r="D33" i="18" s="1"/>
  <c r="D34" i="18" s="1"/>
  <c r="D35" i="18" s="1"/>
  <c r="D36" i="18" s="1"/>
  <c r="D37" i="18" s="1"/>
  <c r="C26" i="18"/>
  <c r="C19" i="18"/>
  <c r="C18" i="18"/>
  <c r="C15" i="18"/>
  <c r="C14" i="18"/>
  <c r="C11" i="18"/>
  <c r="D9" i="18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C9" i="18"/>
  <c r="D6" i="18"/>
  <c r="D7" i="18" s="1"/>
  <c r="D8" i="18" s="1"/>
  <c r="D5" i="18"/>
  <c r="D4" i="18"/>
  <c r="C46" i="17"/>
  <c r="C42" i="17"/>
  <c r="C38" i="17"/>
  <c r="C37" i="17"/>
  <c r="C30" i="17"/>
  <c r="C29" i="17"/>
  <c r="C27" i="17"/>
  <c r="C26" i="17"/>
  <c r="C24" i="17"/>
  <c r="C21" i="17"/>
  <c r="C20" i="17"/>
  <c r="D18" i="17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C15" i="17"/>
  <c r="C13" i="17"/>
  <c r="C12" i="17"/>
  <c r="C7" i="17"/>
  <c r="I6" i="17"/>
  <c r="C5" i="17"/>
  <c r="D5" i="17" s="1"/>
  <c r="D6" i="17" s="1"/>
  <c r="D7" i="17" s="1"/>
  <c r="D8" i="17" s="1"/>
  <c r="D9" i="17" s="1"/>
  <c r="D10" i="17" s="1"/>
  <c r="D11" i="17" s="1"/>
  <c r="D12" i="17" s="1"/>
  <c r="D13" i="17" s="1"/>
  <c r="D14" i="17" s="1"/>
  <c r="D15" i="17" s="1"/>
  <c r="D16" i="17" s="1"/>
  <c r="D17" i="17" s="1"/>
  <c r="D4" i="17"/>
  <c r="C34" i="16"/>
  <c r="C20" i="16"/>
  <c r="C14" i="16"/>
  <c r="C13" i="16"/>
  <c r="C10" i="16"/>
  <c r="C9" i="16"/>
  <c r="C7" i="16"/>
  <c r="C5" i="16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C37" i="15"/>
  <c r="C35" i="15"/>
  <c r="C32" i="15"/>
  <c r="C28" i="15"/>
  <c r="C27" i="15"/>
  <c r="C23" i="15"/>
  <c r="C21" i="15"/>
  <c r="C19" i="15"/>
  <c r="C18" i="15"/>
  <c r="C15" i="15"/>
  <c r="C14" i="15"/>
  <c r="C11" i="15"/>
  <c r="C7" i="15"/>
  <c r="C6" i="15"/>
  <c r="D5" i="15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" i="15"/>
  <c r="C52" i="14"/>
  <c r="C51" i="14"/>
  <c r="C46" i="14"/>
  <c r="C45" i="14"/>
  <c r="C42" i="14"/>
  <c r="C41" i="14"/>
  <c r="C39" i="14"/>
  <c r="C35" i="14"/>
  <c r="C33" i="14"/>
  <c r="C30" i="14"/>
  <c r="D27" i="14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C26" i="14"/>
  <c r="C21" i="14"/>
  <c r="C18" i="14"/>
  <c r="C16" i="14"/>
  <c r="N15" i="14"/>
  <c r="D12" i="14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N6" i="14"/>
  <c r="N4" i="14"/>
  <c r="D4" i="14"/>
  <c r="D5" i="14" s="1"/>
  <c r="D6" i="14" s="1"/>
  <c r="D7" i="14" s="1"/>
  <c r="D8" i="14" s="1"/>
  <c r="D9" i="14" s="1"/>
  <c r="D10" i="14" s="1"/>
  <c r="D11" i="14" s="1"/>
  <c r="D7" i="13"/>
  <c r="C34" i="12"/>
  <c r="C33" i="12"/>
  <c r="C30" i="12"/>
  <c r="C27" i="12"/>
  <c r="C26" i="12"/>
  <c r="C24" i="12"/>
  <c r="C19" i="12"/>
  <c r="M17" i="12"/>
  <c r="C17" i="12"/>
  <c r="M15" i="12"/>
  <c r="C15" i="12"/>
  <c r="C13" i="12"/>
  <c r="C12" i="12"/>
  <c r="H9" i="12"/>
  <c r="Q8" i="12"/>
  <c r="H10" i="12" s="1"/>
  <c r="C8" i="12"/>
  <c r="C5" i="12"/>
  <c r="D4" i="12"/>
  <c r="C37" i="11"/>
  <c r="C35" i="11"/>
  <c r="C32" i="11"/>
  <c r="C26" i="11"/>
  <c r="C14" i="11"/>
  <c r="D13" i="1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C7" i="11"/>
  <c r="D6" i="11"/>
  <c r="D7" i="11" s="1"/>
  <c r="D8" i="11" s="1"/>
  <c r="D9" i="11" s="1"/>
  <c r="D10" i="11" s="1"/>
  <c r="D11" i="11" s="1"/>
  <c r="D12" i="11" s="1"/>
  <c r="D5" i="11"/>
  <c r="D4" i="11"/>
  <c r="C31" i="10"/>
  <c r="C22" i="10"/>
  <c r="C21" i="10"/>
  <c r="C11" i="10"/>
  <c r="H5" i="10"/>
  <c r="C5" i="10"/>
  <c r="J4" i="10"/>
  <c r="J5" i="10" s="1"/>
  <c r="J6" i="10" s="1"/>
  <c r="J7" i="10" s="1"/>
  <c r="J8" i="10" s="1"/>
  <c r="J9" i="10" s="1"/>
  <c r="J3" i="11" s="1"/>
  <c r="J4" i="11" s="1"/>
  <c r="J5" i="11" s="1"/>
  <c r="J6" i="11" s="1"/>
  <c r="J7" i="11" s="1"/>
  <c r="J8" i="11" s="1"/>
  <c r="J3" i="12" s="1"/>
  <c r="J4" i="12" s="1"/>
  <c r="J5" i="12" s="1"/>
  <c r="J6" i="12" s="1"/>
  <c r="J7" i="12" s="1"/>
  <c r="J8" i="12" s="1"/>
  <c r="J9" i="12" s="1"/>
  <c r="J10" i="12" s="1"/>
  <c r="J11" i="12" s="1"/>
  <c r="J12" i="12" s="1"/>
  <c r="J3" i="14" s="1"/>
  <c r="J4" i="14" s="1"/>
  <c r="J5" i="14" s="1"/>
  <c r="J6" i="14" s="1"/>
  <c r="J7" i="14" s="1"/>
  <c r="J8" i="14" s="1"/>
  <c r="J9" i="14" s="1"/>
  <c r="J10" i="14" s="1"/>
  <c r="J11" i="14" s="1"/>
  <c r="J12" i="14" s="1"/>
  <c r="J13" i="14" s="1"/>
  <c r="J14" i="14" s="1"/>
  <c r="J3" i="15" s="1"/>
  <c r="J4" i="15" s="1"/>
  <c r="J5" i="15" s="1"/>
  <c r="J6" i="15" s="1"/>
  <c r="J7" i="15" s="1"/>
  <c r="J8" i="15" s="1"/>
  <c r="J9" i="15" s="1"/>
  <c r="J3" i="16" s="1"/>
  <c r="J4" i="16" s="1"/>
  <c r="J5" i="16" s="1"/>
  <c r="J6" i="16" s="1"/>
  <c r="J7" i="16" s="1"/>
  <c r="J8" i="16" s="1"/>
  <c r="J3" i="17" s="1"/>
  <c r="J4" i="17" s="1"/>
  <c r="J5" i="17" s="1"/>
  <c r="J6" i="17" s="1"/>
  <c r="J7" i="17" s="1"/>
  <c r="J8" i="17" s="1"/>
  <c r="J3" i="18" s="1"/>
  <c r="J4" i="18" s="1"/>
  <c r="J5" i="18" s="1"/>
  <c r="J6" i="18" s="1"/>
  <c r="J7" i="18" s="1"/>
  <c r="J8" i="18" s="1"/>
  <c r="J3" i="19" s="1"/>
  <c r="J4" i="19" s="1"/>
  <c r="J5" i="19" s="1"/>
  <c r="J6" i="19" s="1"/>
  <c r="J7" i="19" s="1"/>
  <c r="J8" i="19" s="1"/>
  <c r="J9" i="19" s="1"/>
  <c r="J3" i="20" s="1"/>
  <c r="J4" i="20" s="1"/>
  <c r="J5" i="20" s="1"/>
  <c r="J6" i="20" s="1"/>
  <c r="J7" i="20" s="1"/>
  <c r="J8" i="20" s="1"/>
  <c r="J9" i="20" s="1"/>
  <c r="J3" i="21" s="1"/>
  <c r="J4" i="21" s="1"/>
  <c r="J5" i="21" s="1"/>
  <c r="J6" i="21" s="1"/>
  <c r="J7" i="21" s="1"/>
  <c r="J8" i="21" s="1"/>
  <c r="C4" i="10"/>
  <c r="C31" i="9"/>
  <c r="C29" i="9"/>
  <c r="C23" i="9"/>
  <c r="C21" i="9"/>
  <c r="C15" i="9"/>
  <c r="H9" i="9"/>
  <c r="J4" i="9"/>
  <c r="J5" i="9" s="1"/>
  <c r="J6" i="9" s="1"/>
  <c r="J7" i="9" s="1"/>
  <c r="J8" i="9" s="1"/>
  <c r="J9" i="9" s="1"/>
  <c r="J10" i="9" s="1"/>
  <c r="J11" i="9" s="1"/>
  <c r="J12" i="9" s="1"/>
  <c r="C4" i="9"/>
  <c r="C29" i="8"/>
  <c r="C23" i="8"/>
  <c r="C21" i="8"/>
  <c r="D10" i="8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C7" i="8"/>
  <c r="D4" i="8"/>
  <c r="D5" i="8" s="1"/>
  <c r="D6" i="8" s="1"/>
  <c r="D7" i="8" s="1"/>
  <c r="D8" i="8" s="1"/>
  <c r="D9" i="8" s="1"/>
  <c r="C36" i="7"/>
  <c r="C32" i="7"/>
  <c r="C29" i="7"/>
  <c r="C19" i="7"/>
  <c r="C13" i="7"/>
  <c r="D5" i="7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" i="7"/>
  <c r="C35" i="6"/>
  <c r="C30" i="6"/>
  <c r="C24" i="6"/>
  <c r="C21" i="6"/>
  <c r="C17" i="6"/>
  <c r="C15" i="6"/>
  <c r="D8" i="6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C8" i="6"/>
  <c r="D7" i="6"/>
  <c r="D4" i="6"/>
  <c r="D5" i="6" s="1"/>
  <c r="D6" i="6" s="1"/>
  <c r="C35" i="5"/>
  <c r="C24" i="5"/>
  <c r="C20" i="5"/>
  <c r="C11" i="5"/>
  <c r="C6" i="5"/>
  <c r="C36" i="5" s="1"/>
  <c r="G34" i="5" s="1"/>
  <c r="H5" i="5"/>
  <c r="D4" i="5"/>
  <c r="D5" i="5" s="1"/>
  <c r="C38" i="4"/>
  <c r="C37" i="4"/>
  <c r="C31" i="4"/>
  <c r="C43" i="4" s="1"/>
  <c r="G35" i="4" s="1"/>
  <c r="C25" i="4"/>
  <c r="C18" i="4"/>
  <c r="C12" i="4"/>
  <c r="C8" i="4"/>
  <c r="H4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4" i="4" s="1"/>
  <c r="C4" i="4"/>
  <c r="C34" i="3"/>
  <c r="C28" i="3"/>
  <c r="C24" i="3"/>
  <c r="C19" i="3"/>
  <c r="C18" i="3"/>
  <c r="C7" i="3"/>
  <c r="C45" i="3" s="1"/>
  <c r="C4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6" i="3" s="1"/>
  <c r="C10" i="2"/>
  <c r="C45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6" i="2" s="1"/>
  <c r="J4" i="2"/>
  <c r="J5" i="2" s="1"/>
  <c r="J6" i="2" s="1"/>
  <c r="J3" i="3" s="1"/>
  <c r="J4" i="3" s="1"/>
  <c r="J5" i="3" s="1"/>
  <c r="J6" i="3" s="1"/>
  <c r="J7" i="3" s="1"/>
  <c r="J8" i="3" s="1"/>
  <c r="J9" i="3" s="1"/>
  <c r="J10" i="3" s="1"/>
  <c r="J3" i="4" s="1"/>
  <c r="J4" i="4" s="1"/>
  <c r="J5" i="4" s="1"/>
  <c r="J6" i="4" s="1"/>
  <c r="J7" i="4" s="1"/>
  <c r="J3" i="5" s="1"/>
  <c r="J4" i="5" s="1"/>
  <c r="J5" i="5" s="1"/>
  <c r="J6" i="5" s="1"/>
  <c r="J7" i="5" s="1"/>
  <c r="H4" i="2"/>
  <c r="D4" i="2"/>
  <c r="D122" i="1"/>
  <c r="D115" i="1"/>
  <c r="D109" i="1"/>
  <c r="D105" i="1"/>
  <c r="D100" i="1"/>
  <c r="D98" i="1"/>
  <c r="D72" i="1"/>
  <c r="D64" i="1"/>
  <c r="D62" i="1"/>
  <c r="D56" i="1"/>
  <c r="D52" i="1"/>
  <c r="D47" i="1"/>
  <c r="D42" i="1"/>
  <c r="D41" i="1"/>
  <c r="D31" i="1"/>
  <c r="D25" i="1"/>
  <c r="D20" i="1"/>
  <c r="D17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J8" i="5" l="1"/>
  <c r="J3" i="6"/>
  <c r="J4" i="6" s="1"/>
  <c r="J5" i="6" s="1"/>
  <c r="J6" i="6" s="1"/>
  <c r="J7" i="6" s="1"/>
  <c r="J8" i="6" s="1"/>
  <c r="J9" i="6" s="1"/>
  <c r="J10" i="6" s="1"/>
  <c r="J11" i="6" s="1"/>
  <c r="J12" i="6" s="1"/>
  <c r="J3" i="7" s="1"/>
  <c r="J4" i="7" s="1"/>
  <c r="J5" i="7" s="1"/>
  <c r="J6" i="7" s="1"/>
  <c r="J7" i="7" s="1"/>
  <c r="J8" i="7" s="1"/>
  <c r="J9" i="7" s="1"/>
  <c r="J3" i="8" s="1"/>
  <c r="J4" i="8" s="1"/>
  <c r="J5" i="8" s="1"/>
  <c r="J6" i="8" s="1"/>
  <c r="I135" i="1"/>
  <c r="E126" i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D49" i="2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7" i="5" s="1"/>
  <c r="C38" i="6"/>
  <c r="G24" i="6" s="1"/>
  <c r="C43" i="10"/>
  <c r="D4" i="10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4" i="10" s="1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C43" i="12"/>
  <c r="C42" i="9"/>
  <c r="G38" i="9" s="1"/>
  <c r="D4" i="9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C47" i="7"/>
  <c r="C41" i="8"/>
  <c r="J7" i="8" l="1"/>
  <c r="J8" i="8" s="1"/>
  <c r="L16" i="8"/>
</calcChain>
</file>

<file path=xl/sharedStrings.xml><?xml version="1.0" encoding="utf-8"?>
<sst xmlns="http://schemas.openxmlformats.org/spreadsheetml/2006/main" count="1201" uniqueCount="206">
  <si>
    <t>Tanggal</t>
  </si>
  <si>
    <t>Deskripsi</t>
  </si>
  <si>
    <t>Masuk</t>
  </si>
  <si>
    <t>Keluar</t>
  </si>
  <si>
    <t>Sisa</t>
  </si>
  <si>
    <t>Uang Papa</t>
  </si>
  <si>
    <t>Uang Andifallih</t>
  </si>
  <si>
    <t>?????</t>
  </si>
  <si>
    <t>???</t>
  </si>
  <si>
    <t>Snacks</t>
  </si>
  <si>
    <t>Onigiri</t>
  </si>
  <si>
    <t>??</t>
  </si>
  <si>
    <t>Hanko Inkan</t>
  </si>
  <si>
    <t>IC Train Bus Card</t>
  </si>
  <si>
    <t>USB Adapter</t>
  </si>
  <si>
    <t>City Hall</t>
  </si>
  <si>
    <t>Bento + Snacks</t>
  </si>
  <si>
    <t>Fire Insurance</t>
  </si>
  <si>
    <t>Bento + Sabun Cuci Piring</t>
  </si>
  <si>
    <t>Bento</t>
  </si>
  <si>
    <t>Bento + Cemilan + Susu</t>
  </si>
  <si>
    <t>Cup Ramen</t>
  </si>
  <si>
    <t>Bento + Cemilan</t>
  </si>
  <si>
    <t xml:space="preserve">Bento + Pewangi Ruangan </t>
  </si>
  <si>
    <t>Gyudon</t>
  </si>
  <si>
    <t>Panci, Spatula, Pisau, Tatakan, Pengasah Pisau, dll</t>
  </si>
  <si>
    <t>Bento + Bumbu + Susu</t>
  </si>
  <si>
    <t>Bahan Makanan</t>
  </si>
  <si>
    <t>Makan</t>
  </si>
  <si>
    <t>Cutter + Lip Balm</t>
  </si>
  <si>
    <t>Roti</t>
  </si>
  <si>
    <t>Rice Cooker</t>
  </si>
  <si>
    <t>Piring, Botol, Jepitan, Toples, Saringan</t>
  </si>
  <si>
    <t>Lunch + Susu + Cemilan</t>
  </si>
  <si>
    <t>Recharge IC Card</t>
  </si>
  <si>
    <t>Beras + Belanja</t>
  </si>
  <si>
    <t>Lunch</t>
  </si>
  <si>
    <t>Toples</t>
  </si>
  <si>
    <t>Belanja Makan</t>
  </si>
  <si>
    <t>Buku + Alat tulis</t>
  </si>
  <si>
    <t>Microphone</t>
  </si>
  <si>
    <t>Wajan</t>
  </si>
  <si>
    <t>Minum</t>
  </si>
  <si>
    <t>Biaya Beli SIM</t>
  </si>
  <si>
    <t>Health Insurance</t>
  </si>
  <si>
    <t>Belanja</t>
  </si>
  <si>
    <t>Rent</t>
  </si>
  <si>
    <t>Biaya ATM</t>
  </si>
  <si>
    <t>Spons + Sabun + Sendok Rice Cooker</t>
  </si>
  <si>
    <t>Belanja Makanan</t>
  </si>
  <si>
    <t>Beras 10kg</t>
  </si>
  <si>
    <t>Tanpa Uang DD</t>
  </si>
  <si>
    <t>Variable Expenses</t>
  </si>
  <si>
    <t>Fixed Expenses &amp; Input</t>
  </si>
  <si>
    <t>Date</t>
  </si>
  <si>
    <t>Name</t>
  </si>
  <si>
    <t>Output</t>
  </si>
  <si>
    <t>Budget Left</t>
  </si>
  <si>
    <t>No</t>
  </si>
  <si>
    <t>Input</t>
  </si>
  <si>
    <t>Total Remainings</t>
  </si>
  <si>
    <t>Monthly Budget</t>
  </si>
  <si>
    <t>From Last Month</t>
  </si>
  <si>
    <t>Rent Dorm</t>
  </si>
  <si>
    <t>Sisa Uang Bulan Ini + Buat Bulan Depan</t>
  </si>
  <si>
    <t>Laundry</t>
  </si>
  <si>
    <t>Detergen + Alat bersih</t>
  </si>
  <si>
    <t>Breakfast</t>
  </si>
  <si>
    <t>Penghapus</t>
  </si>
  <si>
    <t>Alat tulis + Notebook</t>
  </si>
  <si>
    <t>Calculator</t>
  </si>
  <si>
    <t>Power strip</t>
  </si>
  <si>
    <t>Phone SIM Fee</t>
  </si>
  <si>
    <t>Sum</t>
  </si>
  <si>
    <t>Sisa Budget</t>
  </si>
  <si>
    <t>Uang Kiriman 1</t>
  </si>
  <si>
    <t>Uang Kiriman</t>
  </si>
  <si>
    <t>Uang Kiriman 2</t>
  </si>
  <si>
    <t>Pasokon</t>
  </si>
  <si>
    <t>Transportasi Ke City Hall</t>
  </si>
  <si>
    <t>Beras</t>
  </si>
  <si>
    <t>Batre</t>
  </si>
  <si>
    <t>Badminton</t>
  </si>
  <si>
    <t>BBQ</t>
  </si>
  <si>
    <t>Potong Rambut</t>
  </si>
  <si>
    <t>Jihanki</t>
  </si>
  <si>
    <t>Buku</t>
  </si>
  <si>
    <t>Binder</t>
  </si>
  <si>
    <t>Kaos Kaki + Sikat Gigi</t>
  </si>
  <si>
    <t>Celana Pendek</t>
  </si>
  <si>
    <t>Fee Narik Uang</t>
  </si>
  <si>
    <t>Expense</t>
  </si>
  <si>
    <t>Dorm</t>
  </si>
  <si>
    <t>Umbrella</t>
  </si>
  <si>
    <t>Mobile SIM</t>
  </si>
  <si>
    <t>Total</t>
  </si>
  <si>
    <t>Kartu IC Kereta Pa &amp; Ma + Isi</t>
  </si>
  <si>
    <t>Isi Uang</t>
  </si>
  <si>
    <t>Fee Bank</t>
  </si>
  <si>
    <t>Kartu Isi IC Kereta De</t>
  </si>
  <si>
    <t>Uang Bulanan</t>
  </si>
  <si>
    <t/>
  </si>
  <si>
    <t>SIM</t>
  </si>
  <si>
    <t>Co-op insurance</t>
  </si>
  <si>
    <t>Expense Bulanan</t>
  </si>
  <si>
    <t xml:space="preserve">Belanja </t>
  </si>
  <si>
    <t>Kalkulator</t>
  </si>
  <si>
    <t>Jaket</t>
  </si>
  <si>
    <t xml:space="preserve">Jaket </t>
  </si>
  <si>
    <t>Transfer Pa2</t>
  </si>
  <si>
    <t>Blender</t>
  </si>
  <si>
    <t>Sepatu</t>
  </si>
  <si>
    <t>Transfer Kontrak Apartement Osaka</t>
  </si>
  <si>
    <t>Biaya Bulanan</t>
  </si>
  <si>
    <t>Panci</t>
  </si>
  <si>
    <t>Vacuum Cleaner</t>
  </si>
  <si>
    <t>BERAS</t>
  </si>
  <si>
    <t>Beras 6kg</t>
  </si>
  <si>
    <t>Uang Transfer Papa Januari</t>
  </si>
  <si>
    <t xml:space="preserve">Sarung Tangan </t>
  </si>
  <si>
    <t xml:space="preserve">Biaya Moving </t>
  </si>
  <si>
    <t xml:space="preserve">Rental Mobil </t>
  </si>
  <si>
    <t>Biaya SIM</t>
  </si>
  <si>
    <t>Nama</t>
  </si>
  <si>
    <t>Price</t>
  </si>
  <si>
    <t>Mesin Cuci</t>
  </si>
  <si>
    <t>Biaya Listrik Di Rumah Temen</t>
  </si>
  <si>
    <t>Kulkas</t>
  </si>
  <si>
    <t>Buah</t>
  </si>
  <si>
    <t>Transfer Pa</t>
  </si>
  <si>
    <t>Biaya Ongkir</t>
  </si>
  <si>
    <t>Futon</t>
  </si>
  <si>
    <t>Uang Kasih Pa</t>
  </si>
  <si>
    <t>Laundry Pole</t>
  </si>
  <si>
    <t>Sushi</t>
  </si>
  <si>
    <t>Uang Dorm</t>
  </si>
  <si>
    <t>Kotatsu</t>
  </si>
  <si>
    <t>Perabot</t>
  </si>
  <si>
    <t>Alat Bersih2</t>
  </si>
  <si>
    <t xml:space="preserve">Uang Sama Pa </t>
  </si>
  <si>
    <t>Kursi</t>
  </si>
  <si>
    <t>Alas Kulkas</t>
  </si>
  <si>
    <t>Alas futon</t>
  </si>
  <si>
    <t>Lampu</t>
  </si>
  <si>
    <t>Bedsheet</t>
  </si>
  <si>
    <t>Gorden</t>
  </si>
  <si>
    <t xml:space="preserve">Panci </t>
  </si>
  <si>
    <t>Recurring</t>
  </si>
  <si>
    <t>Kategori</t>
  </si>
  <si>
    <t>Amount</t>
  </si>
  <si>
    <t>Rent + Internet + Air Per Bulan</t>
  </si>
  <si>
    <t>Bill</t>
  </si>
  <si>
    <t>Electricity Per Bulan</t>
  </si>
  <si>
    <t>Rata2 Makan Tahun Lalu</t>
  </si>
  <si>
    <t>One Time</t>
  </si>
  <si>
    <t>Sepeda</t>
  </si>
  <si>
    <t>1 Year Health Insurance</t>
  </si>
  <si>
    <t>HP</t>
  </si>
  <si>
    <t>Makan Sama Ka</t>
  </si>
  <si>
    <t>Microwave</t>
  </si>
  <si>
    <t>Belanja Sama Ka</t>
  </si>
  <si>
    <t>Makan bareng</t>
  </si>
  <si>
    <t>Uang Kasih Ka</t>
  </si>
  <si>
    <t xml:space="preserve">Sepeda </t>
  </si>
  <si>
    <t>Karpet</t>
  </si>
  <si>
    <t>Pindahan</t>
  </si>
  <si>
    <t>Jalan2 sm Ka2</t>
  </si>
  <si>
    <t>Listrik</t>
  </si>
  <si>
    <t>Tuition</t>
  </si>
  <si>
    <t>Transfer</t>
  </si>
  <si>
    <t xml:space="preserve">Listrik </t>
  </si>
  <si>
    <t>Sukiya Leo</t>
  </si>
  <si>
    <t>Kipas anging</t>
  </si>
  <si>
    <t>Insurance</t>
  </si>
  <si>
    <t>Charge Coop</t>
  </si>
  <si>
    <t>Uang Pa2</t>
  </si>
  <si>
    <t>University Coop Member</t>
  </si>
  <si>
    <t>Daiso</t>
  </si>
  <si>
    <t>Payung</t>
  </si>
  <si>
    <t>Belanja + Satvik</t>
  </si>
  <si>
    <t>Detergen</t>
  </si>
  <si>
    <t>Celana Dalem</t>
  </si>
  <si>
    <t>Deterjen</t>
  </si>
  <si>
    <t>Sprei</t>
  </si>
  <si>
    <t>Jalan2 Sama Pa Ma</t>
  </si>
  <si>
    <t>Cost</t>
  </si>
  <si>
    <t>IC Charge</t>
  </si>
  <si>
    <t>Celana</t>
  </si>
  <si>
    <t>Uang Dari Pa</t>
  </si>
  <si>
    <t>Handphone</t>
  </si>
  <si>
    <t>Sepatu Ma2</t>
  </si>
  <si>
    <t>Jalan2 Pa Ma</t>
  </si>
  <si>
    <t>Konbini</t>
  </si>
  <si>
    <t>Burger</t>
  </si>
  <si>
    <t>Sabun Sampo</t>
  </si>
  <si>
    <t>Belanja + Beras</t>
  </si>
  <si>
    <t>Nyemil</t>
  </si>
  <si>
    <t>Baju</t>
  </si>
  <si>
    <t>Kaos Kaki</t>
  </si>
  <si>
    <t>Sabun</t>
  </si>
  <si>
    <t>Sampo</t>
  </si>
  <si>
    <t>Belanja makan</t>
  </si>
  <si>
    <t>Insurance Sepeda</t>
  </si>
  <si>
    <t>2024/11/21</t>
  </si>
  <si>
    <t>HANKYU OASIS (買物)</t>
  </si>
  <si>
    <t>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</si>
</sst>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¥-411]#,##0"/>
    <numFmt numFmtId="165" formatCode="_-[$¥-411]* #,##0_-;\-[$¥-411]* #,##0_-;_-[$¥-411]* \-??_-;_-@_-"/>
    <numFmt numFmtId="166" formatCode="[$¥-411]#,##0.00"/>
    <numFmt numFmtId="167" formatCode="&quot;¥&quot;#,##0"/>
  </numFmts>
  <fonts count="20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2"/>
      <color indexed="8"/>
      <name val="Consolas"/>
      <family val="3"/>
      <charset val="1"/>
    </font>
    <font>
      <sz val="12"/>
      <color indexed="21"/>
      <name val="Consolas"/>
      <family val="3"/>
      <charset val="1"/>
    </font>
    <font>
      <sz val="12"/>
      <color indexed="10"/>
      <name val="Consolas"/>
      <family val="3"/>
      <charset val="1"/>
    </font>
    <font>
      <sz val="12"/>
      <color indexed="9"/>
      <name val="Consolas"/>
      <family val="3"/>
      <charset val="1"/>
    </font>
    <font>
      <sz val="12"/>
      <color indexed="8"/>
      <name val="Microsoft YaHei"/>
      <family val="2"/>
    </font>
    <font>
      <sz val="10"/>
      <color indexed="8"/>
      <name val="Consolas"/>
      <family val="3"/>
      <charset val="1"/>
    </font>
    <font>
      <sz val="10"/>
      <color indexed="10"/>
      <name val="Consolas"/>
      <family val="3"/>
      <charset val="1"/>
    </font>
    <font>
      <sz val="10"/>
      <color indexed="8"/>
      <name val="Consolas"/>
      <family val="3"/>
    </font>
    <font>
      <sz val="10"/>
      <name val="Consolas"/>
      <family val="3"/>
    </font>
    <font>
      <sz val="10"/>
      <color indexed="10"/>
      <name val="Consolas"/>
      <family val="3"/>
    </font>
    <font>
      <sz val="10"/>
      <color rgb="FF002060"/>
      <name val="Consolas"/>
      <family val="3"/>
    </font>
    <font>
      <sz val="10"/>
      <color theme="4"/>
      <name val="Consolas"/>
      <family val="3"/>
    </font>
    <font>
      <sz val="10"/>
      <color rgb="FFFF0000"/>
      <name val="Consolas"/>
      <family val="3"/>
    </font>
    <font>
      <sz val="10"/>
      <color rgb="FF0070C0"/>
      <name val="Consolas"/>
      <family val="3"/>
    </font>
    <font>
      <sz val="10"/>
      <color theme="4" tint="-0.499984740745262"/>
      <name val="Consolas"/>
      <family val="3"/>
    </font>
    <font>
      <sz val="10"/>
      <color theme="3"/>
      <name val="Consolas"/>
      <family val="3"/>
    </font>
    <font>
      <sz val="10"/>
      <color rgb="FF00B0F0"/>
      <name val="Consolas"/>
      <family val="3"/>
    </font>
    <font>
      <sz val="10"/>
      <color theme="4" tint="-0.249977111117893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18"/>
      </patternFill>
    </fill>
    <fill>
      <patternFill patternType="solid">
        <fgColor indexed="10"/>
        <bgColor indexed="16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14" fontId="2" fillId="0" borderId="1" xfId="1" applyNumberFormat="1" applyFont="1" applyBorder="1" applyAlignment="1">
      <alignment horizontal="center" vertical="top"/>
    </xf>
    <xf numFmtId="0" fontId="2" fillId="0" borderId="1" xfId="1" applyFont="1" applyBorder="1"/>
    <xf numFmtId="164" fontId="3" fillId="0" borderId="1" xfId="1" applyNumberFormat="1" applyFont="1" applyBorder="1"/>
    <xf numFmtId="164" fontId="4" fillId="0" borderId="1" xfId="1" applyNumberFormat="1" applyFont="1" applyBorder="1"/>
    <xf numFmtId="164" fontId="2" fillId="0" borderId="1" xfId="1" applyNumberFormat="1" applyFont="1" applyBorder="1"/>
    <xf numFmtId="0" fontId="1" fillId="0" borderId="0" xfId="1"/>
    <xf numFmtId="0" fontId="2" fillId="0" borderId="0" xfId="1" applyFont="1"/>
    <xf numFmtId="165" fontId="2" fillId="0" borderId="0" xfId="1" applyNumberFormat="1" applyFont="1"/>
    <xf numFmtId="0" fontId="5" fillId="2" borderId="1" xfId="1" applyFont="1" applyFill="1" applyBorder="1" applyAlignment="1">
      <alignment horizontal="center" vertical="top"/>
    </xf>
    <xf numFmtId="0" fontId="5" fillId="2" borderId="1" xfId="1" applyFont="1" applyFill="1" applyBorder="1" applyAlignment="1">
      <alignment horizontal="center" vertical="center"/>
    </xf>
    <xf numFmtId="166" fontId="4" fillId="2" borderId="1" xfId="1" applyNumberFormat="1" applyFont="1" applyFill="1" applyBorder="1" applyAlignment="1">
      <alignment horizontal="center" vertical="center"/>
    </xf>
    <xf numFmtId="0" fontId="6" fillId="0" borderId="1" xfId="1" applyFont="1" applyBorder="1"/>
    <xf numFmtId="14" fontId="2" fillId="0" borderId="2" xfId="1" applyNumberFormat="1" applyFont="1" applyBorder="1" applyAlignment="1">
      <alignment horizontal="center" vertical="top"/>
    </xf>
    <xf numFmtId="14" fontId="2" fillId="0" borderId="3" xfId="1" applyNumberFormat="1" applyFont="1" applyBorder="1" applyAlignment="1">
      <alignment horizontal="center" vertical="top"/>
    </xf>
    <xf numFmtId="14" fontId="2" fillId="0" borderId="4" xfId="1" applyNumberFormat="1" applyFont="1" applyBorder="1" applyAlignment="1">
      <alignment horizontal="center" vertical="top"/>
    </xf>
    <xf numFmtId="0" fontId="2" fillId="3" borderId="1" xfId="1" applyFont="1" applyFill="1" applyBorder="1"/>
    <xf numFmtId="14" fontId="2" fillId="0" borderId="4" xfId="1" applyNumberFormat="1" applyFont="1" applyBorder="1" applyAlignment="1">
      <alignment vertical="top"/>
    </xf>
    <xf numFmtId="165" fontId="8" fillId="0" borderId="1" xfId="1" applyNumberFormat="1" applyFont="1" applyBorder="1" applyAlignment="1">
      <alignment vertical="top"/>
    </xf>
    <xf numFmtId="0" fontId="10" fillId="0" borderId="0" xfId="0" applyFont="1"/>
    <xf numFmtId="165" fontId="11" fillId="0" borderId="1" xfId="1" applyNumberFormat="1" applyFont="1" applyBorder="1" applyAlignment="1">
      <alignment vertical="top"/>
    </xf>
    <xf numFmtId="0" fontId="10" fillId="0" borderId="5" xfId="0" applyFont="1" applyBorder="1"/>
    <xf numFmtId="0" fontId="9" fillId="0" borderId="5" xfId="1" applyFont="1" applyBorder="1" applyAlignment="1">
      <alignment vertical="top"/>
    </xf>
    <xf numFmtId="0" fontId="10" fillId="0" borderId="5" xfId="0" applyFont="1" applyBorder="1" applyAlignment="1">
      <alignment horizontal="center"/>
    </xf>
    <xf numFmtId="14" fontId="9" fillId="0" borderId="5" xfId="1" applyNumberFormat="1" applyFont="1" applyBorder="1" applyAlignment="1">
      <alignment horizontal="center" vertical="top" wrapText="1"/>
    </xf>
    <xf numFmtId="0" fontId="9" fillId="0" borderId="6" xfId="1" applyFont="1" applyBorder="1"/>
    <xf numFmtId="0" fontId="9" fillId="0" borderId="6" xfId="1" applyFont="1" applyBorder="1" applyAlignment="1">
      <alignment vertical="top"/>
    </xf>
    <xf numFmtId="0" fontId="7" fillId="0" borderId="6" xfId="1" applyFont="1" applyBorder="1"/>
    <xf numFmtId="0" fontId="7" fillId="0" borderId="6" xfId="1" applyFont="1" applyBorder="1" applyAlignment="1">
      <alignment vertical="top"/>
    </xf>
    <xf numFmtId="14" fontId="7" fillId="0" borderId="5" xfId="1" applyNumberFormat="1" applyFont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14" fontId="9" fillId="0" borderId="5" xfId="1" applyNumberFormat="1" applyFont="1" applyBorder="1" applyAlignment="1">
      <alignment horizontal="center" vertical="top"/>
    </xf>
    <xf numFmtId="0" fontId="9" fillId="0" borderId="5" xfId="1" applyFont="1" applyBorder="1"/>
    <xf numFmtId="165" fontId="11" fillId="0" borderId="5" xfId="1" applyNumberFormat="1" applyFont="1" applyBorder="1" applyAlignment="1">
      <alignment vertical="top"/>
    </xf>
    <xf numFmtId="165" fontId="11" fillId="4" borderId="5" xfId="1" applyNumberFormat="1" applyFont="1" applyFill="1" applyBorder="1" applyAlignment="1">
      <alignment vertical="top"/>
    </xf>
    <xf numFmtId="165" fontId="11" fillId="5" borderId="5" xfId="1" applyNumberFormat="1" applyFont="1" applyFill="1" applyBorder="1" applyAlignment="1">
      <alignment vertical="top"/>
    </xf>
    <xf numFmtId="0" fontId="10" fillId="5" borderId="5" xfId="0" applyFont="1" applyFill="1" applyBorder="1"/>
    <xf numFmtId="165" fontId="11" fillId="6" borderId="5" xfId="1" applyNumberFormat="1" applyFont="1" applyFill="1" applyBorder="1" applyAlignment="1">
      <alignment vertical="top"/>
    </xf>
    <xf numFmtId="0" fontId="10" fillId="7" borderId="5" xfId="0" applyFont="1" applyFill="1" applyBorder="1" applyAlignment="1">
      <alignment horizontal="center"/>
    </xf>
    <xf numFmtId="0" fontId="10" fillId="7" borderId="5" xfId="0" applyFont="1" applyFill="1" applyBorder="1"/>
    <xf numFmtId="165" fontId="11" fillId="7" borderId="5" xfId="1" applyNumberFormat="1" applyFont="1" applyFill="1" applyBorder="1" applyAlignment="1">
      <alignment vertical="top"/>
    </xf>
    <xf numFmtId="0" fontId="10" fillId="6" borderId="5" xfId="0" applyFont="1" applyFill="1" applyBorder="1"/>
    <xf numFmtId="165" fontId="12" fillId="0" borderId="5" xfId="1" applyNumberFormat="1" applyFont="1" applyBorder="1" applyAlignment="1">
      <alignment vertical="top"/>
    </xf>
    <xf numFmtId="0" fontId="12" fillId="0" borderId="5" xfId="0" applyFont="1" applyBorder="1"/>
    <xf numFmtId="0" fontId="10" fillId="5" borderId="5" xfId="0" applyFont="1" applyFill="1" applyBorder="1" applyAlignment="1">
      <alignment horizontal="center"/>
    </xf>
    <xf numFmtId="165" fontId="12" fillId="5" borderId="5" xfId="1" applyNumberFormat="1" applyFont="1" applyFill="1" applyBorder="1" applyAlignment="1">
      <alignment vertical="top"/>
    </xf>
    <xf numFmtId="14" fontId="9" fillId="0" borderId="8" xfId="1" applyNumberFormat="1" applyFont="1" applyBorder="1" applyAlignment="1">
      <alignment horizontal="center" vertical="top"/>
    </xf>
    <xf numFmtId="14" fontId="9" fillId="4" borderId="5" xfId="1" applyNumberFormat="1" applyFont="1" applyFill="1" applyBorder="1" applyAlignment="1">
      <alignment horizontal="center" vertical="top"/>
    </xf>
    <xf numFmtId="0" fontId="9" fillId="4" borderId="5" xfId="1" applyFont="1" applyFill="1" applyBorder="1" applyAlignment="1">
      <alignment vertical="top"/>
    </xf>
    <xf numFmtId="0" fontId="10" fillId="8" borderId="5" xfId="0" applyFont="1" applyFill="1" applyBorder="1" applyAlignment="1">
      <alignment horizontal="center"/>
    </xf>
    <xf numFmtId="0" fontId="10" fillId="8" borderId="5" xfId="0" applyFont="1" applyFill="1" applyBorder="1"/>
    <xf numFmtId="165" fontId="11" fillId="8" borderId="5" xfId="1" applyNumberFormat="1" applyFont="1" applyFill="1" applyBorder="1" applyAlignment="1">
      <alignment vertical="top"/>
    </xf>
    <xf numFmtId="165" fontId="10" fillId="8" borderId="5" xfId="1" applyNumberFormat="1" applyFont="1" applyFill="1" applyBorder="1" applyAlignment="1">
      <alignment vertical="top"/>
    </xf>
    <xf numFmtId="165" fontId="13" fillId="0" borderId="5" xfId="1" applyNumberFormat="1" applyFont="1" applyBorder="1" applyAlignment="1">
      <alignment vertical="top"/>
    </xf>
    <xf numFmtId="0" fontId="13" fillId="0" borderId="5" xfId="0" applyFont="1" applyBorder="1"/>
    <xf numFmtId="165" fontId="14" fillId="0" borderId="5" xfId="0" applyNumberFormat="1" applyFont="1" applyBorder="1"/>
    <xf numFmtId="165" fontId="14" fillId="0" borderId="5" xfId="1" applyNumberFormat="1" applyFont="1" applyBorder="1" applyAlignment="1">
      <alignment vertical="top"/>
    </xf>
    <xf numFmtId="165" fontId="10" fillId="0" borderId="0" xfId="0" applyNumberFormat="1" applyFont="1"/>
    <xf numFmtId="165" fontId="13" fillId="5" borderId="5" xfId="1" applyNumberFormat="1" applyFont="1" applyFill="1" applyBorder="1" applyAlignment="1">
      <alignment vertical="top"/>
    </xf>
    <xf numFmtId="0" fontId="10" fillId="4" borderId="5" xfId="0" applyFont="1" applyFill="1" applyBorder="1" applyAlignment="1">
      <alignment horizontal="center"/>
    </xf>
    <xf numFmtId="14" fontId="9" fillId="4" borderId="5" xfId="1" applyNumberFormat="1" applyFont="1" applyFill="1" applyBorder="1" applyAlignment="1">
      <alignment horizontal="center" vertical="top" wrapText="1"/>
    </xf>
    <xf numFmtId="0" fontId="10" fillId="4" borderId="5" xfId="0" applyFont="1" applyFill="1" applyBorder="1"/>
    <xf numFmtId="165" fontId="15" fillId="0" borderId="5" xfId="1" applyNumberFormat="1" applyFont="1" applyBorder="1" applyAlignment="1">
      <alignment vertical="top"/>
    </xf>
    <xf numFmtId="0" fontId="9" fillId="4" borderId="5" xfId="1" applyFont="1" applyFill="1" applyBorder="1" applyAlignment="1">
      <alignment horizontal="left" vertical="top"/>
    </xf>
    <xf numFmtId="165" fontId="11" fillId="9" borderId="5" xfId="1" applyNumberFormat="1" applyFont="1" applyFill="1" applyBorder="1" applyAlignment="1">
      <alignment vertical="top"/>
    </xf>
    <xf numFmtId="165" fontId="15" fillId="8" borderId="5" xfId="1" applyNumberFormat="1" applyFont="1" applyFill="1" applyBorder="1" applyAlignment="1">
      <alignment vertical="top"/>
    </xf>
    <xf numFmtId="165" fontId="16" fillId="0" borderId="5" xfId="1" applyNumberFormat="1" applyFont="1" applyBorder="1" applyAlignment="1">
      <alignment vertical="top"/>
    </xf>
    <xf numFmtId="0" fontId="16" fillId="0" borderId="5" xfId="0" applyFont="1" applyBorder="1"/>
    <xf numFmtId="165" fontId="11" fillId="0" borderId="0" xfId="1" applyNumberFormat="1" applyFont="1" applyAlignment="1">
      <alignment vertical="top"/>
    </xf>
    <xf numFmtId="14" fontId="10" fillId="0" borderId="5" xfId="0" applyNumberFormat="1" applyFont="1" applyBorder="1" applyAlignment="1">
      <alignment horizontal="center"/>
    </xf>
    <xf numFmtId="14" fontId="10" fillId="4" borderId="5" xfId="0" applyNumberFormat="1" applyFont="1" applyFill="1" applyBorder="1" applyAlignment="1">
      <alignment horizontal="center"/>
    </xf>
    <xf numFmtId="165" fontId="16" fillId="8" borderId="5" xfId="1" applyNumberFormat="1" applyFont="1" applyFill="1" applyBorder="1" applyAlignment="1">
      <alignment vertical="top"/>
    </xf>
    <xf numFmtId="167" fontId="10" fillId="0" borderId="0" xfId="0" applyNumberFormat="1" applyFont="1"/>
    <xf numFmtId="0" fontId="10" fillId="0" borderId="0" xfId="0" applyFont="1" applyAlignment="1">
      <alignment horizontal="center"/>
    </xf>
    <xf numFmtId="165" fontId="10" fillId="0" borderId="5" xfId="0" applyNumberFormat="1" applyFont="1" applyBorder="1"/>
    <xf numFmtId="167" fontId="10" fillId="0" borderId="5" xfId="0" applyNumberFormat="1" applyFont="1" applyBorder="1"/>
    <xf numFmtId="167" fontId="14" fillId="4" borderId="5" xfId="0" applyNumberFormat="1" applyFont="1" applyFill="1" applyBorder="1"/>
    <xf numFmtId="165" fontId="17" fillId="0" borderId="5" xfId="1" applyNumberFormat="1" applyFont="1" applyBorder="1" applyAlignment="1">
      <alignment vertical="top"/>
    </xf>
    <xf numFmtId="0" fontId="17" fillId="0" borderId="5" xfId="0" applyFont="1" applyBorder="1"/>
    <xf numFmtId="14" fontId="10" fillId="0" borderId="0" xfId="0" applyNumberFormat="1" applyFont="1" applyAlignment="1">
      <alignment horizontal="center"/>
    </xf>
    <xf numFmtId="165" fontId="17" fillId="8" borderId="5" xfId="1" applyNumberFormat="1" applyFont="1" applyFill="1" applyBorder="1" applyAlignment="1">
      <alignment vertical="top"/>
    </xf>
    <xf numFmtId="165" fontId="11" fillId="10" borderId="5" xfId="1" applyNumberFormat="1" applyFont="1" applyFill="1" applyBorder="1" applyAlignment="1">
      <alignment vertical="top"/>
    </xf>
    <xf numFmtId="165" fontId="18" fillId="0" borderId="5" xfId="1" applyNumberFormat="1" applyFont="1" applyBorder="1" applyAlignment="1">
      <alignment vertical="top"/>
    </xf>
    <xf numFmtId="0" fontId="14" fillId="0" borderId="5" xfId="0" applyFont="1" applyBorder="1"/>
    <xf numFmtId="165" fontId="14" fillId="4" borderId="5" xfId="1" applyNumberFormat="1" applyFont="1" applyFill="1" applyBorder="1" applyAlignment="1">
      <alignment vertical="top"/>
    </xf>
    <xf numFmtId="167" fontId="14" fillId="0" borderId="5" xfId="0" applyNumberFormat="1" applyFont="1" applyBorder="1"/>
    <xf numFmtId="165" fontId="12" fillId="4" borderId="5" xfId="1" applyNumberFormat="1" applyFont="1" applyFill="1" applyBorder="1" applyAlignment="1">
      <alignment vertical="top"/>
    </xf>
    <xf numFmtId="165" fontId="19" fillId="0" borderId="5" xfId="1" applyNumberFormat="1" applyFont="1" applyBorder="1" applyAlignment="1">
      <alignment vertical="top"/>
    </xf>
    <xf numFmtId="0" fontId="19" fillId="0" borderId="5" xfId="0" applyFont="1" applyBorder="1"/>
    <xf numFmtId="0" fontId="10" fillId="0" borderId="5" xfId="0" applyFont="1" applyBorder="1" applyAlignment="1">
      <alignment horizontal="center"/>
    </xf>
    <xf numFmtId="0" fontId="0" fillId="0" borderId="9" xfId="0" applyBorder="1"/>
    <xf numFmtId="0" fontId="0" fillId="0" borderId="7" xfId="0" applyBorder="1"/>
    <xf numFmtId="0" fontId="10" fillId="4" borderId="5" xfId="0" applyFont="1" applyFill="1" applyBorder="1" applyAlignment="1">
      <alignment horizontal="center"/>
    </xf>
    <xf numFmtId="14" fontId="9" fillId="6" borderId="5" xfId="1" applyNumberFormat="1" applyFont="1" applyFill="1" applyBorder="1" applyAlignment="1">
      <alignment horizontal="center" vertical="top"/>
    </xf>
    <xf numFmtId="0" fontId="10" fillId="6" borderId="5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0" fillId="0" borderId="10" xfId="0" applyBorder="1"/>
    <xf numFmtId="0" fontId="13" fillId="4" borderId="5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0" fillId="10" borderId="5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14" fontId="9" fillId="4" borderId="5" xfId="1" applyNumberFormat="1" applyFont="1" applyFill="1" applyBorder="1" applyAlignment="1">
      <alignment horizontal="center" vertical="top"/>
    </xf>
  </cellXfs>
  <cellStyles count="2">
    <cellStyle name="Excel Built-in Normal" xfId="1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B05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7030A0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5"/>
  <sheetViews>
    <sheetView tabSelected="1" zoomScale="150" zoomScaleNormal="70" workbookViewId="0">
      <selection activeCell="B139" sqref="B139"/>
    </sheetView>
  </sheetViews>
  <sheetFormatPr baseColWidth="10" defaultColWidth="8.6640625" defaultRowHeight="16" x14ac:dyDescent="0.2"/>
  <cols>
    <col min="1" max="1" width="18.5" style="1" customWidth="1"/>
    <col min="2" max="2" width="65.6640625" style="2" customWidth="1"/>
    <col min="3" max="3" width="23.33203125" style="3" customWidth="1"/>
    <col min="4" max="4" width="23.33203125" style="4" customWidth="1"/>
    <col min="5" max="5" width="23.33203125" style="5" customWidth="1"/>
    <col min="6" max="6" width="8.6640625" style="6" customWidth="1"/>
    <col min="7" max="7" width="8.6640625" style="7" customWidth="1"/>
    <col min="8" max="8" width="10.5" style="7" customWidth="1"/>
    <col min="9" max="9" width="17" style="8" customWidth="1"/>
    <col min="10" max="10" width="19.1640625" style="8" customWidth="1"/>
    <col min="11" max="11" width="17" style="8" customWidth="1"/>
    <col min="12" max="13" width="8.6640625" style="8" customWidth="1"/>
    <col min="14" max="14" width="8.6640625" style="7" customWidth="1"/>
    <col min="15" max="16384" width="8.6640625" style="7"/>
  </cols>
  <sheetData>
    <row r="1" spans="1:5" x14ac:dyDescent="0.2">
      <c r="A1" s="9" t="s">
        <v>0</v>
      </c>
      <c r="B1" s="10" t="s">
        <v>1</v>
      </c>
      <c r="C1" s="10" t="s">
        <v>2</v>
      </c>
      <c r="D1" s="11" t="s">
        <v>3</v>
      </c>
      <c r="E1" s="10" t="s">
        <v>4</v>
      </c>
    </row>
    <row r="2" spans="1:5" x14ac:dyDescent="0.2">
      <c r="A2" s="1">
        <v>44996</v>
      </c>
      <c r="B2" s="2" t="s">
        <v>5</v>
      </c>
      <c r="C2" s="3">
        <v>570000</v>
      </c>
      <c r="E2" s="5">
        <f>C2-D2</f>
        <v>570000</v>
      </c>
    </row>
    <row r="3" spans="1:5" x14ac:dyDescent="0.2">
      <c r="B3" s="2" t="s">
        <v>6</v>
      </c>
      <c r="C3" s="3">
        <v>146000</v>
      </c>
      <c r="E3" s="5">
        <f t="shared" ref="E3:E34" si="0">E2+C3-D3</f>
        <v>716000</v>
      </c>
    </row>
    <row r="4" spans="1:5" x14ac:dyDescent="0.2">
      <c r="A4" s="1">
        <v>44997</v>
      </c>
      <c r="E4" s="5">
        <f t="shared" si="0"/>
        <v>716000</v>
      </c>
    </row>
    <row r="5" spans="1:5" ht="17.5" customHeight="1" x14ac:dyDescent="0.25">
      <c r="A5" s="1">
        <v>44998</v>
      </c>
      <c r="B5" s="12" t="s">
        <v>7</v>
      </c>
      <c r="D5" s="4">
        <v>160</v>
      </c>
      <c r="E5" s="5">
        <f t="shared" si="0"/>
        <v>715840</v>
      </c>
    </row>
    <row r="6" spans="1:5" ht="17.5" customHeight="1" x14ac:dyDescent="0.25">
      <c r="B6" s="12" t="s">
        <v>8</v>
      </c>
      <c r="D6" s="4">
        <v>230</v>
      </c>
      <c r="E6" s="5">
        <f t="shared" si="0"/>
        <v>715610</v>
      </c>
    </row>
    <row r="7" spans="1:5" ht="17.5" customHeight="1" x14ac:dyDescent="0.25">
      <c r="B7" s="12" t="s">
        <v>8</v>
      </c>
      <c r="D7" s="4">
        <v>230</v>
      </c>
      <c r="E7" s="5">
        <f t="shared" si="0"/>
        <v>715380</v>
      </c>
    </row>
    <row r="8" spans="1:5" x14ac:dyDescent="0.2">
      <c r="B8" s="2" t="s">
        <v>9</v>
      </c>
      <c r="D8" s="4">
        <v>230</v>
      </c>
      <c r="E8" s="5">
        <f t="shared" si="0"/>
        <v>715150</v>
      </c>
    </row>
    <row r="9" spans="1:5" ht="17.5" customHeight="1" x14ac:dyDescent="0.25">
      <c r="A9" s="1">
        <v>44999</v>
      </c>
      <c r="B9" s="12" t="s">
        <v>8</v>
      </c>
      <c r="D9" s="4">
        <v>230</v>
      </c>
      <c r="E9" s="5">
        <f t="shared" si="0"/>
        <v>714920</v>
      </c>
    </row>
    <row r="10" spans="1:5" ht="17.5" customHeight="1" x14ac:dyDescent="0.25">
      <c r="B10" s="12" t="s">
        <v>7</v>
      </c>
      <c r="D10" s="4">
        <v>160</v>
      </c>
      <c r="E10" s="5">
        <f t="shared" si="0"/>
        <v>714760</v>
      </c>
    </row>
    <row r="11" spans="1:5" x14ac:dyDescent="0.2">
      <c r="B11" s="2" t="s">
        <v>10</v>
      </c>
      <c r="D11" s="4">
        <v>410</v>
      </c>
      <c r="E11" s="5">
        <f t="shared" si="0"/>
        <v>714350</v>
      </c>
    </row>
    <row r="12" spans="1:5" ht="17.5" customHeight="1" x14ac:dyDescent="0.25">
      <c r="B12" s="12" t="s">
        <v>8</v>
      </c>
      <c r="D12" s="4">
        <v>330</v>
      </c>
      <c r="E12" s="5">
        <f t="shared" si="0"/>
        <v>714020</v>
      </c>
    </row>
    <row r="13" spans="1:5" ht="17.5" customHeight="1" x14ac:dyDescent="0.25">
      <c r="B13" s="12" t="s">
        <v>11</v>
      </c>
      <c r="D13" s="4">
        <v>200</v>
      </c>
      <c r="E13" s="5">
        <f t="shared" si="0"/>
        <v>713820</v>
      </c>
    </row>
    <row r="14" spans="1:5" x14ac:dyDescent="0.2">
      <c r="A14" s="1">
        <v>45000</v>
      </c>
      <c r="B14" s="2" t="s">
        <v>12</v>
      </c>
      <c r="D14" s="4">
        <v>550</v>
      </c>
      <c r="E14" s="5">
        <f t="shared" si="0"/>
        <v>713270</v>
      </c>
    </row>
    <row r="15" spans="1:5" ht="17.5" customHeight="1" x14ac:dyDescent="0.25">
      <c r="B15" s="12" t="s">
        <v>7</v>
      </c>
      <c r="D15" s="4">
        <v>130</v>
      </c>
      <c r="E15" s="5">
        <f t="shared" si="0"/>
        <v>713140</v>
      </c>
    </row>
    <row r="16" spans="1:5" x14ac:dyDescent="0.2">
      <c r="B16" s="2" t="s">
        <v>13</v>
      </c>
      <c r="D16" s="4">
        <v>3000</v>
      </c>
      <c r="E16" s="5">
        <f t="shared" si="0"/>
        <v>710140</v>
      </c>
    </row>
    <row r="17" spans="1:5" ht="17.5" customHeight="1" x14ac:dyDescent="0.25">
      <c r="B17" s="12" t="s">
        <v>11</v>
      </c>
      <c r="D17" s="4">
        <f>298+204</f>
        <v>502</v>
      </c>
      <c r="E17" s="5">
        <f t="shared" si="0"/>
        <v>709638</v>
      </c>
    </row>
    <row r="18" spans="1:5" ht="17.5" customHeight="1" x14ac:dyDescent="0.25">
      <c r="B18" s="12" t="s">
        <v>11</v>
      </c>
      <c r="D18" s="4">
        <v>590</v>
      </c>
      <c r="E18" s="5">
        <f t="shared" si="0"/>
        <v>709048</v>
      </c>
    </row>
    <row r="19" spans="1:5" x14ac:dyDescent="0.2">
      <c r="B19" s="2" t="s">
        <v>14</v>
      </c>
      <c r="D19" s="4">
        <v>2030</v>
      </c>
      <c r="E19" s="5">
        <f t="shared" si="0"/>
        <v>707018</v>
      </c>
    </row>
    <row r="20" spans="1:5" x14ac:dyDescent="0.2">
      <c r="B20" s="2" t="s">
        <v>10</v>
      </c>
      <c r="D20" s="4">
        <f>320+110</f>
        <v>430</v>
      </c>
      <c r="E20" s="5">
        <f t="shared" si="0"/>
        <v>706588</v>
      </c>
    </row>
    <row r="21" spans="1:5" ht="17.5" customHeight="1" x14ac:dyDescent="0.25">
      <c r="A21" s="1">
        <v>45001</v>
      </c>
      <c r="B21" s="12" t="s">
        <v>7</v>
      </c>
      <c r="D21" s="4">
        <v>150</v>
      </c>
      <c r="E21" s="5">
        <f t="shared" si="0"/>
        <v>706438</v>
      </c>
    </row>
    <row r="22" spans="1:5" x14ac:dyDescent="0.2">
      <c r="B22" s="2" t="s">
        <v>15</v>
      </c>
      <c r="D22" s="4">
        <v>330</v>
      </c>
      <c r="E22" s="5">
        <f t="shared" si="0"/>
        <v>706108</v>
      </c>
    </row>
    <row r="23" spans="1:5" x14ac:dyDescent="0.2">
      <c r="B23" s="2" t="s">
        <v>16</v>
      </c>
      <c r="D23" s="4">
        <v>940</v>
      </c>
      <c r="E23" s="5">
        <f t="shared" si="0"/>
        <v>705168</v>
      </c>
    </row>
    <row r="24" spans="1:5" ht="17.5" customHeight="1" x14ac:dyDescent="0.25">
      <c r="B24" s="12" t="s">
        <v>11</v>
      </c>
      <c r="D24" s="4">
        <v>200</v>
      </c>
      <c r="E24" s="5">
        <f t="shared" si="0"/>
        <v>704968</v>
      </c>
    </row>
    <row r="25" spans="1:5" x14ac:dyDescent="0.2">
      <c r="B25" s="2" t="s">
        <v>16</v>
      </c>
      <c r="D25" s="4">
        <f>884-160</f>
        <v>724</v>
      </c>
      <c r="E25" s="5">
        <f t="shared" si="0"/>
        <v>704244</v>
      </c>
    </row>
    <row r="26" spans="1:5" ht="17.5" customHeight="1" x14ac:dyDescent="0.25">
      <c r="B26" s="12" t="s">
        <v>7</v>
      </c>
      <c r="D26" s="4">
        <v>160</v>
      </c>
      <c r="E26" s="5">
        <f t="shared" si="0"/>
        <v>704084</v>
      </c>
    </row>
    <row r="27" spans="1:5" x14ac:dyDescent="0.2">
      <c r="A27" s="1">
        <v>45002</v>
      </c>
      <c r="B27" s="2" t="s">
        <v>17</v>
      </c>
      <c r="D27" s="4">
        <v>3700</v>
      </c>
      <c r="E27" s="5">
        <f t="shared" si="0"/>
        <v>700384</v>
      </c>
    </row>
    <row r="28" spans="1:5" x14ac:dyDescent="0.2">
      <c r="B28" s="2" t="s">
        <v>18</v>
      </c>
      <c r="D28" s="4">
        <v>1084</v>
      </c>
      <c r="E28" s="5">
        <f t="shared" si="0"/>
        <v>699300</v>
      </c>
    </row>
    <row r="29" spans="1:5" x14ac:dyDescent="0.2">
      <c r="B29" s="2" t="s">
        <v>19</v>
      </c>
      <c r="D29" s="4">
        <v>560</v>
      </c>
      <c r="E29" s="5">
        <f t="shared" si="0"/>
        <v>698740</v>
      </c>
    </row>
    <row r="30" spans="1:5" x14ac:dyDescent="0.2">
      <c r="A30" s="1">
        <v>45003</v>
      </c>
      <c r="B30" s="2" t="s">
        <v>20</v>
      </c>
      <c r="D30" s="4">
        <v>1120</v>
      </c>
      <c r="E30" s="5">
        <f t="shared" si="0"/>
        <v>697620</v>
      </c>
    </row>
    <row r="31" spans="1:5" x14ac:dyDescent="0.2">
      <c r="B31" s="2" t="s">
        <v>19</v>
      </c>
      <c r="D31" s="4">
        <f>178+398</f>
        <v>576</v>
      </c>
      <c r="E31" s="5">
        <f t="shared" si="0"/>
        <v>697044</v>
      </c>
    </row>
    <row r="32" spans="1:5" x14ac:dyDescent="0.2">
      <c r="B32" s="2" t="s">
        <v>21</v>
      </c>
      <c r="D32" s="4">
        <v>210</v>
      </c>
      <c r="E32" s="5">
        <f t="shared" si="0"/>
        <v>696834</v>
      </c>
    </row>
    <row r="33" spans="1:5" ht="17.5" customHeight="1" x14ac:dyDescent="0.25">
      <c r="B33" s="12" t="s">
        <v>11</v>
      </c>
      <c r="D33" s="4">
        <v>200</v>
      </c>
      <c r="E33" s="5">
        <f t="shared" si="0"/>
        <v>696634</v>
      </c>
    </row>
    <row r="34" spans="1:5" x14ac:dyDescent="0.2">
      <c r="A34" s="1">
        <v>45004</v>
      </c>
      <c r="B34" s="2" t="s">
        <v>22</v>
      </c>
      <c r="D34" s="4">
        <v>1707</v>
      </c>
      <c r="E34" s="5">
        <f t="shared" si="0"/>
        <v>694927</v>
      </c>
    </row>
    <row r="35" spans="1:5" x14ac:dyDescent="0.2">
      <c r="B35" s="2" t="s">
        <v>21</v>
      </c>
      <c r="D35" s="4">
        <v>210</v>
      </c>
      <c r="E35" s="5">
        <f t="shared" ref="E35:E66" si="1">E34+C35-D35</f>
        <v>694717</v>
      </c>
    </row>
    <row r="36" spans="1:5" x14ac:dyDescent="0.2">
      <c r="A36" s="1">
        <v>45005</v>
      </c>
      <c r="B36" s="2" t="s">
        <v>23</v>
      </c>
      <c r="D36" s="4">
        <v>1885</v>
      </c>
      <c r="E36" s="5">
        <f t="shared" si="1"/>
        <v>692832</v>
      </c>
    </row>
    <row r="37" spans="1:5" ht="17.5" customHeight="1" x14ac:dyDescent="0.25">
      <c r="B37" s="12" t="s">
        <v>7</v>
      </c>
      <c r="D37" s="4">
        <v>130</v>
      </c>
      <c r="E37" s="5">
        <f t="shared" si="1"/>
        <v>692702</v>
      </c>
    </row>
    <row r="38" spans="1:5" ht="17.5" customHeight="1" x14ac:dyDescent="0.25">
      <c r="B38" s="12" t="s">
        <v>11</v>
      </c>
      <c r="D38" s="4">
        <v>200</v>
      </c>
      <c r="E38" s="5">
        <f t="shared" si="1"/>
        <v>692502</v>
      </c>
    </row>
    <row r="39" spans="1:5" x14ac:dyDescent="0.2">
      <c r="A39" s="1">
        <v>45006</v>
      </c>
      <c r="B39" s="2" t="s">
        <v>24</v>
      </c>
      <c r="D39" s="4">
        <v>588</v>
      </c>
      <c r="E39" s="5">
        <f t="shared" si="1"/>
        <v>691914</v>
      </c>
    </row>
    <row r="40" spans="1:5" x14ac:dyDescent="0.2">
      <c r="B40" s="2" t="s">
        <v>25</v>
      </c>
      <c r="D40" s="4">
        <v>5328</v>
      </c>
      <c r="E40" s="5">
        <f t="shared" si="1"/>
        <v>686586</v>
      </c>
    </row>
    <row r="41" spans="1:5" x14ac:dyDescent="0.2">
      <c r="B41" s="2" t="s">
        <v>26</v>
      </c>
      <c r="D41" s="4">
        <f>829+300+130+130</f>
        <v>1389</v>
      </c>
      <c r="E41" s="5">
        <f t="shared" si="1"/>
        <v>685197</v>
      </c>
    </row>
    <row r="42" spans="1:5" x14ac:dyDescent="0.2">
      <c r="A42" s="1">
        <v>45007</v>
      </c>
      <c r="B42" s="2" t="s">
        <v>27</v>
      </c>
      <c r="D42" s="4">
        <f>2294+130</f>
        <v>2424</v>
      </c>
      <c r="E42" s="5">
        <f t="shared" si="1"/>
        <v>682773</v>
      </c>
    </row>
    <row r="43" spans="1:5" ht="17.5" customHeight="1" x14ac:dyDescent="0.25">
      <c r="B43" s="12" t="s">
        <v>11</v>
      </c>
      <c r="D43" s="4">
        <v>200</v>
      </c>
      <c r="E43" s="5">
        <f t="shared" si="1"/>
        <v>682573</v>
      </c>
    </row>
    <row r="44" spans="1:5" x14ac:dyDescent="0.2">
      <c r="A44" s="1">
        <v>45008</v>
      </c>
      <c r="B44" s="2" t="s">
        <v>28</v>
      </c>
      <c r="D44" s="4">
        <v>640</v>
      </c>
      <c r="E44" s="5">
        <f t="shared" si="1"/>
        <v>681933</v>
      </c>
    </row>
    <row r="45" spans="1:5" x14ac:dyDescent="0.2">
      <c r="B45" s="2" t="s">
        <v>21</v>
      </c>
      <c r="D45" s="4">
        <v>210</v>
      </c>
      <c r="E45" s="5">
        <f t="shared" si="1"/>
        <v>681723</v>
      </c>
    </row>
    <row r="46" spans="1:5" x14ac:dyDescent="0.2">
      <c r="B46" s="2" t="s">
        <v>29</v>
      </c>
      <c r="D46" s="4">
        <v>600</v>
      </c>
      <c r="E46" s="5">
        <f t="shared" si="1"/>
        <v>681123</v>
      </c>
    </row>
    <row r="47" spans="1:5" x14ac:dyDescent="0.2">
      <c r="A47" s="1">
        <v>45009</v>
      </c>
      <c r="B47" s="2" t="s">
        <v>27</v>
      </c>
      <c r="D47" s="4">
        <f>2626+150</f>
        <v>2776</v>
      </c>
      <c r="E47" s="5">
        <f t="shared" si="1"/>
        <v>678347</v>
      </c>
    </row>
    <row r="48" spans="1:5" ht="17.5" customHeight="1" x14ac:dyDescent="0.25">
      <c r="B48" s="12" t="s">
        <v>11</v>
      </c>
      <c r="D48" s="4">
        <v>300</v>
      </c>
      <c r="E48" s="5">
        <f t="shared" si="1"/>
        <v>678047</v>
      </c>
    </row>
    <row r="49" spans="1:5" ht="17.5" customHeight="1" x14ac:dyDescent="0.25">
      <c r="B49" s="12" t="s">
        <v>7</v>
      </c>
      <c r="D49" s="4">
        <v>150</v>
      </c>
      <c r="E49" s="5">
        <f t="shared" si="1"/>
        <v>677897</v>
      </c>
    </row>
    <row r="50" spans="1:5" x14ac:dyDescent="0.2">
      <c r="A50" s="1">
        <v>45010</v>
      </c>
      <c r="B50" s="2" t="s">
        <v>30</v>
      </c>
      <c r="D50" s="4">
        <v>140</v>
      </c>
      <c r="E50" s="5">
        <f t="shared" si="1"/>
        <v>677757</v>
      </c>
    </row>
    <row r="51" spans="1:5" x14ac:dyDescent="0.2">
      <c r="B51" s="2" t="s">
        <v>31</v>
      </c>
      <c r="D51" s="4">
        <v>4718</v>
      </c>
      <c r="E51" s="5">
        <f t="shared" si="1"/>
        <v>673039</v>
      </c>
    </row>
    <row r="52" spans="1:5" x14ac:dyDescent="0.2">
      <c r="A52" s="1">
        <v>45011</v>
      </c>
      <c r="B52" s="2" t="s">
        <v>32</v>
      </c>
      <c r="D52" s="4">
        <f>660+750</f>
        <v>1410</v>
      </c>
      <c r="E52" s="5">
        <f t="shared" si="1"/>
        <v>671629</v>
      </c>
    </row>
    <row r="53" spans="1:5" x14ac:dyDescent="0.2">
      <c r="B53" s="2" t="s">
        <v>30</v>
      </c>
      <c r="D53" s="4">
        <v>140</v>
      </c>
      <c r="E53" s="5">
        <f t="shared" si="1"/>
        <v>671489</v>
      </c>
    </row>
    <row r="54" spans="1:5" x14ac:dyDescent="0.2">
      <c r="B54" s="2" t="s">
        <v>33</v>
      </c>
      <c r="D54" s="4">
        <v>1100</v>
      </c>
      <c r="E54" s="5">
        <f t="shared" si="1"/>
        <v>670389</v>
      </c>
    </row>
    <row r="55" spans="1:5" x14ac:dyDescent="0.2">
      <c r="B55" s="2" t="s">
        <v>34</v>
      </c>
      <c r="D55" s="4">
        <v>1000</v>
      </c>
      <c r="E55" s="5">
        <f t="shared" si="1"/>
        <v>669389</v>
      </c>
    </row>
    <row r="56" spans="1:5" x14ac:dyDescent="0.2">
      <c r="A56" s="1">
        <v>45012</v>
      </c>
      <c r="B56" s="2" t="s">
        <v>35</v>
      </c>
      <c r="D56" s="4">
        <f>4370+110</f>
        <v>4480</v>
      </c>
      <c r="E56" s="5">
        <f t="shared" si="1"/>
        <v>664909</v>
      </c>
    </row>
    <row r="57" spans="1:5" x14ac:dyDescent="0.2">
      <c r="B57" s="2" t="s">
        <v>36</v>
      </c>
      <c r="D57" s="4">
        <v>840</v>
      </c>
      <c r="E57" s="5">
        <f t="shared" si="1"/>
        <v>664069</v>
      </c>
    </row>
    <row r="58" spans="1:5" x14ac:dyDescent="0.2">
      <c r="B58" s="2" t="s">
        <v>34</v>
      </c>
      <c r="D58" s="4">
        <v>2000</v>
      </c>
      <c r="E58" s="5">
        <f t="shared" si="1"/>
        <v>662069</v>
      </c>
    </row>
    <row r="59" spans="1:5" x14ac:dyDescent="0.2">
      <c r="B59" s="2" t="s">
        <v>30</v>
      </c>
      <c r="D59" s="4">
        <v>140</v>
      </c>
      <c r="E59" s="5">
        <f t="shared" si="1"/>
        <v>661929</v>
      </c>
    </row>
    <row r="60" spans="1:5" x14ac:dyDescent="0.2">
      <c r="B60" s="2" t="s">
        <v>37</v>
      </c>
      <c r="D60" s="4">
        <v>220</v>
      </c>
      <c r="E60" s="5">
        <f t="shared" si="1"/>
        <v>661709</v>
      </c>
    </row>
    <row r="61" spans="1:5" x14ac:dyDescent="0.2">
      <c r="A61" s="1">
        <v>45013</v>
      </c>
      <c r="B61" s="2" t="s">
        <v>30</v>
      </c>
      <c r="D61" s="4">
        <v>140</v>
      </c>
      <c r="E61" s="5">
        <f t="shared" si="1"/>
        <v>661569</v>
      </c>
    </row>
    <row r="62" spans="1:5" ht="17.5" customHeight="1" x14ac:dyDescent="0.25">
      <c r="B62" s="12" t="s">
        <v>8</v>
      </c>
      <c r="D62" s="4">
        <f>265+130</f>
        <v>395</v>
      </c>
      <c r="E62" s="5">
        <f t="shared" si="1"/>
        <v>661174</v>
      </c>
    </row>
    <row r="63" spans="1:5" ht="17.5" customHeight="1" x14ac:dyDescent="0.25">
      <c r="A63" s="1">
        <v>45014</v>
      </c>
      <c r="B63" s="12" t="s">
        <v>11</v>
      </c>
      <c r="D63" s="4">
        <v>200</v>
      </c>
      <c r="E63" s="5">
        <f t="shared" si="1"/>
        <v>660974</v>
      </c>
    </row>
    <row r="64" spans="1:5" x14ac:dyDescent="0.2">
      <c r="B64" s="2" t="s">
        <v>36</v>
      </c>
      <c r="D64" s="4">
        <f>118+237</f>
        <v>355</v>
      </c>
      <c r="E64" s="5">
        <f t="shared" si="1"/>
        <v>660619</v>
      </c>
    </row>
    <row r="65" spans="1:5" ht="17.5" customHeight="1" x14ac:dyDescent="0.25">
      <c r="B65" s="12" t="s">
        <v>8</v>
      </c>
      <c r="D65" s="4">
        <v>1055</v>
      </c>
      <c r="E65" s="5">
        <f t="shared" si="1"/>
        <v>659564</v>
      </c>
    </row>
    <row r="66" spans="1:5" ht="17.5" customHeight="1" x14ac:dyDescent="0.25">
      <c r="A66" s="1">
        <v>45015</v>
      </c>
      <c r="B66" s="12" t="s">
        <v>11</v>
      </c>
      <c r="D66" s="4">
        <v>200</v>
      </c>
      <c r="E66" s="5">
        <f t="shared" si="1"/>
        <v>659364</v>
      </c>
    </row>
    <row r="67" spans="1:5" x14ac:dyDescent="0.2">
      <c r="A67" s="1">
        <v>45016</v>
      </c>
      <c r="B67" s="2" t="s">
        <v>38</v>
      </c>
      <c r="D67" s="4">
        <v>1778</v>
      </c>
      <c r="E67" s="5">
        <f t="shared" ref="E67:E98" si="2">E66+C67-D67</f>
        <v>657586</v>
      </c>
    </row>
    <row r="68" spans="1:5" ht="17.5" customHeight="1" x14ac:dyDescent="0.25">
      <c r="B68" s="12" t="s">
        <v>8</v>
      </c>
      <c r="D68" s="4">
        <v>990</v>
      </c>
      <c r="E68" s="5">
        <f t="shared" si="2"/>
        <v>656596</v>
      </c>
    </row>
    <row r="69" spans="1:5" x14ac:dyDescent="0.2">
      <c r="A69" s="1">
        <v>45017</v>
      </c>
      <c r="B69" s="2" t="s">
        <v>38</v>
      </c>
      <c r="D69" s="4">
        <v>1240</v>
      </c>
      <c r="E69" s="5">
        <f t="shared" si="2"/>
        <v>655356</v>
      </c>
    </row>
    <row r="70" spans="1:5" ht="17.5" customHeight="1" x14ac:dyDescent="0.25">
      <c r="B70" s="12" t="s">
        <v>11</v>
      </c>
      <c r="D70" s="4">
        <v>300</v>
      </c>
      <c r="E70" s="5">
        <f t="shared" si="2"/>
        <v>655056</v>
      </c>
    </row>
    <row r="71" spans="1:5" x14ac:dyDescent="0.2">
      <c r="B71" s="2" t="s">
        <v>39</v>
      </c>
      <c r="D71" s="4">
        <v>864</v>
      </c>
      <c r="E71" s="5">
        <f t="shared" si="2"/>
        <v>654192</v>
      </c>
    </row>
    <row r="72" spans="1:5" ht="17.5" customHeight="1" x14ac:dyDescent="0.25">
      <c r="A72" s="1">
        <v>45018</v>
      </c>
      <c r="B72" s="12" t="s">
        <v>8</v>
      </c>
      <c r="D72" s="4">
        <f>560+220</f>
        <v>780</v>
      </c>
      <c r="E72" s="5">
        <f t="shared" si="2"/>
        <v>653412</v>
      </c>
    </row>
    <row r="73" spans="1:5" x14ac:dyDescent="0.2">
      <c r="A73" s="13"/>
      <c r="B73" s="2" t="s">
        <v>13</v>
      </c>
      <c r="D73" s="4">
        <v>5000</v>
      </c>
      <c r="E73" s="5">
        <f t="shared" si="2"/>
        <v>648412</v>
      </c>
    </row>
    <row r="74" spans="1:5" x14ac:dyDescent="0.2">
      <c r="A74" s="1">
        <v>45019</v>
      </c>
      <c r="B74" s="2" t="s">
        <v>38</v>
      </c>
      <c r="D74" s="4">
        <v>1130</v>
      </c>
      <c r="E74" s="5">
        <f t="shared" si="2"/>
        <v>647282</v>
      </c>
    </row>
    <row r="75" spans="1:5" ht="17.5" customHeight="1" x14ac:dyDescent="0.25">
      <c r="A75" s="13"/>
      <c r="B75" s="12" t="s">
        <v>11</v>
      </c>
      <c r="D75" s="4">
        <v>400</v>
      </c>
      <c r="E75" s="5">
        <f t="shared" si="2"/>
        <v>646882</v>
      </c>
    </row>
    <row r="76" spans="1:5" x14ac:dyDescent="0.2">
      <c r="A76" s="1">
        <v>45020</v>
      </c>
      <c r="B76" s="2" t="s">
        <v>38</v>
      </c>
      <c r="D76" s="4">
        <v>1589</v>
      </c>
      <c r="E76" s="5">
        <f t="shared" si="2"/>
        <v>645293</v>
      </c>
    </row>
    <row r="77" spans="1:5" ht="17.5" customHeight="1" x14ac:dyDescent="0.25">
      <c r="A77" s="1">
        <v>45021</v>
      </c>
      <c r="B77" s="12" t="s">
        <v>11</v>
      </c>
      <c r="D77" s="4">
        <v>200</v>
      </c>
      <c r="E77" s="5">
        <f t="shared" si="2"/>
        <v>645093</v>
      </c>
    </row>
    <row r="78" spans="1:5" x14ac:dyDescent="0.2">
      <c r="A78" s="13"/>
      <c r="B78" s="2" t="s">
        <v>36</v>
      </c>
      <c r="D78" s="4">
        <v>600</v>
      </c>
      <c r="E78" s="5">
        <f t="shared" si="2"/>
        <v>644493</v>
      </c>
    </row>
    <row r="79" spans="1:5" x14ac:dyDescent="0.2">
      <c r="A79" s="1">
        <v>45022</v>
      </c>
      <c r="B79" s="2" t="s">
        <v>38</v>
      </c>
      <c r="D79" s="4">
        <v>1580</v>
      </c>
      <c r="E79" s="5">
        <f t="shared" si="2"/>
        <v>642913</v>
      </c>
    </row>
    <row r="80" spans="1:5" x14ac:dyDescent="0.2">
      <c r="A80" s="1">
        <v>45023</v>
      </c>
      <c r="B80" s="2" t="s">
        <v>40</v>
      </c>
      <c r="D80" s="4">
        <v>1359</v>
      </c>
      <c r="E80" s="5">
        <f t="shared" si="2"/>
        <v>641554</v>
      </c>
    </row>
    <row r="81" spans="1:5" x14ac:dyDescent="0.2">
      <c r="A81" s="14"/>
      <c r="B81" s="2" t="s">
        <v>36</v>
      </c>
      <c r="D81" s="4">
        <v>600</v>
      </c>
      <c r="E81" s="5">
        <f t="shared" si="2"/>
        <v>640954</v>
      </c>
    </row>
    <row r="82" spans="1:5" ht="17.5" customHeight="1" x14ac:dyDescent="0.25">
      <c r="A82" s="13"/>
      <c r="B82" s="12" t="s">
        <v>11</v>
      </c>
      <c r="D82" s="4">
        <v>200</v>
      </c>
      <c r="E82" s="5">
        <f t="shared" si="2"/>
        <v>640754</v>
      </c>
    </row>
    <row r="83" spans="1:5" x14ac:dyDescent="0.2">
      <c r="A83" s="1">
        <v>45024</v>
      </c>
      <c r="B83" s="2" t="s">
        <v>36</v>
      </c>
      <c r="D83" s="4">
        <v>600</v>
      </c>
      <c r="E83" s="5">
        <f t="shared" si="2"/>
        <v>640154</v>
      </c>
    </row>
    <row r="84" spans="1:5" ht="17.5" customHeight="1" x14ac:dyDescent="0.25">
      <c r="A84" s="13"/>
      <c r="B84" s="12" t="s">
        <v>11</v>
      </c>
      <c r="D84" s="4">
        <v>200</v>
      </c>
      <c r="E84" s="5">
        <f t="shared" si="2"/>
        <v>639954</v>
      </c>
    </row>
    <row r="85" spans="1:5" x14ac:dyDescent="0.2">
      <c r="A85" s="1">
        <v>45025</v>
      </c>
      <c r="B85" s="2" t="s">
        <v>38</v>
      </c>
      <c r="D85" s="4">
        <v>5019</v>
      </c>
      <c r="E85" s="5">
        <f t="shared" si="2"/>
        <v>634935</v>
      </c>
    </row>
    <row r="86" spans="1:5" x14ac:dyDescent="0.2">
      <c r="A86" s="13"/>
      <c r="B86" s="2" t="s">
        <v>41</v>
      </c>
      <c r="D86" s="4">
        <v>3071</v>
      </c>
      <c r="E86" s="5">
        <f t="shared" si="2"/>
        <v>631864</v>
      </c>
    </row>
    <row r="87" spans="1:5" x14ac:dyDescent="0.2">
      <c r="A87" s="1">
        <v>45026</v>
      </c>
      <c r="B87" s="2" t="s">
        <v>36</v>
      </c>
      <c r="D87" s="4">
        <v>535</v>
      </c>
      <c r="E87" s="5">
        <f t="shared" si="2"/>
        <v>631329</v>
      </c>
    </row>
    <row r="88" spans="1:5" ht="17.5" customHeight="1" x14ac:dyDescent="0.25">
      <c r="A88" s="13"/>
      <c r="B88" s="12" t="s">
        <v>11</v>
      </c>
      <c r="D88" s="4">
        <v>200</v>
      </c>
      <c r="E88" s="5">
        <f t="shared" si="2"/>
        <v>631129</v>
      </c>
    </row>
    <row r="89" spans="1:5" x14ac:dyDescent="0.2">
      <c r="A89" s="1">
        <v>45027</v>
      </c>
      <c r="B89" s="2" t="s">
        <v>42</v>
      </c>
      <c r="D89" s="4">
        <v>98</v>
      </c>
      <c r="E89" s="5">
        <f t="shared" si="2"/>
        <v>631031</v>
      </c>
    </row>
    <row r="90" spans="1:5" x14ac:dyDescent="0.2">
      <c r="A90" s="14"/>
      <c r="B90" s="2" t="s">
        <v>36</v>
      </c>
      <c r="D90" s="4">
        <v>600</v>
      </c>
      <c r="E90" s="5">
        <f t="shared" si="2"/>
        <v>630431</v>
      </c>
    </row>
    <row r="91" spans="1:5" ht="17.5" customHeight="1" x14ac:dyDescent="0.25">
      <c r="A91" s="13"/>
      <c r="B91" s="12" t="s">
        <v>11</v>
      </c>
      <c r="D91" s="4">
        <v>200</v>
      </c>
      <c r="E91" s="5">
        <f t="shared" si="2"/>
        <v>630231</v>
      </c>
    </row>
    <row r="92" spans="1:5" x14ac:dyDescent="0.2">
      <c r="A92" s="15">
        <v>45028</v>
      </c>
      <c r="B92" s="2" t="s">
        <v>36</v>
      </c>
      <c r="D92" s="4">
        <v>600</v>
      </c>
      <c r="E92" s="5">
        <f t="shared" si="2"/>
        <v>629631</v>
      </c>
    </row>
    <row r="93" spans="1:5" x14ac:dyDescent="0.2">
      <c r="A93" s="1">
        <v>45029</v>
      </c>
      <c r="B93" s="2" t="s">
        <v>36</v>
      </c>
      <c r="D93" s="4">
        <v>630</v>
      </c>
      <c r="E93" s="5">
        <f t="shared" si="2"/>
        <v>629001</v>
      </c>
    </row>
    <row r="94" spans="1:5" ht="17.5" customHeight="1" x14ac:dyDescent="0.25">
      <c r="A94" s="13"/>
      <c r="B94" s="12" t="s">
        <v>11</v>
      </c>
      <c r="D94" s="4">
        <v>100</v>
      </c>
      <c r="E94" s="5">
        <f>E93+C95-D95</f>
        <v>628501</v>
      </c>
    </row>
    <row r="95" spans="1:5" x14ac:dyDescent="0.2">
      <c r="A95" s="1">
        <v>45030</v>
      </c>
      <c r="B95" s="2" t="s">
        <v>36</v>
      </c>
      <c r="D95" s="4">
        <v>500</v>
      </c>
      <c r="E95" s="5">
        <f>E94+C96-D96</f>
        <v>626782</v>
      </c>
    </row>
    <row r="96" spans="1:5" x14ac:dyDescent="0.2">
      <c r="A96" s="13"/>
      <c r="B96" s="2" t="s">
        <v>38</v>
      </c>
      <c r="D96" s="4">
        <v>1719</v>
      </c>
      <c r="E96" s="5">
        <f>E95+C97-D97</f>
        <v>626582</v>
      </c>
    </row>
    <row r="97" spans="1:5" ht="17.5" customHeight="1" x14ac:dyDescent="0.25">
      <c r="A97" s="15">
        <v>45031</v>
      </c>
      <c r="B97" s="12" t="s">
        <v>11</v>
      </c>
      <c r="D97" s="4">
        <v>200</v>
      </c>
      <c r="E97" s="5">
        <f>E96+C98-D98</f>
        <v>623852</v>
      </c>
    </row>
    <row r="98" spans="1:5" x14ac:dyDescent="0.2">
      <c r="A98" s="1">
        <v>45032</v>
      </c>
      <c r="B98" s="2" t="s">
        <v>38</v>
      </c>
      <c r="D98" s="4">
        <f>3680-950</f>
        <v>2730</v>
      </c>
      <c r="E98" s="5">
        <f>E97+C99-D99</f>
        <v>623652</v>
      </c>
    </row>
    <row r="99" spans="1:5" ht="17.5" customHeight="1" x14ac:dyDescent="0.25">
      <c r="A99" s="13"/>
      <c r="B99" s="12" t="s">
        <v>11</v>
      </c>
      <c r="D99" s="4">
        <v>200</v>
      </c>
      <c r="E99" s="5">
        <f t="shared" ref="E99:E121" si="3">E98+C101-D101</f>
        <v>623352</v>
      </c>
    </row>
    <row r="100" spans="1:5" x14ac:dyDescent="0.2">
      <c r="A100" s="1">
        <v>45033</v>
      </c>
      <c r="B100" s="2" t="s">
        <v>36</v>
      </c>
      <c r="D100" s="4">
        <f>220+150</f>
        <v>370</v>
      </c>
      <c r="E100" s="5">
        <f t="shared" si="3"/>
        <v>618728</v>
      </c>
    </row>
    <row r="101" spans="1:5" ht="17.5" customHeight="1" x14ac:dyDescent="0.25">
      <c r="A101" s="14"/>
      <c r="B101" s="12" t="s">
        <v>11</v>
      </c>
      <c r="D101" s="4">
        <v>300</v>
      </c>
      <c r="E101" s="5">
        <f t="shared" si="3"/>
        <v>618178</v>
      </c>
    </row>
    <row r="102" spans="1:5" x14ac:dyDescent="0.2">
      <c r="A102" s="14"/>
      <c r="B102" s="2" t="s">
        <v>43</v>
      </c>
      <c r="D102" s="4">
        <v>4624</v>
      </c>
      <c r="E102" s="5">
        <f t="shared" si="3"/>
        <v>617778</v>
      </c>
    </row>
    <row r="103" spans="1:5" x14ac:dyDescent="0.2">
      <c r="A103" s="13"/>
      <c r="B103" s="2" t="s">
        <v>37</v>
      </c>
      <c r="D103" s="4">
        <v>550</v>
      </c>
      <c r="E103" s="5">
        <f t="shared" si="3"/>
        <v>617475</v>
      </c>
    </row>
    <row r="104" spans="1:5" x14ac:dyDescent="0.2">
      <c r="A104" s="1">
        <v>45034</v>
      </c>
      <c r="B104" s="2" t="s">
        <v>36</v>
      </c>
      <c r="D104" s="4">
        <v>400</v>
      </c>
      <c r="E104" s="5">
        <f t="shared" si="3"/>
        <v>616855</v>
      </c>
    </row>
    <row r="105" spans="1:5" x14ac:dyDescent="0.2">
      <c r="A105" s="13"/>
      <c r="B105" s="2" t="s">
        <v>9</v>
      </c>
      <c r="D105" s="4">
        <f>153+150</f>
        <v>303</v>
      </c>
      <c r="E105" s="5">
        <f t="shared" si="3"/>
        <v>616655</v>
      </c>
    </row>
    <row r="106" spans="1:5" x14ac:dyDescent="0.2">
      <c r="A106" s="1">
        <v>45035</v>
      </c>
      <c r="B106" s="2" t="s">
        <v>36</v>
      </c>
      <c r="D106" s="4">
        <v>620</v>
      </c>
      <c r="E106" s="5">
        <f t="shared" si="3"/>
        <v>616205</v>
      </c>
    </row>
    <row r="107" spans="1:5" ht="17.5" customHeight="1" x14ac:dyDescent="0.25">
      <c r="A107" s="13"/>
      <c r="B107" s="12" t="s">
        <v>11</v>
      </c>
      <c r="D107" s="4">
        <v>200</v>
      </c>
      <c r="E107" s="5">
        <f t="shared" si="3"/>
        <v>615725</v>
      </c>
    </row>
    <row r="108" spans="1:5" x14ac:dyDescent="0.2">
      <c r="A108" s="15">
        <v>45036</v>
      </c>
      <c r="B108" s="2" t="s">
        <v>36</v>
      </c>
      <c r="D108" s="4">
        <v>450</v>
      </c>
      <c r="E108" s="5">
        <f t="shared" si="3"/>
        <v>615125</v>
      </c>
    </row>
    <row r="109" spans="1:5" x14ac:dyDescent="0.2">
      <c r="A109" s="15">
        <v>45037</v>
      </c>
      <c r="B109" s="2" t="s">
        <v>36</v>
      </c>
      <c r="D109" s="4">
        <f>480</f>
        <v>480</v>
      </c>
      <c r="E109" s="5">
        <f t="shared" si="3"/>
        <v>614925</v>
      </c>
    </row>
    <row r="110" spans="1:5" x14ac:dyDescent="0.2">
      <c r="A110" s="1">
        <v>45038</v>
      </c>
      <c r="B110" s="2" t="s">
        <v>36</v>
      </c>
      <c r="D110" s="4">
        <v>600</v>
      </c>
      <c r="E110" s="5">
        <f t="shared" si="3"/>
        <v>614925</v>
      </c>
    </row>
    <row r="111" spans="1:5" ht="17.5" customHeight="1" x14ac:dyDescent="0.25">
      <c r="A111" s="13"/>
      <c r="B111" s="12" t="s">
        <v>11</v>
      </c>
      <c r="D111" s="4">
        <v>200</v>
      </c>
      <c r="E111" s="5">
        <f t="shared" si="3"/>
        <v>613418</v>
      </c>
    </row>
    <row r="112" spans="1:5" x14ac:dyDescent="0.2">
      <c r="A112" s="15">
        <v>45039</v>
      </c>
      <c r="E112" s="5">
        <f t="shared" si="3"/>
        <v>613218</v>
      </c>
    </row>
    <row r="113" spans="1:5" x14ac:dyDescent="0.2">
      <c r="A113" s="1">
        <v>45040</v>
      </c>
      <c r="B113" s="2" t="s">
        <v>44</v>
      </c>
      <c r="D113" s="4">
        <v>1507</v>
      </c>
      <c r="E113" s="5">
        <f t="shared" si="3"/>
        <v>610414</v>
      </c>
    </row>
    <row r="114" spans="1:5" ht="17.5" customHeight="1" x14ac:dyDescent="0.25">
      <c r="A114" s="14"/>
      <c r="B114" s="12" t="s">
        <v>11</v>
      </c>
      <c r="D114" s="4">
        <v>200</v>
      </c>
      <c r="E114" s="5">
        <f t="shared" si="3"/>
        <v>609934</v>
      </c>
    </row>
    <row r="115" spans="1:5" x14ac:dyDescent="0.2">
      <c r="A115" s="13"/>
      <c r="B115" s="2" t="s">
        <v>45</v>
      </c>
      <c r="D115" s="4">
        <f>1704+1100</f>
        <v>2804</v>
      </c>
      <c r="E115" s="5">
        <f t="shared" si="3"/>
        <v>609334</v>
      </c>
    </row>
    <row r="116" spans="1:5" x14ac:dyDescent="0.2">
      <c r="A116" s="15">
        <v>45041</v>
      </c>
      <c r="B116" s="2" t="s">
        <v>36</v>
      </c>
      <c r="D116" s="4">
        <v>480</v>
      </c>
      <c r="E116" s="5">
        <f t="shared" si="3"/>
        <v>564392</v>
      </c>
    </row>
    <row r="117" spans="1:5" x14ac:dyDescent="0.2">
      <c r="A117" s="1">
        <v>45042</v>
      </c>
      <c r="B117" s="2" t="s">
        <v>36</v>
      </c>
      <c r="D117" s="4">
        <v>600</v>
      </c>
      <c r="E117" s="5">
        <f t="shared" si="3"/>
        <v>563892</v>
      </c>
    </row>
    <row r="118" spans="1:5" x14ac:dyDescent="0.2">
      <c r="A118" s="13"/>
      <c r="B118" s="16" t="s">
        <v>46</v>
      </c>
      <c r="D118" s="4">
        <v>44942</v>
      </c>
      <c r="E118" s="5">
        <f t="shared" si="3"/>
        <v>563562</v>
      </c>
    </row>
    <row r="119" spans="1:5" x14ac:dyDescent="0.2">
      <c r="A119" s="1">
        <v>45043</v>
      </c>
      <c r="B119" s="2" t="s">
        <v>36</v>
      </c>
      <c r="D119" s="4">
        <v>500</v>
      </c>
      <c r="E119" s="5">
        <f t="shared" si="3"/>
        <v>562912</v>
      </c>
    </row>
    <row r="120" spans="1:5" x14ac:dyDescent="0.2">
      <c r="A120" s="13"/>
      <c r="B120" s="2" t="s">
        <v>47</v>
      </c>
      <c r="D120" s="4">
        <v>330</v>
      </c>
      <c r="E120" s="5">
        <f t="shared" si="3"/>
        <v>561358</v>
      </c>
    </row>
    <row r="121" spans="1:5" x14ac:dyDescent="0.2">
      <c r="A121" s="1">
        <v>45044</v>
      </c>
      <c r="B121" s="2" t="s">
        <v>36</v>
      </c>
      <c r="D121" s="4">
        <v>650</v>
      </c>
      <c r="E121" s="5">
        <f t="shared" si="3"/>
        <v>561358</v>
      </c>
    </row>
    <row r="122" spans="1:5" x14ac:dyDescent="0.2">
      <c r="A122" s="13"/>
      <c r="B122" s="2" t="s">
        <v>48</v>
      </c>
      <c r="D122" s="4">
        <f>667 +100 + 180 +607</f>
        <v>1554</v>
      </c>
      <c r="E122" s="5">
        <f t="shared" ref="E122:E140" si="4">E121+C127-D127</f>
        <v>554508</v>
      </c>
    </row>
    <row r="123" spans="1:5" x14ac:dyDescent="0.2">
      <c r="A123" s="15">
        <v>45045</v>
      </c>
      <c r="E123" s="5">
        <f t="shared" si="4"/>
        <v>554008</v>
      </c>
    </row>
    <row r="124" spans="1:5" x14ac:dyDescent="0.2">
      <c r="A124" s="1">
        <v>45046</v>
      </c>
      <c r="E124" s="5">
        <f t="shared" si="4"/>
        <v>553808</v>
      </c>
    </row>
    <row r="125" spans="1:5" ht="17.5" customHeight="1" x14ac:dyDescent="0.25">
      <c r="A125" s="13"/>
      <c r="B125" s="12" t="s">
        <v>11</v>
      </c>
      <c r="D125" s="4">
        <v>400</v>
      </c>
      <c r="E125" s="5">
        <f t="shared" si="4"/>
        <v>553808</v>
      </c>
    </row>
    <row r="126" spans="1:5" x14ac:dyDescent="0.2">
      <c r="A126" s="1">
        <v>45047</v>
      </c>
      <c r="B126" s="2" t="s">
        <v>36</v>
      </c>
      <c r="D126" s="4">
        <v>500</v>
      </c>
      <c r="E126" s="5">
        <f t="shared" si="4"/>
        <v>553808</v>
      </c>
    </row>
    <row r="127" spans="1:5" x14ac:dyDescent="0.2">
      <c r="A127" s="13"/>
      <c r="B127" s="2" t="s">
        <v>49</v>
      </c>
      <c r="D127" s="4">
        <v>6850</v>
      </c>
      <c r="E127" s="5">
        <f t="shared" si="4"/>
        <v>548788</v>
      </c>
    </row>
    <row r="128" spans="1:5" x14ac:dyDescent="0.2">
      <c r="A128" s="1">
        <v>45048</v>
      </c>
      <c r="B128" s="2" t="s">
        <v>36</v>
      </c>
      <c r="D128" s="4">
        <v>500</v>
      </c>
      <c r="E128" s="5">
        <f t="shared" si="4"/>
        <v>546098</v>
      </c>
    </row>
    <row r="129" spans="1:9" ht="17.5" customHeight="1" x14ac:dyDescent="0.25">
      <c r="A129" s="13"/>
      <c r="B129" s="12" t="s">
        <v>11</v>
      </c>
      <c r="D129" s="4">
        <v>200</v>
      </c>
      <c r="E129" s="5">
        <f t="shared" si="4"/>
        <v>545898</v>
      </c>
    </row>
    <row r="130" spans="1:9" x14ac:dyDescent="0.2">
      <c r="A130" s="15">
        <v>45049</v>
      </c>
      <c r="E130" s="5">
        <f t="shared" si="4"/>
        <v>545898</v>
      </c>
    </row>
    <row r="131" spans="1:9" x14ac:dyDescent="0.2">
      <c r="A131" s="15">
        <v>45050</v>
      </c>
      <c r="E131" s="5">
        <f t="shared" si="4"/>
        <v>545898</v>
      </c>
    </row>
    <row r="132" spans="1:9" x14ac:dyDescent="0.2">
      <c r="A132" s="15">
        <v>45051</v>
      </c>
      <c r="B132" s="2" t="s">
        <v>50</v>
      </c>
      <c r="D132" s="4">
        <v>5020</v>
      </c>
      <c r="E132" s="5">
        <f t="shared" si="4"/>
        <v>545898</v>
      </c>
    </row>
    <row r="133" spans="1:9" x14ac:dyDescent="0.2">
      <c r="B133" s="2" t="s">
        <v>38</v>
      </c>
      <c r="D133" s="4">
        <v>2690</v>
      </c>
      <c r="E133" s="5">
        <f t="shared" si="4"/>
        <v>545898</v>
      </c>
    </row>
    <row r="134" spans="1:9" ht="17.5" customHeight="1" x14ac:dyDescent="0.25">
      <c r="A134" s="17">
        <v>45052</v>
      </c>
      <c r="B134" s="12" t="s">
        <v>11</v>
      </c>
      <c r="D134" s="4">
        <v>200</v>
      </c>
      <c r="E134" s="5">
        <f t="shared" si="4"/>
        <v>545898</v>
      </c>
    </row>
    <row r="135" spans="1:9" x14ac:dyDescent="0.2">
      <c r="E135" s="5">
        <f t="shared" si="4"/>
        <v>545898</v>
      </c>
      <c r="H135" s="7" t="s">
        <v>51</v>
      </c>
      <c r="I135" s="8">
        <f>-C3+E125</f>
        <v>407808</v>
      </c>
    </row>
    <row r="136" spans="1:9" x14ac:dyDescent="0.2">
      <c r="E136" s="5">
        <f t="shared" si="4"/>
        <v>545898</v>
      </c>
    </row>
    <row r="137" spans="1:9" x14ac:dyDescent="0.2">
      <c r="E137" s="5">
        <f t="shared" si="4"/>
        <v>545898</v>
      </c>
    </row>
    <row r="138" spans="1:9" x14ac:dyDescent="0.2">
      <c r="E138" s="5">
        <f t="shared" si="4"/>
        <v>545898</v>
      </c>
    </row>
    <row r="139" spans="1:9" x14ac:dyDescent="0.2">
      <c r="E139" s="5">
        <f t="shared" si="4"/>
        <v>545898</v>
      </c>
    </row>
    <row r="140" spans="1:9" x14ac:dyDescent="0.2">
      <c r="E140" s="5">
        <f t="shared" si="4"/>
        <v>545898</v>
      </c>
    </row>
    <row r="141" spans="1:9" x14ac:dyDescent="0.2">
      <c r="E141" s="5">
        <f>E140+C143-D143</f>
        <v>545898</v>
      </c>
    </row>
    <row r="142" spans="1:9" x14ac:dyDescent="0.2">
      <c r="E142" s="5">
        <f>E141+C144-D144</f>
        <v>545898</v>
      </c>
    </row>
    <row r="143" spans="1:9" x14ac:dyDescent="0.2">
      <c r="E143" s="5">
        <f>E142+C145-D145</f>
        <v>545898</v>
      </c>
    </row>
    <row r="144" spans="1:9" x14ac:dyDescent="0.2">
      <c r="E144" s="5">
        <f>E143+C144-D145</f>
        <v>545898</v>
      </c>
    </row>
    <row r="145" spans="5:5" x14ac:dyDescent="0.2">
      <c r="E145" s="5">
        <f>E144+C145-D145</f>
        <v>545898</v>
      </c>
    </row>
  </sheetData>
  <pageMargins left="0.7" right="0.7" top="0.75" bottom="0.75" header="0.51180555555555551" footer="0.51180555555555551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4"/>
  <sheetViews>
    <sheetView zoomScale="110" zoomScaleNormal="110" workbookViewId="0">
      <selection activeCell="G25" sqref="G25:G35"/>
    </sheetView>
  </sheetViews>
  <sheetFormatPr baseColWidth="10" defaultColWidth="8.83203125" defaultRowHeight="14" x14ac:dyDescent="0.2"/>
  <cols>
    <col min="1" max="1" width="15" style="23" customWidth="1"/>
    <col min="2" max="2" width="48.1640625" style="21" customWidth="1"/>
    <col min="3" max="4" width="17.33203125" style="21" customWidth="1"/>
    <col min="5" max="5" width="5.33203125" style="19" customWidth="1"/>
    <col min="6" max="6" width="4" style="23" customWidth="1"/>
    <col min="7" max="7" width="37.83203125" style="21" customWidth="1"/>
    <col min="8" max="10" width="17.33203125" style="21" customWidth="1"/>
    <col min="11" max="11" width="8.83203125" style="19" customWidth="1"/>
    <col min="12" max="16384" width="8.83203125" style="19"/>
  </cols>
  <sheetData>
    <row r="1" spans="1:10" x14ac:dyDescent="0.2">
      <c r="A1" s="89" t="s">
        <v>52</v>
      </c>
      <c r="B1" s="90"/>
      <c r="C1" s="90"/>
      <c r="D1" s="91"/>
      <c r="F1" s="89" t="s">
        <v>53</v>
      </c>
      <c r="G1" s="90"/>
      <c r="H1" s="90"/>
      <c r="I1" s="90"/>
      <c r="J1" s="91"/>
    </row>
    <row r="2" spans="1:10" x14ac:dyDescent="0.2">
      <c r="A2" s="23" t="s">
        <v>54</v>
      </c>
      <c r="B2" s="23" t="s">
        <v>55</v>
      </c>
      <c r="C2" s="23" t="s">
        <v>56</v>
      </c>
      <c r="D2" s="23" t="s">
        <v>57</v>
      </c>
      <c r="F2" s="23" t="s">
        <v>58</v>
      </c>
      <c r="G2" s="23" t="s">
        <v>55</v>
      </c>
      <c r="H2" s="23" t="s">
        <v>56</v>
      </c>
      <c r="I2" s="23" t="s">
        <v>59</v>
      </c>
      <c r="J2" s="23" t="s">
        <v>60</v>
      </c>
    </row>
    <row r="3" spans="1:10" x14ac:dyDescent="0.2">
      <c r="A3" s="92" t="s">
        <v>61</v>
      </c>
      <c r="B3" s="90"/>
      <c r="C3" s="91"/>
      <c r="D3" s="34">
        <v>55000</v>
      </c>
      <c r="F3" s="92" t="s">
        <v>62</v>
      </c>
      <c r="G3" s="90"/>
      <c r="H3" s="90"/>
      <c r="I3" s="91"/>
      <c r="J3" s="34">
        <v>1186038</v>
      </c>
    </row>
    <row r="4" spans="1:10" x14ac:dyDescent="0.2">
      <c r="A4" s="31">
        <v>45292</v>
      </c>
      <c r="B4" s="32" t="s">
        <v>45</v>
      </c>
      <c r="C4" s="33">
        <f>1156+2802</f>
        <v>3958</v>
      </c>
      <c r="D4" s="33">
        <f t="shared" ref="D4:D42" si="0">D3-C4</f>
        <v>51042</v>
      </c>
      <c r="F4" s="23">
        <v>1</v>
      </c>
      <c r="G4" s="21" t="s">
        <v>114</v>
      </c>
      <c r="H4" s="33">
        <v>1100</v>
      </c>
      <c r="I4" s="33"/>
      <c r="J4" s="33">
        <f t="shared" ref="J4:J9" si="1">J3-H4+I4</f>
        <v>1184938</v>
      </c>
    </row>
    <row r="5" spans="1:10" x14ac:dyDescent="0.2">
      <c r="A5" s="31">
        <v>45293</v>
      </c>
      <c r="B5" s="32" t="s">
        <v>38</v>
      </c>
      <c r="C5" s="33">
        <f>3812+416+503</f>
        <v>4731</v>
      </c>
      <c r="D5" s="33">
        <f t="shared" si="0"/>
        <v>46311</v>
      </c>
      <c r="F5" s="23">
        <v>2</v>
      </c>
      <c r="G5" s="21" t="s">
        <v>115</v>
      </c>
      <c r="H5" s="33">
        <f>2600</f>
        <v>2600</v>
      </c>
      <c r="I5" s="33"/>
      <c r="J5" s="33">
        <f t="shared" si="1"/>
        <v>1182338</v>
      </c>
    </row>
    <row r="6" spans="1:10" x14ac:dyDescent="0.2">
      <c r="A6" s="31">
        <v>45294</v>
      </c>
      <c r="B6" s="32" t="s">
        <v>45</v>
      </c>
      <c r="C6" s="33">
        <v>1556</v>
      </c>
      <c r="D6" s="33">
        <f t="shared" si="0"/>
        <v>44755</v>
      </c>
      <c r="F6" s="23">
        <v>3</v>
      </c>
      <c r="G6" s="32" t="s">
        <v>114</v>
      </c>
      <c r="H6" s="33">
        <v>2450</v>
      </c>
      <c r="I6" s="33"/>
      <c r="J6" s="33">
        <f t="shared" si="1"/>
        <v>1179888</v>
      </c>
    </row>
    <row r="7" spans="1:10" x14ac:dyDescent="0.2">
      <c r="A7" s="31">
        <v>45295</v>
      </c>
      <c r="B7" s="32"/>
      <c r="C7" s="33"/>
      <c r="D7" s="33">
        <f t="shared" si="0"/>
        <v>44755</v>
      </c>
      <c r="F7" s="23">
        <v>4</v>
      </c>
      <c r="G7" s="21" t="s">
        <v>63</v>
      </c>
      <c r="H7" s="33">
        <v>48596</v>
      </c>
      <c r="I7" s="33"/>
      <c r="J7" s="33">
        <f t="shared" si="1"/>
        <v>1131292</v>
      </c>
    </row>
    <row r="8" spans="1:10" x14ac:dyDescent="0.2">
      <c r="A8" s="31">
        <v>45296</v>
      </c>
      <c r="D8" s="33">
        <f t="shared" si="0"/>
        <v>44755</v>
      </c>
      <c r="F8" s="23">
        <v>5</v>
      </c>
      <c r="G8" s="21" t="s">
        <v>113</v>
      </c>
      <c r="H8" s="33">
        <v>55000</v>
      </c>
      <c r="I8" s="33"/>
      <c r="J8" s="33">
        <f t="shared" si="1"/>
        <v>1076292</v>
      </c>
    </row>
    <row r="9" spans="1:10" x14ac:dyDescent="0.2">
      <c r="A9" s="31">
        <v>45297</v>
      </c>
      <c r="B9" s="21" t="s">
        <v>65</v>
      </c>
      <c r="C9" s="33">
        <v>300</v>
      </c>
      <c r="D9" s="33">
        <f t="shared" si="0"/>
        <v>44455</v>
      </c>
      <c r="F9" s="94" t="s">
        <v>4</v>
      </c>
      <c r="G9" s="90"/>
      <c r="H9" s="90"/>
      <c r="I9" s="91"/>
      <c r="J9" s="37">
        <f t="shared" si="1"/>
        <v>1076292</v>
      </c>
    </row>
    <row r="10" spans="1:10" x14ac:dyDescent="0.2">
      <c r="A10" s="31">
        <v>45298</v>
      </c>
      <c r="B10" s="22" t="s">
        <v>45</v>
      </c>
      <c r="C10" s="33">
        <v>2990</v>
      </c>
      <c r="D10" s="33">
        <f t="shared" si="0"/>
        <v>41465</v>
      </c>
      <c r="F10" s="49"/>
      <c r="G10" s="50"/>
      <c r="H10" s="51"/>
      <c r="I10" s="51"/>
      <c r="J10" s="51"/>
    </row>
    <row r="11" spans="1:10" x14ac:dyDescent="0.2">
      <c r="A11" s="31">
        <v>45299</v>
      </c>
      <c r="B11" s="22" t="s">
        <v>38</v>
      </c>
      <c r="C11" s="33">
        <f>3021+1724</f>
        <v>4745</v>
      </c>
      <c r="D11" s="33">
        <f t="shared" si="0"/>
        <v>36720</v>
      </c>
      <c r="H11" s="33"/>
      <c r="I11" s="33"/>
      <c r="J11" s="33"/>
    </row>
    <row r="12" spans="1:10" x14ac:dyDescent="0.2">
      <c r="B12" s="22" t="s">
        <v>116</v>
      </c>
      <c r="C12" s="33">
        <v>2570</v>
      </c>
      <c r="D12" s="33">
        <f t="shared" si="0"/>
        <v>34150</v>
      </c>
      <c r="H12" s="33"/>
      <c r="I12" s="33"/>
      <c r="J12" s="33"/>
    </row>
    <row r="13" spans="1:10" x14ac:dyDescent="0.2">
      <c r="A13" s="31">
        <v>45300</v>
      </c>
      <c r="B13" s="22" t="s">
        <v>28</v>
      </c>
      <c r="C13" s="33">
        <v>700</v>
      </c>
      <c r="D13" s="33">
        <f t="shared" si="0"/>
        <v>33450</v>
      </c>
      <c r="H13" s="33"/>
      <c r="I13" s="33"/>
      <c r="J13" s="33"/>
    </row>
    <row r="14" spans="1:10" x14ac:dyDescent="0.2">
      <c r="A14" s="31">
        <v>45301</v>
      </c>
      <c r="B14" s="22" t="s">
        <v>28</v>
      </c>
      <c r="C14" s="33">
        <v>700</v>
      </c>
      <c r="D14" s="33">
        <f t="shared" si="0"/>
        <v>32750</v>
      </c>
      <c r="H14" s="33"/>
      <c r="I14" s="33"/>
      <c r="J14" s="33"/>
    </row>
    <row r="15" spans="1:10" x14ac:dyDescent="0.2">
      <c r="A15" s="31">
        <v>45302</v>
      </c>
      <c r="B15" s="22" t="s">
        <v>38</v>
      </c>
      <c r="C15" s="33">
        <v>3977</v>
      </c>
      <c r="D15" s="33">
        <f t="shared" si="0"/>
        <v>28773</v>
      </c>
      <c r="H15" s="33"/>
      <c r="I15" s="33"/>
      <c r="J15" s="33"/>
    </row>
    <row r="16" spans="1:10" x14ac:dyDescent="0.2">
      <c r="A16" s="31"/>
      <c r="B16" s="22" t="s">
        <v>65</v>
      </c>
      <c r="C16" s="33">
        <v>300</v>
      </c>
      <c r="D16" s="33">
        <f t="shared" si="0"/>
        <v>28473</v>
      </c>
      <c r="H16" s="33"/>
      <c r="I16" s="33"/>
      <c r="J16" s="33"/>
    </row>
    <row r="17" spans="1:4" x14ac:dyDescent="0.2">
      <c r="A17" s="31">
        <v>45303</v>
      </c>
      <c r="B17" s="22" t="s">
        <v>38</v>
      </c>
      <c r="C17" s="33">
        <v>2605</v>
      </c>
      <c r="D17" s="33">
        <f t="shared" si="0"/>
        <v>25868</v>
      </c>
    </row>
    <row r="18" spans="1:4" x14ac:dyDescent="0.2">
      <c r="A18" s="31">
        <v>45304</v>
      </c>
      <c r="B18" s="22" t="s">
        <v>38</v>
      </c>
      <c r="C18" s="33">
        <v>1712</v>
      </c>
      <c r="D18" s="33">
        <f t="shared" si="0"/>
        <v>24156</v>
      </c>
    </row>
    <row r="19" spans="1:4" x14ac:dyDescent="0.2">
      <c r="A19" s="31">
        <v>45305</v>
      </c>
      <c r="B19" s="22"/>
      <c r="C19" s="33"/>
      <c r="D19" s="33">
        <f t="shared" si="0"/>
        <v>24156</v>
      </c>
    </row>
    <row r="20" spans="1:4" x14ac:dyDescent="0.2">
      <c r="A20" s="31">
        <v>45306</v>
      </c>
      <c r="B20" s="22"/>
      <c r="C20" s="33"/>
      <c r="D20" s="33">
        <f t="shared" si="0"/>
        <v>24156</v>
      </c>
    </row>
    <row r="21" spans="1:4" x14ac:dyDescent="0.2">
      <c r="A21" s="31">
        <v>45307</v>
      </c>
      <c r="B21" s="22" t="s">
        <v>28</v>
      </c>
      <c r="C21" s="33">
        <f>245+500</f>
        <v>745</v>
      </c>
      <c r="D21" s="33">
        <f t="shared" si="0"/>
        <v>23411</v>
      </c>
    </row>
    <row r="22" spans="1:4" x14ac:dyDescent="0.2">
      <c r="A22" s="31">
        <v>45308</v>
      </c>
      <c r="B22" s="22" t="s">
        <v>28</v>
      </c>
      <c r="C22" s="33">
        <f>495+130+500</f>
        <v>1125</v>
      </c>
      <c r="D22" s="33">
        <f t="shared" si="0"/>
        <v>22286</v>
      </c>
    </row>
    <row r="23" spans="1:4" x14ac:dyDescent="0.2">
      <c r="B23" s="22" t="s">
        <v>45</v>
      </c>
      <c r="C23" s="33">
        <v>2075</v>
      </c>
      <c r="D23" s="33">
        <f t="shared" si="0"/>
        <v>20211</v>
      </c>
    </row>
    <row r="24" spans="1:4" x14ac:dyDescent="0.2">
      <c r="A24" s="31">
        <v>45309</v>
      </c>
      <c r="B24" s="22" t="s">
        <v>28</v>
      </c>
      <c r="C24" s="33">
        <v>500</v>
      </c>
      <c r="D24" s="33">
        <f t="shared" si="0"/>
        <v>19711</v>
      </c>
    </row>
    <row r="25" spans="1:4" x14ac:dyDescent="0.2">
      <c r="A25" s="31"/>
      <c r="B25" s="22" t="s">
        <v>65</v>
      </c>
      <c r="C25" s="33">
        <v>300</v>
      </c>
      <c r="D25" s="33">
        <f t="shared" si="0"/>
        <v>19411</v>
      </c>
    </row>
    <row r="26" spans="1:4" x14ac:dyDescent="0.2">
      <c r="A26" s="31">
        <v>45310</v>
      </c>
      <c r="B26" s="22"/>
      <c r="C26" s="33"/>
      <c r="D26" s="33">
        <f t="shared" si="0"/>
        <v>19411</v>
      </c>
    </row>
    <row r="27" spans="1:4" x14ac:dyDescent="0.2">
      <c r="A27" s="31">
        <v>45311</v>
      </c>
      <c r="B27" s="22" t="s">
        <v>28</v>
      </c>
      <c r="C27" s="33">
        <v>600</v>
      </c>
      <c r="D27" s="33">
        <f t="shared" si="0"/>
        <v>18811</v>
      </c>
    </row>
    <row r="28" spans="1:4" x14ac:dyDescent="0.2">
      <c r="A28" s="31">
        <v>45312</v>
      </c>
      <c r="B28" s="22"/>
      <c r="C28" s="33"/>
      <c r="D28" s="33">
        <f t="shared" si="0"/>
        <v>18811</v>
      </c>
    </row>
    <row r="29" spans="1:4" x14ac:dyDescent="0.2">
      <c r="A29" s="31">
        <v>45313</v>
      </c>
      <c r="B29" s="22" t="s">
        <v>28</v>
      </c>
      <c r="C29" s="33">
        <v>600</v>
      </c>
      <c r="D29" s="33">
        <f t="shared" si="0"/>
        <v>18211</v>
      </c>
    </row>
    <row r="30" spans="1:4" x14ac:dyDescent="0.2">
      <c r="A30" s="31">
        <v>45314</v>
      </c>
      <c r="B30" s="22"/>
      <c r="C30" s="33"/>
      <c r="D30" s="33">
        <f t="shared" si="0"/>
        <v>18211</v>
      </c>
    </row>
    <row r="31" spans="1:4" x14ac:dyDescent="0.2">
      <c r="B31" s="22" t="s">
        <v>38</v>
      </c>
      <c r="C31" s="33">
        <f>3654+3812</f>
        <v>7466</v>
      </c>
      <c r="D31" s="33">
        <f t="shared" si="0"/>
        <v>10745</v>
      </c>
    </row>
    <row r="32" spans="1:4" x14ac:dyDescent="0.2">
      <c r="B32" s="22" t="s">
        <v>65</v>
      </c>
      <c r="C32" s="33">
        <v>300</v>
      </c>
      <c r="D32" s="33">
        <f t="shared" si="0"/>
        <v>10445</v>
      </c>
    </row>
    <row r="33" spans="1:4" x14ac:dyDescent="0.2">
      <c r="A33" s="31">
        <v>45315</v>
      </c>
      <c r="B33" s="22" t="s">
        <v>28</v>
      </c>
      <c r="C33" s="33">
        <v>600</v>
      </c>
      <c r="D33" s="33">
        <f t="shared" si="0"/>
        <v>9845</v>
      </c>
    </row>
    <row r="34" spans="1:4" x14ac:dyDescent="0.2">
      <c r="A34" s="31">
        <v>45316</v>
      </c>
      <c r="B34" s="22"/>
      <c r="C34" s="33"/>
      <c r="D34" s="33">
        <f t="shared" si="0"/>
        <v>9845</v>
      </c>
    </row>
    <row r="35" spans="1:4" x14ac:dyDescent="0.2">
      <c r="B35" s="22" t="s">
        <v>45</v>
      </c>
      <c r="C35" s="33">
        <v>220</v>
      </c>
      <c r="D35" s="33">
        <f t="shared" si="0"/>
        <v>9625</v>
      </c>
    </row>
    <row r="36" spans="1:4" x14ac:dyDescent="0.2">
      <c r="A36" s="31">
        <v>45317</v>
      </c>
      <c r="B36" s="22"/>
      <c r="C36" s="33"/>
      <c r="D36" s="33">
        <f t="shared" si="0"/>
        <v>9625</v>
      </c>
    </row>
    <row r="37" spans="1:4" x14ac:dyDescent="0.2">
      <c r="A37" s="31">
        <v>45318</v>
      </c>
      <c r="B37" s="22"/>
      <c r="C37" s="33"/>
      <c r="D37" s="33">
        <f t="shared" si="0"/>
        <v>9625</v>
      </c>
    </row>
    <row r="38" spans="1:4" x14ac:dyDescent="0.2">
      <c r="A38" s="31">
        <v>45319</v>
      </c>
      <c r="B38" s="22" t="s">
        <v>28</v>
      </c>
      <c r="C38" s="33">
        <v>500</v>
      </c>
      <c r="D38" s="33">
        <f t="shared" si="0"/>
        <v>9125</v>
      </c>
    </row>
    <row r="39" spans="1:4" x14ac:dyDescent="0.2">
      <c r="A39" s="31">
        <v>45320</v>
      </c>
      <c r="B39" s="22"/>
      <c r="C39" s="33"/>
      <c r="D39" s="33">
        <f t="shared" si="0"/>
        <v>9125</v>
      </c>
    </row>
    <row r="40" spans="1:4" x14ac:dyDescent="0.2">
      <c r="A40" s="31">
        <v>45321</v>
      </c>
      <c r="B40" s="22" t="s">
        <v>45</v>
      </c>
      <c r="C40" s="33">
        <v>4261</v>
      </c>
      <c r="D40" s="33">
        <f t="shared" si="0"/>
        <v>4864</v>
      </c>
    </row>
    <row r="41" spans="1:4" x14ac:dyDescent="0.2">
      <c r="B41" s="22" t="s">
        <v>65</v>
      </c>
      <c r="C41" s="33">
        <v>300</v>
      </c>
      <c r="D41" s="33">
        <f t="shared" si="0"/>
        <v>4564</v>
      </c>
    </row>
    <row r="42" spans="1:4" x14ac:dyDescent="0.2">
      <c r="A42" s="31">
        <v>45322</v>
      </c>
      <c r="B42" s="21" t="s">
        <v>102</v>
      </c>
      <c r="C42" s="33">
        <v>2200</v>
      </c>
      <c r="D42" s="33">
        <f t="shared" si="0"/>
        <v>2364</v>
      </c>
    </row>
    <row r="43" spans="1:4" x14ac:dyDescent="0.2">
      <c r="A43" s="47"/>
      <c r="B43" s="48" t="s">
        <v>95</v>
      </c>
      <c r="C43" s="34">
        <f>SUM(C4:C42)</f>
        <v>52636</v>
      </c>
      <c r="D43" s="34"/>
    </row>
    <row r="44" spans="1:4" x14ac:dyDescent="0.2">
      <c r="A44" s="47"/>
      <c r="B44" s="48" t="s">
        <v>4</v>
      </c>
      <c r="C44" s="34"/>
      <c r="D44" s="34">
        <f>D42</f>
        <v>2364</v>
      </c>
    </row>
  </sheetData>
  <mergeCells count="5">
    <mergeCell ref="A1:D1"/>
    <mergeCell ref="F9:I9"/>
    <mergeCell ref="F3:I3"/>
    <mergeCell ref="A3:C3"/>
    <mergeCell ref="F1:J1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7"/>
  <sheetViews>
    <sheetView zoomScale="110" zoomScaleNormal="110" workbookViewId="0">
      <selection activeCell="H7" sqref="H7"/>
    </sheetView>
  </sheetViews>
  <sheetFormatPr baseColWidth="10" defaultColWidth="8.83203125" defaultRowHeight="14" x14ac:dyDescent="0.2"/>
  <cols>
    <col min="1" max="1" width="12.83203125" style="23" customWidth="1"/>
    <col min="2" max="2" width="41.1640625" style="21" customWidth="1"/>
    <col min="3" max="4" width="17.33203125" style="21" customWidth="1"/>
    <col min="5" max="5" width="8.83203125" style="19" customWidth="1"/>
    <col min="6" max="6" width="4" style="23" customWidth="1"/>
    <col min="7" max="7" width="37.83203125" style="21" customWidth="1"/>
    <col min="8" max="10" width="17.33203125" style="21" customWidth="1"/>
    <col min="11" max="11" width="8.83203125" style="19" customWidth="1"/>
    <col min="12" max="16384" width="8.83203125" style="19"/>
  </cols>
  <sheetData>
    <row r="1" spans="1:10" x14ac:dyDescent="0.2">
      <c r="A1" s="89" t="s">
        <v>52</v>
      </c>
      <c r="B1" s="90"/>
      <c r="C1" s="90"/>
      <c r="D1" s="91"/>
      <c r="F1" s="89" t="s">
        <v>53</v>
      </c>
      <c r="G1" s="90"/>
      <c r="H1" s="90"/>
      <c r="I1" s="90"/>
      <c r="J1" s="91"/>
    </row>
    <row r="2" spans="1:10" x14ac:dyDescent="0.2">
      <c r="A2" s="23" t="s">
        <v>54</v>
      </c>
      <c r="B2" s="23" t="s">
        <v>55</v>
      </c>
      <c r="C2" s="23" t="s">
        <v>56</v>
      </c>
      <c r="D2" s="23" t="s">
        <v>57</v>
      </c>
      <c r="F2" s="23" t="s">
        <v>58</v>
      </c>
      <c r="G2" s="23" t="s">
        <v>55</v>
      </c>
      <c r="H2" s="23" t="s">
        <v>56</v>
      </c>
      <c r="I2" s="23" t="s">
        <v>59</v>
      </c>
      <c r="J2" s="23" t="s">
        <v>60</v>
      </c>
    </row>
    <row r="3" spans="1:10" x14ac:dyDescent="0.2">
      <c r="A3" s="92" t="s">
        <v>61</v>
      </c>
      <c r="B3" s="90"/>
      <c r="C3" s="91"/>
      <c r="D3" s="34">
        <v>55000</v>
      </c>
      <c r="F3" s="92" t="s">
        <v>62</v>
      </c>
      <c r="G3" s="90"/>
      <c r="H3" s="90"/>
      <c r="I3" s="91"/>
      <c r="J3" s="34">
        <f>'24-01'!J9</f>
        <v>1076292</v>
      </c>
    </row>
    <row r="4" spans="1:10" x14ac:dyDescent="0.2">
      <c r="A4" s="31">
        <v>45323</v>
      </c>
      <c r="B4" s="32" t="s">
        <v>117</v>
      </c>
      <c r="C4" s="33">
        <v>3041</v>
      </c>
      <c r="D4" s="33">
        <f t="shared" ref="D4:D36" si="0">D3-C4</f>
        <v>51959</v>
      </c>
      <c r="F4" s="23">
        <v>1</v>
      </c>
      <c r="G4" s="21" t="s">
        <v>118</v>
      </c>
      <c r="H4" s="33"/>
      <c r="I4" s="62">
        <v>780000</v>
      </c>
      <c r="J4" s="33">
        <f>J3-H4+I4</f>
        <v>1856292</v>
      </c>
    </row>
    <row r="5" spans="1:10" x14ac:dyDescent="0.2">
      <c r="B5" s="22" t="s">
        <v>45</v>
      </c>
      <c r="C5" s="33">
        <v>1326</v>
      </c>
      <c r="D5" s="33">
        <f t="shared" si="0"/>
        <v>50633</v>
      </c>
      <c r="F5" s="23">
        <v>2</v>
      </c>
      <c r="G5" s="21" t="s">
        <v>100</v>
      </c>
      <c r="H5" s="33">
        <v>55000</v>
      </c>
      <c r="I5" s="62"/>
      <c r="J5" s="33">
        <f>J4-H5+I5</f>
        <v>1801292</v>
      </c>
    </row>
    <row r="6" spans="1:10" x14ac:dyDescent="0.2">
      <c r="B6" s="22" t="s">
        <v>119</v>
      </c>
      <c r="C6" s="33">
        <v>1100</v>
      </c>
      <c r="D6" s="33">
        <f t="shared" si="0"/>
        <v>49533</v>
      </c>
      <c r="F6" s="23">
        <v>3</v>
      </c>
      <c r="G6" s="21" t="s">
        <v>120</v>
      </c>
      <c r="H6" s="33">
        <v>5560</v>
      </c>
      <c r="I6" s="62"/>
      <c r="J6" s="33">
        <f>J5-H6+I6</f>
        <v>1795732</v>
      </c>
    </row>
    <row r="7" spans="1:10" x14ac:dyDescent="0.2">
      <c r="A7" s="31">
        <v>45324</v>
      </c>
      <c r="B7" s="22" t="s">
        <v>38</v>
      </c>
      <c r="C7" s="33">
        <f>5050+120</f>
        <v>5170</v>
      </c>
      <c r="D7" s="33">
        <f t="shared" si="0"/>
        <v>44363</v>
      </c>
      <c r="F7" s="23">
        <v>4</v>
      </c>
      <c r="G7" s="21" t="s">
        <v>121</v>
      </c>
      <c r="H7" s="33">
        <v>6200</v>
      </c>
      <c r="I7" s="62"/>
      <c r="J7" s="33">
        <f>J6-H7+I7</f>
        <v>1789532</v>
      </c>
    </row>
    <row r="8" spans="1:10" x14ac:dyDescent="0.2">
      <c r="A8" s="31">
        <v>45325</v>
      </c>
      <c r="B8" s="22" t="s">
        <v>65</v>
      </c>
      <c r="C8" s="33">
        <v>300</v>
      </c>
      <c r="D8" s="33">
        <f t="shared" si="0"/>
        <v>44063</v>
      </c>
      <c r="F8" s="98" t="s">
        <v>4</v>
      </c>
      <c r="G8" s="90"/>
      <c r="H8" s="90"/>
      <c r="I8" s="91"/>
      <c r="J8" s="64">
        <f>J7-H8+I8</f>
        <v>1789532</v>
      </c>
    </row>
    <row r="9" spans="1:10" x14ac:dyDescent="0.2">
      <c r="A9" s="31">
        <v>45326</v>
      </c>
      <c r="B9" s="22"/>
      <c r="C9" s="33"/>
      <c r="D9" s="33">
        <f t="shared" si="0"/>
        <v>44063</v>
      </c>
      <c r="F9" s="49"/>
      <c r="G9" s="50"/>
      <c r="H9" s="51"/>
      <c r="I9" s="65"/>
      <c r="J9" s="51"/>
    </row>
    <row r="10" spans="1:10" x14ac:dyDescent="0.2">
      <c r="A10" s="31">
        <v>45327</v>
      </c>
      <c r="B10" s="22"/>
      <c r="C10" s="33"/>
      <c r="D10" s="33">
        <f t="shared" si="0"/>
        <v>44063</v>
      </c>
      <c r="H10" s="33"/>
      <c r="I10" s="62"/>
      <c r="J10" s="33"/>
    </row>
    <row r="11" spans="1:10" x14ac:dyDescent="0.2">
      <c r="A11" s="31">
        <v>45328</v>
      </c>
      <c r="B11" s="22" t="s">
        <v>38</v>
      </c>
      <c r="C11" s="33">
        <v>3701</v>
      </c>
      <c r="D11" s="33">
        <f t="shared" si="0"/>
        <v>40362</v>
      </c>
      <c r="H11" s="33"/>
      <c r="I11" s="62"/>
      <c r="J11" s="33"/>
    </row>
    <row r="12" spans="1:10" x14ac:dyDescent="0.2">
      <c r="A12" s="31">
        <v>45329</v>
      </c>
      <c r="B12" s="22"/>
      <c r="C12" s="33"/>
      <c r="D12" s="33">
        <f t="shared" si="0"/>
        <v>40362</v>
      </c>
      <c r="H12" s="33"/>
      <c r="I12" s="62"/>
      <c r="J12" s="33"/>
    </row>
    <row r="13" spans="1:10" x14ac:dyDescent="0.2">
      <c r="A13" s="31">
        <v>45330</v>
      </c>
      <c r="B13" s="22" t="s">
        <v>45</v>
      </c>
      <c r="C13" s="33">
        <v>220</v>
      </c>
      <c r="D13" s="33">
        <f t="shared" si="0"/>
        <v>40142</v>
      </c>
      <c r="H13" s="33"/>
      <c r="I13" s="62"/>
      <c r="J13" s="33"/>
    </row>
    <row r="14" spans="1:10" x14ac:dyDescent="0.2">
      <c r="A14" s="31">
        <v>45331</v>
      </c>
      <c r="B14" s="22" t="s">
        <v>45</v>
      </c>
      <c r="C14" s="33">
        <f>880+88</f>
        <v>968</v>
      </c>
      <c r="D14" s="33">
        <f t="shared" si="0"/>
        <v>39174</v>
      </c>
      <c r="H14" s="33"/>
      <c r="I14" s="62"/>
      <c r="J14" s="33"/>
    </row>
    <row r="15" spans="1:10" x14ac:dyDescent="0.2">
      <c r="B15" s="22" t="s">
        <v>65</v>
      </c>
      <c r="C15" s="33">
        <v>300</v>
      </c>
      <c r="D15" s="33">
        <f t="shared" si="0"/>
        <v>38874</v>
      </c>
      <c r="H15" s="33"/>
      <c r="I15" s="62"/>
      <c r="J15" s="33"/>
    </row>
    <row r="16" spans="1:10" x14ac:dyDescent="0.2">
      <c r="A16" s="31">
        <v>45332</v>
      </c>
      <c r="D16" s="33">
        <f t="shared" si="0"/>
        <v>38874</v>
      </c>
      <c r="H16" s="33"/>
      <c r="I16" s="62"/>
      <c r="J16" s="33"/>
    </row>
    <row r="17" spans="1:4" x14ac:dyDescent="0.2">
      <c r="A17" s="31">
        <v>45333</v>
      </c>
      <c r="B17" s="22"/>
      <c r="C17" s="33"/>
      <c r="D17" s="33">
        <f t="shared" si="0"/>
        <v>38874</v>
      </c>
    </row>
    <row r="18" spans="1:4" x14ac:dyDescent="0.2">
      <c r="A18" s="31">
        <v>45334</v>
      </c>
      <c r="B18" s="22"/>
      <c r="C18" s="33"/>
      <c r="D18" s="33">
        <f t="shared" si="0"/>
        <v>38874</v>
      </c>
    </row>
    <row r="19" spans="1:4" x14ac:dyDescent="0.2">
      <c r="A19" s="31">
        <v>45335</v>
      </c>
      <c r="B19" s="22" t="s">
        <v>65</v>
      </c>
      <c r="C19" s="33">
        <v>300</v>
      </c>
      <c r="D19" s="33">
        <f t="shared" si="0"/>
        <v>38574</v>
      </c>
    </row>
    <row r="20" spans="1:4" x14ac:dyDescent="0.2">
      <c r="A20" s="31">
        <v>45336</v>
      </c>
      <c r="B20" s="22" t="s">
        <v>38</v>
      </c>
      <c r="C20" s="33">
        <v>3400</v>
      </c>
      <c r="D20" s="33">
        <f t="shared" si="0"/>
        <v>35174</v>
      </c>
    </row>
    <row r="21" spans="1:4" x14ac:dyDescent="0.2">
      <c r="A21" s="31">
        <v>45337</v>
      </c>
      <c r="B21" s="22"/>
      <c r="C21" s="33"/>
      <c r="D21" s="33">
        <f t="shared" si="0"/>
        <v>35174</v>
      </c>
    </row>
    <row r="22" spans="1:4" x14ac:dyDescent="0.2">
      <c r="A22" s="31">
        <v>45338</v>
      </c>
      <c r="B22" s="22" t="s">
        <v>38</v>
      </c>
      <c r="C22" s="33">
        <v>1942</v>
      </c>
      <c r="D22" s="33">
        <f t="shared" si="0"/>
        <v>33232</v>
      </c>
    </row>
    <row r="23" spans="1:4" x14ac:dyDescent="0.2">
      <c r="A23" s="31">
        <v>45339</v>
      </c>
      <c r="B23" s="22" t="s">
        <v>65</v>
      </c>
      <c r="C23" s="33">
        <v>200</v>
      </c>
      <c r="D23" s="33">
        <f t="shared" si="0"/>
        <v>33032</v>
      </c>
    </row>
    <row r="24" spans="1:4" x14ac:dyDescent="0.2">
      <c r="A24" s="31">
        <v>45340</v>
      </c>
      <c r="B24" s="22"/>
      <c r="C24" s="33"/>
      <c r="D24" s="33">
        <f t="shared" si="0"/>
        <v>33032</v>
      </c>
    </row>
    <row r="25" spans="1:4" x14ac:dyDescent="0.2">
      <c r="A25" s="31">
        <v>45341</v>
      </c>
      <c r="B25" s="22"/>
      <c r="C25" s="33"/>
      <c r="D25" s="33">
        <f t="shared" si="0"/>
        <v>33032</v>
      </c>
    </row>
    <row r="26" spans="1:4" x14ac:dyDescent="0.2">
      <c r="A26" s="31">
        <v>45342</v>
      </c>
      <c r="B26" s="22" t="s">
        <v>38</v>
      </c>
      <c r="C26" s="33">
        <f>850+4148</f>
        <v>4998</v>
      </c>
      <c r="D26" s="33">
        <f t="shared" si="0"/>
        <v>28034</v>
      </c>
    </row>
    <row r="27" spans="1:4" x14ac:dyDescent="0.2">
      <c r="A27" s="31">
        <v>45343</v>
      </c>
      <c r="B27" s="22" t="s">
        <v>38</v>
      </c>
      <c r="C27" s="33">
        <v>2585</v>
      </c>
      <c r="D27" s="33">
        <f t="shared" si="0"/>
        <v>25449</v>
      </c>
    </row>
    <row r="28" spans="1:4" x14ac:dyDescent="0.2">
      <c r="A28" s="31">
        <v>45344</v>
      </c>
      <c r="B28" s="22"/>
      <c r="C28" s="33"/>
      <c r="D28" s="33">
        <f t="shared" si="0"/>
        <v>25449</v>
      </c>
    </row>
    <row r="29" spans="1:4" x14ac:dyDescent="0.2">
      <c r="A29" s="31">
        <v>45345</v>
      </c>
      <c r="B29" s="22"/>
      <c r="C29" s="33"/>
      <c r="D29" s="33">
        <f t="shared" si="0"/>
        <v>25449</v>
      </c>
    </row>
    <row r="30" spans="1:4" x14ac:dyDescent="0.2">
      <c r="A30" s="31">
        <v>45346</v>
      </c>
      <c r="B30" s="22"/>
      <c r="C30" s="33"/>
      <c r="D30" s="33">
        <f t="shared" si="0"/>
        <v>25449</v>
      </c>
    </row>
    <row r="31" spans="1:4" x14ac:dyDescent="0.2">
      <c r="A31" s="31">
        <v>45347</v>
      </c>
      <c r="B31" s="22"/>
      <c r="C31" s="33"/>
      <c r="D31" s="33">
        <f t="shared" si="0"/>
        <v>25449</v>
      </c>
    </row>
    <row r="32" spans="1:4" x14ac:dyDescent="0.2">
      <c r="A32" s="31">
        <v>45348</v>
      </c>
      <c r="B32" s="22" t="s">
        <v>38</v>
      </c>
      <c r="C32" s="33">
        <f>150+1482</f>
        <v>1632</v>
      </c>
      <c r="D32" s="33">
        <f t="shared" si="0"/>
        <v>23817</v>
      </c>
    </row>
    <row r="33" spans="1:4" x14ac:dyDescent="0.2">
      <c r="A33" s="31">
        <v>45349</v>
      </c>
      <c r="B33" s="22" t="s">
        <v>122</v>
      </c>
      <c r="C33" s="33">
        <v>2379</v>
      </c>
      <c r="D33" s="33">
        <f t="shared" si="0"/>
        <v>21438</v>
      </c>
    </row>
    <row r="34" spans="1:4" x14ac:dyDescent="0.2">
      <c r="A34" s="31">
        <v>45350</v>
      </c>
      <c r="B34" s="21" t="s">
        <v>65</v>
      </c>
      <c r="C34" s="33">
        <v>300</v>
      </c>
      <c r="D34" s="33">
        <f t="shared" si="0"/>
        <v>21138</v>
      </c>
    </row>
    <row r="35" spans="1:4" x14ac:dyDescent="0.2">
      <c r="A35" s="31">
        <v>45351</v>
      </c>
      <c r="B35" s="22" t="s">
        <v>45</v>
      </c>
      <c r="C35" s="33">
        <f>330+495</f>
        <v>825</v>
      </c>
      <c r="D35" s="33">
        <f t="shared" si="0"/>
        <v>20313</v>
      </c>
    </row>
    <row r="36" spans="1:4" x14ac:dyDescent="0.2">
      <c r="A36" s="47"/>
      <c r="B36" s="48" t="s">
        <v>4</v>
      </c>
      <c r="C36" s="34"/>
      <c r="D36" s="34">
        <f t="shared" si="0"/>
        <v>20313</v>
      </c>
    </row>
    <row r="37" spans="1:4" x14ac:dyDescent="0.2">
      <c r="A37" s="47"/>
      <c r="B37" s="63" t="s">
        <v>95</v>
      </c>
      <c r="C37" s="34">
        <f>SUM(C4:C35)</f>
        <v>34687</v>
      </c>
      <c r="D37" s="34"/>
    </row>
  </sheetData>
  <mergeCells count="5">
    <mergeCell ref="A1:D1"/>
    <mergeCell ref="F8:I8"/>
    <mergeCell ref="F3:I3"/>
    <mergeCell ref="A3:C3"/>
    <mergeCell ref="F1:J1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43"/>
  <sheetViews>
    <sheetView zoomScale="130" zoomScaleNormal="130" workbookViewId="0">
      <selection activeCell="H14" sqref="H14"/>
    </sheetView>
  </sheetViews>
  <sheetFormatPr baseColWidth="10" defaultColWidth="8.83203125" defaultRowHeight="14" x14ac:dyDescent="0.2"/>
  <cols>
    <col min="1" max="1" width="12.83203125" style="23" customWidth="1"/>
    <col min="2" max="2" width="21.83203125" style="21" customWidth="1"/>
    <col min="3" max="4" width="12.1640625" style="21" customWidth="1"/>
    <col min="5" max="5" width="1.5" style="19" customWidth="1"/>
    <col min="6" max="6" width="4" style="23" customWidth="1"/>
    <col min="7" max="7" width="37.83203125" style="21" customWidth="1"/>
    <col min="8" max="8" width="17.33203125" style="21" customWidth="1"/>
    <col min="9" max="9" width="17.33203125" style="67" customWidth="1"/>
    <col min="10" max="10" width="17.33203125" style="21" customWidth="1"/>
    <col min="11" max="11" width="1.5" style="19" customWidth="1"/>
    <col min="12" max="13" width="19.83203125" style="21" customWidth="1"/>
    <col min="14" max="14" width="1.33203125" style="19" customWidth="1"/>
    <col min="15" max="15" width="13.83203125" style="19" customWidth="1"/>
    <col min="16" max="17" width="14" style="19" customWidth="1"/>
    <col min="18" max="18" width="8.83203125" style="19" customWidth="1"/>
    <col min="19" max="16384" width="8.83203125" style="19"/>
  </cols>
  <sheetData>
    <row r="1" spans="1:17" x14ac:dyDescent="0.2">
      <c r="A1" s="89" t="s">
        <v>52</v>
      </c>
      <c r="B1" s="90"/>
      <c r="C1" s="90"/>
      <c r="D1" s="91"/>
      <c r="F1" s="89" t="s">
        <v>53</v>
      </c>
      <c r="G1" s="90"/>
      <c r="H1" s="90"/>
      <c r="I1" s="90"/>
      <c r="J1" s="91"/>
    </row>
    <row r="2" spans="1:17" x14ac:dyDescent="0.2">
      <c r="A2" s="23" t="s">
        <v>54</v>
      </c>
      <c r="B2" s="23" t="s">
        <v>55</v>
      </c>
      <c r="C2" s="23" t="s">
        <v>56</v>
      </c>
      <c r="D2" s="23" t="s">
        <v>57</v>
      </c>
      <c r="F2" s="23" t="s">
        <v>58</v>
      </c>
      <c r="G2" s="23" t="s">
        <v>55</v>
      </c>
      <c r="H2" s="23" t="s">
        <v>56</v>
      </c>
      <c r="I2" s="23" t="s">
        <v>59</v>
      </c>
      <c r="J2" s="23" t="s">
        <v>60</v>
      </c>
      <c r="L2" s="21" t="s">
        <v>123</v>
      </c>
      <c r="M2" s="21" t="s">
        <v>124</v>
      </c>
      <c r="O2" s="21" t="s">
        <v>0</v>
      </c>
      <c r="P2" s="21" t="s">
        <v>123</v>
      </c>
      <c r="Q2" s="21" t="s">
        <v>124</v>
      </c>
    </row>
    <row r="3" spans="1:17" x14ac:dyDescent="0.2">
      <c r="A3" s="92" t="s">
        <v>61</v>
      </c>
      <c r="B3" s="90"/>
      <c r="C3" s="91"/>
      <c r="D3" s="34">
        <v>55000</v>
      </c>
      <c r="F3" s="92" t="s">
        <v>62</v>
      </c>
      <c r="G3" s="90"/>
      <c r="H3" s="90"/>
      <c r="I3" s="91"/>
      <c r="J3" s="34">
        <f>'24-02'!J8</f>
        <v>1789532</v>
      </c>
      <c r="L3" s="22" t="s">
        <v>125</v>
      </c>
      <c r="M3" s="33">
        <v>9900</v>
      </c>
      <c r="N3" s="68"/>
      <c r="O3" s="69">
        <v>45381</v>
      </c>
      <c r="P3" s="22" t="s">
        <v>28</v>
      </c>
      <c r="Q3" s="33">
        <v>3822</v>
      </c>
    </row>
    <row r="4" spans="1:17" x14ac:dyDescent="0.2">
      <c r="A4" s="31">
        <v>45352</v>
      </c>
      <c r="B4" s="32"/>
      <c r="C4" s="33"/>
      <c r="D4" s="33">
        <f t="shared" ref="D4:D15" si="0">D3-C4</f>
        <v>55000</v>
      </c>
      <c r="F4" s="23">
        <v>1</v>
      </c>
      <c r="G4" s="21" t="s">
        <v>126</v>
      </c>
      <c r="H4" s="33">
        <v>7500</v>
      </c>
      <c r="I4" s="66"/>
      <c r="J4" s="33">
        <f t="shared" ref="J4:J12" si="1">J3-H4+I4</f>
        <v>1782032</v>
      </c>
      <c r="L4" s="22" t="s">
        <v>127</v>
      </c>
      <c r="M4" s="33">
        <v>17900</v>
      </c>
      <c r="N4" s="68"/>
      <c r="O4" s="21"/>
      <c r="P4" s="22" t="s">
        <v>128</v>
      </c>
      <c r="Q4" s="33">
        <v>861</v>
      </c>
    </row>
    <row r="5" spans="1:17" x14ac:dyDescent="0.2">
      <c r="A5" s="31">
        <v>45353</v>
      </c>
      <c r="B5" s="32" t="s">
        <v>38</v>
      </c>
      <c r="C5" s="33">
        <f>432+1618</f>
        <v>2050</v>
      </c>
      <c r="D5" s="33">
        <f t="shared" si="0"/>
        <v>52950</v>
      </c>
      <c r="F5" s="23">
        <v>2</v>
      </c>
      <c r="G5" s="21" t="s">
        <v>129</v>
      </c>
      <c r="H5" s="33"/>
      <c r="I5" s="66">
        <v>990000</v>
      </c>
      <c r="J5" s="33">
        <f t="shared" si="1"/>
        <v>2772032</v>
      </c>
      <c r="L5" s="22" t="s">
        <v>130</v>
      </c>
      <c r="M5" s="33">
        <v>3000</v>
      </c>
      <c r="N5" s="68"/>
      <c r="O5" s="69">
        <v>45382</v>
      </c>
      <c r="P5" s="22" t="s">
        <v>28</v>
      </c>
      <c r="Q5" s="33">
        <v>2705</v>
      </c>
    </row>
    <row r="6" spans="1:17" x14ac:dyDescent="0.2">
      <c r="A6" s="31">
        <v>45354</v>
      </c>
      <c r="B6" s="22" t="s">
        <v>45</v>
      </c>
      <c r="C6" s="33">
        <v>518</v>
      </c>
      <c r="D6" s="33">
        <f t="shared" si="0"/>
        <v>52432</v>
      </c>
      <c r="F6" s="23">
        <v>3</v>
      </c>
      <c r="G6" s="21" t="s">
        <v>100</v>
      </c>
      <c r="H6" s="33">
        <v>55000</v>
      </c>
      <c r="I6" s="66"/>
      <c r="J6" s="33">
        <f t="shared" si="1"/>
        <v>2717032</v>
      </c>
      <c r="L6" s="22" t="s">
        <v>131</v>
      </c>
      <c r="M6" s="33">
        <v>5000</v>
      </c>
      <c r="N6" s="68"/>
      <c r="O6" s="69"/>
      <c r="P6" s="22" t="s">
        <v>28</v>
      </c>
      <c r="Q6" s="33">
        <v>1545</v>
      </c>
    </row>
    <row r="7" spans="1:17" x14ac:dyDescent="0.2">
      <c r="A7" s="31">
        <v>45355</v>
      </c>
      <c r="B7" s="22"/>
      <c r="C7" s="33"/>
      <c r="D7" s="33">
        <f t="shared" si="0"/>
        <v>52432</v>
      </c>
      <c r="F7" s="23">
        <v>4</v>
      </c>
      <c r="G7" s="21" t="s">
        <v>132</v>
      </c>
      <c r="H7" s="33"/>
      <c r="I7" s="66">
        <v>50000</v>
      </c>
      <c r="J7" s="33">
        <f t="shared" si="1"/>
        <v>2767032</v>
      </c>
      <c r="L7" s="22" t="s">
        <v>133</v>
      </c>
      <c r="M7" s="33">
        <v>1182</v>
      </c>
      <c r="N7" s="68"/>
      <c r="O7" s="69"/>
      <c r="P7" s="22" t="s">
        <v>134</v>
      </c>
      <c r="Q7" s="33">
        <v>5951</v>
      </c>
    </row>
    <row r="8" spans="1:17" x14ac:dyDescent="0.2">
      <c r="A8" s="31">
        <v>45356</v>
      </c>
      <c r="B8" s="22" t="s">
        <v>38</v>
      </c>
      <c r="C8" s="33">
        <f>3051</f>
        <v>3051</v>
      </c>
      <c r="D8" s="33">
        <f t="shared" si="0"/>
        <v>49381</v>
      </c>
      <c r="F8" s="23">
        <v>5</v>
      </c>
      <c r="G8" s="21" t="s">
        <v>135</v>
      </c>
      <c r="H8" s="33"/>
      <c r="I8" s="66">
        <v>23600</v>
      </c>
      <c r="J8" s="33">
        <f t="shared" si="1"/>
        <v>2790632</v>
      </c>
      <c r="L8" s="21" t="s">
        <v>136</v>
      </c>
      <c r="M8" s="33">
        <v>8000</v>
      </c>
      <c r="N8" s="68"/>
      <c r="O8" s="70" t="s">
        <v>95</v>
      </c>
      <c r="P8" s="61"/>
      <c r="Q8" s="34">
        <f>SUM(Q3:Q7)</f>
        <v>14884</v>
      </c>
    </row>
    <row r="9" spans="1:17" x14ac:dyDescent="0.2">
      <c r="A9" s="31">
        <v>45357</v>
      </c>
      <c r="B9" s="22" t="s">
        <v>38</v>
      </c>
      <c r="C9" s="33">
        <v>1272</v>
      </c>
      <c r="D9" s="33">
        <f t="shared" si="0"/>
        <v>48109</v>
      </c>
      <c r="F9" s="23">
        <v>6</v>
      </c>
      <c r="G9" s="21" t="s">
        <v>137</v>
      </c>
      <c r="H9" s="33">
        <f>M17</f>
        <v>64627</v>
      </c>
      <c r="I9" s="66"/>
      <c r="J9" s="33">
        <f t="shared" si="1"/>
        <v>2726005</v>
      </c>
      <c r="L9" s="22" t="s">
        <v>138</v>
      </c>
      <c r="M9" s="33">
        <v>581</v>
      </c>
      <c r="N9" s="68"/>
      <c r="O9" s="69"/>
      <c r="P9" s="21"/>
      <c r="Q9" s="33"/>
    </row>
    <row r="10" spans="1:17" x14ac:dyDescent="0.2">
      <c r="A10" s="31">
        <v>45358</v>
      </c>
      <c r="B10" s="22"/>
      <c r="C10" s="33"/>
      <c r="D10" s="33">
        <f t="shared" si="0"/>
        <v>48109</v>
      </c>
      <c r="F10" s="23">
        <v>7</v>
      </c>
      <c r="G10" s="21" t="s">
        <v>139</v>
      </c>
      <c r="H10" s="33">
        <f>Q8</f>
        <v>14884</v>
      </c>
      <c r="I10" s="66"/>
      <c r="J10" s="33">
        <f t="shared" si="1"/>
        <v>2711121</v>
      </c>
      <c r="L10" s="22" t="s">
        <v>138</v>
      </c>
      <c r="M10" s="33">
        <v>1873</v>
      </c>
      <c r="N10" s="68"/>
      <c r="O10" s="69"/>
      <c r="P10" s="21"/>
      <c r="Q10" s="33"/>
    </row>
    <row r="11" spans="1:17" x14ac:dyDescent="0.2">
      <c r="A11" s="31">
        <v>45359</v>
      </c>
      <c r="B11" s="22"/>
      <c r="C11" s="33"/>
      <c r="D11" s="33">
        <f t="shared" si="0"/>
        <v>48109</v>
      </c>
      <c r="F11" s="23">
        <v>8</v>
      </c>
      <c r="G11" s="21" t="s">
        <v>46</v>
      </c>
      <c r="H11" s="33">
        <v>71530</v>
      </c>
      <c r="J11" s="33">
        <f t="shared" si="1"/>
        <v>2639591</v>
      </c>
      <c r="L11" s="21" t="s">
        <v>140</v>
      </c>
      <c r="M11" s="33">
        <v>3984</v>
      </c>
      <c r="N11" s="68"/>
      <c r="O11" s="69"/>
      <c r="P11" s="21"/>
      <c r="Q11" s="33"/>
    </row>
    <row r="12" spans="1:17" x14ac:dyDescent="0.2">
      <c r="A12" s="31">
        <v>45360</v>
      </c>
      <c r="B12" s="22" t="s">
        <v>38</v>
      </c>
      <c r="C12" s="33">
        <f>1566+644+324+318</f>
        <v>2852</v>
      </c>
      <c r="D12" s="33">
        <f t="shared" si="0"/>
        <v>45257</v>
      </c>
      <c r="F12" s="99" t="s">
        <v>4</v>
      </c>
      <c r="G12" s="90"/>
      <c r="H12" s="90"/>
      <c r="I12" s="91"/>
      <c r="J12" s="81">
        <f t="shared" si="1"/>
        <v>2639591</v>
      </c>
      <c r="L12" s="21" t="s">
        <v>141</v>
      </c>
      <c r="M12" s="33">
        <v>1500</v>
      </c>
      <c r="N12" s="68"/>
      <c r="O12" s="69"/>
      <c r="P12" s="21"/>
      <c r="Q12" s="33"/>
    </row>
    <row r="13" spans="1:17" x14ac:dyDescent="0.2">
      <c r="A13" s="31">
        <v>45361</v>
      </c>
      <c r="B13" s="22" t="s">
        <v>45</v>
      </c>
      <c r="C13" s="33">
        <f>850+408+910</f>
        <v>2168</v>
      </c>
      <c r="D13" s="33">
        <f t="shared" si="0"/>
        <v>43089</v>
      </c>
      <c r="F13" s="49"/>
      <c r="G13" s="50"/>
      <c r="H13" s="51"/>
      <c r="I13" s="71"/>
      <c r="J13" s="51"/>
      <c r="L13" s="21" t="s">
        <v>142</v>
      </c>
      <c r="M13" s="33">
        <v>3147</v>
      </c>
      <c r="N13" s="68"/>
      <c r="O13" s="69"/>
      <c r="P13" s="21"/>
      <c r="Q13" s="33"/>
    </row>
    <row r="14" spans="1:17" x14ac:dyDescent="0.2">
      <c r="A14" s="31">
        <v>45362</v>
      </c>
      <c r="B14" s="22"/>
      <c r="C14" s="33"/>
      <c r="D14" s="33">
        <f t="shared" si="0"/>
        <v>43089</v>
      </c>
      <c r="H14" s="33"/>
      <c r="I14" s="66"/>
      <c r="J14" s="33"/>
      <c r="L14" s="21" t="s">
        <v>143</v>
      </c>
      <c r="M14" s="33">
        <v>2500</v>
      </c>
      <c r="N14" s="68"/>
      <c r="O14" s="69"/>
      <c r="P14" s="21"/>
      <c r="Q14" s="33"/>
    </row>
    <row r="15" spans="1:17" x14ac:dyDescent="0.2">
      <c r="A15" s="31">
        <v>45363</v>
      </c>
      <c r="B15" s="22" t="s">
        <v>45</v>
      </c>
      <c r="C15" s="33">
        <f>660+1650</f>
        <v>2310</v>
      </c>
      <c r="D15" s="33">
        <f t="shared" si="0"/>
        <v>40779</v>
      </c>
      <c r="H15" s="33"/>
      <c r="I15" s="66"/>
      <c r="J15" s="33"/>
      <c r="L15" s="21" t="s">
        <v>144</v>
      </c>
      <c r="M15" s="33">
        <f>1980+880</f>
        <v>2860</v>
      </c>
      <c r="N15" s="68"/>
      <c r="O15" s="69"/>
      <c r="P15" s="21"/>
      <c r="Q15" s="33"/>
    </row>
    <row r="16" spans="1:17" x14ac:dyDescent="0.2">
      <c r="B16" s="21" t="s">
        <v>28</v>
      </c>
      <c r="C16" s="33">
        <v>600</v>
      </c>
      <c r="D16" s="33">
        <f>D15-M9</f>
        <v>40198</v>
      </c>
      <c r="H16" s="33"/>
      <c r="I16" s="66"/>
      <c r="J16" s="33"/>
      <c r="L16" s="21" t="s">
        <v>145</v>
      </c>
      <c r="M16" s="33">
        <v>3200</v>
      </c>
      <c r="N16" s="68"/>
      <c r="O16" s="69"/>
      <c r="P16" s="21"/>
      <c r="Q16" s="33"/>
    </row>
    <row r="17" spans="1:13" x14ac:dyDescent="0.2">
      <c r="A17" s="31">
        <v>45364</v>
      </c>
      <c r="B17" s="21" t="s">
        <v>38</v>
      </c>
      <c r="C17" s="33">
        <f>330+881</f>
        <v>1211</v>
      </c>
      <c r="D17" s="33">
        <f>D16-M10</f>
        <v>38325</v>
      </c>
      <c r="I17" s="66"/>
      <c r="J17" s="33"/>
      <c r="L17" s="61" t="s">
        <v>95</v>
      </c>
      <c r="M17" s="34">
        <f>SUM(M3:M16)</f>
        <v>64627</v>
      </c>
    </row>
    <row r="18" spans="1:13" x14ac:dyDescent="0.2">
      <c r="A18" s="31">
        <v>45365</v>
      </c>
      <c r="B18" s="22" t="s">
        <v>28</v>
      </c>
      <c r="C18" s="33">
        <v>550</v>
      </c>
      <c r="D18" s="33">
        <f t="shared" ref="D18:D42" si="2">D17-C18</f>
        <v>37775</v>
      </c>
      <c r="H18" s="33"/>
      <c r="I18" s="66"/>
      <c r="J18" s="33"/>
      <c r="K18" s="57"/>
      <c r="M18" s="33"/>
    </row>
    <row r="19" spans="1:13" x14ac:dyDescent="0.2">
      <c r="B19" s="22" t="s">
        <v>45</v>
      </c>
      <c r="C19" s="33">
        <f>1278+1410+1320</f>
        <v>4008</v>
      </c>
      <c r="D19" s="33">
        <f t="shared" si="2"/>
        <v>33767</v>
      </c>
      <c r="G19" s="74"/>
      <c r="H19" s="33"/>
      <c r="I19" s="66"/>
      <c r="J19" s="33"/>
      <c r="M19" s="33"/>
    </row>
    <row r="20" spans="1:13" x14ac:dyDescent="0.2">
      <c r="A20" s="31">
        <v>45366</v>
      </c>
      <c r="B20" s="22"/>
      <c r="C20" s="33"/>
      <c r="D20" s="33">
        <f t="shared" si="2"/>
        <v>33767</v>
      </c>
      <c r="H20" s="33"/>
      <c r="I20" s="66"/>
      <c r="J20" s="33"/>
      <c r="M20" s="33"/>
    </row>
    <row r="21" spans="1:13" x14ac:dyDescent="0.2">
      <c r="A21" s="31">
        <v>45367</v>
      </c>
      <c r="C21" s="33"/>
      <c r="D21" s="33">
        <f t="shared" si="2"/>
        <v>33767</v>
      </c>
      <c r="H21" s="33"/>
      <c r="I21" s="66"/>
      <c r="J21" s="33"/>
      <c r="M21" s="33"/>
    </row>
    <row r="22" spans="1:13" x14ac:dyDescent="0.2">
      <c r="A22" s="31">
        <v>45368</v>
      </c>
      <c r="B22" s="21" t="s">
        <v>38</v>
      </c>
      <c r="C22" s="33">
        <v>1203</v>
      </c>
      <c r="D22" s="33">
        <f t="shared" si="2"/>
        <v>32564</v>
      </c>
      <c r="H22" s="33"/>
      <c r="I22" s="66"/>
      <c r="J22" s="33"/>
      <c r="M22" s="33"/>
    </row>
    <row r="23" spans="1:13" x14ac:dyDescent="0.2">
      <c r="A23" s="31">
        <v>45369</v>
      </c>
      <c r="C23" s="33"/>
      <c r="D23" s="33">
        <f t="shared" si="2"/>
        <v>32564</v>
      </c>
      <c r="H23" s="33"/>
      <c r="I23" s="66"/>
      <c r="J23" s="33"/>
      <c r="M23" s="33"/>
    </row>
    <row r="24" spans="1:13" x14ac:dyDescent="0.2">
      <c r="A24" s="31">
        <v>45370</v>
      </c>
      <c r="B24" s="22" t="s">
        <v>45</v>
      </c>
      <c r="C24" s="33">
        <f>860+333</f>
        <v>1193</v>
      </c>
      <c r="D24" s="33">
        <f t="shared" si="2"/>
        <v>31371</v>
      </c>
      <c r="H24" s="33"/>
      <c r="I24" s="66"/>
      <c r="J24" s="33"/>
      <c r="M24" s="33"/>
    </row>
    <row r="25" spans="1:13" x14ac:dyDescent="0.2">
      <c r="A25" s="31">
        <v>45371</v>
      </c>
      <c r="B25" s="22"/>
      <c r="C25" s="33"/>
      <c r="D25" s="33">
        <f t="shared" si="2"/>
        <v>31371</v>
      </c>
      <c r="H25" s="33"/>
      <c r="I25" s="66"/>
      <c r="J25" s="33"/>
      <c r="M25" s="33"/>
    </row>
    <row r="26" spans="1:13" x14ac:dyDescent="0.2">
      <c r="A26" s="31">
        <v>45372</v>
      </c>
      <c r="B26" s="22" t="s">
        <v>80</v>
      </c>
      <c r="C26" s="33">
        <f>770+1725</f>
        <v>2495</v>
      </c>
      <c r="D26" s="33">
        <f t="shared" si="2"/>
        <v>28876</v>
      </c>
      <c r="H26" s="33"/>
      <c r="I26" s="66"/>
      <c r="J26" s="33"/>
      <c r="M26" s="33"/>
    </row>
    <row r="27" spans="1:13" x14ac:dyDescent="0.2">
      <c r="B27" s="22" t="s">
        <v>45</v>
      </c>
      <c r="C27" s="33">
        <f>438+417</f>
        <v>855</v>
      </c>
      <c r="D27" s="33">
        <f t="shared" si="2"/>
        <v>28021</v>
      </c>
      <c r="H27" s="33"/>
      <c r="I27" s="66"/>
      <c r="J27" s="33"/>
      <c r="M27" s="33"/>
    </row>
    <row r="28" spans="1:13" x14ac:dyDescent="0.2">
      <c r="B28" s="22" t="s">
        <v>45</v>
      </c>
      <c r="C28" s="33">
        <v>1950</v>
      </c>
      <c r="D28" s="33">
        <f t="shared" si="2"/>
        <v>26071</v>
      </c>
      <c r="H28" s="33"/>
      <c r="I28" s="66"/>
      <c r="J28" s="33"/>
      <c r="M28" s="33"/>
    </row>
    <row r="29" spans="1:13" x14ac:dyDescent="0.2">
      <c r="A29" s="31">
        <v>45373</v>
      </c>
      <c r="B29" s="22" t="s">
        <v>28</v>
      </c>
      <c r="C29" s="33">
        <v>860</v>
      </c>
      <c r="D29" s="33">
        <f t="shared" si="2"/>
        <v>25211</v>
      </c>
      <c r="H29" s="33"/>
      <c r="I29" s="66"/>
      <c r="J29" s="33"/>
      <c r="M29" s="33"/>
    </row>
    <row r="30" spans="1:13" x14ac:dyDescent="0.2">
      <c r="A30" s="31">
        <v>45374</v>
      </c>
      <c r="B30" s="22" t="s">
        <v>45</v>
      </c>
      <c r="C30" s="33">
        <f>404+1538-220</f>
        <v>1722</v>
      </c>
      <c r="D30" s="33">
        <f t="shared" si="2"/>
        <v>23489</v>
      </c>
      <c r="H30" s="33"/>
      <c r="I30" s="66"/>
      <c r="J30" s="33"/>
      <c r="M30" s="33"/>
    </row>
    <row r="31" spans="1:13" x14ac:dyDescent="0.2">
      <c r="B31" s="22" t="s">
        <v>146</v>
      </c>
      <c r="C31" s="33">
        <v>1230</v>
      </c>
      <c r="D31" s="33">
        <f t="shared" si="2"/>
        <v>22259</v>
      </c>
      <c r="H31" s="33"/>
      <c r="I31" s="66"/>
      <c r="J31" s="33"/>
      <c r="M31" s="33"/>
    </row>
    <row r="32" spans="1:13" x14ac:dyDescent="0.2">
      <c r="B32" s="21" t="s">
        <v>28</v>
      </c>
      <c r="C32" s="33">
        <v>675</v>
      </c>
      <c r="D32" s="33">
        <f t="shared" si="2"/>
        <v>21584</v>
      </c>
      <c r="H32" s="33"/>
      <c r="I32" s="66"/>
      <c r="J32" s="33"/>
      <c r="M32" s="33"/>
    </row>
    <row r="33" spans="1:4" x14ac:dyDescent="0.2">
      <c r="A33" s="31">
        <v>45375</v>
      </c>
      <c r="B33" s="22" t="s">
        <v>38</v>
      </c>
      <c r="C33" s="33">
        <f>2916+660</f>
        <v>3576</v>
      </c>
      <c r="D33" s="33">
        <f t="shared" si="2"/>
        <v>18008</v>
      </c>
    </row>
    <row r="34" spans="1:4" x14ac:dyDescent="0.2">
      <c r="A34" s="31">
        <v>45376</v>
      </c>
      <c r="B34" s="22" t="s">
        <v>38</v>
      </c>
      <c r="C34" s="33">
        <f>1333+550</f>
        <v>1883</v>
      </c>
      <c r="D34" s="33">
        <f t="shared" si="2"/>
        <v>16125</v>
      </c>
    </row>
    <row r="35" spans="1:4" x14ac:dyDescent="0.2">
      <c r="A35" s="31">
        <v>45377</v>
      </c>
      <c r="B35" s="22"/>
      <c r="C35" s="33"/>
      <c r="D35" s="33">
        <f t="shared" si="2"/>
        <v>16125</v>
      </c>
    </row>
    <row r="36" spans="1:4" x14ac:dyDescent="0.2">
      <c r="A36" s="31">
        <v>45378</v>
      </c>
      <c r="B36" s="22"/>
      <c r="C36" s="33"/>
      <c r="D36" s="33">
        <f t="shared" si="2"/>
        <v>16125</v>
      </c>
    </row>
    <row r="37" spans="1:4" x14ac:dyDescent="0.2">
      <c r="A37" s="31">
        <v>45379</v>
      </c>
      <c r="B37" s="22" t="s">
        <v>45</v>
      </c>
      <c r="C37" s="33">
        <v>760</v>
      </c>
      <c r="D37" s="33">
        <f t="shared" si="2"/>
        <v>15365</v>
      </c>
    </row>
    <row r="38" spans="1:4" x14ac:dyDescent="0.2">
      <c r="B38" s="22" t="s">
        <v>38</v>
      </c>
      <c r="C38" s="33">
        <v>4898</v>
      </c>
      <c r="D38" s="33">
        <f t="shared" si="2"/>
        <v>10467</v>
      </c>
    </row>
    <row r="39" spans="1:4" x14ac:dyDescent="0.2">
      <c r="A39" s="31">
        <v>45380</v>
      </c>
      <c r="B39" s="22" t="s">
        <v>102</v>
      </c>
      <c r="C39" s="33">
        <v>2202</v>
      </c>
      <c r="D39" s="33">
        <f t="shared" si="2"/>
        <v>8265</v>
      </c>
    </row>
    <row r="40" spans="1:4" x14ac:dyDescent="0.2">
      <c r="A40" s="31">
        <v>45381</v>
      </c>
      <c r="B40" s="22" t="s">
        <v>45</v>
      </c>
      <c r="C40" s="33">
        <v>1685</v>
      </c>
      <c r="D40" s="33">
        <f t="shared" si="2"/>
        <v>6580</v>
      </c>
    </row>
    <row r="41" spans="1:4" x14ac:dyDescent="0.2">
      <c r="A41" s="31">
        <v>45382</v>
      </c>
      <c r="B41" s="22" t="s">
        <v>45</v>
      </c>
      <c r="C41" s="33">
        <v>453</v>
      </c>
      <c r="D41" s="33">
        <f t="shared" si="2"/>
        <v>6127</v>
      </c>
    </row>
    <row r="42" spans="1:4" x14ac:dyDescent="0.2">
      <c r="A42" s="47"/>
      <c r="B42" s="48" t="s">
        <v>4</v>
      </c>
      <c r="C42" s="34"/>
      <c r="D42" s="34">
        <f t="shared" si="2"/>
        <v>6127</v>
      </c>
    </row>
    <row r="43" spans="1:4" x14ac:dyDescent="0.2">
      <c r="A43" s="47"/>
      <c r="B43" s="48" t="s">
        <v>95</v>
      </c>
      <c r="C43" s="34">
        <f>SUM(C5:C41)</f>
        <v>48230</v>
      </c>
      <c r="D43" s="34"/>
    </row>
  </sheetData>
  <mergeCells count="5">
    <mergeCell ref="A1:D1"/>
    <mergeCell ref="F3:I3"/>
    <mergeCell ref="F12:I12"/>
    <mergeCell ref="A3:C3"/>
    <mergeCell ref="F1:J1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4"/>
  <sheetViews>
    <sheetView zoomScale="115" zoomScaleNormal="115" workbookViewId="0">
      <selection activeCell="D5" sqref="D5"/>
    </sheetView>
  </sheetViews>
  <sheetFormatPr baseColWidth="10" defaultColWidth="9.1640625" defaultRowHeight="14" x14ac:dyDescent="0.2"/>
  <cols>
    <col min="1" max="1" width="5.1640625" style="19" customWidth="1"/>
    <col min="2" max="3" width="38.5" style="19" customWidth="1"/>
    <col min="4" max="4" width="38.5" style="72" customWidth="1"/>
    <col min="5" max="5" width="38.5" style="19" customWidth="1"/>
    <col min="6" max="6" width="9.1640625" style="19" customWidth="1"/>
    <col min="7" max="7" width="30.33203125" style="19" customWidth="1"/>
    <col min="8" max="8" width="9.1640625" style="19" customWidth="1"/>
    <col min="9" max="16384" width="9.1640625" style="19"/>
  </cols>
  <sheetData>
    <row r="1" spans="1:4" x14ac:dyDescent="0.2">
      <c r="A1" s="89" t="s">
        <v>147</v>
      </c>
      <c r="B1" s="90"/>
      <c r="C1" s="90"/>
      <c r="D1" s="91"/>
    </row>
    <row r="2" spans="1:4" x14ac:dyDescent="0.2">
      <c r="A2" s="21" t="s">
        <v>58</v>
      </c>
      <c r="B2" s="21" t="s">
        <v>123</v>
      </c>
      <c r="C2" s="21" t="s">
        <v>148</v>
      </c>
      <c r="D2" s="21" t="s">
        <v>149</v>
      </c>
    </row>
    <row r="3" spans="1:4" x14ac:dyDescent="0.2">
      <c r="A3" s="21">
        <v>1</v>
      </c>
      <c r="B3" s="21" t="s">
        <v>150</v>
      </c>
      <c r="C3" s="21" t="s">
        <v>151</v>
      </c>
      <c r="D3" s="75">
        <v>71500</v>
      </c>
    </row>
    <row r="4" spans="1:4" x14ac:dyDescent="0.2">
      <c r="A4" s="21">
        <v>2</v>
      </c>
      <c r="B4" s="21" t="s">
        <v>152</v>
      </c>
      <c r="C4" s="21" t="s">
        <v>151</v>
      </c>
      <c r="D4" s="75">
        <v>3000</v>
      </c>
    </row>
    <row r="5" spans="1:4" x14ac:dyDescent="0.2">
      <c r="A5" s="21">
        <v>3</v>
      </c>
      <c r="B5" s="21" t="s">
        <v>102</v>
      </c>
      <c r="C5" s="21" t="s">
        <v>151</v>
      </c>
      <c r="D5" s="75">
        <v>1200</v>
      </c>
    </row>
    <row r="6" spans="1:4" x14ac:dyDescent="0.2">
      <c r="A6" s="21">
        <v>4</v>
      </c>
      <c r="B6" s="21" t="s">
        <v>153</v>
      </c>
      <c r="C6" s="21" t="s">
        <v>28</v>
      </c>
      <c r="D6" s="75">
        <v>44000</v>
      </c>
    </row>
    <row r="7" spans="1:4" x14ac:dyDescent="0.2">
      <c r="A7" s="100" t="s">
        <v>73</v>
      </c>
      <c r="B7" s="90"/>
      <c r="C7" s="91"/>
      <c r="D7" s="76">
        <f>SUM(D3:D6)</f>
        <v>119700</v>
      </c>
    </row>
    <row r="8" spans="1:4" x14ac:dyDescent="0.2">
      <c r="B8" s="73"/>
      <c r="C8" s="73"/>
    </row>
    <row r="9" spans="1:4" x14ac:dyDescent="0.2">
      <c r="B9" s="73"/>
      <c r="C9" s="73"/>
    </row>
    <row r="10" spans="1:4" x14ac:dyDescent="0.2">
      <c r="A10" s="89" t="s">
        <v>154</v>
      </c>
      <c r="B10" s="90"/>
      <c r="C10" s="91"/>
      <c r="D10" s="19"/>
    </row>
    <row r="11" spans="1:4" x14ac:dyDescent="0.2">
      <c r="A11" s="21" t="s">
        <v>58</v>
      </c>
      <c r="B11" s="21" t="s">
        <v>123</v>
      </c>
      <c r="C11" s="21" t="s">
        <v>149</v>
      </c>
    </row>
    <row r="12" spans="1:4" x14ac:dyDescent="0.2">
      <c r="A12" s="21">
        <v>1</v>
      </c>
      <c r="B12" s="21" t="s">
        <v>155</v>
      </c>
      <c r="C12" s="75">
        <v>15000</v>
      </c>
    </row>
    <row r="13" spans="1:4" x14ac:dyDescent="0.2">
      <c r="A13" s="21">
        <v>2</v>
      </c>
      <c r="B13" s="21" t="s">
        <v>156</v>
      </c>
      <c r="C13" s="75">
        <v>18000</v>
      </c>
    </row>
    <row r="14" spans="1:4" x14ac:dyDescent="0.2">
      <c r="A14" s="21">
        <v>3</v>
      </c>
      <c r="B14" s="21" t="s">
        <v>157</v>
      </c>
      <c r="C14" s="75">
        <v>50000</v>
      </c>
    </row>
  </sheetData>
  <mergeCells count="3">
    <mergeCell ref="A10:C10"/>
    <mergeCell ref="A1:D1"/>
    <mergeCell ref="A7:C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6"/>
  <sheetViews>
    <sheetView zoomScale="130" zoomScaleNormal="130" workbookViewId="0">
      <selection activeCell="H13" sqref="H13"/>
    </sheetView>
  </sheetViews>
  <sheetFormatPr baseColWidth="10" defaultColWidth="8.83203125" defaultRowHeight="14" x14ac:dyDescent="0.2"/>
  <cols>
    <col min="1" max="1" width="12.83203125" style="23" customWidth="1"/>
    <col min="2" max="2" width="30.1640625" style="21" customWidth="1"/>
    <col min="3" max="4" width="17.33203125" style="21" customWidth="1"/>
    <col min="5" max="5" width="1.83203125" style="19" customWidth="1"/>
    <col min="6" max="6" width="4" style="23" customWidth="1"/>
    <col min="7" max="7" width="37.83203125" style="21" customWidth="1"/>
    <col min="8" max="8" width="17.33203125" style="21" customWidth="1"/>
    <col min="9" max="9" width="17.33203125" style="78" customWidth="1"/>
    <col min="10" max="10" width="17.33203125" style="21" customWidth="1"/>
    <col min="11" max="11" width="1.83203125" style="19" customWidth="1"/>
    <col min="12" max="12" width="13.6640625" style="19" customWidth="1"/>
    <col min="13" max="13" width="18.5" style="19" customWidth="1"/>
    <col min="14" max="14" width="13.6640625" style="19" customWidth="1"/>
    <col min="15" max="15" width="8.83203125" style="19" customWidth="1"/>
    <col min="16" max="16384" width="8.83203125" style="19"/>
  </cols>
  <sheetData>
    <row r="1" spans="1:14" x14ac:dyDescent="0.2">
      <c r="A1" s="89" t="s">
        <v>52</v>
      </c>
      <c r="B1" s="90"/>
      <c r="C1" s="90"/>
      <c r="D1" s="91"/>
      <c r="F1" s="89" t="s">
        <v>53</v>
      </c>
      <c r="G1" s="90"/>
      <c r="H1" s="90"/>
      <c r="I1" s="90"/>
      <c r="J1" s="91"/>
    </row>
    <row r="2" spans="1:14" x14ac:dyDescent="0.2">
      <c r="A2" s="23" t="s">
        <v>54</v>
      </c>
      <c r="B2" s="23" t="s">
        <v>55</v>
      </c>
      <c r="C2" s="23" t="s">
        <v>56</v>
      </c>
      <c r="D2" s="23" t="s">
        <v>57</v>
      </c>
      <c r="F2" s="23" t="s">
        <v>58</v>
      </c>
      <c r="G2" s="23" t="s">
        <v>55</v>
      </c>
      <c r="H2" s="23" t="s">
        <v>56</v>
      </c>
      <c r="I2" s="23" t="s">
        <v>59</v>
      </c>
      <c r="J2" s="23" t="s">
        <v>60</v>
      </c>
      <c r="L2" s="21" t="s">
        <v>0</v>
      </c>
      <c r="M2" s="21" t="s">
        <v>123</v>
      </c>
      <c r="N2" s="21" t="s">
        <v>124</v>
      </c>
    </row>
    <row r="3" spans="1:14" x14ac:dyDescent="0.2">
      <c r="A3" s="92" t="s">
        <v>61</v>
      </c>
      <c r="B3" s="90"/>
      <c r="C3" s="91"/>
      <c r="D3" s="34">
        <v>55000</v>
      </c>
      <c r="F3" s="92" t="s">
        <v>62</v>
      </c>
      <c r="G3" s="90"/>
      <c r="H3" s="90"/>
      <c r="I3" s="91"/>
      <c r="J3" s="34">
        <f>'24-03'!J12</f>
        <v>2639591</v>
      </c>
      <c r="L3" s="31">
        <v>45383</v>
      </c>
      <c r="M3" s="22" t="s">
        <v>158</v>
      </c>
      <c r="N3" s="33">
        <v>3685</v>
      </c>
    </row>
    <row r="4" spans="1:14" x14ac:dyDescent="0.2">
      <c r="A4" s="31">
        <v>45383</v>
      </c>
      <c r="B4" s="32" t="s">
        <v>45</v>
      </c>
      <c r="C4" s="33">
        <v>110</v>
      </c>
      <c r="D4" s="33">
        <f t="shared" ref="D4:D35" si="0">D3-C4</f>
        <v>54890</v>
      </c>
      <c r="F4" s="23">
        <v>1</v>
      </c>
      <c r="G4" s="21" t="s">
        <v>159</v>
      </c>
      <c r="H4" s="33">
        <v>7400</v>
      </c>
      <c r="I4" s="77"/>
      <c r="J4" s="33">
        <f t="shared" ref="J4:J14" si="1">J3-H4+I4</f>
        <v>2632191</v>
      </c>
      <c r="L4" s="31">
        <v>45384</v>
      </c>
      <c r="M4" s="22" t="s">
        <v>160</v>
      </c>
      <c r="N4" s="33">
        <f>138+660</f>
        <v>798</v>
      </c>
    </row>
    <row r="5" spans="1:14" x14ac:dyDescent="0.2">
      <c r="B5" s="32" t="s">
        <v>45</v>
      </c>
      <c r="C5" s="33">
        <v>365</v>
      </c>
      <c r="D5" s="33">
        <f t="shared" si="0"/>
        <v>54525</v>
      </c>
      <c r="F5" s="23">
        <v>2</v>
      </c>
      <c r="G5" s="21" t="s">
        <v>132</v>
      </c>
      <c r="H5" s="33"/>
      <c r="I5" s="77">
        <v>50000</v>
      </c>
      <c r="J5" s="33">
        <f t="shared" si="1"/>
        <v>2682191</v>
      </c>
      <c r="L5" s="31"/>
      <c r="M5" s="19" t="s">
        <v>161</v>
      </c>
      <c r="N5" s="33">
        <v>4890</v>
      </c>
    </row>
    <row r="6" spans="1:14" x14ac:dyDescent="0.2">
      <c r="B6" s="32" t="s">
        <v>45</v>
      </c>
      <c r="C6" s="33">
        <v>127</v>
      </c>
      <c r="D6" s="33">
        <f t="shared" si="0"/>
        <v>54398</v>
      </c>
      <c r="F6" s="23">
        <v>3</v>
      </c>
      <c r="G6" s="21" t="s">
        <v>162</v>
      </c>
      <c r="H6" s="33"/>
      <c r="I6" s="77">
        <v>50000</v>
      </c>
      <c r="J6" s="33">
        <f t="shared" si="1"/>
        <v>2732191</v>
      </c>
      <c r="L6" s="31"/>
      <c r="M6" s="21" t="s">
        <v>160</v>
      </c>
      <c r="N6" s="33">
        <f>1466+686+3047-800</f>
        <v>4399</v>
      </c>
    </row>
    <row r="7" spans="1:14" x14ac:dyDescent="0.2">
      <c r="B7" s="32" t="s">
        <v>45</v>
      </c>
      <c r="C7" s="33">
        <v>1350</v>
      </c>
      <c r="D7" s="33">
        <f t="shared" si="0"/>
        <v>53048</v>
      </c>
      <c r="F7" s="23">
        <v>4</v>
      </c>
      <c r="G7" s="21" t="s">
        <v>163</v>
      </c>
      <c r="H7" s="33">
        <v>9900</v>
      </c>
      <c r="I7" s="77"/>
      <c r="J7" s="33">
        <f t="shared" si="1"/>
        <v>2722291</v>
      </c>
      <c r="L7" s="31"/>
      <c r="M7" s="22"/>
      <c r="N7" s="33"/>
    </row>
    <row r="8" spans="1:14" x14ac:dyDescent="0.2">
      <c r="B8" s="32" t="s">
        <v>45</v>
      </c>
      <c r="C8" s="33">
        <v>880</v>
      </c>
      <c r="D8" s="33">
        <f t="shared" si="0"/>
        <v>52168</v>
      </c>
      <c r="F8" s="23">
        <v>5</v>
      </c>
      <c r="G8" s="21" t="s">
        <v>164</v>
      </c>
      <c r="H8" s="33">
        <v>3890</v>
      </c>
      <c r="I8" s="77"/>
      <c r="J8" s="33">
        <f t="shared" si="1"/>
        <v>2718401</v>
      </c>
      <c r="L8" s="31"/>
      <c r="M8" s="21"/>
      <c r="N8" s="33"/>
    </row>
    <row r="9" spans="1:14" x14ac:dyDescent="0.2">
      <c r="B9" s="32" t="s">
        <v>45</v>
      </c>
      <c r="C9" s="33">
        <v>1060</v>
      </c>
      <c r="D9" s="33">
        <f t="shared" si="0"/>
        <v>51108</v>
      </c>
      <c r="F9" s="23">
        <v>6</v>
      </c>
      <c r="G9" s="21" t="s">
        <v>165</v>
      </c>
      <c r="H9" s="33">
        <v>2000</v>
      </c>
      <c r="I9" s="77"/>
      <c r="J9" s="33">
        <f t="shared" si="1"/>
        <v>2716401</v>
      </c>
      <c r="L9" s="31"/>
      <c r="M9" s="21"/>
      <c r="N9" s="33"/>
    </row>
    <row r="10" spans="1:14" x14ac:dyDescent="0.2">
      <c r="A10" s="31">
        <v>45384</v>
      </c>
      <c r="B10" s="22"/>
      <c r="C10" s="33"/>
      <c r="D10" s="33">
        <f t="shared" si="0"/>
        <v>51108</v>
      </c>
      <c r="F10" s="23">
        <v>7</v>
      </c>
      <c r="G10" s="61" t="s">
        <v>46</v>
      </c>
      <c r="H10" s="34">
        <v>71530</v>
      </c>
      <c r="I10" s="77"/>
      <c r="J10" s="33">
        <f t="shared" si="1"/>
        <v>2644871</v>
      </c>
      <c r="L10" s="31"/>
      <c r="M10" s="21"/>
      <c r="N10" s="33"/>
    </row>
    <row r="11" spans="1:14" x14ac:dyDescent="0.2">
      <c r="A11" s="31">
        <v>45385</v>
      </c>
      <c r="B11" s="22"/>
      <c r="C11" s="33"/>
      <c r="D11" s="33">
        <f t="shared" si="0"/>
        <v>51108</v>
      </c>
      <c r="F11" s="23">
        <v>8</v>
      </c>
      <c r="G11" s="21" t="s">
        <v>166</v>
      </c>
      <c r="H11" s="33">
        <v>13772</v>
      </c>
      <c r="I11" s="77"/>
      <c r="J11" s="33">
        <f t="shared" si="1"/>
        <v>2631099</v>
      </c>
      <c r="L11" s="31"/>
      <c r="M11" s="21"/>
      <c r="N11" s="33"/>
    </row>
    <row r="12" spans="1:14" x14ac:dyDescent="0.2">
      <c r="A12" s="31">
        <v>45386</v>
      </c>
      <c r="B12" s="22" t="s">
        <v>38</v>
      </c>
      <c r="C12" s="33">
        <v>610</v>
      </c>
      <c r="D12" s="33">
        <f t="shared" si="0"/>
        <v>50498</v>
      </c>
      <c r="F12" s="23">
        <v>9</v>
      </c>
      <c r="G12" s="21" t="s">
        <v>100</v>
      </c>
      <c r="H12" s="33">
        <v>55000</v>
      </c>
      <c r="J12" s="33">
        <f t="shared" si="1"/>
        <v>2576099</v>
      </c>
      <c r="L12" s="31"/>
      <c r="M12" s="21"/>
      <c r="N12" s="33"/>
    </row>
    <row r="13" spans="1:14" x14ac:dyDescent="0.2">
      <c r="A13" s="31">
        <v>45387</v>
      </c>
      <c r="B13" s="22" t="s">
        <v>38</v>
      </c>
      <c r="C13" s="33">
        <v>1778</v>
      </c>
      <c r="D13" s="33">
        <f t="shared" si="0"/>
        <v>48720</v>
      </c>
      <c r="F13" s="23">
        <v>10</v>
      </c>
      <c r="G13" s="21" t="s">
        <v>167</v>
      </c>
      <c r="H13" s="33">
        <v>1913</v>
      </c>
      <c r="J13" s="33">
        <f t="shared" si="1"/>
        <v>2574186</v>
      </c>
      <c r="L13" s="31"/>
      <c r="M13" s="21"/>
      <c r="N13" s="21"/>
    </row>
    <row r="14" spans="1:14" x14ac:dyDescent="0.2">
      <c r="A14" s="31">
        <v>45388</v>
      </c>
      <c r="B14" s="22" t="s">
        <v>45</v>
      </c>
      <c r="C14" s="33">
        <v>660</v>
      </c>
      <c r="D14" s="33">
        <f t="shared" si="0"/>
        <v>48060</v>
      </c>
      <c r="F14" s="94" t="s">
        <v>4</v>
      </c>
      <c r="G14" s="90"/>
      <c r="H14" s="90"/>
      <c r="I14" s="91"/>
      <c r="J14" s="33">
        <f t="shared" si="1"/>
        <v>2574186</v>
      </c>
      <c r="L14" s="31"/>
      <c r="M14" s="21"/>
      <c r="N14" s="21"/>
    </row>
    <row r="15" spans="1:14" x14ac:dyDescent="0.2">
      <c r="A15" s="31">
        <v>45389</v>
      </c>
      <c r="B15" s="22"/>
      <c r="C15" s="33"/>
      <c r="D15" s="33">
        <f t="shared" si="0"/>
        <v>48060</v>
      </c>
      <c r="F15" s="49"/>
      <c r="G15" s="50"/>
      <c r="H15" s="51"/>
      <c r="I15" s="80"/>
      <c r="J15" s="51"/>
      <c r="L15" s="69" t="s">
        <v>95</v>
      </c>
      <c r="M15" s="21"/>
      <c r="N15" s="33">
        <f>SUM(N3:N12)</f>
        <v>13772</v>
      </c>
    </row>
    <row r="16" spans="1:14" x14ac:dyDescent="0.2">
      <c r="A16" s="31">
        <v>45390</v>
      </c>
      <c r="B16" s="22" t="s">
        <v>28</v>
      </c>
      <c r="C16" s="33">
        <f>590+240</f>
        <v>830</v>
      </c>
      <c r="D16" s="33">
        <f t="shared" si="0"/>
        <v>47230</v>
      </c>
      <c r="H16" s="33"/>
      <c r="I16" s="77"/>
      <c r="J16" s="33"/>
      <c r="L16" s="79"/>
      <c r="N16" s="68"/>
    </row>
    <row r="17" spans="1:4" x14ac:dyDescent="0.2">
      <c r="B17" s="22" t="s">
        <v>45</v>
      </c>
      <c r="C17" s="33">
        <v>770</v>
      </c>
      <c r="D17" s="33">
        <f t="shared" si="0"/>
        <v>46460</v>
      </c>
    </row>
    <row r="18" spans="1:4" x14ac:dyDescent="0.2">
      <c r="B18" s="22" t="s">
        <v>45</v>
      </c>
      <c r="C18" s="33">
        <f>160</f>
        <v>160</v>
      </c>
      <c r="D18" s="33">
        <f t="shared" si="0"/>
        <v>46300</v>
      </c>
    </row>
    <row r="19" spans="1:4" x14ac:dyDescent="0.2">
      <c r="A19" s="31">
        <v>45391</v>
      </c>
      <c r="B19" s="22" t="s">
        <v>38</v>
      </c>
      <c r="C19" s="33">
        <v>3825</v>
      </c>
      <c r="D19" s="33">
        <f t="shared" si="0"/>
        <v>42475</v>
      </c>
    </row>
    <row r="20" spans="1:4" x14ac:dyDescent="0.2">
      <c r="A20" s="31">
        <v>45392</v>
      </c>
      <c r="B20" s="22" t="s">
        <v>45</v>
      </c>
      <c r="C20" s="33">
        <v>440</v>
      </c>
      <c r="D20" s="33">
        <f t="shared" si="0"/>
        <v>42035</v>
      </c>
    </row>
    <row r="21" spans="1:4" x14ac:dyDescent="0.2">
      <c r="B21" s="22" t="s">
        <v>45</v>
      </c>
      <c r="C21" s="33">
        <f>197+318</f>
        <v>515</v>
      </c>
      <c r="D21" s="33">
        <f t="shared" si="0"/>
        <v>41520</v>
      </c>
    </row>
    <row r="22" spans="1:4" x14ac:dyDescent="0.2">
      <c r="A22" s="31">
        <v>45393</v>
      </c>
      <c r="B22" s="22" t="s">
        <v>28</v>
      </c>
      <c r="C22" s="33">
        <v>590</v>
      </c>
      <c r="D22" s="33">
        <f t="shared" si="0"/>
        <v>40930</v>
      </c>
    </row>
    <row r="23" spans="1:4" x14ac:dyDescent="0.2">
      <c r="A23" s="31">
        <v>45394</v>
      </c>
      <c r="B23" s="22" t="s">
        <v>28</v>
      </c>
      <c r="C23" s="33">
        <v>520</v>
      </c>
      <c r="D23" s="33">
        <f t="shared" si="0"/>
        <v>40410</v>
      </c>
    </row>
    <row r="24" spans="1:4" x14ac:dyDescent="0.2">
      <c r="B24" s="22" t="s">
        <v>28</v>
      </c>
      <c r="C24" s="33">
        <v>720</v>
      </c>
      <c r="D24" s="33">
        <f t="shared" si="0"/>
        <v>39690</v>
      </c>
    </row>
    <row r="25" spans="1:4" x14ac:dyDescent="0.2">
      <c r="B25" s="21" t="s">
        <v>28</v>
      </c>
      <c r="C25" s="33">
        <v>590</v>
      </c>
      <c r="D25" s="33">
        <f t="shared" si="0"/>
        <v>39100</v>
      </c>
    </row>
    <row r="26" spans="1:4" x14ac:dyDescent="0.2">
      <c r="A26" s="31">
        <v>45395</v>
      </c>
      <c r="B26" s="22" t="s">
        <v>38</v>
      </c>
      <c r="C26" s="33">
        <f>700+2541</f>
        <v>3241</v>
      </c>
      <c r="D26" s="33">
        <f t="shared" si="0"/>
        <v>35859</v>
      </c>
    </row>
    <row r="27" spans="1:4" x14ac:dyDescent="0.2">
      <c r="B27" s="22" t="s">
        <v>45</v>
      </c>
      <c r="C27" s="33">
        <v>220</v>
      </c>
      <c r="D27" s="33">
        <f t="shared" si="0"/>
        <v>35639</v>
      </c>
    </row>
    <row r="28" spans="1:4" x14ac:dyDescent="0.2">
      <c r="A28" s="31">
        <v>45396</v>
      </c>
      <c r="B28" s="22"/>
      <c r="C28" s="33"/>
      <c r="D28" s="33">
        <f t="shared" si="0"/>
        <v>35639</v>
      </c>
    </row>
    <row r="29" spans="1:4" x14ac:dyDescent="0.2">
      <c r="A29" s="31">
        <v>45397</v>
      </c>
      <c r="B29" s="22" t="s">
        <v>45</v>
      </c>
      <c r="C29" s="33">
        <v>160</v>
      </c>
      <c r="D29" s="33">
        <f t="shared" si="0"/>
        <v>35479</v>
      </c>
    </row>
    <row r="30" spans="1:4" x14ac:dyDescent="0.2">
      <c r="B30" s="22" t="s">
        <v>38</v>
      </c>
      <c r="C30" s="33">
        <f>2350-1116</f>
        <v>1234</v>
      </c>
      <c r="D30" s="33">
        <f t="shared" si="0"/>
        <v>34245</v>
      </c>
    </row>
    <row r="31" spans="1:4" x14ac:dyDescent="0.2">
      <c r="A31" s="31">
        <v>45398</v>
      </c>
      <c r="B31" s="22"/>
      <c r="C31" s="33"/>
      <c r="D31" s="33">
        <f t="shared" si="0"/>
        <v>34245</v>
      </c>
    </row>
    <row r="32" spans="1:4" x14ac:dyDescent="0.2">
      <c r="A32" s="31">
        <v>45399</v>
      </c>
      <c r="B32" s="22" t="s">
        <v>28</v>
      </c>
      <c r="C32" s="33">
        <v>550</v>
      </c>
      <c r="D32" s="33">
        <f t="shared" si="0"/>
        <v>33695</v>
      </c>
    </row>
    <row r="33" spans="1:4" x14ac:dyDescent="0.2">
      <c r="A33" s="31">
        <v>45400</v>
      </c>
      <c r="B33" s="22" t="s">
        <v>45</v>
      </c>
      <c r="C33" s="33">
        <f>129+220+880</f>
        <v>1229</v>
      </c>
      <c r="D33" s="33">
        <f t="shared" si="0"/>
        <v>32466</v>
      </c>
    </row>
    <row r="34" spans="1:4" x14ac:dyDescent="0.2">
      <c r="A34" s="31">
        <v>45401</v>
      </c>
      <c r="B34" s="22" t="s">
        <v>28</v>
      </c>
      <c r="C34" s="33">
        <v>800</v>
      </c>
      <c r="D34" s="33">
        <f t="shared" si="0"/>
        <v>31666</v>
      </c>
    </row>
    <row r="35" spans="1:4" x14ac:dyDescent="0.2">
      <c r="A35" s="31">
        <v>45402</v>
      </c>
      <c r="B35" s="22" t="s">
        <v>38</v>
      </c>
      <c r="C35" s="33">
        <f>1606+180</f>
        <v>1786</v>
      </c>
      <c r="D35" s="33">
        <f t="shared" si="0"/>
        <v>29880</v>
      </c>
    </row>
    <row r="36" spans="1:4" x14ac:dyDescent="0.2">
      <c r="A36" s="31"/>
      <c r="B36" s="22" t="s">
        <v>28</v>
      </c>
      <c r="C36" s="33"/>
      <c r="D36" s="33">
        <f t="shared" ref="D36:D67" si="2">D35-C36</f>
        <v>29880</v>
      </c>
    </row>
    <row r="37" spans="1:4" x14ac:dyDescent="0.2">
      <c r="A37" s="31">
        <v>45403</v>
      </c>
      <c r="B37" s="21" t="s">
        <v>45</v>
      </c>
      <c r="C37" s="33">
        <v>150</v>
      </c>
      <c r="D37" s="33">
        <f t="shared" si="2"/>
        <v>29730</v>
      </c>
    </row>
    <row r="38" spans="1:4" x14ac:dyDescent="0.2">
      <c r="A38" s="31">
        <v>45404</v>
      </c>
      <c r="B38" s="22" t="s">
        <v>28</v>
      </c>
      <c r="C38" s="33">
        <v>410</v>
      </c>
      <c r="D38" s="33">
        <f t="shared" si="2"/>
        <v>29320</v>
      </c>
    </row>
    <row r="39" spans="1:4" x14ac:dyDescent="0.2">
      <c r="A39" s="31">
        <v>45405</v>
      </c>
      <c r="B39" s="22" t="s">
        <v>38</v>
      </c>
      <c r="C39" s="33">
        <f>1870+172</f>
        <v>2042</v>
      </c>
      <c r="D39" s="33">
        <f t="shared" si="2"/>
        <v>27278</v>
      </c>
    </row>
    <row r="40" spans="1:4" x14ac:dyDescent="0.2">
      <c r="B40" s="22" t="s">
        <v>28</v>
      </c>
      <c r="C40" s="33">
        <v>590</v>
      </c>
      <c r="D40" s="33">
        <f t="shared" si="2"/>
        <v>26688</v>
      </c>
    </row>
    <row r="41" spans="1:4" x14ac:dyDescent="0.2">
      <c r="A41" s="31">
        <v>45406</v>
      </c>
      <c r="B41" s="21" t="s">
        <v>45</v>
      </c>
      <c r="C41" s="33">
        <f>226+300</f>
        <v>526</v>
      </c>
      <c r="D41" s="33">
        <f t="shared" si="2"/>
        <v>26162</v>
      </c>
    </row>
    <row r="42" spans="1:4" x14ac:dyDescent="0.2">
      <c r="B42" s="21" t="s">
        <v>28</v>
      </c>
      <c r="C42" s="33">
        <f>226+300</f>
        <v>526</v>
      </c>
      <c r="D42" s="33">
        <f t="shared" si="2"/>
        <v>25636</v>
      </c>
    </row>
    <row r="43" spans="1:4" x14ac:dyDescent="0.2">
      <c r="A43" s="31">
        <v>45407</v>
      </c>
      <c r="B43" s="21" t="s">
        <v>28</v>
      </c>
      <c r="C43" s="33">
        <v>700</v>
      </c>
      <c r="D43" s="33">
        <f t="shared" si="2"/>
        <v>24936</v>
      </c>
    </row>
    <row r="44" spans="1:4" x14ac:dyDescent="0.2">
      <c r="A44" s="31"/>
      <c r="B44" s="21" t="s">
        <v>28</v>
      </c>
      <c r="C44" s="33">
        <v>690</v>
      </c>
      <c r="D44" s="33">
        <f t="shared" si="2"/>
        <v>24246</v>
      </c>
    </row>
    <row r="45" spans="1:4" x14ac:dyDescent="0.2">
      <c r="A45" s="31">
        <v>45408</v>
      </c>
      <c r="B45" s="22" t="s">
        <v>28</v>
      </c>
      <c r="C45" s="33">
        <f>550+170</f>
        <v>720</v>
      </c>
      <c r="D45" s="33">
        <f t="shared" si="2"/>
        <v>23526</v>
      </c>
    </row>
    <row r="46" spans="1:4" x14ac:dyDescent="0.2">
      <c r="B46" s="21" t="s">
        <v>45</v>
      </c>
      <c r="C46" s="33">
        <f>129+501+880</f>
        <v>1510</v>
      </c>
      <c r="D46" s="33">
        <f t="shared" si="2"/>
        <v>22016</v>
      </c>
    </row>
    <row r="47" spans="1:4" x14ac:dyDescent="0.2">
      <c r="A47" s="31">
        <v>45409</v>
      </c>
      <c r="B47" s="21" t="s">
        <v>38</v>
      </c>
      <c r="C47" s="33">
        <v>2034</v>
      </c>
      <c r="D47" s="33">
        <f t="shared" si="2"/>
        <v>19982</v>
      </c>
    </row>
    <row r="48" spans="1:4" x14ac:dyDescent="0.2">
      <c r="B48" s="21" t="s">
        <v>80</v>
      </c>
      <c r="C48" s="33">
        <v>2000</v>
      </c>
      <c r="D48" s="33">
        <f t="shared" si="2"/>
        <v>17982</v>
      </c>
    </row>
    <row r="49" spans="1:4" x14ac:dyDescent="0.2">
      <c r="B49" s="21" t="s">
        <v>28</v>
      </c>
      <c r="C49" s="33">
        <v>660</v>
      </c>
      <c r="D49" s="33">
        <f t="shared" si="2"/>
        <v>17322</v>
      </c>
    </row>
    <row r="50" spans="1:4" x14ac:dyDescent="0.2">
      <c r="B50" s="21" t="s">
        <v>45</v>
      </c>
      <c r="C50" s="33">
        <v>1387</v>
      </c>
      <c r="D50" s="33">
        <f t="shared" si="2"/>
        <v>15935</v>
      </c>
    </row>
    <row r="51" spans="1:4" x14ac:dyDescent="0.2">
      <c r="A51" s="31">
        <v>45410</v>
      </c>
      <c r="B51" s="21" t="s">
        <v>38</v>
      </c>
      <c r="C51" s="33">
        <f>4200</f>
        <v>4200</v>
      </c>
      <c r="D51" s="33">
        <f t="shared" si="2"/>
        <v>11735</v>
      </c>
    </row>
    <row r="52" spans="1:4" x14ac:dyDescent="0.2">
      <c r="A52" s="31">
        <v>45411</v>
      </c>
      <c r="B52" s="21" t="s">
        <v>28</v>
      </c>
      <c r="C52" s="33">
        <f>120+370</f>
        <v>490</v>
      </c>
      <c r="D52" s="33">
        <f t="shared" si="2"/>
        <v>11245</v>
      </c>
    </row>
    <row r="53" spans="1:4" x14ac:dyDescent="0.2">
      <c r="A53" s="31">
        <v>45412</v>
      </c>
      <c r="B53" s="21" t="s">
        <v>28</v>
      </c>
      <c r="C53" s="33">
        <v>590</v>
      </c>
      <c r="D53" s="33">
        <f t="shared" si="2"/>
        <v>10655</v>
      </c>
    </row>
    <row r="54" spans="1:4" x14ac:dyDescent="0.2">
      <c r="B54" s="21" t="s">
        <v>45</v>
      </c>
      <c r="C54" s="33">
        <v>790</v>
      </c>
      <c r="D54" s="33">
        <f t="shared" si="2"/>
        <v>9865</v>
      </c>
    </row>
    <row r="55" spans="1:4" x14ac:dyDescent="0.2">
      <c r="A55" s="31"/>
      <c r="B55" s="21" t="s">
        <v>102</v>
      </c>
      <c r="C55" s="33">
        <v>2206</v>
      </c>
      <c r="D55" s="33">
        <f t="shared" si="2"/>
        <v>7659</v>
      </c>
    </row>
    <row r="56" spans="1:4" x14ac:dyDescent="0.2">
      <c r="A56" s="47"/>
      <c r="B56" s="61" t="s">
        <v>4</v>
      </c>
      <c r="C56" s="34"/>
      <c r="D56" s="34">
        <f t="shared" si="2"/>
        <v>7659</v>
      </c>
    </row>
  </sheetData>
  <mergeCells count="5">
    <mergeCell ref="F14:I14"/>
    <mergeCell ref="A1:D1"/>
    <mergeCell ref="F3:I3"/>
    <mergeCell ref="A3:C3"/>
    <mergeCell ref="F1:J1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9"/>
  <sheetViews>
    <sheetView zoomScale="145" zoomScaleNormal="145" workbookViewId="0">
      <selection activeCell="F9" sqref="F9:I9"/>
    </sheetView>
  </sheetViews>
  <sheetFormatPr baseColWidth="10" defaultColWidth="8.83203125" defaultRowHeight="14" x14ac:dyDescent="0.2"/>
  <cols>
    <col min="1" max="1" width="12.83203125" style="23" customWidth="1"/>
    <col min="2" max="2" width="30.1640625" style="21" customWidth="1"/>
    <col min="3" max="4" width="17.33203125" style="21" customWidth="1"/>
    <col min="5" max="5" width="8.83203125" style="19" customWidth="1"/>
    <col min="6" max="6" width="4" style="23" customWidth="1"/>
    <col min="7" max="7" width="37.83203125" style="21" customWidth="1"/>
    <col min="8" max="10" width="17.33203125" style="21" customWidth="1"/>
    <col min="11" max="11" width="8.83203125" style="19" customWidth="1"/>
    <col min="12" max="12" width="13.1640625" style="19" bestFit="1" customWidth="1"/>
    <col min="13" max="13" width="8.83203125" style="19" customWidth="1"/>
    <col min="14" max="16384" width="8.83203125" style="19"/>
  </cols>
  <sheetData>
    <row r="1" spans="1:10" x14ac:dyDescent="0.2">
      <c r="A1" s="89" t="s">
        <v>52</v>
      </c>
      <c r="B1" s="90"/>
      <c r="C1" s="90"/>
      <c r="D1" s="91"/>
      <c r="F1" s="89" t="s">
        <v>53</v>
      </c>
      <c r="G1" s="90"/>
      <c r="H1" s="90"/>
      <c r="I1" s="90"/>
      <c r="J1" s="91"/>
    </row>
    <row r="2" spans="1:10" x14ac:dyDescent="0.2">
      <c r="A2" s="23" t="s">
        <v>54</v>
      </c>
      <c r="B2" s="23" t="s">
        <v>55</v>
      </c>
      <c r="C2" s="23" t="s">
        <v>56</v>
      </c>
      <c r="D2" s="23" t="s">
        <v>57</v>
      </c>
      <c r="F2" s="23" t="s">
        <v>58</v>
      </c>
      <c r="G2" s="23" t="s">
        <v>55</v>
      </c>
      <c r="H2" s="23" t="s">
        <v>56</v>
      </c>
      <c r="I2" s="23" t="s">
        <v>59</v>
      </c>
      <c r="J2" s="23" t="s">
        <v>60</v>
      </c>
    </row>
    <row r="3" spans="1:10" x14ac:dyDescent="0.2">
      <c r="A3" s="92" t="s">
        <v>61</v>
      </c>
      <c r="B3" s="90"/>
      <c r="C3" s="91"/>
      <c r="D3" s="34">
        <v>55000</v>
      </c>
      <c r="F3" s="92" t="s">
        <v>62</v>
      </c>
      <c r="G3" s="90"/>
      <c r="H3" s="90"/>
      <c r="I3" s="91"/>
      <c r="J3" s="34">
        <f>'24-04'!J14</f>
        <v>2574186</v>
      </c>
    </row>
    <row r="4" spans="1:10" x14ac:dyDescent="0.2">
      <c r="A4" s="31">
        <v>45383</v>
      </c>
      <c r="B4" s="32" t="s">
        <v>38</v>
      </c>
      <c r="C4" s="33">
        <v>3751</v>
      </c>
      <c r="D4" s="33">
        <f>D3-C4</f>
        <v>51249</v>
      </c>
      <c r="F4" s="23">
        <v>1</v>
      </c>
      <c r="G4" s="21" t="s">
        <v>100</v>
      </c>
      <c r="H4" s="33">
        <v>55000</v>
      </c>
      <c r="I4" s="82"/>
      <c r="J4" s="33">
        <f t="shared" ref="J4:J9" si="0">J3-H4+I4</f>
        <v>2519186</v>
      </c>
    </row>
    <row r="5" spans="1:10" x14ac:dyDescent="0.2">
      <c r="A5" s="31">
        <v>45384</v>
      </c>
      <c r="B5" s="32"/>
      <c r="C5" s="33"/>
      <c r="D5" s="33">
        <f>D4-C5</f>
        <v>51249</v>
      </c>
      <c r="F5" s="23">
        <v>2</v>
      </c>
      <c r="G5" s="21" t="s">
        <v>168</v>
      </c>
      <c r="H5" s="33">
        <v>634320</v>
      </c>
      <c r="I5" s="82"/>
      <c r="J5" s="33">
        <f t="shared" si="0"/>
        <v>1884866</v>
      </c>
    </row>
    <row r="6" spans="1:10" x14ac:dyDescent="0.2">
      <c r="A6" s="31">
        <v>45385</v>
      </c>
      <c r="B6" s="22" t="s">
        <v>45</v>
      </c>
      <c r="C6" s="33">
        <f>297+690</f>
        <v>987</v>
      </c>
      <c r="D6" s="33">
        <f>D5-C6</f>
        <v>50262</v>
      </c>
      <c r="F6" s="23">
        <v>3</v>
      </c>
      <c r="G6" s="21" t="s">
        <v>169</v>
      </c>
      <c r="H6" s="33"/>
      <c r="I6" s="82">
        <v>400000</v>
      </c>
      <c r="J6" s="33">
        <f t="shared" si="0"/>
        <v>2284866</v>
      </c>
    </row>
    <row r="7" spans="1:10" x14ac:dyDescent="0.2">
      <c r="A7" s="31">
        <v>45386</v>
      </c>
      <c r="B7" s="22" t="s">
        <v>38</v>
      </c>
      <c r="C7" s="33">
        <f>740+410</f>
        <v>1150</v>
      </c>
      <c r="D7" s="33">
        <f>D6-C7</f>
        <v>49112</v>
      </c>
      <c r="F7" s="23">
        <v>4</v>
      </c>
      <c r="G7" s="21" t="s">
        <v>46</v>
      </c>
      <c r="H7" s="33">
        <v>71530</v>
      </c>
      <c r="J7" s="33">
        <f t="shared" si="0"/>
        <v>2213336</v>
      </c>
    </row>
    <row r="8" spans="1:10" x14ac:dyDescent="0.2">
      <c r="A8" s="31">
        <v>45387</v>
      </c>
      <c r="B8" s="22"/>
      <c r="C8" s="33"/>
      <c r="D8" s="33">
        <f>D7-C8</f>
        <v>49112</v>
      </c>
      <c r="F8" s="23">
        <v>5</v>
      </c>
      <c r="G8" s="21" t="s">
        <v>170</v>
      </c>
      <c r="H8" s="33">
        <v>6141</v>
      </c>
      <c r="I8" s="82"/>
      <c r="J8" s="33">
        <f t="shared" si="0"/>
        <v>2207195</v>
      </c>
    </row>
    <row r="9" spans="1:10" x14ac:dyDescent="0.2">
      <c r="A9" s="31">
        <v>45388</v>
      </c>
      <c r="B9" s="21" t="s">
        <v>38</v>
      </c>
      <c r="C9" s="33">
        <v>2337</v>
      </c>
      <c r="D9" s="33">
        <f t="shared" ref="D9:D35" si="1">D8-C10</f>
        <v>44447</v>
      </c>
      <c r="F9" s="89" t="s">
        <v>4</v>
      </c>
      <c r="G9" s="90"/>
      <c r="H9" s="90"/>
      <c r="I9" s="91"/>
      <c r="J9" s="33">
        <f t="shared" si="0"/>
        <v>2207195</v>
      </c>
    </row>
    <row r="10" spans="1:10" x14ac:dyDescent="0.2">
      <c r="A10" s="31">
        <v>45389</v>
      </c>
      <c r="B10" s="22" t="s">
        <v>45</v>
      </c>
      <c r="C10" s="33">
        <v>4665</v>
      </c>
      <c r="D10" s="33">
        <f t="shared" si="1"/>
        <v>43907</v>
      </c>
      <c r="H10" s="33"/>
      <c r="I10" s="82"/>
      <c r="J10" s="33"/>
    </row>
    <row r="11" spans="1:10" x14ac:dyDescent="0.2">
      <c r="B11" s="22" t="s">
        <v>28</v>
      </c>
      <c r="C11" s="33">
        <f>150+140+250</f>
        <v>540</v>
      </c>
      <c r="D11" s="33">
        <f t="shared" si="1"/>
        <v>43907</v>
      </c>
      <c r="H11" s="33"/>
      <c r="I11" s="82"/>
      <c r="J11" s="33"/>
    </row>
    <row r="12" spans="1:10" x14ac:dyDescent="0.2">
      <c r="A12" s="31">
        <v>45390</v>
      </c>
      <c r="B12" s="22"/>
      <c r="C12" s="33"/>
      <c r="D12" s="33">
        <f t="shared" si="1"/>
        <v>43137</v>
      </c>
      <c r="H12" s="33"/>
      <c r="I12" s="82"/>
      <c r="J12" s="33"/>
    </row>
    <row r="13" spans="1:10" x14ac:dyDescent="0.2">
      <c r="A13" s="31">
        <v>45391</v>
      </c>
      <c r="B13" s="22" t="s">
        <v>45</v>
      </c>
      <c r="C13" s="33">
        <v>770</v>
      </c>
      <c r="D13" s="33">
        <f t="shared" si="1"/>
        <v>41544</v>
      </c>
      <c r="H13" s="33"/>
      <c r="I13" s="82"/>
      <c r="J13" s="33"/>
    </row>
    <row r="14" spans="1:10" x14ac:dyDescent="0.2">
      <c r="B14" s="22" t="s">
        <v>38</v>
      </c>
      <c r="C14" s="33">
        <f>250+343+1000</f>
        <v>1593</v>
      </c>
      <c r="D14" s="33">
        <f t="shared" si="1"/>
        <v>40794</v>
      </c>
      <c r="H14" s="33"/>
      <c r="I14" s="82"/>
      <c r="J14" s="33"/>
    </row>
    <row r="15" spans="1:10" x14ac:dyDescent="0.2">
      <c r="A15" s="31">
        <v>45392</v>
      </c>
      <c r="B15" s="22" t="s">
        <v>45</v>
      </c>
      <c r="C15" s="33">
        <f>450+300</f>
        <v>750</v>
      </c>
      <c r="D15" s="33">
        <f t="shared" si="1"/>
        <v>40578</v>
      </c>
      <c r="H15" s="33"/>
      <c r="I15" s="82"/>
      <c r="J15" s="33"/>
    </row>
    <row r="16" spans="1:10" x14ac:dyDescent="0.2">
      <c r="B16" s="22" t="s">
        <v>45</v>
      </c>
      <c r="C16" s="33">
        <v>216</v>
      </c>
      <c r="D16" s="33">
        <f t="shared" si="1"/>
        <v>38315</v>
      </c>
      <c r="H16" s="33"/>
      <c r="I16" s="82"/>
      <c r="J16" s="33"/>
    </row>
    <row r="17" spans="1:4" x14ac:dyDescent="0.2">
      <c r="A17" s="31">
        <v>45393</v>
      </c>
      <c r="B17" s="22" t="s">
        <v>38</v>
      </c>
      <c r="C17" s="33">
        <v>2263</v>
      </c>
      <c r="D17" s="33">
        <f t="shared" si="1"/>
        <v>36482</v>
      </c>
    </row>
    <row r="18" spans="1:4" x14ac:dyDescent="0.2">
      <c r="A18" s="31">
        <v>45394</v>
      </c>
      <c r="B18" s="22" t="s">
        <v>45</v>
      </c>
      <c r="C18" s="33">
        <f>3533-1700</f>
        <v>1833</v>
      </c>
      <c r="D18" s="33">
        <f t="shared" si="1"/>
        <v>35994</v>
      </c>
    </row>
    <row r="19" spans="1:4" x14ac:dyDescent="0.2">
      <c r="B19" s="22" t="s">
        <v>45</v>
      </c>
      <c r="C19" s="33">
        <f>968-480</f>
        <v>488</v>
      </c>
      <c r="D19" s="33">
        <f t="shared" si="1"/>
        <v>35994</v>
      </c>
    </row>
    <row r="20" spans="1:4" x14ac:dyDescent="0.2">
      <c r="A20" s="31">
        <v>45395</v>
      </c>
      <c r="B20" s="22"/>
      <c r="C20" s="33"/>
      <c r="D20" s="33">
        <f t="shared" si="1"/>
        <v>34738</v>
      </c>
    </row>
    <row r="21" spans="1:4" x14ac:dyDescent="0.2">
      <c r="A21" s="31">
        <v>45396</v>
      </c>
      <c r="B21" s="22" t="s">
        <v>45</v>
      </c>
      <c r="C21" s="33">
        <f>118+170+968</f>
        <v>1256</v>
      </c>
      <c r="D21" s="33">
        <f t="shared" si="1"/>
        <v>34738</v>
      </c>
    </row>
    <row r="22" spans="1:4" x14ac:dyDescent="0.2">
      <c r="A22" s="31">
        <v>45397</v>
      </c>
      <c r="B22" s="22" t="s">
        <v>171</v>
      </c>
      <c r="C22" s="33"/>
      <c r="D22" s="33">
        <f t="shared" si="1"/>
        <v>31317</v>
      </c>
    </row>
    <row r="23" spans="1:4" x14ac:dyDescent="0.2">
      <c r="A23" s="31">
        <v>45398</v>
      </c>
      <c r="B23" s="22" t="s">
        <v>38</v>
      </c>
      <c r="C23" s="33">
        <f>2761+500+160</f>
        <v>3421</v>
      </c>
      <c r="D23" s="33">
        <f t="shared" si="1"/>
        <v>30817</v>
      </c>
    </row>
    <row r="24" spans="1:4" x14ac:dyDescent="0.2">
      <c r="A24" s="31">
        <v>45399</v>
      </c>
      <c r="B24" s="22" t="s">
        <v>28</v>
      </c>
      <c r="C24" s="33">
        <v>500</v>
      </c>
      <c r="D24" s="33">
        <f t="shared" si="1"/>
        <v>27017</v>
      </c>
    </row>
    <row r="25" spans="1:4" x14ac:dyDescent="0.2">
      <c r="A25" s="31">
        <v>45400</v>
      </c>
      <c r="B25" s="21" t="s">
        <v>172</v>
      </c>
      <c r="C25" s="33">
        <v>3800</v>
      </c>
      <c r="D25" s="33">
        <f t="shared" si="1"/>
        <v>27017</v>
      </c>
    </row>
    <row r="26" spans="1:4" x14ac:dyDescent="0.2">
      <c r="A26" s="31">
        <v>45401</v>
      </c>
      <c r="B26" s="22" t="s">
        <v>38</v>
      </c>
      <c r="C26" s="33"/>
      <c r="D26" s="33">
        <f t="shared" si="1"/>
        <v>26499</v>
      </c>
    </row>
    <row r="27" spans="1:4" x14ac:dyDescent="0.2">
      <c r="A27" s="31">
        <v>45402</v>
      </c>
      <c r="B27" s="22" t="s">
        <v>28</v>
      </c>
      <c r="C27" s="33">
        <f>380+138</f>
        <v>518</v>
      </c>
      <c r="D27" s="33">
        <f t="shared" si="1"/>
        <v>26141</v>
      </c>
    </row>
    <row r="28" spans="1:4" x14ac:dyDescent="0.2">
      <c r="B28" s="22" t="s">
        <v>45</v>
      </c>
      <c r="C28" s="33">
        <f>138+220</f>
        <v>358</v>
      </c>
      <c r="D28" s="33">
        <f t="shared" si="1"/>
        <v>26141</v>
      </c>
    </row>
    <row r="29" spans="1:4" x14ac:dyDescent="0.2">
      <c r="A29" s="31">
        <v>45403</v>
      </c>
      <c r="B29" s="22"/>
      <c r="C29" s="33"/>
      <c r="D29" s="33">
        <f t="shared" si="1"/>
        <v>26141</v>
      </c>
    </row>
    <row r="30" spans="1:4" x14ac:dyDescent="0.2">
      <c r="A30" s="31">
        <v>45404</v>
      </c>
      <c r="B30" s="22"/>
      <c r="C30" s="33"/>
      <c r="D30" s="33">
        <f t="shared" si="1"/>
        <v>26141</v>
      </c>
    </row>
    <row r="31" spans="1:4" x14ac:dyDescent="0.2">
      <c r="A31" s="31">
        <v>45405</v>
      </c>
      <c r="B31" s="22"/>
      <c r="C31" s="33"/>
      <c r="D31" s="33">
        <f t="shared" si="1"/>
        <v>24529</v>
      </c>
    </row>
    <row r="32" spans="1:4" x14ac:dyDescent="0.2">
      <c r="A32" s="31">
        <v>45406</v>
      </c>
      <c r="B32" s="22" t="s">
        <v>45</v>
      </c>
      <c r="C32" s="33">
        <f>160+500+150+332+300+170</f>
        <v>1612</v>
      </c>
      <c r="D32" s="33">
        <f t="shared" si="1"/>
        <v>22817</v>
      </c>
    </row>
    <row r="33" spans="1:4" x14ac:dyDescent="0.2">
      <c r="A33" s="31">
        <v>45407</v>
      </c>
      <c r="B33" s="22" t="s">
        <v>38</v>
      </c>
      <c r="C33" s="33">
        <v>1712</v>
      </c>
      <c r="D33" s="33">
        <f t="shared" si="1"/>
        <v>22817</v>
      </c>
    </row>
    <row r="34" spans="1:4" x14ac:dyDescent="0.2">
      <c r="A34" s="31">
        <v>45408</v>
      </c>
      <c r="B34" s="22"/>
      <c r="C34" s="33"/>
      <c r="D34" s="33">
        <f t="shared" si="1"/>
        <v>22491</v>
      </c>
    </row>
    <row r="35" spans="1:4" x14ac:dyDescent="0.2">
      <c r="A35" s="31">
        <v>45409</v>
      </c>
      <c r="B35" s="22" t="s">
        <v>28</v>
      </c>
      <c r="C35" s="33">
        <f>109+217</f>
        <v>326</v>
      </c>
      <c r="D35" s="33">
        <f t="shared" si="1"/>
        <v>22491</v>
      </c>
    </row>
    <row r="36" spans="1:4" x14ac:dyDescent="0.2">
      <c r="A36" s="31">
        <v>45410</v>
      </c>
      <c r="B36" s="22"/>
      <c r="C36" s="33"/>
      <c r="D36" s="33">
        <f>D35-C36</f>
        <v>22491</v>
      </c>
    </row>
    <row r="37" spans="1:4" x14ac:dyDescent="0.2">
      <c r="A37" s="31">
        <v>45411</v>
      </c>
      <c r="B37" s="22" t="s">
        <v>38</v>
      </c>
      <c r="C37" s="33">
        <f>480+3837</f>
        <v>4317</v>
      </c>
      <c r="D37" s="33">
        <f>D36-C37</f>
        <v>18174</v>
      </c>
    </row>
    <row r="38" spans="1:4" x14ac:dyDescent="0.2">
      <c r="A38" s="31">
        <v>45412</v>
      </c>
      <c r="B38" s="22" t="s">
        <v>102</v>
      </c>
      <c r="C38" s="33">
        <v>1270</v>
      </c>
      <c r="D38" s="33">
        <f>D37-C38</f>
        <v>16904</v>
      </c>
    </row>
    <row r="39" spans="1:4" x14ac:dyDescent="0.2">
      <c r="A39" s="101" t="s">
        <v>4</v>
      </c>
      <c r="B39" s="90"/>
      <c r="C39" s="91"/>
      <c r="D39" s="34">
        <f>D38-C39</f>
        <v>16904</v>
      </c>
    </row>
  </sheetData>
  <mergeCells count="6">
    <mergeCell ref="A1:D1"/>
    <mergeCell ref="F9:I9"/>
    <mergeCell ref="F3:I3"/>
    <mergeCell ref="A3:C3"/>
    <mergeCell ref="A39:C39"/>
    <mergeCell ref="F1:J1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41"/>
  <sheetViews>
    <sheetView topLeftCell="A33" zoomScale="175" zoomScaleNormal="175" workbookViewId="0">
      <selection activeCell="B35" sqref="B35"/>
    </sheetView>
  </sheetViews>
  <sheetFormatPr baseColWidth="10" defaultColWidth="8.83203125" defaultRowHeight="14" x14ac:dyDescent="0.2"/>
  <cols>
    <col min="1" max="1" width="12.83203125" style="23" customWidth="1"/>
    <col min="2" max="2" width="30.1640625" style="21" customWidth="1"/>
    <col min="3" max="4" width="17.33203125" style="21" customWidth="1"/>
    <col min="5" max="5" width="8.83203125" style="19" customWidth="1"/>
    <col min="6" max="6" width="4" style="23" customWidth="1"/>
    <col min="7" max="7" width="37.83203125" style="21" customWidth="1"/>
    <col min="8" max="10" width="17.33203125" style="21" customWidth="1"/>
    <col min="11" max="11" width="8.83203125" style="19" customWidth="1"/>
    <col min="12" max="16384" width="8.83203125" style="19"/>
  </cols>
  <sheetData>
    <row r="1" spans="1:10" x14ac:dyDescent="0.2">
      <c r="A1" s="89" t="s">
        <v>52</v>
      </c>
      <c r="B1" s="90"/>
      <c r="C1" s="90"/>
      <c r="D1" s="91"/>
      <c r="F1" s="89" t="s">
        <v>53</v>
      </c>
      <c r="G1" s="90"/>
      <c r="H1" s="90"/>
      <c r="I1" s="90"/>
      <c r="J1" s="91"/>
    </row>
    <row r="2" spans="1:10" x14ac:dyDescent="0.2">
      <c r="A2" s="23" t="s">
        <v>54</v>
      </c>
      <c r="B2" s="23" t="s">
        <v>55</v>
      </c>
      <c r="C2" s="23" t="s">
        <v>56</v>
      </c>
      <c r="D2" s="23" t="s">
        <v>57</v>
      </c>
      <c r="F2" s="23" t="s">
        <v>58</v>
      </c>
      <c r="G2" s="23" t="s">
        <v>55</v>
      </c>
      <c r="H2" s="23" t="s">
        <v>56</v>
      </c>
      <c r="I2" s="23" t="s">
        <v>59</v>
      </c>
      <c r="J2" s="23" t="s">
        <v>60</v>
      </c>
    </row>
    <row r="3" spans="1:10" x14ac:dyDescent="0.2">
      <c r="A3" s="92" t="s">
        <v>61</v>
      </c>
      <c r="B3" s="90"/>
      <c r="C3" s="91"/>
      <c r="D3" s="34">
        <v>55000</v>
      </c>
      <c r="F3" s="92" t="s">
        <v>62</v>
      </c>
      <c r="G3" s="90"/>
      <c r="H3" s="90"/>
      <c r="I3" s="91"/>
      <c r="J3" s="34">
        <f>'24-05'!J9</f>
        <v>2207195</v>
      </c>
    </row>
    <row r="4" spans="1:10" x14ac:dyDescent="0.2">
      <c r="A4" s="31">
        <v>45444</v>
      </c>
      <c r="B4" s="32" t="s">
        <v>38</v>
      </c>
      <c r="C4" s="33">
        <v>2479</v>
      </c>
      <c r="D4" s="33">
        <f t="shared" ref="D4:D41" si="0">D3-C4</f>
        <v>52521</v>
      </c>
      <c r="F4" s="23">
        <v>1</v>
      </c>
      <c r="G4" s="21" t="s">
        <v>100</v>
      </c>
      <c r="H4" s="33">
        <v>55000</v>
      </c>
      <c r="I4" s="33"/>
      <c r="J4" s="33">
        <f>J3-H4+I4</f>
        <v>2152195</v>
      </c>
    </row>
    <row r="5" spans="1:10" x14ac:dyDescent="0.2">
      <c r="A5" s="31">
        <v>45445</v>
      </c>
      <c r="B5" s="32" t="s">
        <v>45</v>
      </c>
      <c r="C5" s="33">
        <f>203+110</f>
        <v>313</v>
      </c>
      <c r="D5" s="33">
        <f t="shared" si="0"/>
        <v>52208</v>
      </c>
      <c r="F5" s="23">
        <v>2</v>
      </c>
      <c r="G5" s="21" t="s">
        <v>173</v>
      </c>
      <c r="H5" s="33">
        <v>29612</v>
      </c>
      <c r="I5" s="33"/>
      <c r="J5" s="33">
        <f>J4-H5+I5</f>
        <v>2122583</v>
      </c>
    </row>
    <row r="6" spans="1:10" x14ac:dyDescent="0.2">
      <c r="A6" s="31">
        <v>45446</v>
      </c>
      <c r="B6" s="22" t="s">
        <v>45</v>
      </c>
      <c r="C6" s="33">
        <v>548</v>
      </c>
      <c r="D6" s="33">
        <f t="shared" si="0"/>
        <v>51660</v>
      </c>
      <c r="F6" s="23">
        <v>3</v>
      </c>
      <c r="G6" s="21" t="s">
        <v>46</v>
      </c>
      <c r="H6" s="33">
        <v>71530</v>
      </c>
      <c r="I6" s="33"/>
      <c r="J6" s="33">
        <f>J5-H6+I6</f>
        <v>2051053</v>
      </c>
    </row>
    <row r="7" spans="1:10" x14ac:dyDescent="0.2">
      <c r="B7" s="22" t="s">
        <v>45</v>
      </c>
      <c r="C7" s="33">
        <f>650</f>
        <v>650</v>
      </c>
      <c r="D7" s="33">
        <f t="shared" si="0"/>
        <v>51010</v>
      </c>
      <c r="F7" s="23">
        <v>4</v>
      </c>
      <c r="G7" s="21" t="s">
        <v>167</v>
      </c>
      <c r="H7" s="33">
        <v>5625</v>
      </c>
      <c r="I7" s="33"/>
      <c r="J7" s="33">
        <f>J6-H7+I7</f>
        <v>2045428</v>
      </c>
    </row>
    <row r="8" spans="1:10" x14ac:dyDescent="0.2">
      <c r="A8" s="31">
        <v>45447</v>
      </c>
      <c r="B8" s="22" t="s">
        <v>174</v>
      </c>
      <c r="C8" s="33">
        <v>5000</v>
      </c>
      <c r="D8" s="33">
        <f t="shared" si="0"/>
        <v>46010</v>
      </c>
      <c r="F8" s="89" t="s">
        <v>4</v>
      </c>
      <c r="G8" s="90"/>
      <c r="H8" s="90"/>
      <c r="I8" s="91"/>
      <c r="J8" s="33">
        <f>J7-H8+I8</f>
        <v>2045428</v>
      </c>
    </row>
    <row r="9" spans="1:10" x14ac:dyDescent="0.2">
      <c r="A9" s="31">
        <v>45448</v>
      </c>
      <c r="B9" s="22" t="s">
        <v>45</v>
      </c>
      <c r="C9" s="33">
        <f>576+130</f>
        <v>706</v>
      </c>
      <c r="D9" s="33">
        <f t="shared" si="0"/>
        <v>45304</v>
      </c>
      <c r="H9" s="33"/>
      <c r="I9" s="33"/>
      <c r="J9" s="33"/>
    </row>
    <row r="10" spans="1:10" x14ac:dyDescent="0.2">
      <c r="A10" s="31">
        <v>45449</v>
      </c>
      <c r="B10" s="22" t="s">
        <v>38</v>
      </c>
      <c r="C10" s="33">
        <f>1013+105</f>
        <v>1118</v>
      </c>
      <c r="D10" s="33">
        <f t="shared" si="0"/>
        <v>44186</v>
      </c>
      <c r="H10" s="33"/>
      <c r="I10" s="33"/>
      <c r="J10" s="33"/>
    </row>
    <row r="11" spans="1:10" x14ac:dyDescent="0.2">
      <c r="A11" s="31">
        <v>45450</v>
      </c>
      <c r="B11" s="21" t="s">
        <v>28</v>
      </c>
      <c r="C11" s="33">
        <v>500</v>
      </c>
      <c r="D11" s="33">
        <f t="shared" si="0"/>
        <v>43686</v>
      </c>
      <c r="H11" s="33"/>
      <c r="I11" s="33"/>
      <c r="J11" s="33"/>
    </row>
    <row r="12" spans="1:10" x14ac:dyDescent="0.2">
      <c r="A12" s="31">
        <v>45451</v>
      </c>
      <c r="B12" s="22"/>
      <c r="C12" s="33"/>
      <c r="D12" s="33">
        <f t="shared" si="0"/>
        <v>43686</v>
      </c>
      <c r="H12" s="33"/>
      <c r="I12" s="33"/>
      <c r="J12" s="33"/>
    </row>
    <row r="13" spans="1:10" x14ac:dyDescent="0.2">
      <c r="A13" s="31">
        <v>45452</v>
      </c>
      <c r="B13" s="22" t="s">
        <v>45</v>
      </c>
      <c r="C13" s="33">
        <f>129+110+770</f>
        <v>1009</v>
      </c>
      <c r="D13" s="33">
        <f t="shared" si="0"/>
        <v>42677</v>
      </c>
      <c r="H13" s="33"/>
      <c r="I13" s="33"/>
      <c r="J13" s="33"/>
    </row>
    <row r="14" spans="1:10" x14ac:dyDescent="0.2">
      <c r="B14" s="22" t="s">
        <v>38</v>
      </c>
      <c r="C14" s="33">
        <f>2275-350</f>
        <v>1925</v>
      </c>
      <c r="D14" s="33">
        <f t="shared" si="0"/>
        <v>40752</v>
      </c>
      <c r="H14" s="33"/>
      <c r="I14" s="33"/>
      <c r="J14" s="33"/>
    </row>
    <row r="15" spans="1:10" x14ac:dyDescent="0.2">
      <c r="A15" s="31">
        <v>45453</v>
      </c>
      <c r="B15" s="22" t="s">
        <v>28</v>
      </c>
      <c r="C15" s="33">
        <v>570</v>
      </c>
      <c r="D15" s="33">
        <f t="shared" si="0"/>
        <v>40182</v>
      </c>
      <c r="H15" s="33"/>
      <c r="I15" s="33"/>
      <c r="J15" s="33"/>
    </row>
    <row r="16" spans="1:10" x14ac:dyDescent="0.2">
      <c r="A16" s="31">
        <v>45454</v>
      </c>
      <c r="B16" s="22" t="s">
        <v>80</v>
      </c>
      <c r="C16" s="33">
        <v>2000</v>
      </c>
      <c r="D16" s="33">
        <f t="shared" si="0"/>
        <v>38182</v>
      </c>
      <c r="H16" s="33"/>
      <c r="I16" s="33"/>
      <c r="J16" s="33"/>
    </row>
    <row r="17" spans="1:4" x14ac:dyDescent="0.2">
      <c r="B17" s="22" t="s">
        <v>28</v>
      </c>
      <c r="C17" s="33">
        <v>343</v>
      </c>
      <c r="D17" s="33">
        <f t="shared" si="0"/>
        <v>37839</v>
      </c>
    </row>
    <row r="18" spans="1:4" x14ac:dyDescent="0.2">
      <c r="B18" s="22" t="s">
        <v>45</v>
      </c>
      <c r="C18" s="33">
        <v>1765</v>
      </c>
      <c r="D18" s="33">
        <f t="shared" si="0"/>
        <v>36074</v>
      </c>
    </row>
    <row r="19" spans="1:4" x14ac:dyDescent="0.2">
      <c r="A19" s="31">
        <v>45455</v>
      </c>
      <c r="B19" s="22"/>
      <c r="C19" s="33"/>
      <c r="D19" s="33">
        <f t="shared" si="0"/>
        <v>36074</v>
      </c>
    </row>
    <row r="20" spans="1:4" x14ac:dyDescent="0.2">
      <c r="A20" s="31">
        <v>45456</v>
      </c>
      <c r="B20" s="22" t="s">
        <v>38</v>
      </c>
      <c r="C20" s="33">
        <f>1664+1675</f>
        <v>3339</v>
      </c>
      <c r="D20" s="33">
        <f t="shared" si="0"/>
        <v>32735</v>
      </c>
    </row>
    <row r="21" spans="1:4" x14ac:dyDescent="0.2">
      <c r="A21" s="31">
        <v>45457</v>
      </c>
      <c r="B21" s="22" t="s">
        <v>45</v>
      </c>
      <c r="C21" s="33">
        <v>379</v>
      </c>
      <c r="D21" s="33">
        <f t="shared" si="0"/>
        <v>32356</v>
      </c>
    </row>
    <row r="22" spans="1:4" x14ac:dyDescent="0.2">
      <c r="A22" s="31">
        <v>45458</v>
      </c>
      <c r="B22" s="22"/>
      <c r="C22" s="33"/>
      <c r="D22" s="33">
        <f t="shared" si="0"/>
        <v>32356</v>
      </c>
    </row>
    <row r="23" spans="1:4" x14ac:dyDescent="0.2">
      <c r="A23" s="31">
        <v>45459</v>
      </c>
      <c r="B23" s="22" t="s">
        <v>38</v>
      </c>
      <c r="C23" s="33">
        <v>1828</v>
      </c>
      <c r="D23" s="33">
        <f t="shared" si="0"/>
        <v>30528</v>
      </c>
    </row>
    <row r="24" spans="1:4" x14ac:dyDescent="0.2">
      <c r="A24" s="31">
        <v>45460</v>
      </c>
      <c r="B24" s="22" t="s">
        <v>28</v>
      </c>
      <c r="C24" s="33">
        <v>360</v>
      </c>
      <c r="D24" s="33">
        <f t="shared" si="0"/>
        <v>30168</v>
      </c>
    </row>
    <row r="25" spans="1:4" x14ac:dyDescent="0.2">
      <c r="A25" s="31">
        <v>45461</v>
      </c>
      <c r="B25" s="22" t="s">
        <v>45</v>
      </c>
      <c r="C25" s="33">
        <v>875</v>
      </c>
      <c r="D25" s="33">
        <f t="shared" si="0"/>
        <v>29293</v>
      </c>
    </row>
    <row r="26" spans="1:4" x14ac:dyDescent="0.2">
      <c r="A26" s="31">
        <v>45462</v>
      </c>
      <c r="B26" s="22" t="s">
        <v>38</v>
      </c>
      <c r="C26" s="33">
        <v>1631</v>
      </c>
      <c r="D26" s="33">
        <f t="shared" si="0"/>
        <v>27662</v>
      </c>
    </row>
    <row r="27" spans="1:4" x14ac:dyDescent="0.2">
      <c r="A27" s="31">
        <v>45463</v>
      </c>
      <c r="B27" s="22" t="s">
        <v>45</v>
      </c>
      <c r="C27" s="33">
        <v>1472</v>
      </c>
      <c r="D27" s="33">
        <f t="shared" si="0"/>
        <v>26190</v>
      </c>
    </row>
    <row r="28" spans="1:4" x14ac:dyDescent="0.2">
      <c r="A28" s="31">
        <v>45464</v>
      </c>
      <c r="B28" s="22"/>
      <c r="C28" s="33"/>
      <c r="D28" s="33">
        <f t="shared" si="0"/>
        <v>26190</v>
      </c>
    </row>
    <row r="29" spans="1:4" x14ac:dyDescent="0.2">
      <c r="A29" s="31">
        <v>45465</v>
      </c>
      <c r="B29" s="22" t="s">
        <v>45</v>
      </c>
      <c r="C29" s="33">
        <v>572</v>
      </c>
      <c r="D29" s="33">
        <f t="shared" si="0"/>
        <v>25618</v>
      </c>
    </row>
    <row r="30" spans="1:4" x14ac:dyDescent="0.2">
      <c r="A30" s="31">
        <v>45466</v>
      </c>
      <c r="B30" s="22" t="s">
        <v>38</v>
      </c>
      <c r="C30" s="33">
        <v>1889</v>
      </c>
      <c r="D30" s="33">
        <f t="shared" si="0"/>
        <v>23729</v>
      </c>
    </row>
    <row r="31" spans="1:4" x14ac:dyDescent="0.2">
      <c r="B31" s="22" t="s">
        <v>28</v>
      </c>
      <c r="C31" s="33">
        <v>340</v>
      </c>
      <c r="D31" s="33">
        <f t="shared" si="0"/>
        <v>23389</v>
      </c>
    </row>
    <row r="32" spans="1:4" x14ac:dyDescent="0.2">
      <c r="A32" s="31">
        <v>45467</v>
      </c>
      <c r="B32" s="22"/>
      <c r="C32" s="33"/>
      <c r="D32" s="33">
        <f t="shared" si="0"/>
        <v>23389</v>
      </c>
    </row>
    <row r="33" spans="1:4" x14ac:dyDescent="0.2">
      <c r="A33" s="31">
        <v>45468</v>
      </c>
      <c r="B33" s="22"/>
      <c r="C33" s="33"/>
      <c r="D33" s="33">
        <f t="shared" si="0"/>
        <v>23389</v>
      </c>
    </row>
    <row r="34" spans="1:4" x14ac:dyDescent="0.2">
      <c r="A34" s="31">
        <v>45469</v>
      </c>
      <c r="B34" s="22" t="s">
        <v>38</v>
      </c>
      <c r="C34" s="33">
        <f>110+129+255+172+2053</f>
        <v>2719</v>
      </c>
      <c r="D34" s="33">
        <f t="shared" si="0"/>
        <v>20670</v>
      </c>
    </row>
    <row r="35" spans="1:4" x14ac:dyDescent="0.2">
      <c r="A35" s="31">
        <v>45470</v>
      </c>
      <c r="B35" s="22"/>
      <c r="C35" s="33"/>
      <c r="D35" s="33">
        <f t="shared" si="0"/>
        <v>20670</v>
      </c>
    </row>
    <row r="36" spans="1:4" x14ac:dyDescent="0.2">
      <c r="A36" s="31">
        <v>45471</v>
      </c>
      <c r="B36" s="22" t="s">
        <v>38</v>
      </c>
      <c r="C36" s="33">
        <v>1148</v>
      </c>
      <c r="D36" s="33">
        <f t="shared" si="0"/>
        <v>19522</v>
      </c>
    </row>
    <row r="37" spans="1:4" x14ac:dyDescent="0.2">
      <c r="A37" s="31"/>
      <c r="B37" s="22" t="s">
        <v>28</v>
      </c>
      <c r="C37" s="33">
        <v>905</v>
      </c>
      <c r="D37" s="33">
        <f t="shared" si="0"/>
        <v>18617</v>
      </c>
    </row>
    <row r="38" spans="1:4" x14ac:dyDescent="0.2">
      <c r="A38" s="31">
        <v>45472</v>
      </c>
      <c r="B38" s="22" t="s">
        <v>45</v>
      </c>
      <c r="C38" s="33">
        <v>409</v>
      </c>
      <c r="D38" s="33">
        <f t="shared" si="0"/>
        <v>18208</v>
      </c>
    </row>
    <row r="39" spans="1:4" x14ac:dyDescent="0.2">
      <c r="A39" s="31">
        <v>45473</v>
      </c>
      <c r="B39" s="21" t="s">
        <v>38</v>
      </c>
      <c r="C39" s="33">
        <v>1478</v>
      </c>
      <c r="D39" s="33">
        <f t="shared" si="0"/>
        <v>16730</v>
      </c>
    </row>
    <row r="40" spans="1:4" x14ac:dyDescent="0.2">
      <c r="A40" s="31"/>
      <c r="B40" s="22" t="s">
        <v>102</v>
      </c>
      <c r="C40" s="33">
        <v>1347</v>
      </c>
      <c r="D40" s="33">
        <f t="shared" si="0"/>
        <v>15383</v>
      </c>
    </row>
    <row r="41" spans="1:4" x14ac:dyDescent="0.2">
      <c r="A41" s="101" t="s">
        <v>4</v>
      </c>
      <c r="B41" s="90"/>
      <c r="C41" s="91"/>
      <c r="D41" s="34">
        <f t="shared" si="0"/>
        <v>15383</v>
      </c>
    </row>
  </sheetData>
  <mergeCells count="6">
    <mergeCell ref="A1:D1"/>
    <mergeCell ref="A41:C41"/>
    <mergeCell ref="F8:I8"/>
    <mergeCell ref="F3:I3"/>
    <mergeCell ref="A3:C3"/>
    <mergeCell ref="F1:J1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52"/>
  <sheetViews>
    <sheetView topLeftCell="A37" zoomScale="145" zoomScaleNormal="145" workbookViewId="0">
      <selection activeCell="C53" sqref="C53"/>
    </sheetView>
  </sheetViews>
  <sheetFormatPr baseColWidth="10" defaultColWidth="8.83203125" defaultRowHeight="14" x14ac:dyDescent="0.2"/>
  <cols>
    <col min="1" max="1" width="12.83203125" style="23" customWidth="1"/>
    <col min="2" max="2" width="30.1640625" style="21" customWidth="1"/>
    <col min="3" max="4" width="17.33203125" style="21" customWidth="1"/>
    <col min="5" max="5" width="8.83203125" style="19" customWidth="1"/>
    <col min="6" max="6" width="4" style="23" customWidth="1"/>
    <col min="7" max="7" width="37.83203125" style="21" customWidth="1"/>
    <col min="8" max="10" width="17.33203125" style="21" customWidth="1"/>
    <col min="11" max="11" width="8.83203125" style="19" customWidth="1"/>
    <col min="12" max="16384" width="8.83203125" style="19"/>
  </cols>
  <sheetData>
    <row r="1" spans="1:10" x14ac:dyDescent="0.2">
      <c r="A1" s="89" t="s">
        <v>52</v>
      </c>
      <c r="B1" s="90"/>
      <c r="C1" s="90"/>
      <c r="D1" s="91"/>
      <c r="F1" s="89" t="s">
        <v>53</v>
      </c>
      <c r="G1" s="90"/>
      <c r="H1" s="90"/>
      <c r="I1" s="90"/>
      <c r="J1" s="91"/>
    </row>
    <row r="2" spans="1:10" x14ac:dyDescent="0.2">
      <c r="A2" s="23" t="s">
        <v>54</v>
      </c>
      <c r="B2" s="23" t="s">
        <v>55</v>
      </c>
      <c r="C2" s="23" t="s">
        <v>56</v>
      </c>
      <c r="D2" s="23" t="s">
        <v>57</v>
      </c>
      <c r="F2" s="23" t="s">
        <v>58</v>
      </c>
      <c r="G2" s="23" t="s">
        <v>55</v>
      </c>
      <c r="H2" s="23" t="s">
        <v>56</v>
      </c>
      <c r="I2" s="23" t="s">
        <v>59</v>
      </c>
      <c r="J2" s="23" t="s">
        <v>60</v>
      </c>
    </row>
    <row r="3" spans="1:10" x14ac:dyDescent="0.2">
      <c r="A3" s="92" t="s">
        <v>61</v>
      </c>
      <c r="B3" s="90"/>
      <c r="C3" s="91"/>
      <c r="D3" s="34">
        <v>55000</v>
      </c>
      <c r="F3" s="92" t="s">
        <v>62</v>
      </c>
      <c r="G3" s="90"/>
      <c r="H3" s="90"/>
      <c r="I3" s="91"/>
      <c r="J3" s="34">
        <f>'24-06'!J8</f>
        <v>2045428</v>
      </c>
    </row>
    <row r="4" spans="1:10" x14ac:dyDescent="0.2">
      <c r="A4" s="31">
        <v>45474</v>
      </c>
      <c r="B4" s="32"/>
      <c r="C4" s="33"/>
      <c r="D4" s="33">
        <f t="shared" ref="D4:D35" si="0">D3-C4</f>
        <v>55000</v>
      </c>
      <c r="F4" s="23">
        <v>1</v>
      </c>
      <c r="G4" s="21" t="s">
        <v>100</v>
      </c>
      <c r="H4" s="33">
        <v>55000</v>
      </c>
      <c r="I4" s="53"/>
      <c r="J4" s="33">
        <f>J3-H4+I4</f>
        <v>1990428</v>
      </c>
    </row>
    <row r="5" spans="1:10" x14ac:dyDescent="0.2">
      <c r="A5" s="31">
        <v>45475</v>
      </c>
      <c r="B5" s="32" t="s">
        <v>45</v>
      </c>
      <c r="C5" s="33">
        <f>230+1453</f>
        <v>1683</v>
      </c>
      <c r="D5" s="33">
        <f t="shared" si="0"/>
        <v>53317</v>
      </c>
      <c r="F5" s="23">
        <v>2</v>
      </c>
      <c r="G5" s="21" t="s">
        <v>46</v>
      </c>
      <c r="H5" s="33">
        <v>71530</v>
      </c>
      <c r="I5" s="53"/>
      <c r="J5" s="33">
        <f>J4-H5+I5</f>
        <v>1918898</v>
      </c>
    </row>
    <row r="6" spans="1:10" x14ac:dyDescent="0.2">
      <c r="A6" s="31">
        <v>45476</v>
      </c>
      <c r="B6" s="22"/>
      <c r="C6" s="33"/>
      <c r="D6" s="33">
        <f t="shared" si="0"/>
        <v>53317</v>
      </c>
      <c r="F6" s="23">
        <v>3</v>
      </c>
      <c r="G6" s="21" t="s">
        <v>175</v>
      </c>
      <c r="I6" s="53">
        <f>1250000+943000</f>
        <v>2193000</v>
      </c>
      <c r="J6" s="33">
        <f>J5-H6+I6</f>
        <v>4111898</v>
      </c>
    </row>
    <row r="7" spans="1:10" x14ac:dyDescent="0.2">
      <c r="A7" s="31">
        <v>45477</v>
      </c>
      <c r="B7" s="22" t="s">
        <v>45</v>
      </c>
      <c r="C7" s="33">
        <f>370+140+110</f>
        <v>620</v>
      </c>
      <c r="D7" s="33">
        <f t="shared" si="0"/>
        <v>52697</v>
      </c>
      <c r="F7" s="23">
        <v>4</v>
      </c>
      <c r="G7" s="21" t="s">
        <v>167</v>
      </c>
      <c r="H7" s="33">
        <v>6402</v>
      </c>
      <c r="I7" s="53"/>
      <c r="J7" s="33">
        <f>J6-H7+I7</f>
        <v>4105496</v>
      </c>
    </row>
    <row r="8" spans="1:10" x14ac:dyDescent="0.2">
      <c r="A8" s="31">
        <v>45478</v>
      </c>
      <c r="B8" s="22" t="s">
        <v>28</v>
      </c>
      <c r="C8" s="33">
        <v>730</v>
      </c>
      <c r="D8" s="33">
        <f t="shared" si="0"/>
        <v>51967</v>
      </c>
      <c r="F8" s="89" t="s">
        <v>4</v>
      </c>
      <c r="G8" s="90"/>
      <c r="H8" s="90"/>
      <c r="I8" s="91"/>
      <c r="J8" s="33">
        <f>J7-H8+I8</f>
        <v>4105496</v>
      </c>
    </row>
    <row r="9" spans="1:10" x14ac:dyDescent="0.2">
      <c r="A9" s="31">
        <v>45479</v>
      </c>
      <c r="B9" s="22" t="s">
        <v>45</v>
      </c>
      <c r="C9" s="33">
        <v>878</v>
      </c>
      <c r="D9" s="33">
        <f t="shared" si="0"/>
        <v>51089</v>
      </c>
      <c r="H9" s="33"/>
      <c r="I9" s="53"/>
      <c r="J9" s="33"/>
    </row>
    <row r="10" spans="1:10" x14ac:dyDescent="0.2">
      <c r="A10" s="31">
        <v>45480</v>
      </c>
      <c r="B10" s="22" t="s">
        <v>28</v>
      </c>
      <c r="C10" s="33">
        <v>590</v>
      </c>
      <c r="D10" s="33">
        <f t="shared" si="0"/>
        <v>50499</v>
      </c>
      <c r="H10" s="33"/>
      <c r="I10" s="53"/>
      <c r="J10" s="33"/>
    </row>
    <row r="11" spans="1:10" x14ac:dyDescent="0.2">
      <c r="B11" s="22" t="s">
        <v>45</v>
      </c>
      <c r="C11" s="33">
        <v>328</v>
      </c>
      <c r="D11" s="33">
        <f t="shared" si="0"/>
        <v>50171</v>
      </c>
      <c r="H11" s="33"/>
      <c r="I11" s="53"/>
      <c r="J11" s="33"/>
    </row>
    <row r="12" spans="1:10" x14ac:dyDescent="0.2">
      <c r="B12" s="22" t="s">
        <v>45</v>
      </c>
      <c r="C12" s="33">
        <f>657+440</f>
        <v>1097</v>
      </c>
      <c r="D12" s="33">
        <f t="shared" si="0"/>
        <v>49074</v>
      </c>
      <c r="H12" s="33"/>
      <c r="I12" s="53"/>
      <c r="J12" s="33"/>
    </row>
    <row r="13" spans="1:10" x14ac:dyDescent="0.2">
      <c r="B13" s="22" t="s">
        <v>38</v>
      </c>
      <c r="C13" s="33">
        <f>967-260</f>
        <v>707</v>
      </c>
      <c r="D13" s="33">
        <f t="shared" si="0"/>
        <v>48367</v>
      </c>
      <c r="H13" s="33"/>
      <c r="I13" s="53"/>
      <c r="J13" s="33"/>
    </row>
    <row r="14" spans="1:10" x14ac:dyDescent="0.2">
      <c r="A14" s="31">
        <v>45481</v>
      </c>
      <c r="B14" s="22"/>
      <c r="C14" s="33"/>
      <c r="D14" s="33">
        <f t="shared" si="0"/>
        <v>48367</v>
      </c>
      <c r="H14" s="33"/>
      <c r="I14" s="53"/>
      <c r="J14" s="33"/>
    </row>
    <row r="15" spans="1:10" x14ac:dyDescent="0.2">
      <c r="A15" s="31">
        <v>45482</v>
      </c>
      <c r="B15" s="22" t="s">
        <v>38</v>
      </c>
      <c r="C15" s="33">
        <f>289+3379</f>
        <v>3668</v>
      </c>
      <c r="D15" s="33">
        <f t="shared" si="0"/>
        <v>44699</v>
      </c>
      <c r="H15" s="33"/>
      <c r="I15" s="53"/>
      <c r="J15" s="33"/>
    </row>
    <row r="16" spans="1:10" x14ac:dyDescent="0.2">
      <c r="B16" s="22" t="s">
        <v>45</v>
      </c>
      <c r="C16" s="33">
        <v>668</v>
      </c>
      <c r="D16" s="33">
        <f t="shared" si="0"/>
        <v>44031</v>
      </c>
      <c r="H16" s="33"/>
      <c r="I16" s="53"/>
      <c r="J16" s="33"/>
    </row>
    <row r="17" spans="1:4" x14ac:dyDescent="0.2">
      <c r="A17" s="31"/>
      <c r="B17" s="22" t="s">
        <v>28</v>
      </c>
      <c r="C17" s="33">
        <v>660</v>
      </c>
      <c r="D17" s="33">
        <f t="shared" si="0"/>
        <v>43371</v>
      </c>
    </row>
    <row r="18" spans="1:4" x14ac:dyDescent="0.2">
      <c r="A18" s="31">
        <v>45483</v>
      </c>
      <c r="B18" s="22" t="s">
        <v>176</v>
      </c>
      <c r="C18" s="33">
        <v>5000</v>
      </c>
      <c r="D18" s="33">
        <f t="shared" si="0"/>
        <v>38371</v>
      </c>
    </row>
    <row r="19" spans="1:4" x14ac:dyDescent="0.2">
      <c r="A19" s="31">
        <v>45484</v>
      </c>
      <c r="B19" s="22"/>
      <c r="C19" s="33"/>
      <c r="D19" s="33">
        <f t="shared" si="0"/>
        <v>38371</v>
      </c>
    </row>
    <row r="20" spans="1:4" x14ac:dyDescent="0.2">
      <c r="A20" s="31">
        <v>45485</v>
      </c>
      <c r="B20" s="22" t="s">
        <v>38</v>
      </c>
      <c r="C20" s="33">
        <f>754+1064</f>
        <v>1818</v>
      </c>
      <c r="D20" s="33">
        <f t="shared" si="0"/>
        <v>36553</v>
      </c>
    </row>
    <row r="21" spans="1:4" x14ac:dyDescent="0.2">
      <c r="A21" s="31">
        <v>45486</v>
      </c>
      <c r="B21" s="22" t="s">
        <v>38</v>
      </c>
      <c r="C21" s="33">
        <f>440+818</f>
        <v>1258</v>
      </c>
      <c r="D21" s="33">
        <f t="shared" si="0"/>
        <v>35295</v>
      </c>
    </row>
    <row r="22" spans="1:4" x14ac:dyDescent="0.2">
      <c r="B22" s="22" t="s">
        <v>177</v>
      </c>
      <c r="C22" s="34">
        <v>438</v>
      </c>
      <c r="D22" s="33">
        <f t="shared" si="0"/>
        <v>34857</v>
      </c>
    </row>
    <row r="23" spans="1:4" x14ac:dyDescent="0.2">
      <c r="B23" s="22" t="s">
        <v>45</v>
      </c>
      <c r="C23" s="33">
        <v>346</v>
      </c>
      <c r="D23" s="33">
        <f t="shared" si="0"/>
        <v>34511</v>
      </c>
    </row>
    <row r="24" spans="1:4" x14ac:dyDescent="0.2">
      <c r="A24" s="31">
        <v>45487</v>
      </c>
      <c r="B24" s="22" t="s">
        <v>38</v>
      </c>
      <c r="C24" s="33">
        <f>880+290+150</f>
        <v>1320</v>
      </c>
      <c r="D24" s="33">
        <f t="shared" si="0"/>
        <v>33191</v>
      </c>
    </row>
    <row r="25" spans="1:4" x14ac:dyDescent="0.2">
      <c r="A25" s="31">
        <v>45488</v>
      </c>
      <c r="B25" s="22" t="s">
        <v>178</v>
      </c>
      <c r="C25" s="33">
        <v>330</v>
      </c>
      <c r="D25" s="33">
        <f t="shared" si="0"/>
        <v>32861</v>
      </c>
    </row>
    <row r="26" spans="1:4" x14ac:dyDescent="0.2">
      <c r="A26" s="31">
        <v>45489</v>
      </c>
      <c r="B26" s="22" t="s">
        <v>38</v>
      </c>
      <c r="C26" s="33">
        <f>880+130+440</f>
        <v>1450</v>
      </c>
      <c r="D26" s="33">
        <f t="shared" si="0"/>
        <v>31411</v>
      </c>
    </row>
    <row r="27" spans="1:4" x14ac:dyDescent="0.2">
      <c r="A27" s="31">
        <v>45490</v>
      </c>
      <c r="B27" s="22" t="s">
        <v>45</v>
      </c>
      <c r="C27" s="33">
        <f>170+323</f>
        <v>493</v>
      </c>
      <c r="D27" s="33">
        <f t="shared" si="0"/>
        <v>30918</v>
      </c>
    </row>
    <row r="28" spans="1:4" x14ac:dyDescent="0.2">
      <c r="A28" s="31">
        <v>45491</v>
      </c>
      <c r="B28" s="22"/>
      <c r="C28" s="33"/>
      <c r="D28" s="33">
        <f t="shared" si="0"/>
        <v>30918</v>
      </c>
    </row>
    <row r="29" spans="1:4" x14ac:dyDescent="0.2">
      <c r="A29" s="31">
        <v>45492</v>
      </c>
      <c r="B29" s="22" t="s">
        <v>38</v>
      </c>
      <c r="C29" s="33">
        <f>290+213+363+911+170</f>
        <v>1947</v>
      </c>
      <c r="D29" s="33">
        <f t="shared" si="0"/>
        <v>28971</v>
      </c>
    </row>
    <row r="30" spans="1:4" x14ac:dyDescent="0.2">
      <c r="B30" s="22" t="s">
        <v>45</v>
      </c>
      <c r="C30" s="33">
        <f>538-100</f>
        <v>438</v>
      </c>
      <c r="D30" s="33">
        <f t="shared" si="0"/>
        <v>28533</v>
      </c>
    </row>
    <row r="31" spans="1:4" x14ac:dyDescent="0.2">
      <c r="B31" s="21" t="s">
        <v>28</v>
      </c>
      <c r="C31" s="33">
        <v>530</v>
      </c>
      <c r="D31" s="33">
        <f t="shared" si="0"/>
        <v>28003</v>
      </c>
    </row>
    <row r="32" spans="1:4" x14ac:dyDescent="0.2">
      <c r="A32" s="31">
        <v>45493</v>
      </c>
      <c r="B32" s="22" t="s">
        <v>28</v>
      </c>
      <c r="C32" s="33">
        <v>500</v>
      </c>
      <c r="D32" s="33">
        <f t="shared" si="0"/>
        <v>27503</v>
      </c>
    </row>
    <row r="33" spans="1:4" x14ac:dyDescent="0.2">
      <c r="B33" s="22" t="s">
        <v>38</v>
      </c>
      <c r="C33" s="33">
        <v>1760</v>
      </c>
      <c r="D33" s="33">
        <f t="shared" si="0"/>
        <v>25743</v>
      </c>
    </row>
    <row r="34" spans="1:4" x14ac:dyDescent="0.2">
      <c r="A34" s="31"/>
      <c r="B34" s="22" t="s">
        <v>45</v>
      </c>
      <c r="C34" s="33">
        <v>162</v>
      </c>
      <c r="D34" s="33">
        <f t="shared" si="0"/>
        <v>25581</v>
      </c>
    </row>
    <row r="35" spans="1:4" x14ac:dyDescent="0.2">
      <c r="A35" s="31"/>
      <c r="B35" s="22" t="s">
        <v>179</v>
      </c>
      <c r="C35" s="33">
        <v>864</v>
      </c>
      <c r="D35" s="33">
        <f t="shared" si="0"/>
        <v>24717</v>
      </c>
    </row>
    <row r="36" spans="1:4" x14ac:dyDescent="0.2">
      <c r="A36" s="31">
        <v>45494</v>
      </c>
      <c r="B36" s="22" t="s">
        <v>38</v>
      </c>
      <c r="C36" s="33">
        <v>1880</v>
      </c>
      <c r="D36" s="33">
        <f t="shared" ref="D36:D67" si="1">D35-C36</f>
        <v>22837</v>
      </c>
    </row>
    <row r="37" spans="1:4" x14ac:dyDescent="0.2">
      <c r="A37" s="31">
        <v>45495</v>
      </c>
      <c r="B37" s="22" t="s">
        <v>45</v>
      </c>
      <c r="C37" s="33">
        <f>456+150+494</f>
        <v>1100</v>
      </c>
      <c r="D37" s="33">
        <f t="shared" si="1"/>
        <v>21737</v>
      </c>
    </row>
    <row r="38" spans="1:4" x14ac:dyDescent="0.2">
      <c r="B38" s="22" t="s">
        <v>38</v>
      </c>
      <c r="C38" s="33">
        <f>3034-1779</f>
        <v>1255</v>
      </c>
      <c r="D38" s="33">
        <f t="shared" si="1"/>
        <v>20482</v>
      </c>
    </row>
    <row r="39" spans="1:4" x14ac:dyDescent="0.2">
      <c r="B39" s="22" t="s">
        <v>80</v>
      </c>
      <c r="C39" s="33">
        <v>1779</v>
      </c>
      <c r="D39" s="33">
        <f t="shared" si="1"/>
        <v>18703</v>
      </c>
    </row>
    <row r="40" spans="1:4" x14ac:dyDescent="0.2">
      <c r="A40" s="31">
        <v>45496</v>
      </c>
      <c r="B40" s="22"/>
      <c r="C40" s="33"/>
      <c r="D40" s="33">
        <f t="shared" si="1"/>
        <v>18703</v>
      </c>
    </row>
    <row r="41" spans="1:4" x14ac:dyDescent="0.2">
      <c r="A41" s="31">
        <v>45497</v>
      </c>
      <c r="B41" s="22" t="s">
        <v>45</v>
      </c>
      <c r="C41" s="33">
        <v>690</v>
      </c>
      <c r="D41" s="33">
        <f t="shared" si="1"/>
        <v>18013</v>
      </c>
    </row>
    <row r="42" spans="1:4" x14ac:dyDescent="0.2">
      <c r="A42" s="31">
        <v>45498</v>
      </c>
      <c r="B42" s="22" t="s">
        <v>38</v>
      </c>
      <c r="C42" s="33">
        <f>1629+438+162</f>
        <v>2229</v>
      </c>
      <c r="D42" s="33">
        <f t="shared" si="1"/>
        <v>15784</v>
      </c>
    </row>
    <row r="43" spans="1:4" x14ac:dyDescent="0.2">
      <c r="A43" s="31">
        <v>45499</v>
      </c>
      <c r="C43" s="33"/>
      <c r="D43" s="33">
        <f t="shared" si="1"/>
        <v>15784</v>
      </c>
    </row>
    <row r="44" spans="1:4" x14ac:dyDescent="0.2">
      <c r="A44" s="31">
        <v>45500</v>
      </c>
      <c r="B44" s="22" t="s">
        <v>45</v>
      </c>
      <c r="C44" s="33">
        <v>700</v>
      </c>
      <c r="D44" s="33">
        <f t="shared" si="1"/>
        <v>15084</v>
      </c>
    </row>
    <row r="45" spans="1:4" x14ac:dyDescent="0.2">
      <c r="A45" s="31">
        <v>45501</v>
      </c>
      <c r="B45" s="21" t="s">
        <v>45</v>
      </c>
      <c r="C45" s="33">
        <v>998</v>
      </c>
      <c r="D45" s="33">
        <f t="shared" si="1"/>
        <v>14086</v>
      </c>
    </row>
    <row r="46" spans="1:4" x14ac:dyDescent="0.2">
      <c r="B46" s="21" t="s">
        <v>38</v>
      </c>
      <c r="C46" s="33">
        <f>1995+232</f>
        <v>2227</v>
      </c>
      <c r="D46" s="33">
        <f t="shared" si="1"/>
        <v>11859</v>
      </c>
    </row>
    <row r="47" spans="1:4" x14ac:dyDescent="0.2">
      <c r="A47" s="31">
        <v>45502</v>
      </c>
      <c r="B47" s="21" t="s">
        <v>180</v>
      </c>
      <c r="C47" s="33">
        <v>878</v>
      </c>
      <c r="D47" s="33">
        <f t="shared" si="1"/>
        <v>10981</v>
      </c>
    </row>
    <row r="48" spans="1:4" x14ac:dyDescent="0.2">
      <c r="B48" s="21" t="s">
        <v>180</v>
      </c>
      <c r="C48" s="33">
        <v>1169</v>
      </c>
      <c r="D48" s="33">
        <f t="shared" si="1"/>
        <v>9812</v>
      </c>
    </row>
    <row r="49" spans="1:4" x14ac:dyDescent="0.2">
      <c r="A49" s="31"/>
      <c r="B49" s="21" t="s">
        <v>114</v>
      </c>
      <c r="C49" s="33">
        <v>2178</v>
      </c>
      <c r="D49" s="33">
        <f t="shared" si="1"/>
        <v>7634</v>
      </c>
    </row>
    <row r="50" spans="1:4" x14ac:dyDescent="0.2">
      <c r="A50" s="31">
        <v>45503</v>
      </c>
      <c r="B50" s="21" t="s">
        <v>102</v>
      </c>
      <c r="C50" s="33">
        <v>1203</v>
      </c>
      <c r="D50" s="33">
        <f t="shared" si="1"/>
        <v>6431</v>
      </c>
    </row>
    <row r="51" spans="1:4" x14ac:dyDescent="0.2">
      <c r="A51" s="31">
        <v>45504</v>
      </c>
      <c r="C51" s="33"/>
      <c r="D51" s="33">
        <f t="shared" si="1"/>
        <v>6431</v>
      </c>
    </row>
    <row r="52" spans="1:4" x14ac:dyDescent="0.2">
      <c r="A52" s="101" t="s">
        <v>4</v>
      </c>
      <c r="B52" s="90"/>
      <c r="C52" s="91"/>
      <c r="D52" s="34">
        <f t="shared" si="1"/>
        <v>6431</v>
      </c>
    </row>
  </sheetData>
  <mergeCells count="6">
    <mergeCell ref="A52:C52"/>
    <mergeCell ref="A1:D1"/>
    <mergeCell ref="F8:I8"/>
    <mergeCell ref="F3:I3"/>
    <mergeCell ref="A3:C3"/>
    <mergeCell ref="F1:J1"/>
  </mergeCell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45"/>
  <sheetViews>
    <sheetView zoomScale="145" zoomScaleNormal="145" workbookViewId="0">
      <selection activeCell="G4" sqref="G4:H5"/>
    </sheetView>
  </sheetViews>
  <sheetFormatPr baseColWidth="10" defaultColWidth="8.83203125" defaultRowHeight="14" x14ac:dyDescent="0.2"/>
  <cols>
    <col min="1" max="1" width="12.83203125" style="23" customWidth="1"/>
    <col min="2" max="2" width="30.1640625" style="21" customWidth="1"/>
    <col min="3" max="3" width="17.33203125" style="83" customWidth="1"/>
    <col min="4" max="4" width="17.33203125" style="21" customWidth="1"/>
    <col min="5" max="5" width="8.83203125" style="19" customWidth="1"/>
    <col min="6" max="6" width="4" style="23" customWidth="1"/>
    <col min="7" max="7" width="37.83203125" style="21" customWidth="1"/>
    <col min="8" max="10" width="17.33203125" style="21" customWidth="1"/>
    <col min="11" max="11" width="8.83203125" style="19" customWidth="1"/>
    <col min="12" max="16384" width="8.83203125" style="19"/>
  </cols>
  <sheetData>
    <row r="1" spans="1:10" x14ac:dyDescent="0.2">
      <c r="A1" s="89" t="s">
        <v>52</v>
      </c>
      <c r="B1" s="90"/>
      <c r="C1" s="90"/>
      <c r="D1" s="91"/>
      <c r="F1" s="89" t="s">
        <v>53</v>
      </c>
      <c r="G1" s="90"/>
      <c r="H1" s="90"/>
      <c r="I1" s="90"/>
      <c r="J1" s="91"/>
    </row>
    <row r="2" spans="1:10" x14ac:dyDescent="0.2">
      <c r="A2" s="23" t="s">
        <v>54</v>
      </c>
      <c r="B2" s="23" t="s">
        <v>55</v>
      </c>
      <c r="C2" s="23" t="s">
        <v>56</v>
      </c>
      <c r="D2" s="23" t="s">
        <v>57</v>
      </c>
      <c r="F2" s="23" t="s">
        <v>58</v>
      </c>
      <c r="G2" s="23" t="s">
        <v>55</v>
      </c>
      <c r="H2" s="23" t="s">
        <v>56</v>
      </c>
      <c r="I2" s="23" t="s">
        <v>59</v>
      </c>
      <c r="J2" s="23" t="s">
        <v>60</v>
      </c>
    </row>
    <row r="3" spans="1:10" x14ac:dyDescent="0.2">
      <c r="A3" s="92" t="s">
        <v>61</v>
      </c>
      <c r="B3" s="90"/>
      <c r="C3" s="91"/>
      <c r="D3" s="34">
        <v>55000</v>
      </c>
      <c r="F3" s="92" t="s">
        <v>62</v>
      </c>
      <c r="G3" s="90"/>
      <c r="H3" s="90"/>
      <c r="I3" s="91"/>
      <c r="J3" s="34">
        <f>'24-07'!J8</f>
        <v>4105496</v>
      </c>
    </row>
    <row r="4" spans="1:10" x14ac:dyDescent="0.2">
      <c r="A4" s="31">
        <v>45505</v>
      </c>
      <c r="B4" s="32" t="s">
        <v>38</v>
      </c>
      <c r="C4" s="56">
        <v>1408</v>
      </c>
      <c r="D4" s="33">
        <f t="shared" ref="D4:D45" si="0">D3-C4</f>
        <v>53592</v>
      </c>
      <c r="F4" s="23">
        <v>1</v>
      </c>
      <c r="G4" s="21" t="s">
        <v>100</v>
      </c>
      <c r="H4" s="33">
        <v>55000</v>
      </c>
      <c r="I4" s="33"/>
      <c r="J4" s="33">
        <f>J3-H4+I4</f>
        <v>4050496</v>
      </c>
    </row>
    <row r="5" spans="1:10" x14ac:dyDescent="0.2">
      <c r="B5" s="32" t="s">
        <v>45</v>
      </c>
      <c r="C5" s="56">
        <v>394</v>
      </c>
      <c r="D5" s="33">
        <f t="shared" si="0"/>
        <v>53198</v>
      </c>
      <c r="F5" s="23">
        <v>2</v>
      </c>
      <c r="G5" s="21" t="s">
        <v>46</v>
      </c>
      <c r="H5" s="33">
        <v>71530</v>
      </c>
      <c r="I5" s="33"/>
      <c r="J5" s="33">
        <f>J4-H5+I5</f>
        <v>3978966</v>
      </c>
    </row>
    <row r="6" spans="1:10" x14ac:dyDescent="0.2">
      <c r="A6" s="31">
        <v>45506</v>
      </c>
      <c r="B6" s="22"/>
      <c r="C6" s="56"/>
      <c r="D6" s="33">
        <f t="shared" si="0"/>
        <v>53198</v>
      </c>
      <c r="F6" s="23">
        <v>3</v>
      </c>
      <c r="G6" s="22" t="s">
        <v>155</v>
      </c>
      <c r="H6" s="33">
        <v>18900</v>
      </c>
      <c r="I6" s="33"/>
      <c r="J6" s="33">
        <f>J5-H6+I6</f>
        <v>3960066</v>
      </c>
    </row>
    <row r="7" spans="1:10" x14ac:dyDescent="0.2">
      <c r="A7" s="31">
        <v>45507</v>
      </c>
      <c r="B7" s="22" t="s">
        <v>38</v>
      </c>
      <c r="C7" s="56">
        <v>915</v>
      </c>
      <c r="D7" s="33">
        <f t="shared" si="0"/>
        <v>52283</v>
      </c>
      <c r="F7" s="23">
        <v>4</v>
      </c>
      <c r="G7" s="21" t="s">
        <v>167</v>
      </c>
      <c r="H7" s="33">
        <v>8878</v>
      </c>
      <c r="I7" s="33"/>
      <c r="J7" s="33">
        <f>J6-H7+I7</f>
        <v>3951188</v>
      </c>
    </row>
    <row r="8" spans="1:10" x14ac:dyDescent="0.2">
      <c r="A8" s="31"/>
      <c r="B8" s="22" t="s">
        <v>181</v>
      </c>
      <c r="C8" s="56">
        <v>900</v>
      </c>
      <c r="D8" s="33">
        <f t="shared" si="0"/>
        <v>51383</v>
      </c>
      <c r="F8" s="92" t="s">
        <v>4</v>
      </c>
      <c r="G8" s="90"/>
      <c r="H8" s="90"/>
      <c r="I8" s="91"/>
      <c r="J8" s="34">
        <f>J7-H8+I8</f>
        <v>3951188</v>
      </c>
    </row>
    <row r="9" spans="1:10" x14ac:dyDescent="0.2">
      <c r="A9" s="31">
        <v>45509</v>
      </c>
      <c r="B9" s="22" t="s">
        <v>38</v>
      </c>
      <c r="C9" s="56">
        <f>1640+216</f>
        <v>1856</v>
      </c>
      <c r="D9" s="33">
        <f t="shared" si="0"/>
        <v>49527</v>
      </c>
      <c r="H9" s="33"/>
      <c r="I9" s="33"/>
      <c r="J9" s="33"/>
    </row>
    <row r="10" spans="1:10" x14ac:dyDescent="0.2">
      <c r="A10" s="31">
        <v>45510</v>
      </c>
      <c r="B10" s="22"/>
      <c r="C10" s="56"/>
      <c r="D10" s="33">
        <f t="shared" si="0"/>
        <v>49527</v>
      </c>
      <c r="H10" s="33"/>
      <c r="I10" s="33"/>
      <c r="J10" s="33"/>
    </row>
    <row r="11" spans="1:10" x14ac:dyDescent="0.2">
      <c r="A11" s="31">
        <v>45511</v>
      </c>
      <c r="B11" s="22" t="s">
        <v>45</v>
      </c>
      <c r="C11" s="56">
        <f>220+327</f>
        <v>547</v>
      </c>
      <c r="D11" s="33">
        <f t="shared" si="0"/>
        <v>48980</v>
      </c>
      <c r="H11" s="33"/>
      <c r="I11" s="33"/>
      <c r="J11" s="33"/>
    </row>
    <row r="12" spans="1:10" x14ac:dyDescent="0.2">
      <c r="A12" s="31">
        <v>45512</v>
      </c>
      <c r="B12" s="22" t="s">
        <v>45</v>
      </c>
      <c r="C12" s="56">
        <v>1586</v>
      </c>
      <c r="D12" s="33">
        <f t="shared" si="0"/>
        <v>47394</v>
      </c>
      <c r="H12" s="33"/>
      <c r="I12" s="33"/>
      <c r="J12" s="33"/>
    </row>
    <row r="13" spans="1:10" x14ac:dyDescent="0.2">
      <c r="B13" s="22" t="s">
        <v>38</v>
      </c>
      <c r="C13" s="56">
        <v>945</v>
      </c>
      <c r="D13" s="33">
        <f t="shared" si="0"/>
        <v>46449</v>
      </c>
      <c r="H13" s="33"/>
      <c r="I13" s="33"/>
      <c r="J13" s="33"/>
    </row>
    <row r="14" spans="1:10" x14ac:dyDescent="0.2">
      <c r="A14" s="31">
        <v>45513</v>
      </c>
      <c r="B14" s="22" t="s">
        <v>45</v>
      </c>
      <c r="C14" s="56">
        <f>550+220</f>
        <v>770</v>
      </c>
      <c r="D14" s="33">
        <f t="shared" si="0"/>
        <v>45679</v>
      </c>
      <c r="H14" s="33"/>
      <c r="I14" s="33"/>
      <c r="J14" s="33"/>
    </row>
    <row r="15" spans="1:10" x14ac:dyDescent="0.2">
      <c r="B15" s="22" t="s">
        <v>38</v>
      </c>
      <c r="C15" s="56">
        <f>1091+1116+1078</f>
        <v>3285</v>
      </c>
      <c r="D15" s="33">
        <f t="shared" si="0"/>
        <v>42394</v>
      </c>
      <c r="H15" s="33"/>
      <c r="I15" s="33"/>
      <c r="J15" s="33"/>
    </row>
    <row r="16" spans="1:10" x14ac:dyDescent="0.2">
      <c r="A16" s="31">
        <v>45514</v>
      </c>
      <c r="B16" s="22" t="s">
        <v>102</v>
      </c>
      <c r="C16" s="56">
        <v>1203</v>
      </c>
      <c r="D16" s="33">
        <f t="shared" si="0"/>
        <v>41191</v>
      </c>
      <c r="H16" s="33"/>
      <c r="I16" s="33"/>
      <c r="J16" s="33"/>
    </row>
    <row r="17" spans="1:4" x14ac:dyDescent="0.2">
      <c r="B17" s="22" t="s">
        <v>38</v>
      </c>
      <c r="C17" s="56">
        <v>1274</v>
      </c>
      <c r="D17" s="33">
        <f t="shared" si="0"/>
        <v>39917</v>
      </c>
    </row>
    <row r="18" spans="1:4" x14ac:dyDescent="0.2">
      <c r="A18" s="31">
        <v>45515</v>
      </c>
      <c r="B18" s="22" t="s">
        <v>38</v>
      </c>
      <c r="C18" s="56">
        <f>727+1465</f>
        <v>2192</v>
      </c>
      <c r="D18" s="33">
        <f t="shared" si="0"/>
        <v>37725</v>
      </c>
    </row>
    <row r="19" spans="1:4" x14ac:dyDescent="0.2">
      <c r="B19" s="22" t="s">
        <v>38</v>
      </c>
      <c r="C19" s="56">
        <f>417+450</f>
        <v>867</v>
      </c>
      <c r="D19" s="33">
        <f t="shared" si="0"/>
        <v>36858</v>
      </c>
    </row>
    <row r="20" spans="1:4" x14ac:dyDescent="0.2">
      <c r="A20" s="31"/>
      <c r="D20" s="33">
        <f t="shared" si="0"/>
        <v>36858</v>
      </c>
    </row>
    <row r="21" spans="1:4" x14ac:dyDescent="0.2">
      <c r="A21" s="31">
        <v>45516</v>
      </c>
      <c r="D21" s="33">
        <f t="shared" si="0"/>
        <v>36858</v>
      </c>
    </row>
    <row r="22" spans="1:4" x14ac:dyDescent="0.2">
      <c r="A22" s="31">
        <v>45517</v>
      </c>
      <c r="B22" s="22" t="s">
        <v>45</v>
      </c>
      <c r="C22" s="56">
        <v>2505</v>
      </c>
      <c r="D22" s="33">
        <f t="shared" si="0"/>
        <v>34353</v>
      </c>
    </row>
    <row r="23" spans="1:4" x14ac:dyDescent="0.2">
      <c r="A23" s="31">
        <v>45518</v>
      </c>
      <c r="B23" s="22" t="s">
        <v>38</v>
      </c>
      <c r="C23" s="56">
        <v>2826</v>
      </c>
      <c r="D23" s="33">
        <f t="shared" si="0"/>
        <v>31527</v>
      </c>
    </row>
    <row r="24" spans="1:4" x14ac:dyDescent="0.2">
      <c r="A24" s="31">
        <v>45519</v>
      </c>
      <c r="B24" s="22"/>
      <c r="C24" s="56"/>
      <c r="D24" s="33">
        <f t="shared" si="0"/>
        <v>31527</v>
      </c>
    </row>
    <row r="25" spans="1:4" x14ac:dyDescent="0.2">
      <c r="A25" s="31">
        <v>45520</v>
      </c>
      <c r="B25" s="22" t="s">
        <v>38</v>
      </c>
      <c r="C25" s="56">
        <v>1334</v>
      </c>
      <c r="D25" s="33">
        <f t="shared" si="0"/>
        <v>30193</v>
      </c>
    </row>
    <row r="26" spans="1:4" x14ac:dyDescent="0.2">
      <c r="A26" s="31">
        <v>45521</v>
      </c>
      <c r="B26" s="22" t="s">
        <v>182</v>
      </c>
      <c r="C26" s="56">
        <f>438+220</f>
        <v>658</v>
      </c>
      <c r="D26" s="33">
        <f t="shared" si="0"/>
        <v>29535</v>
      </c>
    </row>
    <row r="27" spans="1:4" x14ac:dyDescent="0.2">
      <c r="B27" s="22" t="s">
        <v>183</v>
      </c>
      <c r="C27" s="56">
        <v>999</v>
      </c>
      <c r="D27" s="33">
        <f t="shared" si="0"/>
        <v>28536</v>
      </c>
    </row>
    <row r="28" spans="1:4" x14ac:dyDescent="0.2">
      <c r="A28" s="31">
        <v>45522</v>
      </c>
      <c r="B28" s="22"/>
      <c r="C28" s="56"/>
      <c r="D28" s="33">
        <f t="shared" si="0"/>
        <v>28536</v>
      </c>
    </row>
    <row r="29" spans="1:4" x14ac:dyDescent="0.2">
      <c r="A29" s="31">
        <v>45523</v>
      </c>
      <c r="B29" s="22" t="s">
        <v>38</v>
      </c>
      <c r="C29" s="56">
        <v>545</v>
      </c>
      <c r="D29" s="33">
        <f t="shared" si="0"/>
        <v>27991</v>
      </c>
    </row>
    <row r="30" spans="1:4" x14ac:dyDescent="0.2">
      <c r="A30" s="31">
        <v>45524</v>
      </c>
      <c r="B30" s="22"/>
      <c r="C30" s="56"/>
      <c r="D30" s="33">
        <f t="shared" si="0"/>
        <v>27991</v>
      </c>
    </row>
    <row r="31" spans="1:4" x14ac:dyDescent="0.2">
      <c r="A31" s="31">
        <v>45525</v>
      </c>
      <c r="B31" s="22" t="s">
        <v>38</v>
      </c>
      <c r="C31" s="56">
        <f>427+330-250</f>
        <v>507</v>
      </c>
      <c r="D31" s="33">
        <f t="shared" si="0"/>
        <v>27484</v>
      </c>
    </row>
    <row r="32" spans="1:4" x14ac:dyDescent="0.2">
      <c r="B32" s="22" t="s">
        <v>38</v>
      </c>
      <c r="C32" s="56">
        <f>2525+2000</f>
        <v>4525</v>
      </c>
      <c r="D32" s="33">
        <f t="shared" si="0"/>
        <v>22959</v>
      </c>
    </row>
    <row r="33" spans="1:4" x14ac:dyDescent="0.2">
      <c r="A33" s="31">
        <v>45526</v>
      </c>
      <c r="C33" s="56"/>
      <c r="D33" s="33">
        <f t="shared" si="0"/>
        <v>22959</v>
      </c>
    </row>
    <row r="34" spans="1:4" x14ac:dyDescent="0.2">
      <c r="A34" s="31">
        <v>45527</v>
      </c>
      <c r="B34" s="21" t="s">
        <v>38</v>
      </c>
      <c r="C34" s="56">
        <f>660+913</f>
        <v>1573</v>
      </c>
      <c r="D34" s="33">
        <f t="shared" si="0"/>
        <v>21386</v>
      </c>
    </row>
    <row r="35" spans="1:4" x14ac:dyDescent="0.2">
      <c r="A35" s="31">
        <v>45528</v>
      </c>
      <c r="B35" s="22" t="s">
        <v>38</v>
      </c>
      <c r="C35" s="56">
        <f>224+946+1291</f>
        <v>2461</v>
      </c>
      <c r="D35" s="33">
        <f t="shared" si="0"/>
        <v>18925</v>
      </c>
    </row>
    <row r="36" spans="1:4" x14ac:dyDescent="0.2">
      <c r="A36" s="31">
        <v>45529</v>
      </c>
      <c r="B36" s="22" t="s">
        <v>45</v>
      </c>
      <c r="C36" s="56">
        <v>326</v>
      </c>
      <c r="D36" s="33">
        <f t="shared" si="0"/>
        <v>18599</v>
      </c>
    </row>
    <row r="37" spans="1:4" x14ac:dyDescent="0.2">
      <c r="A37" s="31">
        <v>45530</v>
      </c>
      <c r="B37" s="22"/>
      <c r="C37" s="56"/>
      <c r="D37" s="33">
        <f t="shared" si="0"/>
        <v>18599</v>
      </c>
    </row>
    <row r="38" spans="1:4" x14ac:dyDescent="0.2">
      <c r="A38" s="31">
        <v>45531</v>
      </c>
      <c r="B38" s="22" t="s">
        <v>38</v>
      </c>
      <c r="C38" s="56">
        <v>3914</v>
      </c>
      <c r="D38" s="33">
        <f t="shared" si="0"/>
        <v>14685</v>
      </c>
    </row>
    <row r="39" spans="1:4" x14ac:dyDescent="0.2">
      <c r="A39" s="31">
        <v>45532</v>
      </c>
      <c r="B39" s="22" t="s">
        <v>38</v>
      </c>
      <c r="C39" s="56">
        <v>4460</v>
      </c>
      <c r="D39" s="33">
        <f t="shared" si="0"/>
        <v>10225</v>
      </c>
    </row>
    <row r="40" spans="1:4" x14ac:dyDescent="0.2">
      <c r="A40" s="31">
        <v>45533</v>
      </c>
      <c r="B40" s="21" t="s">
        <v>182</v>
      </c>
      <c r="C40" s="83">
        <v>654</v>
      </c>
      <c r="D40" s="33">
        <f t="shared" si="0"/>
        <v>9571</v>
      </c>
    </row>
    <row r="41" spans="1:4" x14ac:dyDescent="0.2">
      <c r="B41" s="22" t="s">
        <v>38</v>
      </c>
      <c r="C41" s="56">
        <f>145+1371</f>
        <v>1516</v>
      </c>
      <c r="D41" s="33">
        <f t="shared" si="0"/>
        <v>8055</v>
      </c>
    </row>
    <row r="42" spans="1:4" x14ac:dyDescent="0.2">
      <c r="A42" s="31">
        <v>45534</v>
      </c>
      <c r="B42" s="22" t="s">
        <v>38</v>
      </c>
      <c r="C42" s="56">
        <v>1584</v>
      </c>
      <c r="D42" s="33">
        <f t="shared" si="0"/>
        <v>6471</v>
      </c>
    </row>
    <row r="43" spans="1:4" x14ac:dyDescent="0.2">
      <c r="B43" s="22" t="s">
        <v>38</v>
      </c>
      <c r="C43" s="56">
        <v>1077</v>
      </c>
      <c r="D43" s="33">
        <f t="shared" si="0"/>
        <v>5394</v>
      </c>
    </row>
    <row r="44" spans="1:4" x14ac:dyDescent="0.2">
      <c r="A44" s="31">
        <v>45535</v>
      </c>
      <c r="B44" s="22" t="s">
        <v>38</v>
      </c>
      <c r="C44" s="56">
        <v>2066</v>
      </c>
      <c r="D44" s="33">
        <f t="shared" si="0"/>
        <v>3328</v>
      </c>
    </row>
    <row r="45" spans="1:4" x14ac:dyDescent="0.2">
      <c r="A45" s="47"/>
      <c r="B45" s="61" t="s">
        <v>4</v>
      </c>
      <c r="C45" s="84"/>
      <c r="D45" s="34">
        <f t="shared" si="0"/>
        <v>3328</v>
      </c>
    </row>
  </sheetData>
  <mergeCells count="5">
    <mergeCell ref="A1:D1"/>
    <mergeCell ref="F8:I8"/>
    <mergeCell ref="F3:I3"/>
    <mergeCell ref="A3:C3"/>
    <mergeCell ref="F1:J1"/>
  </mergeCell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51"/>
  <sheetViews>
    <sheetView zoomScale="115" zoomScaleNormal="115" workbookViewId="0">
      <selection activeCell="G4" sqref="G4:H6"/>
    </sheetView>
  </sheetViews>
  <sheetFormatPr baseColWidth="10" defaultColWidth="8.83203125" defaultRowHeight="14" x14ac:dyDescent="0.2"/>
  <cols>
    <col min="1" max="1" width="12.83203125" style="23" customWidth="1"/>
    <col min="2" max="2" width="30.1640625" style="21" customWidth="1"/>
    <col min="3" max="4" width="17.33203125" style="21" customWidth="1"/>
    <col min="5" max="5" width="8.83203125" style="19" customWidth="1"/>
    <col min="6" max="6" width="4" style="23" customWidth="1"/>
    <col min="7" max="7" width="37.83203125" style="21" customWidth="1"/>
    <col min="8" max="10" width="17.33203125" style="21" customWidth="1"/>
    <col min="11" max="11" width="8.83203125" style="19" customWidth="1"/>
    <col min="12" max="12" width="26.5" style="21" customWidth="1"/>
    <col min="13" max="13" width="8.83203125" style="85" customWidth="1"/>
    <col min="14" max="14" width="8.83203125" style="19" customWidth="1"/>
    <col min="15" max="16384" width="8.83203125" style="19"/>
  </cols>
  <sheetData>
    <row r="1" spans="1:13" x14ac:dyDescent="0.2">
      <c r="A1" s="89" t="s">
        <v>52</v>
      </c>
      <c r="B1" s="90"/>
      <c r="C1" s="90"/>
      <c r="D1" s="91"/>
      <c r="F1" s="89" t="s">
        <v>53</v>
      </c>
      <c r="G1" s="90"/>
      <c r="H1" s="90"/>
      <c r="I1" s="90"/>
      <c r="J1" s="91"/>
      <c r="L1" s="19"/>
      <c r="M1" s="19"/>
    </row>
    <row r="2" spans="1:13" x14ac:dyDescent="0.2">
      <c r="A2" s="23" t="s">
        <v>54</v>
      </c>
      <c r="B2" s="23" t="s">
        <v>55</v>
      </c>
      <c r="C2" s="23" t="s">
        <v>56</v>
      </c>
      <c r="D2" s="23" t="s">
        <v>57</v>
      </c>
      <c r="F2" s="23" t="s">
        <v>58</v>
      </c>
      <c r="G2" s="23" t="s">
        <v>55</v>
      </c>
      <c r="H2" s="23" t="s">
        <v>56</v>
      </c>
      <c r="I2" s="23" t="s">
        <v>59</v>
      </c>
      <c r="J2" s="23" t="s">
        <v>60</v>
      </c>
      <c r="L2" s="21" t="s">
        <v>184</v>
      </c>
      <c r="M2" s="21" t="s">
        <v>185</v>
      </c>
    </row>
    <row r="3" spans="1:13" x14ac:dyDescent="0.2">
      <c r="A3" s="92" t="s">
        <v>61</v>
      </c>
      <c r="B3" s="90"/>
      <c r="C3" s="91"/>
      <c r="D3" s="34">
        <v>60000</v>
      </c>
      <c r="F3" s="92" t="s">
        <v>62</v>
      </c>
      <c r="G3" s="90"/>
      <c r="H3" s="90"/>
      <c r="I3" s="91"/>
      <c r="J3" s="34">
        <f>'24-08'!J8</f>
        <v>3951188</v>
      </c>
      <c r="L3" s="21" t="s">
        <v>186</v>
      </c>
      <c r="M3" s="85">
        <v>3000</v>
      </c>
    </row>
    <row r="4" spans="1:13" x14ac:dyDescent="0.2">
      <c r="A4" s="31">
        <v>45536</v>
      </c>
      <c r="B4" s="32" t="s">
        <v>45</v>
      </c>
      <c r="C4" s="33">
        <v>1184</v>
      </c>
      <c r="D4" s="33">
        <f t="shared" ref="D4:D51" si="0">D3-C4</f>
        <v>58816</v>
      </c>
      <c r="F4" s="23">
        <v>1</v>
      </c>
      <c r="G4" s="21" t="s">
        <v>100</v>
      </c>
      <c r="H4" s="33">
        <v>60000</v>
      </c>
      <c r="I4" s="42"/>
      <c r="J4" s="33">
        <f t="shared" ref="J4:J9" si="1">J3-H4+I4</f>
        <v>3891188</v>
      </c>
      <c r="L4" s="21" t="s">
        <v>28</v>
      </c>
      <c r="M4" s="85">
        <v>450</v>
      </c>
    </row>
    <row r="5" spans="1:13" x14ac:dyDescent="0.2">
      <c r="B5" s="32" t="s">
        <v>38</v>
      </c>
      <c r="C5" s="33">
        <v>3132</v>
      </c>
      <c r="D5" s="33">
        <f t="shared" si="0"/>
        <v>55684</v>
      </c>
      <c r="F5" s="23">
        <v>2</v>
      </c>
      <c r="G5" s="21" t="s">
        <v>46</v>
      </c>
      <c r="H5" s="33">
        <v>71788</v>
      </c>
      <c r="I5" s="42"/>
      <c r="J5" s="33">
        <f t="shared" si="1"/>
        <v>3819400</v>
      </c>
      <c r="L5" s="21" t="s">
        <v>187</v>
      </c>
      <c r="M5" s="85">
        <v>1990</v>
      </c>
    </row>
    <row r="6" spans="1:13" x14ac:dyDescent="0.2">
      <c r="B6" s="22" t="s">
        <v>45</v>
      </c>
      <c r="C6" s="33">
        <v>3288</v>
      </c>
      <c r="D6" s="33">
        <f t="shared" si="0"/>
        <v>52396</v>
      </c>
      <c r="F6" s="23">
        <v>3</v>
      </c>
      <c r="G6" s="21" t="s">
        <v>188</v>
      </c>
      <c r="H6" s="33"/>
      <c r="I6" s="42">
        <v>400000</v>
      </c>
      <c r="J6" s="33">
        <f t="shared" si="1"/>
        <v>4219400</v>
      </c>
      <c r="L6" s="21" t="s">
        <v>28</v>
      </c>
      <c r="M6" s="85">
        <v>1123</v>
      </c>
    </row>
    <row r="7" spans="1:13" x14ac:dyDescent="0.2">
      <c r="A7" s="31">
        <v>45537</v>
      </c>
      <c r="B7" s="22" t="s">
        <v>102</v>
      </c>
      <c r="C7" s="33">
        <v>1331</v>
      </c>
      <c r="D7" s="33">
        <f t="shared" si="0"/>
        <v>51065</v>
      </c>
      <c r="F7" s="23">
        <v>4</v>
      </c>
      <c r="G7" s="21" t="s">
        <v>189</v>
      </c>
      <c r="H7" s="33">
        <v>63500</v>
      </c>
      <c r="I7" s="42"/>
      <c r="J7" s="33">
        <f t="shared" si="1"/>
        <v>4155900</v>
      </c>
      <c r="L7" s="21" t="s">
        <v>190</v>
      </c>
      <c r="M7" s="85">
        <v>5160</v>
      </c>
    </row>
    <row r="8" spans="1:13" x14ac:dyDescent="0.2">
      <c r="A8" s="31">
        <v>45538</v>
      </c>
      <c r="B8" s="22" t="s">
        <v>38</v>
      </c>
      <c r="C8" s="33">
        <v>2777</v>
      </c>
      <c r="D8" s="33">
        <f t="shared" si="0"/>
        <v>48288</v>
      </c>
      <c r="F8" s="23">
        <v>5</v>
      </c>
      <c r="G8" s="21" t="s">
        <v>191</v>
      </c>
      <c r="H8" s="33">
        <f>M14</f>
        <v>21493</v>
      </c>
      <c r="I8" s="42"/>
      <c r="J8" s="33">
        <f t="shared" si="1"/>
        <v>4134407</v>
      </c>
      <c r="L8" s="21" t="s">
        <v>192</v>
      </c>
      <c r="M8" s="85">
        <v>1199</v>
      </c>
    </row>
    <row r="9" spans="1:13" x14ac:dyDescent="0.2">
      <c r="A9" s="31">
        <v>45539</v>
      </c>
      <c r="B9" s="22"/>
      <c r="C9" s="33"/>
      <c r="D9" s="33">
        <f t="shared" si="0"/>
        <v>48288</v>
      </c>
      <c r="F9" s="59"/>
      <c r="G9" s="61"/>
      <c r="H9" s="34"/>
      <c r="I9" s="86"/>
      <c r="J9" s="34">
        <f t="shared" si="1"/>
        <v>4134407</v>
      </c>
      <c r="L9" s="21" t="s">
        <v>192</v>
      </c>
      <c r="M9" s="85">
        <v>3427</v>
      </c>
    </row>
    <row r="10" spans="1:13" x14ac:dyDescent="0.2">
      <c r="A10" s="31">
        <v>45540</v>
      </c>
      <c r="B10" s="22"/>
      <c r="C10" s="33"/>
      <c r="D10" s="33">
        <f t="shared" si="0"/>
        <v>48288</v>
      </c>
      <c r="H10" s="33"/>
      <c r="I10" s="42"/>
      <c r="J10" s="33"/>
      <c r="L10" s="21" t="s">
        <v>193</v>
      </c>
      <c r="M10" s="85">
        <f>961+2354</f>
        <v>3315</v>
      </c>
    </row>
    <row r="11" spans="1:13" x14ac:dyDescent="0.2">
      <c r="A11" s="31">
        <v>45541</v>
      </c>
      <c r="B11" s="22" t="s">
        <v>194</v>
      </c>
      <c r="C11" s="33">
        <v>1317</v>
      </c>
      <c r="D11" s="33">
        <f t="shared" si="0"/>
        <v>46971</v>
      </c>
      <c r="H11" s="33"/>
      <c r="I11" s="42"/>
      <c r="J11" s="33"/>
      <c r="L11" s="21" t="s">
        <v>45</v>
      </c>
      <c r="M11" s="85">
        <v>270</v>
      </c>
    </row>
    <row r="12" spans="1:13" x14ac:dyDescent="0.2">
      <c r="B12" s="22" t="s">
        <v>38</v>
      </c>
      <c r="C12" s="33">
        <v>1703</v>
      </c>
      <c r="D12" s="33">
        <f t="shared" si="0"/>
        <v>45268</v>
      </c>
      <c r="H12" s="33"/>
      <c r="I12" s="42"/>
      <c r="J12" s="33"/>
      <c r="L12" s="21" t="s">
        <v>28</v>
      </c>
      <c r="M12" s="85">
        <v>1208</v>
      </c>
    </row>
    <row r="13" spans="1:13" x14ac:dyDescent="0.2">
      <c r="A13" s="31">
        <v>45542</v>
      </c>
      <c r="B13" s="22"/>
      <c r="C13" s="33"/>
      <c r="D13" s="33">
        <f t="shared" si="0"/>
        <v>45268</v>
      </c>
      <c r="H13" s="33"/>
      <c r="I13" s="42"/>
      <c r="J13" s="33"/>
      <c r="L13" s="21" t="s">
        <v>192</v>
      </c>
      <c r="M13" s="85">
        <v>351</v>
      </c>
    </row>
    <row r="14" spans="1:13" x14ac:dyDescent="0.2">
      <c r="A14" s="31">
        <v>45543</v>
      </c>
      <c r="B14" s="22" t="s">
        <v>45</v>
      </c>
      <c r="C14" s="33">
        <v>899</v>
      </c>
      <c r="D14" s="33">
        <f t="shared" si="0"/>
        <v>44369</v>
      </c>
      <c r="H14" s="33"/>
      <c r="I14" s="42"/>
      <c r="J14" s="33"/>
      <c r="L14" s="61" t="s">
        <v>95</v>
      </c>
      <c r="M14" s="76">
        <f>SUM(M3:M13)</f>
        <v>21493</v>
      </c>
    </row>
    <row r="15" spans="1:13" x14ac:dyDescent="0.2">
      <c r="A15" s="31">
        <v>45544</v>
      </c>
      <c r="B15" s="22" t="s">
        <v>45</v>
      </c>
      <c r="C15" s="33">
        <v>1911</v>
      </c>
      <c r="D15" s="33">
        <f t="shared" si="0"/>
        <v>42458</v>
      </c>
      <c r="H15" s="33"/>
      <c r="I15" s="42"/>
      <c r="J15" s="33"/>
    </row>
    <row r="16" spans="1:13" x14ac:dyDescent="0.2">
      <c r="A16" s="31">
        <v>45545</v>
      </c>
      <c r="B16" s="22" t="s">
        <v>38</v>
      </c>
      <c r="C16" s="33">
        <v>1080</v>
      </c>
      <c r="D16" s="33">
        <f t="shared" si="0"/>
        <v>41378</v>
      </c>
      <c r="H16" s="33"/>
      <c r="I16" s="42"/>
      <c r="J16" s="33"/>
    </row>
    <row r="17" spans="1:4" x14ac:dyDescent="0.2">
      <c r="A17" s="31"/>
      <c r="B17" s="22" t="s">
        <v>195</v>
      </c>
      <c r="C17" s="33">
        <v>2913</v>
      </c>
      <c r="D17" s="33">
        <f t="shared" si="0"/>
        <v>38465</v>
      </c>
    </row>
    <row r="18" spans="1:4" x14ac:dyDescent="0.2">
      <c r="A18" s="31">
        <v>45546</v>
      </c>
      <c r="B18" s="22"/>
      <c r="C18" s="33"/>
      <c r="D18" s="33">
        <f t="shared" si="0"/>
        <v>38465</v>
      </c>
    </row>
    <row r="19" spans="1:4" x14ac:dyDescent="0.2">
      <c r="A19" s="31">
        <v>45547</v>
      </c>
      <c r="B19" s="22" t="s">
        <v>38</v>
      </c>
      <c r="C19" s="33">
        <v>1598</v>
      </c>
      <c r="D19" s="33">
        <f t="shared" si="0"/>
        <v>36867</v>
      </c>
    </row>
    <row r="20" spans="1:4" x14ac:dyDescent="0.2">
      <c r="B20" s="22" t="s">
        <v>84</v>
      </c>
      <c r="C20" s="33">
        <v>2000</v>
      </c>
      <c r="D20" s="33">
        <f t="shared" si="0"/>
        <v>34867</v>
      </c>
    </row>
    <row r="21" spans="1:4" x14ac:dyDescent="0.2">
      <c r="A21" s="31">
        <v>45548</v>
      </c>
      <c r="B21" s="22"/>
      <c r="C21" s="33"/>
      <c r="D21" s="33">
        <f t="shared" si="0"/>
        <v>34867</v>
      </c>
    </row>
    <row r="22" spans="1:4" x14ac:dyDescent="0.2">
      <c r="A22" s="31">
        <v>45549</v>
      </c>
      <c r="B22" s="22"/>
      <c r="C22" s="33"/>
      <c r="D22" s="33">
        <f t="shared" si="0"/>
        <v>34867</v>
      </c>
    </row>
    <row r="23" spans="1:4" x14ac:dyDescent="0.2">
      <c r="A23" s="31">
        <v>45550</v>
      </c>
      <c r="B23" s="22"/>
      <c r="C23" s="33"/>
      <c r="D23" s="33">
        <f t="shared" si="0"/>
        <v>34867</v>
      </c>
    </row>
    <row r="24" spans="1:4" x14ac:dyDescent="0.2">
      <c r="A24" s="31">
        <v>45551</v>
      </c>
      <c r="B24" s="22" t="s">
        <v>28</v>
      </c>
      <c r="C24" s="33">
        <v>430</v>
      </c>
      <c r="D24" s="33">
        <f t="shared" si="0"/>
        <v>34437</v>
      </c>
    </row>
    <row r="25" spans="1:4" x14ac:dyDescent="0.2">
      <c r="A25" s="31">
        <v>45552</v>
      </c>
      <c r="B25" s="22" t="s">
        <v>45</v>
      </c>
      <c r="C25" s="33">
        <f>330+1406+733</f>
        <v>2469</v>
      </c>
      <c r="D25" s="33">
        <f t="shared" si="0"/>
        <v>31968</v>
      </c>
    </row>
    <row r="26" spans="1:4" x14ac:dyDescent="0.2">
      <c r="B26" s="22" t="s">
        <v>45</v>
      </c>
      <c r="C26" s="33">
        <v>108</v>
      </c>
      <c r="D26" s="33">
        <f t="shared" si="0"/>
        <v>31860</v>
      </c>
    </row>
    <row r="27" spans="1:4" x14ac:dyDescent="0.2">
      <c r="A27" s="31">
        <v>45553</v>
      </c>
      <c r="B27" s="22" t="s">
        <v>28</v>
      </c>
      <c r="C27" s="33">
        <v>646</v>
      </c>
      <c r="D27" s="33">
        <f t="shared" si="0"/>
        <v>31214</v>
      </c>
    </row>
    <row r="28" spans="1:4" x14ac:dyDescent="0.2">
      <c r="A28" s="31">
        <v>45554</v>
      </c>
      <c r="B28" s="22" t="s">
        <v>28</v>
      </c>
      <c r="C28" s="33">
        <v>770</v>
      </c>
      <c r="D28" s="33">
        <f t="shared" si="0"/>
        <v>30444</v>
      </c>
    </row>
    <row r="29" spans="1:4" x14ac:dyDescent="0.2">
      <c r="A29" s="31">
        <v>45555</v>
      </c>
      <c r="B29" s="22" t="s">
        <v>28</v>
      </c>
      <c r="C29" s="33">
        <v>780</v>
      </c>
      <c r="D29" s="33">
        <f t="shared" si="0"/>
        <v>29664</v>
      </c>
    </row>
    <row r="30" spans="1:4" x14ac:dyDescent="0.2">
      <c r="A30" s="31">
        <v>45556</v>
      </c>
      <c r="B30" s="21" t="s">
        <v>38</v>
      </c>
      <c r="C30" s="33">
        <v>1208</v>
      </c>
      <c r="D30" s="33">
        <f t="shared" si="0"/>
        <v>28456</v>
      </c>
    </row>
    <row r="31" spans="1:4" x14ac:dyDescent="0.2">
      <c r="B31" s="22" t="s">
        <v>38</v>
      </c>
      <c r="C31" s="33">
        <v>640</v>
      </c>
      <c r="D31" s="33">
        <f t="shared" si="0"/>
        <v>27816</v>
      </c>
    </row>
    <row r="32" spans="1:4" x14ac:dyDescent="0.2">
      <c r="A32" s="31">
        <v>45557</v>
      </c>
      <c r="B32" s="22" t="s">
        <v>38</v>
      </c>
      <c r="C32" s="33">
        <v>2501</v>
      </c>
      <c r="D32" s="33">
        <f t="shared" si="0"/>
        <v>25315</v>
      </c>
    </row>
    <row r="33" spans="1:4" x14ac:dyDescent="0.2">
      <c r="B33" s="22" t="s">
        <v>28</v>
      </c>
      <c r="C33" s="33">
        <f>597+200</f>
        <v>797</v>
      </c>
      <c r="D33" s="33">
        <f t="shared" si="0"/>
        <v>24518</v>
      </c>
    </row>
    <row r="34" spans="1:4" x14ac:dyDescent="0.2">
      <c r="A34" s="31">
        <v>45558</v>
      </c>
      <c r="B34" s="22" t="s">
        <v>196</v>
      </c>
      <c r="C34" s="33">
        <v>251</v>
      </c>
      <c r="D34" s="33">
        <f t="shared" si="0"/>
        <v>24267</v>
      </c>
    </row>
    <row r="35" spans="1:4" x14ac:dyDescent="0.2">
      <c r="A35" s="31"/>
      <c r="B35" s="22" t="s">
        <v>182</v>
      </c>
      <c r="C35" s="33">
        <v>632</v>
      </c>
      <c r="D35" s="33">
        <f t="shared" si="0"/>
        <v>23635</v>
      </c>
    </row>
    <row r="36" spans="1:4" x14ac:dyDescent="0.2">
      <c r="A36" s="31"/>
      <c r="B36" s="22" t="s">
        <v>45</v>
      </c>
      <c r="C36" s="33">
        <f>430+438</f>
        <v>868</v>
      </c>
      <c r="D36" s="33">
        <f t="shared" si="0"/>
        <v>22767</v>
      </c>
    </row>
    <row r="37" spans="1:4" x14ac:dyDescent="0.2">
      <c r="A37" s="31"/>
      <c r="B37" s="22" t="s">
        <v>38</v>
      </c>
      <c r="C37" s="33">
        <v>1123</v>
      </c>
      <c r="D37" s="33">
        <f t="shared" si="0"/>
        <v>21644</v>
      </c>
    </row>
    <row r="38" spans="1:4" x14ac:dyDescent="0.2">
      <c r="A38" s="31"/>
      <c r="B38" s="22" t="s">
        <v>197</v>
      </c>
      <c r="C38" s="33">
        <f>1290+180</f>
        <v>1470</v>
      </c>
      <c r="D38" s="33">
        <f t="shared" si="0"/>
        <v>20174</v>
      </c>
    </row>
    <row r="39" spans="1:4" x14ac:dyDescent="0.2">
      <c r="A39" s="31">
        <v>45559</v>
      </c>
      <c r="B39" s="22" t="s">
        <v>38</v>
      </c>
      <c r="C39" s="33">
        <f>680+353+365</f>
        <v>1398</v>
      </c>
      <c r="D39" s="33">
        <f t="shared" si="0"/>
        <v>18776</v>
      </c>
    </row>
    <row r="40" spans="1:4" x14ac:dyDescent="0.2">
      <c r="A40" s="31">
        <v>45560</v>
      </c>
      <c r="B40" s="22" t="s">
        <v>38</v>
      </c>
      <c r="C40" s="33">
        <v>3706</v>
      </c>
      <c r="D40" s="33">
        <f t="shared" si="0"/>
        <v>15070</v>
      </c>
    </row>
    <row r="41" spans="1:4" x14ac:dyDescent="0.2">
      <c r="A41" s="31">
        <v>45561</v>
      </c>
      <c r="D41" s="33">
        <f t="shared" si="0"/>
        <v>15070</v>
      </c>
    </row>
    <row r="42" spans="1:4" x14ac:dyDescent="0.2">
      <c r="A42" s="31">
        <v>45562</v>
      </c>
      <c r="B42" s="22" t="s">
        <v>182</v>
      </c>
      <c r="C42" s="33">
        <f>500+657</f>
        <v>1157</v>
      </c>
      <c r="D42" s="33">
        <f t="shared" si="0"/>
        <v>13913</v>
      </c>
    </row>
    <row r="43" spans="1:4" x14ac:dyDescent="0.2">
      <c r="B43" s="22" t="s">
        <v>28</v>
      </c>
      <c r="C43" s="33">
        <f>430+189+189</f>
        <v>808</v>
      </c>
      <c r="D43" s="33">
        <f t="shared" si="0"/>
        <v>13105</v>
      </c>
    </row>
    <row r="44" spans="1:4" x14ac:dyDescent="0.2">
      <c r="A44" s="31">
        <v>45563</v>
      </c>
      <c r="B44" s="22" t="s">
        <v>105</v>
      </c>
      <c r="C44" s="33">
        <v>637</v>
      </c>
      <c r="D44" s="33">
        <f t="shared" si="0"/>
        <v>12468</v>
      </c>
    </row>
    <row r="45" spans="1:4" x14ac:dyDescent="0.2">
      <c r="B45" s="21" t="s">
        <v>28</v>
      </c>
      <c r="C45" s="33">
        <v>750</v>
      </c>
      <c r="D45" s="33">
        <f t="shared" si="0"/>
        <v>11718</v>
      </c>
    </row>
    <row r="46" spans="1:4" x14ac:dyDescent="0.2">
      <c r="A46" s="31">
        <v>45564</v>
      </c>
      <c r="B46" s="21" t="s">
        <v>28</v>
      </c>
      <c r="C46" s="33">
        <v>680</v>
      </c>
      <c r="D46" s="33">
        <f t="shared" si="0"/>
        <v>11038</v>
      </c>
    </row>
    <row r="47" spans="1:4" x14ac:dyDescent="0.2">
      <c r="B47" s="21" t="s">
        <v>28</v>
      </c>
      <c r="C47" s="33">
        <v>680</v>
      </c>
      <c r="D47" s="33">
        <f t="shared" si="0"/>
        <v>10358</v>
      </c>
    </row>
    <row r="48" spans="1:4" x14ac:dyDescent="0.2">
      <c r="A48" s="31"/>
      <c r="B48" s="21" t="s">
        <v>198</v>
      </c>
      <c r="C48" s="33">
        <v>1600</v>
      </c>
      <c r="D48" s="33">
        <f t="shared" si="0"/>
        <v>8758</v>
      </c>
    </row>
    <row r="49" spans="1:4" x14ac:dyDescent="0.2">
      <c r="A49" s="31">
        <v>45565</v>
      </c>
      <c r="B49" s="21" t="s">
        <v>28</v>
      </c>
      <c r="C49" s="33">
        <v>310</v>
      </c>
      <c r="D49" s="33">
        <f t="shared" si="0"/>
        <v>8448</v>
      </c>
    </row>
    <row r="50" spans="1:4" x14ac:dyDescent="0.2">
      <c r="B50" s="21" t="s">
        <v>38</v>
      </c>
      <c r="C50" s="33">
        <v>2428</v>
      </c>
      <c r="D50" s="33">
        <f t="shared" si="0"/>
        <v>6020</v>
      </c>
    </row>
    <row r="51" spans="1:4" x14ac:dyDescent="0.2">
      <c r="A51" s="47"/>
      <c r="B51" s="61"/>
      <c r="C51" s="34"/>
      <c r="D51" s="34">
        <f t="shared" si="0"/>
        <v>6020</v>
      </c>
    </row>
  </sheetData>
  <mergeCells count="4">
    <mergeCell ref="F1:J1"/>
    <mergeCell ref="A1:D1"/>
    <mergeCell ref="F3:I3"/>
    <mergeCell ref="A3:C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zoomScale="110" zoomScaleNormal="110" workbookViewId="0">
      <selection activeCell="K11" sqref="K11"/>
    </sheetView>
  </sheetViews>
  <sheetFormatPr baseColWidth="10" defaultColWidth="8.83203125" defaultRowHeight="14" x14ac:dyDescent="0.2"/>
  <cols>
    <col min="1" max="1" width="12.83203125" style="23" customWidth="1"/>
    <col min="2" max="2" width="30.1640625" style="21" customWidth="1"/>
    <col min="3" max="4" width="17.33203125" style="21" customWidth="1"/>
    <col min="5" max="5" width="8.83203125" style="19" customWidth="1"/>
    <col min="6" max="6" width="4" style="23" customWidth="1"/>
    <col min="7" max="7" width="37.83203125" style="21" customWidth="1"/>
    <col min="8" max="10" width="17.33203125" style="21" customWidth="1"/>
    <col min="11" max="12" width="8.83203125" style="19" customWidth="1"/>
    <col min="13" max="13" width="10.33203125" style="19" bestFit="1" customWidth="1"/>
    <col min="14" max="14" width="8.83203125" style="19" customWidth="1"/>
    <col min="15" max="16384" width="8.83203125" style="19"/>
  </cols>
  <sheetData>
    <row r="1" spans="1:10" x14ac:dyDescent="0.2">
      <c r="A1" s="89" t="s">
        <v>52</v>
      </c>
      <c r="B1" s="90"/>
      <c r="C1" s="90"/>
      <c r="D1" s="91"/>
      <c r="F1" s="89" t="s">
        <v>53</v>
      </c>
      <c r="G1" s="90"/>
      <c r="H1" s="90"/>
      <c r="I1" s="90"/>
      <c r="J1" s="91"/>
    </row>
    <row r="2" spans="1:10" x14ac:dyDescent="0.2">
      <c r="A2" s="23" t="s">
        <v>54</v>
      </c>
      <c r="B2" s="23" t="s">
        <v>55</v>
      </c>
      <c r="C2" s="23" t="s">
        <v>56</v>
      </c>
      <c r="D2" s="23" t="s">
        <v>57</v>
      </c>
      <c r="F2" s="23" t="s">
        <v>58</v>
      </c>
      <c r="G2" s="23" t="s">
        <v>55</v>
      </c>
      <c r="H2" s="23" t="s">
        <v>56</v>
      </c>
      <c r="I2" s="23" t="s">
        <v>59</v>
      </c>
      <c r="J2" s="23" t="s">
        <v>60</v>
      </c>
    </row>
    <row r="3" spans="1:10" x14ac:dyDescent="0.2">
      <c r="A3" s="92" t="s">
        <v>61</v>
      </c>
      <c r="B3" s="90"/>
      <c r="C3" s="91"/>
      <c r="D3" s="34">
        <v>55000</v>
      </c>
      <c r="F3" s="92" t="s">
        <v>62</v>
      </c>
      <c r="G3" s="90"/>
      <c r="H3" s="90"/>
      <c r="I3" s="91"/>
      <c r="J3" s="34">
        <v>407808</v>
      </c>
    </row>
    <row r="4" spans="1:10" x14ac:dyDescent="0.2">
      <c r="A4" s="31">
        <v>45047</v>
      </c>
      <c r="B4" s="32" t="s">
        <v>36</v>
      </c>
      <c r="C4" s="33">
        <v>500</v>
      </c>
      <c r="D4" s="33">
        <f t="shared" ref="D4:D44" si="0">D3-C4</f>
        <v>54500</v>
      </c>
      <c r="F4" s="23">
        <v>1</v>
      </c>
      <c r="G4" s="21" t="s">
        <v>63</v>
      </c>
      <c r="H4" s="33">
        <f>42260+55</f>
        <v>42315</v>
      </c>
      <c r="I4" s="33"/>
      <c r="J4" s="33">
        <f>J3+I4-H4</f>
        <v>365493</v>
      </c>
    </row>
    <row r="5" spans="1:10" x14ac:dyDescent="0.2">
      <c r="A5" s="31"/>
      <c r="B5" s="32" t="s">
        <v>38</v>
      </c>
      <c r="C5" s="33">
        <v>6850</v>
      </c>
      <c r="D5" s="33">
        <f t="shared" si="0"/>
        <v>47650</v>
      </c>
      <c r="F5" s="23">
        <v>2</v>
      </c>
      <c r="G5" s="21" t="s">
        <v>52</v>
      </c>
      <c r="H5" s="33">
        <v>55000</v>
      </c>
      <c r="I5" s="33"/>
      <c r="J5" s="33">
        <f>J4+I5-H5</f>
        <v>310493</v>
      </c>
    </row>
    <row r="6" spans="1:10" x14ac:dyDescent="0.2">
      <c r="A6" s="31">
        <v>45048</v>
      </c>
      <c r="B6" s="22" t="s">
        <v>36</v>
      </c>
      <c r="C6" s="33">
        <v>500</v>
      </c>
      <c r="D6" s="33">
        <f t="shared" si="0"/>
        <v>47150</v>
      </c>
      <c r="F6" s="94" t="s">
        <v>64</v>
      </c>
      <c r="G6" s="90"/>
      <c r="H6" s="90"/>
      <c r="I6" s="91"/>
      <c r="J6" s="37">
        <f>J5+I6-H6</f>
        <v>310493</v>
      </c>
    </row>
    <row r="7" spans="1:10" x14ac:dyDescent="0.2">
      <c r="A7" s="31"/>
      <c r="B7" s="22" t="s">
        <v>65</v>
      </c>
      <c r="C7" s="33">
        <v>200</v>
      </c>
      <c r="D7" s="33">
        <f t="shared" si="0"/>
        <v>46950</v>
      </c>
      <c r="F7" s="38"/>
      <c r="G7" s="39"/>
      <c r="H7" s="40"/>
      <c r="I7" s="40"/>
      <c r="J7" s="40"/>
    </row>
    <row r="8" spans="1:10" x14ac:dyDescent="0.2">
      <c r="A8" s="31">
        <v>45049</v>
      </c>
      <c r="B8" s="22"/>
      <c r="C8" s="33"/>
      <c r="D8" s="33">
        <f t="shared" si="0"/>
        <v>46950</v>
      </c>
    </row>
    <row r="9" spans="1:10" x14ac:dyDescent="0.2">
      <c r="A9" s="31">
        <v>45050</v>
      </c>
      <c r="B9" s="22"/>
      <c r="C9" s="33"/>
      <c r="D9" s="33">
        <f t="shared" si="0"/>
        <v>46950</v>
      </c>
      <c r="H9" s="33"/>
      <c r="I9" s="33"/>
      <c r="J9" s="33"/>
    </row>
    <row r="10" spans="1:10" x14ac:dyDescent="0.2">
      <c r="A10" s="31">
        <v>45051</v>
      </c>
      <c r="B10" s="22" t="s">
        <v>50</v>
      </c>
      <c r="C10" s="33">
        <f>5020</f>
        <v>5020</v>
      </c>
      <c r="D10" s="33">
        <f t="shared" si="0"/>
        <v>41930</v>
      </c>
      <c r="H10" s="33"/>
      <c r="I10" s="33"/>
      <c r="J10" s="33"/>
    </row>
    <row r="11" spans="1:10" x14ac:dyDescent="0.2">
      <c r="A11" s="31"/>
      <c r="B11" s="22" t="s">
        <v>38</v>
      </c>
      <c r="C11" s="33">
        <v>2690</v>
      </c>
      <c r="D11" s="33">
        <f t="shared" si="0"/>
        <v>39240</v>
      </c>
      <c r="H11" s="33"/>
      <c r="I11" s="33"/>
      <c r="J11" s="33"/>
    </row>
    <row r="12" spans="1:10" x14ac:dyDescent="0.2">
      <c r="A12" s="31">
        <v>45052</v>
      </c>
      <c r="B12" s="22" t="s">
        <v>65</v>
      </c>
      <c r="C12" s="33">
        <v>200</v>
      </c>
      <c r="D12" s="33">
        <f t="shared" si="0"/>
        <v>39040</v>
      </c>
      <c r="H12" s="33"/>
      <c r="I12" s="33"/>
      <c r="J12" s="33"/>
    </row>
    <row r="13" spans="1:10" x14ac:dyDescent="0.2">
      <c r="A13" s="31">
        <v>45053</v>
      </c>
      <c r="B13" s="22"/>
      <c r="C13" s="33"/>
      <c r="D13" s="33">
        <f t="shared" si="0"/>
        <v>39040</v>
      </c>
      <c r="H13" s="33"/>
      <c r="I13" s="33"/>
      <c r="J13" s="33"/>
    </row>
    <row r="14" spans="1:10" x14ac:dyDescent="0.2">
      <c r="A14" s="31">
        <v>45054</v>
      </c>
      <c r="B14" s="22" t="s">
        <v>36</v>
      </c>
      <c r="C14" s="33">
        <v>500</v>
      </c>
      <c r="D14" s="33">
        <f t="shared" si="0"/>
        <v>38540</v>
      </c>
      <c r="H14" s="33"/>
      <c r="I14" s="33"/>
      <c r="J14" s="33"/>
    </row>
    <row r="15" spans="1:10" x14ac:dyDescent="0.2">
      <c r="A15" s="31">
        <v>45055</v>
      </c>
      <c r="B15" s="22"/>
      <c r="C15" s="33"/>
      <c r="D15" s="33">
        <f t="shared" si="0"/>
        <v>38540</v>
      </c>
      <c r="H15" s="33"/>
      <c r="I15" s="33"/>
      <c r="J15" s="33"/>
    </row>
    <row r="16" spans="1:10" x14ac:dyDescent="0.2">
      <c r="A16" s="31">
        <v>45056</v>
      </c>
      <c r="B16" s="22" t="s">
        <v>66</v>
      </c>
      <c r="C16" s="33">
        <v>1180</v>
      </c>
      <c r="D16" s="33">
        <f t="shared" si="0"/>
        <v>37360</v>
      </c>
      <c r="H16" s="33"/>
      <c r="I16" s="33"/>
      <c r="J16" s="33"/>
    </row>
    <row r="17" spans="1:4" x14ac:dyDescent="0.2">
      <c r="A17" s="31"/>
      <c r="B17" s="22" t="s">
        <v>65</v>
      </c>
      <c r="C17" s="33">
        <v>200</v>
      </c>
      <c r="D17" s="33">
        <f t="shared" si="0"/>
        <v>37160</v>
      </c>
    </row>
    <row r="18" spans="1:4" x14ac:dyDescent="0.2">
      <c r="A18" s="31">
        <v>45057</v>
      </c>
      <c r="B18" s="22" t="s">
        <v>36</v>
      </c>
      <c r="C18" s="33">
        <v>500</v>
      </c>
      <c r="D18" s="33">
        <f t="shared" si="0"/>
        <v>36660</v>
      </c>
    </row>
    <row r="19" spans="1:4" x14ac:dyDescent="0.2">
      <c r="A19" s="31">
        <v>45058</v>
      </c>
      <c r="B19" s="22" t="s">
        <v>36</v>
      </c>
      <c r="C19" s="33">
        <v>600</v>
      </c>
      <c r="D19" s="33">
        <f t="shared" si="0"/>
        <v>36060</v>
      </c>
    </row>
    <row r="20" spans="1:4" x14ac:dyDescent="0.2">
      <c r="A20" s="31">
        <v>45059</v>
      </c>
      <c r="B20" s="22"/>
      <c r="C20" s="33"/>
      <c r="D20" s="33">
        <f t="shared" si="0"/>
        <v>36060</v>
      </c>
    </row>
    <row r="21" spans="1:4" x14ac:dyDescent="0.2">
      <c r="A21" s="31">
        <v>45060</v>
      </c>
      <c r="B21" s="22" t="s">
        <v>38</v>
      </c>
      <c r="C21" s="33">
        <v>810</v>
      </c>
      <c r="D21" s="33">
        <f t="shared" si="0"/>
        <v>35250</v>
      </c>
    </row>
    <row r="22" spans="1:4" x14ac:dyDescent="0.2">
      <c r="A22" s="31">
        <v>45061</v>
      </c>
      <c r="B22" s="22" t="s">
        <v>36</v>
      </c>
      <c r="C22" s="33">
        <v>500</v>
      </c>
      <c r="D22" s="33">
        <f t="shared" si="0"/>
        <v>34750</v>
      </c>
    </row>
    <row r="23" spans="1:4" x14ac:dyDescent="0.2">
      <c r="A23" s="31"/>
      <c r="B23" s="22" t="s">
        <v>65</v>
      </c>
      <c r="C23" s="33">
        <v>300</v>
      </c>
      <c r="D23" s="33">
        <f t="shared" si="0"/>
        <v>34450</v>
      </c>
    </row>
    <row r="24" spans="1:4" x14ac:dyDescent="0.2">
      <c r="A24" s="31">
        <v>45062</v>
      </c>
      <c r="B24" s="22" t="s">
        <v>36</v>
      </c>
      <c r="C24" s="33">
        <v>500</v>
      </c>
      <c r="D24" s="33">
        <f t="shared" si="0"/>
        <v>33950</v>
      </c>
    </row>
    <row r="25" spans="1:4" x14ac:dyDescent="0.2">
      <c r="A25" s="31">
        <v>45063</v>
      </c>
      <c r="B25" s="22"/>
      <c r="C25" s="33"/>
      <c r="D25" s="33">
        <f t="shared" si="0"/>
        <v>33950</v>
      </c>
    </row>
    <row r="26" spans="1:4" x14ac:dyDescent="0.2">
      <c r="A26" s="31">
        <v>45064</v>
      </c>
      <c r="B26" s="22" t="s">
        <v>67</v>
      </c>
      <c r="C26" s="33">
        <v>600</v>
      </c>
      <c r="D26" s="33">
        <f t="shared" si="0"/>
        <v>33350</v>
      </c>
    </row>
    <row r="27" spans="1:4" x14ac:dyDescent="0.2">
      <c r="A27" s="31"/>
      <c r="B27" s="22" t="s">
        <v>36</v>
      </c>
      <c r="C27" s="33">
        <v>500</v>
      </c>
      <c r="D27" s="33">
        <f t="shared" si="0"/>
        <v>32850</v>
      </c>
    </row>
    <row r="28" spans="1:4" x14ac:dyDescent="0.2">
      <c r="A28" s="31">
        <v>45065</v>
      </c>
      <c r="B28" s="22" t="s">
        <v>36</v>
      </c>
      <c r="C28" s="33">
        <v>500</v>
      </c>
      <c r="D28" s="33">
        <f t="shared" si="0"/>
        <v>32350</v>
      </c>
    </row>
    <row r="29" spans="1:4" x14ac:dyDescent="0.2">
      <c r="A29" s="31"/>
      <c r="B29" s="22" t="s">
        <v>68</v>
      </c>
      <c r="C29" s="33">
        <v>88</v>
      </c>
      <c r="D29" s="33">
        <f t="shared" si="0"/>
        <v>32262</v>
      </c>
    </row>
    <row r="30" spans="1:4" x14ac:dyDescent="0.2">
      <c r="A30" s="31">
        <v>45066</v>
      </c>
      <c r="B30" s="22"/>
      <c r="C30" s="33"/>
      <c r="D30" s="33">
        <f t="shared" si="0"/>
        <v>32262</v>
      </c>
    </row>
    <row r="31" spans="1:4" x14ac:dyDescent="0.2">
      <c r="A31" s="31">
        <v>45067</v>
      </c>
      <c r="B31" s="22" t="s">
        <v>38</v>
      </c>
      <c r="C31" s="33">
        <v>8632</v>
      </c>
      <c r="D31" s="33">
        <f t="shared" si="0"/>
        <v>23630</v>
      </c>
    </row>
    <row r="32" spans="1:4" x14ac:dyDescent="0.2">
      <c r="A32" s="31"/>
      <c r="B32" s="22" t="s">
        <v>65</v>
      </c>
      <c r="C32" s="33">
        <v>200</v>
      </c>
      <c r="D32" s="33">
        <f t="shared" si="0"/>
        <v>23430</v>
      </c>
    </row>
    <row r="33" spans="1:4" x14ac:dyDescent="0.2">
      <c r="A33" s="31">
        <v>45068</v>
      </c>
      <c r="B33" s="22"/>
      <c r="C33" s="33"/>
      <c r="D33" s="33">
        <f t="shared" si="0"/>
        <v>23430</v>
      </c>
    </row>
    <row r="34" spans="1:4" x14ac:dyDescent="0.2">
      <c r="A34" s="31">
        <v>45069</v>
      </c>
      <c r="B34" s="22" t="s">
        <v>36</v>
      </c>
      <c r="C34" s="33">
        <v>500</v>
      </c>
      <c r="D34" s="33">
        <f t="shared" si="0"/>
        <v>22930</v>
      </c>
    </row>
    <row r="35" spans="1:4" x14ac:dyDescent="0.2">
      <c r="A35" s="31">
        <v>45070</v>
      </c>
      <c r="B35" s="22"/>
      <c r="C35" s="33"/>
      <c r="D35" s="33">
        <f t="shared" si="0"/>
        <v>22930</v>
      </c>
    </row>
    <row r="36" spans="1:4" x14ac:dyDescent="0.2">
      <c r="A36" s="31">
        <v>45071</v>
      </c>
      <c r="B36" s="22" t="s">
        <v>36</v>
      </c>
      <c r="C36" s="33">
        <v>500</v>
      </c>
      <c r="D36" s="33">
        <f t="shared" si="0"/>
        <v>22430</v>
      </c>
    </row>
    <row r="37" spans="1:4" x14ac:dyDescent="0.2">
      <c r="A37" s="31">
        <v>45072</v>
      </c>
      <c r="B37" s="22" t="s">
        <v>36</v>
      </c>
      <c r="C37" s="33">
        <v>500</v>
      </c>
      <c r="D37" s="33">
        <f t="shared" si="0"/>
        <v>21930</v>
      </c>
    </row>
    <row r="38" spans="1:4" x14ac:dyDescent="0.2">
      <c r="A38" s="31">
        <v>45073</v>
      </c>
      <c r="B38" s="22" t="s">
        <v>65</v>
      </c>
      <c r="C38" s="33">
        <v>200</v>
      </c>
      <c r="D38" s="33">
        <f t="shared" si="0"/>
        <v>21730</v>
      </c>
    </row>
    <row r="39" spans="1:4" x14ac:dyDescent="0.2">
      <c r="A39" s="31">
        <v>45074</v>
      </c>
      <c r="B39" s="22"/>
      <c r="C39" s="33"/>
      <c r="D39" s="33">
        <f t="shared" si="0"/>
        <v>21730</v>
      </c>
    </row>
    <row r="40" spans="1:4" x14ac:dyDescent="0.2">
      <c r="A40" s="31">
        <v>45075</v>
      </c>
      <c r="B40" s="22" t="s">
        <v>36</v>
      </c>
      <c r="C40" s="33">
        <v>590</v>
      </c>
      <c r="D40" s="33">
        <f t="shared" si="0"/>
        <v>21140</v>
      </c>
    </row>
    <row r="41" spans="1:4" x14ac:dyDescent="0.2">
      <c r="A41" s="31">
        <v>45076</v>
      </c>
      <c r="B41" s="22" t="s">
        <v>69</v>
      </c>
      <c r="C41" s="33">
        <v>643</v>
      </c>
      <c r="D41" s="33">
        <f t="shared" si="0"/>
        <v>20497</v>
      </c>
    </row>
    <row r="42" spans="1:4" x14ac:dyDescent="0.2">
      <c r="A42" s="31">
        <v>45077</v>
      </c>
      <c r="B42" s="22" t="s">
        <v>70</v>
      </c>
      <c r="C42" s="33">
        <v>2200</v>
      </c>
      <c r="D42" s="33">
        <f t="shared" si="0"/>
        <v>18297</v>
      </c>
    </row>
    <row r="43" spans="1:4" x14ac:dyDescent="0.2">
      <c r="A43" s="31"/>
      <c r="B43" s="22" t="s">
        <v>71</v>
      </c>
      <c r="C43" s="33">
        <v>1136</v>
      </c>
      <c r="D43" s="33">
        <f t="shared" si="0"/>
        <v>17161</v>
      </c>
    </row>
    <row r="44" spans="1:4" x14ac:dyDescent="0.2">
      <c r="A44" s="46"/>
      <c r="B44" s="21" t="s">
        <v>72</v>
      </c>
      <c r="C44" s="33">
        <v>2203</v>
      </c>
      <c r="D44" s="33">
        <f t="shared" si="0"/>
        <v>14958</v>
      </c>
    </row>
    <row r="45" spans="1:4" x14ac:dyDescent="0.2">
      <c r="A45" s="93" t="s">
        <v>73</v>
      </c>
      <c r="B45" s="91"/>
      <c r="C45" s="37">
        <f>SUM(C4:C44)</f>
        <v>40042</v>
      </c>
      <c r="D45" s="37"/>
    </row>
    <row r="46" spans="1:4" x14ac:dyDescent="0.2">
      <c r="A46" s="94" t="s">
        <v>74</v>
      </c>
      <c r="B46" s="91"/>
      <c r="C46" s="41"/>
      <c r="D46" s="37">
        <f>D44</f>
        <v>14958</v>
      </c>
    </row>
    <row r="49" spans="4:4" x14ac:dyDescent="0.2">
      <c r="D49" s="33">
        <f>D46+'23-06'!D46+'23-07'!D44</f>
        <v>32996</v>
      </c>
    </row>
  </sheetData>
  <mergeCells count="7">
    <mergeCell ref="A1:D1"/>
    <mergeCell ref="F3:I3"/>
    <mergeCell ref="A45:B45"/>
    <mergeCell ref="A46:B46"/>
    <mergeCell ref="A3:C3"/>
    <mergeCell ref="F1:J1"/>
    <mergeCell ref="F6:I6"/>
  </mergeCell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56"/>
  <sheetViews>
    <sheetView topLeftCell="A26" zoomScale="130" zoomScaleNormal="130" workbookViewId="0">
      <selection activeCell="F9" sqref="F9:I9"/>
    </sheetView>
  </sheetViews>
  <sheetFormatPr baseColWidth="10" defaultColWidth="8.83203125" defaultRowHeight="14" x14ac:dyDescent="0.2"/>
  <cols>
    <col min="1" max="1" width="12.83203125" style="23" customWidth="1"/>
    <col min="2" max="2" width="30.1640625" style="21" customWidth="1"/>
    <col min="3" max="4" width="17.33203125" style="21" customWidth="1"/>
    <col min="5" max="5" width="8.83203125" style="19" customWidth="1"/>
    <col min="6" max="6" width="4" style="23" customWidth="1"/>
    <col min="7" max="7" width="37.83203125" style="21" customWidth="1"/>
    <col min="8" max="8" width="17.33203125" style="21" customWidth="1"/>
    <col min="9" max="9" width="17.33203125" style="88" customWidth="1"/>
    <col min="10" max="10" width="17.33203125" style="21" customWidth="1"/>
    <col min="11" max="11" width="8.83203125" style="19" customWidth="1"/>
    <col min="12" max="16384" width="8.83203125" style="19"/>
  </cols>
  <sheetData>
    <row r="1" spans="1:10" x14ac:dyDescent="0.2">
      <c r="A1" s="89" t="s">
        <v>52</v>
      </c>
      <c r="B1" s="90"/>
      <c r="C1" s="90"/>
      <c r="D1" s="91"/>
      <c r="F1" s="89" t="s">
        <v>53</v>
      </c>
      <c r="G1" s="90"/>
      <c r="H1" s="90"/>
      <c r="I1" s="90"/>
      <c r="J1" s="91"/>
    </row>
    <row r="2" spans="1:10" x14ac:dyDescent="0.2">
      <c r="A2" s="23" t="s">
        <v>54</v>
      </c>
      <c r="B2" s="23" t="s">
        <v>55</v>
      </c>
      <c r="C2" s="23" t="s">
        <v>56</v>
      </c>
      <c r="D2" s="23" t="s">
        <v>57</v>
      </c>
      <c r="F2" s="23" t="s">
        <v>58</v>
      </c>
      <c r="G2" s="23" t="s">
        <v>55</v>
      </c>
      <c r="H2" s="23" t="s">
        <v>56</v>
      </c>
      <c r="I2" s="23" t="s">
        <v>59</v>
      </c>
      <c r="J2" s="23" t="s">
        <v>60</v>
      </c>
    </row>
    <row r="3" spans="1:10" x14ac:dyDescent="0.2">
      <c r="A3" s="92" t="s">
        <v>61</v>
      </c>
      <c r="B3" s="90"/>
      <c r="C3" s="91"/>
      <c r="D3" s="34">
        <v>60000</v>
      </c>
      <c r="F3" s="92" t="s">
        <v>62</v>
      </c>
      <c r="G3" s="90"/>
      <c r="H3" s="90"/>
      <c r="I3" s="91"/>
      <c r="J3" s="34">
        <f>'24-09'!J9</f>
        <v>4134407</v>
      </c>
    </row>
    <row r="4" spans="1:10" x14ac:dyDescent="0.2">
      <c r="A4" s="31">
        <v>45566</v>
      </c>
      <c r="B4" s="32" t="s">
        <v>28</v>
      </c>
      <c r="C4" s="33">
        <v>590</v>
      </c>
      <c r="D4" s="33">
        <f t="shared" ref="D4:D35" si="0">D3-C4</f>
        <v>59410</v>
      </c>
      <c r="F4" s="23">
        <v>1</v>
      </c>
      <c r="G4" s="21" t="s">
        <v>129</v>
      </c>
      <c r="H4" s="33"/>
      <c r="I4" s="87">
        <v>1200000</v>
      </c>
      <c r="J4" s="33">
        <f t="shared" ref="J4:J9" si="1">J3-H4+I4</f>
        <v>5334407</v>
      </c>
    </row>
    <row r="5" spans="1:10" x14ac:dyDescent="0.2">
      <c r="B5" s="32" t="s">
        <v>38</v>
      </c>
      <c r="C5" s="33">
        <v>1926</v>
      </c>
      <c r="D5" s="33">
        <f t="shared" si="0"/>
        <v>57484</v>
      </c>
      <c r="F5" s="23">
        <v>2</v>
      </c>
      <c r="G5" s="21" t="s">
        <v>100</v>
      </c>
      <c r="H5" s="33">
        <v>60000</v>
      </c>
      <c r="I5" s="87"/>
      <c r="J5" s="33">
        <f t="shared" si="1"/>
        <v>5274407</v>
      </c>
    </row>
    <row r="6" spans="1:10" x14ac:dyDescent="0.2">
      <c r="A6" s="31">
        <v>45567</v>
      </c>
      <c r="B6" s="22" t="s">
        <v>199</v>
      </c>
      <c r="C6" s="33">
        <v>498</v>
      </c>
      <c r="D6" s="33">
        <f t="shared" si="0"/>
        <v>56986</v>
      </c>
      <c r="F6" s="23">
        <v>3</v>
      </c>
      <c r="G6" s="21" t="s">
        <v>46</v>
      </c>
      <c r="H6" s="33">
        <v>71788</v>
      </c>
      <c r="I6" s="87"/>
      <c r="J6" s="33">
        <f t="shared" si="1"/>
        <v>5202619</v>
      </c>
    </row>
    <row r="7" spans="1:10" x14ac:dyDescent="0.2">
      <c r="A7" s="31">
        <v>45568</v>
      </c>
      <c r="D7" s="33">
        <f t="shared" si="0"/>
        <v>56986</v>
      </c>
      <c r="F7" s="23">
        <v>4</v>
      </c>
      <c r="G7" s="21" t="s">
        <v>129</v>
      </c>
      <c r="H7" s="33"/>
      <c r="I7" s="87">
        <v>1220000</v>
      </c>
      <c r="J7" s="33">
        <f t="shared" si="1"/>
        <v>6422619</v>
      </c>
    </row>
    <row r="8" spans="1:10" x14ac:dyDescent="0.2">
      <c r="A8" s="31">
        <v>45569</v>
      </c>
      <c r="B8" s="22" t="s">
        <v>38</v>
      </c>
      <c r="C8" s="33">
        <v>2128</v>
      </c>
      <c r="D8" s="33">
        <f t="shared" si="0"/>
        <v>54858</v>
      </c>
      <c r="F8" s="23">
        <v>5</v>
      </c>
      <c r="G8" s="21" t="s">
        <v>167</v>
      </c>
      <c r="H8" s="33">
        <v>6379</v>
      </c>
      <c r="I8" s="87"/>
      <c r="J8" s="33">
        <f t="shared" si="1"/>
        <v>6416240</v>
      </c>
    </row>
    <row r="9" spans="1:10" x14ac:dyDescent="0.2">
      <c r="B9" s="22" t="s">
        <v>38</v>
      </c>
      <c r="C9" s="33">
        <v>2343</v>
      </c>
      <c r="D9" s="33">
        <f t="shared" si="0"/>
        <v>52515</v>
      </c>
      <c r="F9" s="92" t="s">
        <v>4</v>
      </c>
      <c r="G9" s="90"/>
      <c r="H9" s="90"/>
      <c r="I9" s="91"/>
      <c r="J9" s="34">
        <f t="shared" si="1"/>
        <v>6416240</v>
      </c>
    </row>
    <row r="10" spans="1:10" x14ac:dyDescent="0.2">
      <c r="A10" s="31">
        <v>45570</v>
      </c>
      <c r="B10" s="22" t="s">
        <v>38</v>
      </c>
      <c r="C10" s="33">
        <v>2769</v>
      </c>
      <c r="D10" s="33">
        <f t="shared" si="0"/>
        <v>49746</v>
      </c>
      <c r="H10" s="33"/>
      <c r="I10" s="87"/>
      <c r="J10" s="33"/>
    </row>
    <row r="11" spans="1:10" x14ac:dyDescent="0.2">
      <c r="B11" s="22" t="s">
        <v>45</v>
      </c>
      <c r="C11" s="33">
        <f>548+183</f>
        <v>731</v>
      </c>
      <c r="D11" s="33">
        <f t="shared" si="0"/>
        <v>49015</v>
      </c>
      <c r="H11" s="33"/>
      <c r="I11" s="87"/>
      <c r="J11" s="33"/>
    </row>
    <row r="12" spans="1:10" x14ac:dyDescent="0.2">
      <c r="A12" s="31">
        <v>45571</v>
      </c>
      <c r="B12" s="22" t="s">
        <v>45</v>
      </c>
      <c r="C12" s="33">
        <f>162+792</f>
        <v>954</v>
      </c>
      <c r="D12" s="33">
        <f t="shared" si="0"/>
        <v>48061</v>
      </c>
      <c r="H12" s="33"/>
      <c r="I12" s="87"/>
      <c r="J12" s="33"/>
    </row>
    <row r="13" spans="1:10" x14ac:dyDescent="0.2">
      <c r="B13" s="22" t="s">
        <v>38</v>
      </c>
      <c r="C13" s="33">
        <v>1490</v>
      </c>
      <c r="D13" s="33">
        <f t="shared" si="0"/>
        <v>46571</v>
      </c>
      <c r="H13" s="33"/>
      <c r="I13" s="87"/>
      <c r="J13" s="33"/>
    </row>
    <row r="14" spans="1:10" x14ac:dyDescent="0.2">
      <c r="A14" s="31">
        <v>45572</v>
      </c>
      <c r="B14" s="21" t="s">
        <v>28</v>
      </c>
      <c r="C14" s="33">
        <f>400+189</f>
        <v>589</v>
      </c>
      <c r="D14" s="33">
        <f t="shared" si="0"/>
        <v>45982</v>
      </c>
      <c r="H14" s="33"/>
      <c r="I14" s="87"/>
      <c r="J14" s="33"/>
    </row>
    <row r="15" spans="1:10" x14ac:dyDescent="0.2">
      <c r="B15" s="22" t="s">
        <v>38</v>
      </c>
      <c r="C15" s="33">
        <v>771</v>
      </c>
      <c r="D15" s="33">
        <f t="shared" si="0"/>
        <v>45211</v>
      </c>
      <c r="H15" s="33"/>
      <c r="I15" s="87"/>
      <c r="J15" s="33"/>
    </row>
    <row r="16" spans="1:10" x14ac:dyDescent="0.2">
      <c r="A16" s="31">
        <v>45573</v>
      </c>
      <c r="B16" s="22" t="s">
        <v>28</v>
      </c>
      <c r="C16" s="33">
        <v>700</v>
      </c>
      <c r="D16" s="33">
        <f t="shared" si="0"/>
        <v>44511</v>
      </c>
      <c r="H16" s="33"/>
      <c r="I16" s="87"/>
      <c r="J16" s="33"/>
    </row>
    <row r="17" spans="1:4" x14ac:dyDescent="0.2">
      <c r="B17" s="22" t="s">
        <v>28</v>
      </c>
      <c r="C17" s="33">
        <v>578</v>
      </c>
      <c r="D17" s="33">
        <f t="shared" si="0"/>
        <v>43933</v>
      </c>
    </row>
    <row r="18" spans="1:4" x14ac:dyDescent="0.2">
      <c r="A18" s="31">
        <v>45574</v>
      </c>
      <c r="B18" s="22" t="s">
        <v>102</v>
      </c>
      <c r="C18" s="33">
        <v>1203</v>
      </c>
      <c r="D18" s="33">
        <f t="shared" si="0"/>
        <v>42730</v>
      </c>
    </row>
    <row r="19" spans="1:4" x14ac:dyDescent="0.2">
      <c r="B19" s="22" t="s">
        <v>200</v>
      </c>
      <c r="C19" s="33">
        <v>788</v>
      </c>
      <c r="D19" s="33">
        <f t="shared" si="0"/>
        <v>41942</v>
      </c>
    </row>
    <row r="20" spans="1:4" x14ac:dyDescent="0.2">
      <c r="A20" s="31">
        <v>45575</v>
      </c>
      <c r="B20" s="22" t="s">
        <v>201</v>
      </c>
      <c r="C20" s="33">
        <v>1371</v>
      </c>
      <c r="D20" s="33">
        <f t="shared" si="0"/>
        <v>40571</v>
      </c>
    </row>
    <row r="21" spans="1:4" x14ac:dyDescent="0.2">
      <c r="A21" s="31">
        <v>45576</v>
      </c>
      <c r="B21" s="22" t="s">
        <v>201</v>
      </c>
      <c r="C21" s="33">
        <v>1738</v>
      </c>
      <c r="D21" s="33">
        <f t="shared" si="0"/>
        <v>38833</v>
      </c>
    </row>
    <row r="22" spans="1:4" x14ac:dyDescent="0.2">
      <c r="A22" s="31">
        <v>45577</v>
      </c>
      <c r="B22" s="22" t="s">
        <v>38</v>
      </c>
      <c r="C22" s="33">
        <v>1010</v>
      </c>
      <c r="D22" s="33">
        <f t="shared" si="0"/>
        <v>37823</v>
      </c>
    </row>
    <row r="23" spans="1:4" x14ac:dyDescent="0.2">
      <c r="B23" s="22" t="s">
        <v>28</v>
      </c>
      <c r="C23" s="33">
        <v>550</v>
      </c>
      <c r="D23" s="33">
        <f t="shared" si="0"/>
        <v>37273</v>
      </c>
    </row>
    <row r="24" spans="1:4" x14ac:dyDescent="0.2">
      <c r="A24" s="31">
        <v>45578</v>
      </c>
      <c r="B24" s="22" t="s">
        <v>38</v>
      </c>
      <c r="C24" s="33">
        <v>1624</v>
      </c>
      <c r="D24" s="33">
        <f t="shared" si="0"/>
        <v>35649</v>
      </c>
    </row>
    <row r="25" spans="1:4" x14ac:dyDescent="0.2">
      <c r="B25" s="22" t="s">
        <v>38</v>
      </c>
      <c r="C25" s="33">
        <v>1389</v>
      </c>
      <c r="D25" s="33">
        <f t="shared" si="0"/>
        <v>34260</v>
      </c>
    </row>
    <row r="26" spans="1:4" x14ac:dyDescent="0.2">
      <c r="A26" s="31">
        <v>45579</v>
      </c>
      <c r="B26" s="22" t="s">
        <v>28</v>
      </c>
      <c r="C26" s="33">
        <v>590</v>
      </c>
      <c r="D26" s="33">
        <f t="shared" si="0"/>
        <v>33670</v>
      </c>
    </row>
    <row r="27" spans="1:4" x14ac:dyDescent="0.2">
      <c r="B27" s="22" t="s">
        <v>38</v>
      </c>
      <c r="C27" s="33">
        <f>168*2+1200</f>
        <v>1536</v>
      </c>
      <c r="D27" s="33">
        <f t="shared" si="0"/>
        <v>32134</v>
      </c>
    </row>
    <row r="28" spans="1:4" x14ac:dyDescent="0.2">
      <c r="A28" s="31">
        <v>45580</v>
      </c>
      <c r="B28" s="22" t="s">
        <v>45</v>
      </c>
      <c r="C28" s="33">
        <f>2130+288+178</f>
        <v>2596</v>
      </c>
      <c r="D28" s="33">
        <f t="shared" si="0"/>
        <v>29538</v>
      </c>
    </row>
    <row r="29" spans="1:4" x14ac:dyDescent="0.2">
      <c r="A29" s="31">
        <v>45581</v>
      </c>
      <c r="B29" s="22" t="s">
        <v>38</v>
      </c>
      <c r="C29" s="33">
        <v>818</v>
      </c>
      <c r="D29" s="33">
        <f t="shared" si="0"/>
        <v>28720</v>
      </c>
    </row>
    <row r="30" spans="1:4" x14ac:dyDescent="0.2">
      <c r="B30" s="22" t="s">
        <v>45</v>
      </c>
      <c r="C30" s="33">
        <v>1090</v>
      </c>
      <c r="D30" s="33">
        <f t="shared" si="0"/>
        <v>27630</v>
      </c>
    </row>
    <row r="31" spans="1:4" x14ac:dyDescent="0.2">
      <c r="A31" s="31">
        <v>45582</v>
      </c>
      <c r="B31" s="22" t="s">
        <v>28</v>
      </c>
      <c r="C31" s="33">
        <v>782</v>
      </c>
      <c r="D31" s="33">
        <f t="shared" si="0"/>
        <v>26848</v>
      </c>
    </row>
    <row r="32" spans="1:4" x14ac:dyDescent="0.2">
      <c r="B32" s="22" t="s">
        <v>28</v>
      </c>
      <c r="C32" s="33">
        <f>130+221+429</f>
        <v>780</v>
      </c>
      <c r="D32" s="33">
        <f t="shared" si="0"/>
        <v>26068</v>
      </c>
    </row>
    <row r="33" spans="1:4" x14ac:dyDescent="0.2">
      <c r="A33" s="31">
        <v>45583</v>
      </c>
      <c r="B33" s="22"/>
      <c r="C33" s="33">
        <f>442+362</f>
        <v>804</v>
      </c>
      <c r="D33" s="33">
        <f t="shared" si="0"/>
        <v>25264</v>
      </c>
    </row>
    <row r="34" spans="1:4" x14ac:dyDescent="0.2">
      <c r="A34" s="31">
        <v>45584</v>
      </c>
      <c r="B34" s="22" t="s">
        <v>38</v>
      </c>
      <c r="C34" s="33">
        <v>4256</v>
      </c>
      <c r="D34" s="33">
        <f t="shared" si="0"/>
        <v>21008</v>
      </c>
    </row>
    <row r="35" spans="1:4" x14ac:dyDescent="0.2">
      <c r="A35" s="31">
        <v>45585</v>
      </c>
      <c r="B35" s="22" t="s">
        <v>45</v>
      </c>
      <c r="C35" s="33">
        <v>2860</v>
      </c>
      <c r="D35" s="33">
        <f t="shared" si="0"/>
        <v>18148</v>
      </c>
    </row>
    <row r="36" spans="1:4" x14ac:dyDescent="0.2">
      <c r="A36" s="31">
        <v>45586</v>
      </c>
      <c r="B36" s="22" t="s">
        <v>38</v>
      </c>
      <c r="C36" s="33">
        <v>382</v>
      </c>
      <c r="D36" s="33">
        <f t="shared" ref="D36:D67" si="2">D35-C36</f>
        <v>17766</v>
      </c>
    </row>
    <row r="37" spans="1:4" x14ac:dyDescent="0.2">
      <c r="B37" s="22" t="s">
        <v>38</v>
      </c>
      <c r="C37" s="33">
        <v>221</v>
      </c>
      <c r="D37" s="33">
        <f t="shared" si="2"/>
        <v>17545</v>
      </c>
    </row>
    <row r="38" spans="1:4" x14ac:dyDescent="0.2">
      <c r="A38" s="31">
        <v>45587</v>
      </c>
      <c r="B38" s="22" t="s">
        <v>38</v>
      </c>
      <c r="C38" s="33">
        <v>468</v>
      </c>
      <c r="D38" s="33">
        <f t="shared" si="2"/>
        <v>17077</v>
      </c>
    </row>
    <row r="39" spans="1:4" x14ac:dyDescent="0.2">
      <c r="B39" s="22" t="s">
        <v>28</v>
      </c>
      <c r="C39" s="33">
        <v>680</v>
      </c>
      <c r="D39" s="33">
        <f t="shared" si="2"/>
        <v>16397</v>
      </c>
    </row>
    <row r="40" spans="1:4" x14ac:dyDescent="0.2">
      <c r="A40" s="31">
        <v>45588</v>
      </c>
      <c r="D40" s="33">
        <f t="shared" si="2"/>
        <v>16397</v>
      </c>
    </row>
    <row r="41" spans="1:4" x14ac:dyDescent="0.2">
      <c r="A41" s="31">
        <v>45589</v>
      </c>
      <c r="B41" s="22" t="s">
        <v>45</v>
      </c>
      <c r="C41" s="33">
        <f>266+178+406</f>
        <v>850</v>
      </c>
      <c r="D41" s="33">
        <f t="shared" si="2"/>
        <v>15547</v>
      </c>
    </row>
    <row r="42" spans="1:4" x14ac:dyDescent="0.2">
      <c r="A42" s="31">
        <v>45590</v>
      </c>
      <c r="B42" s="22" t="s">
        <v>45</v>
      </c>
      <c r="C42" s="33">
        <f>534+108</f>
        <v>642</v>
      </c>
      <c r="D42" s="33">
        <f t="shared" si="2"/>
        <v>14905</v>
      </c>
    </row>
    <row r="43" spans="1:4" x14ac:dyDescent="0.2">
      <c r="A43" s="31"/>
      <c r="B43" s="22" t="s">
        <v>38</v>
      </c>
      <c r="C43" s="33">
        <v>1530</v>
      </c>
      <c r="D43" s="33">
        <f t="shared" si="2"/>
        <v>13375</v>
      </c>
    </row>
    <row r="44" spans="1:4" x14ac:dyDescent="0.2">
      <c r="A44" s="31">
        <v>45591</v>
      </c>
      <c r="B44" s="22" t="s">
        <v>45</v>
      </c>
      <c r="C44" s="33">
        <v>638</v>
      </c>
      <c r="D44" s="33">
        <f t="shared" si="2"/>
        <v>12737</v>
      </c>
    </row>
    <row r="45" spans="1:4" x14ac:dyDescent="0.2">
      <c r="A45" s="31"/>
      <c r="B45" s="22" t="s">
        <v>45</v>
      </c>
      <c r="C45" s="33">
        <v>864</v>
      </c>
      <c r="D45" s="33">
        <f t="shared" si="2"/>
        <v>11873</v>
      </c>
    </row>
    <row r="46" spans="1:4" x14ac:dyDescent="0.2">
      <c r="A46" s="31"/>
      <c r="B46" s="22" t="s">
        <v>38</v>
      </c>
      <c r="C46" s="33">
        <v>2076</v>
      </c>
      <c r="D46" s="33">
        <f t="shared" si="2"/>
        <v>9797</v>
      </c>
    </row>
    <row r="47" spans="1:4" x14ac:dyDescent="0.2">
      <c r="A47" s="31">
        <v>45592</v>
      </c>
      <c r="B47" s="21" t="s">
        <v>28</v>
      </c>
      <c r="C47" s="33">
        <v>810</v>
      </c>
      <c r="D47" s="33">
        <f t="shared" si="2"/>
        <v>8987</v>
      </c>
    </row>
    <row r="48" spans="1:4" x14ac:dyDescent="0.2">
      <c r="A48" s="31">
        <v>45593</v>
      </c>
      <c r="B48" s="21" t="s">
        <v>28</v>
      </c>
      <c r="C48" s="33">
        <v>780</v>
      </c>
      <c r="D48" s="33">
        <f t="shared" si="2"/>
        <v>8207</v>
      </c>
    </row>
    <row r="49" spans="1:4" x14ac:dyDescent="0.2">
      <c r="A49" s="31"/>
      <c r="B49" s="21" t="s">
        <v>45</v>
      </c>
      <c r="C49" s="33">
        <v>468</v>
      </c>
      <c r="D49" s="33">
        <f t="shared" si="2"/>
        <v>7739</v>
      </c>
    </row>
    <row r="50" spans="1:4" x14ac:dyDescent="0.2">
      <c r="A50" s="31"/>
      <c r="B50" s="21" t="s">
        <v>45</v>
      </c>
      <c r="C50" s="33">
        <v>725</v>
      </c>
      <c r="D50" s="33">
        <f t="shared" si="2"/>
        <v>7014</v>
      </c>
    </row>
    <row r="51" spans="1:4" x14ac:dyDescent="0.2">
      <c r="A51" s="31">
        <v>45594</v>
      </c>
      <c r="B51" s="21" t="s">
        <v>38</v>
      </c>
      <c r="C51" s="33">
        <v>1604</v>
      </c>
      <c r="D51" s="33">
        <f t="shared" si="2"/>
        <v>5410</v>
      </c>
    </row>
    <row r="52" spans="1:4" x14ac:dyDescent="0.2">
      <c r="B52" s="21" t="s">
        <v>38</v>
      </c>
      <c r="C52" s="33">
        <v>1387</v>
      </c>
      <c r="D52" s="33">
        <f t="shared" si="2"/>
        <v>4023</v>
      </c>
    </row>
    <row r="53" spans="1:4" x14ac:dyDescent="0.2">
      <c r="A53" s="31">
        <v>45595</v>
      </c>
      <c r="C53" s="33">
        <v>2502</v>
      </c>
      <c r="D53" s="33">
        <f t="shared" si="2"/>
        <v>1521</v>
      </c>
    </row>
    <row r="54" spans="1:4" x14ac:dyDescent="0.2">
      <c r="A54" s="31">
        <v>45596</v>
      </c>
      <c r="C54" s="33">
        <v>741</v>
      </c>
      <c r="D54" s="33">
        <f t="shared" si="2"/>
        <v>780</v>
      </c>
    </row>
    <row r="55" spans="1:4" x14ac:dyDescent="0.2">
      <c r="A55" s="31"/>
      <c r="C55" s="33"/>
      <c r="D55" s="33">
        <f t="shared" si="2"/>
        <v>780</v>
      </c>
    </row>
    <row r="56" spans="1:4" x14ac:dyDescent="0.2">
      <c r="A56" s="31"/>
      <c r="C56" s="33"/>
      <c r="D56" s="33">
        <f t="shared" si="2"/>
        <v>780</v>
      </c>
    </row>
  </sheetData>
  <mergeCells count="5">
    <mergeCell ref="A1:D1"/>
    <mergeCell ref="F9:I9"/>
    <mergeCell ref="F3:I3"/>
    <mergeCell ref="A3:C3"/>
    <mergeCell ref="F1:J1"/>
  </mergeCells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82"/>
  <sheetViews>
    <sheetView topLeftCell="A16" zoomScale="160" zoomScaleNormal="160" workbookViewId="0">
      <selection activeCell="C49" sqref="C49"/>
    </sheetView>
  </sheetViews>
  <sheetFormatPr baseColWidth="10" defaultColWidth="8.83203125" defaultRowHeight="14" x14ac:dyDescent="0.2"/>
  <cols>
    <col min="1" max="1" width="12.83203125" style="23" customWidth="1"/>
    <col min="2" max="2" width="30.1640625" style="21" customWidth="1"/>
    <col min="3" max="4" width="17.33203125" style="21" customWidth="1"/>
    <col min="5" max="5" width="8.83203125" style="19" customWidth="1"/>
    <col min="6" max="6" width="4" style="23" customWidth="1"/>
    <col min="7" max="7" width="37.83203125" style="21" customWidth="1"/>
    <col min="8" max="10" width="17.33203125" style="21" customWidth="1"/>
    <col min="11" max="11" width="8.83203125" style="19" customWidth="1"/>
    <col min="12" max="16384" width="8.83203125" style="19"/>
  </cols>
  <sheetData>
    <row r="1" spans="1:10" x14ac:dyDescent="0.2">
      <c r="A1" s="89" t="s">
        <v>52</v>
      </c>
      <c r="B1" s="90"/>
      <c r="C1" s="90"/>
      <c r="D1" s="91"/>
      <c r="F1" s="89" t="s">
        <v>53</v>
      </c>
      <c r="G1" s="90"/>
      <c r="H1" s="90"/>
      <c r="I1" s="90"/>
      <c r="J1" s="91"/>
    </row>
    <row r="2" spans="1:10" x14ac:dyDescent="0.2">
      <c r="A2" s="23" t="s">
        <v>54</v>
      </c>
      <c r="B2" s="23" t="s">
        <v>55</v>
      </c>
      <c r="C2" s="23" t="s">
        <v>56</v>
      </c>
      <c r="D2" s="23" t="s">
        <v>57</v>
      </c>
      <c r="F2" s="23" t="s">
        <v>58</v>
      </c>
      <c r="G2" s="23" t="s">
        <v>55</v>
      </c>
      <c r="H2" s="23" t="s">
        <v>56</v>
      </c>
      <c r="I2" s="23" t="s">
        <v>59</v>
      </c>
      <c r="J2" s="23" t="s">
        <v>60</v>
      </c>
    </row>
    <row r="3" spans="1:10" x14ac:dyDescent="0.2">
      <c r="A3" s="92" t="s">
        <v>61</v>
      </c>
      <c r="B3" s="90"/>
      <c r="C3" s="91"/>
      <c r="D3" s="34">
        <v>60000</v>
      </c>
      <c r="F3" s="92" t="s">
        <v>62</v>
      </c>
      <c r="G3" s="90"/>
      <c r="H3" s="90"/>
      <c r="I3" s="91"/>
      <c r="J3" s="34">
        <f>'24-10'!J9</f>
        <v>6416240</v>
      </c>
    </row>
    <row r="4" spans="1:10" x14ac:dyDescent="0.2">
      <c r="A4" s="31">
        <v>45597</v>
      </c>
      <c r="B4" s="32" t="s">
        <v>38</v>
      </c>
      <c r="C4" s="33">
        <v>1631</v>
      </c>
      <c r="D4" s="33">
        <f t="shared" ref="D4:D35" si="0">D3-C4</f>
        <v>58369</v>
      </c>
      <c r="F4" s="23">
        <v>1</v>
      </c>
      <c r="G4" s="21" t="s">
        <v>100</v>
      </c>
      <c r="H4" s="33">
        <v>60000</v>
      </c>
      <c r="I4" s="33"/>
      <c r="J4" s="33">
        <f>J3-H4+I4</f>
        <v>6356240</v>
      </c>
    </row>
    <row r="5" spans="1:10" x14ac:dyDescent="0.2">
      <c r="A5" s="31">
        <v>45598</v>
      </c>
      <c r="B5" s="32"/>
      <c r="C5" s="33"/>
      <c r="D5" s="33">
        <f t="shared" si="0"/>
        <v>58369</v>
      </c>
      <c r="F5" s="23">
        <v>2</v>
      </c>
      <c r="G5" s="21" t="s">
        <v>202</v>
      </c>
      <c r="H5" s="33">
        <v>1800</v>
      </c>
      <c r="I5" s="33"/>
      <c r="J5" s="33">
        <f>J4-H5+I5</f>
        <v>6354440</v>
      </c>
    </row>
    <row r="6" spans="1:10" x14ac:dyDescent="0.2">
      <c r="A6" s="31">
        <v>45599</v>
      </c>
      <c r="B6" s="22" t="s">
        <v>45</v>
      </c>
      <c r="C6" s="33">
        <f>759</f>
        <v>759</v>
      </c>
      <c r="D6" s="33">
        <f t="shared" si="0"/>
        <v>57610</v>
      </c>
      <c r="F6" s="23">
        <v>3</v>
      </c>
      <c r="G6" s="21" t="s">
        <v>46</v>
      </c>
      <c r="H6" s="33">
        <v>71788</v>
      </c>
      <c r="I6" s="33"/>
      <c r="J6" s="33">
        <f>J5-H6+I6</f>
        <v>6282652</v>
      </c>
    </row>
    <row r="7" spans="1:10" x14ac:dyDescent="0.2">
      <c r="A7" s="31"/>
      <c r="B7" s="22" t="s">
        <v>38</v>
      </c>
      <c r="C7" s="33">
        <v>1895</v>
      </c>
      <c r="D7" s="33">
        <f t="shared" si="0"/>
        <v>55715</v>
      </c>
      <c r="F7" s="23">
        <v>4</v>
      </c>
      <c r="G7" s="21" t="s">
        <v>167</v>
      </c>
      <c r="H7" s="33"/>
      <c r="I7" s="33"/>
      <c r="J7" s="33">
        <f>J6-H7+I7</f>
        <v>6282652</v>
      </c>
    </row>
    <row r="8" spans="1:10" x14ac:dyDescent="0.2">
      <c r="A8" s="31">
        <v>45600</v>
      </c>
      <c r="B8" s="22" t="s">
        <v>45</v>
      </c>
      <c r="C8" s="33">
        <v>214</v>
      </c>
      <c r="D8" s="33">
        <f t="shared" si="0"/>
        <v>55501</v>
      </c>
      <c r="F8" s="23">
        <v>5</v>
      </c>
      <c r="G8" s="41" t="s">
        <v>168</v>
      </c>
      <c r="H8" s="37">
        <v>617960</v>
      </c>
      <c r="I8" s="33"/>
      <c r="J8" s="33">
        <f>J7-H8+I8</f>
        <v>5664692</v>
      </c>
    </row>
    <row r="9" spans="1:10" x14ac:dyDescent="0.2">
      <c r="A9" s="31">
        <v>45601</v>
      </c>
      <c r="B9" s="22" t="s">
        <v>45</v>
      </c>
      <c r="C9" s="33">
        <v>790</v>
      </c>
      <c r="D9" s="33">
        <f t="shared" si="0"/>
        <v>54711</v>
      </c>
      <c r="H9" s="33"/>
      <c r="I9" s="33"/>
      <c r="J9" s="33"/>
    </row>
    <row r="10" spans="1:10" x14ac:dyDescent="0.2">
      <c r="A10" s="31">
        <v>45602</v>
      </c>
      <c r="B10" s="22" t="s">
        <v>84</v>
      </c>
      <c r="C10" s="33">
        <v>1800</v>
      </c>
      <c r="D10" s="33">
        <f t="shared" si="0"/>
        <v>52911</v>
      </c>
      <c r="H10" s="33"/>
      <c r="I10" s="33"/>
      <c r="J10" s="33"/>
    </row>
    <row r="11" spans="1:10" x14ac:dyDescent="0.2">
      <c r="A11" s="31">
        <v>45603</v>
      </c>
      <c r="B11" s="22" t="s">
        <v>38</v>
      </c>
      <c r="C11" s="33">
        <v>2964</v>
      </c>
      <c r="D11" s="33">
        <f t="shared" si="0"/>
        <v>49947</v>
      </c>
      <c r="H11" s="33"/>
      <c r="I11" s="33"/>
      <c r="J11" s="33"/>
    </row>
    <row r="12" spans="1:10" x14ac:dyDescent="0.2">
      <c r="B12" s="22" t="s">
        <v>45</v>
      </c>
      <c r="C12" s="33">
        <v>389</v>
      </c>
      <c r="D12" s="33">
        <f t="shared" si="0"/>
        <v>49558</v>
      </c>
      <c r="H12" s="33"/>
      <c r="I12" s="33"/>
      <c r="J12" s="33"/>
    </row>
    <row r="13" spans="1:10" x14ac:dyDescent="0.2">
      <c r="B13" s="22" t="s">
        <v>45</v>
      </c>
      <c r="C13" s="33">
        <v>730</v>
      </c>
      <c r="D13" s="33">
        <f t="shared" si="0"/>
        <v>48828</v>
      </c>
      <c r="H13" s="33"/>
      <c r="I13" s="33"/>
      <c r="J13" s="33"/>
    </row>
    <row r="14" spans="1:10" x14ac:dyDescent="0.2">
      <c r="A14" s="31">
        <v>45604</v>
      </c>
      <c r="B14" s="22" t="s">
        <v>38</v>
      </c>
      <c r="C14" s="33">
        <v>532</v>
      </c>
      <c r="D14" s="33">
        <f t="shared" si="0"/>
        <v>48296</v>
      </c>
      <c r="H14" s="33"/>
      <c r="I14" s="33"/>
      <c r="J14" s="33"/>
    </row>
    <row r="15" spans="1:10" x14ac:dyDescent="0.2">
      <c r="B15" s="22"/>
      <c r="C15" s="33">
        <v>539</v>
      </c>
      <c r="D15" s="33">
        <f t="shared" si="0"/>
        <v>47757</v>
      </c>
      <c r="H15" s="33"/>
      <c r="I15" s="33"/>
      <c r="J15" s="33"/>
    </row>
    <row r="16" spans="1:10" x14ac:dyDescent="0.2">
      <c r="A16" s="31">
        <v>45605</v>
      </c>
      <c r="B16" s="22" t="s">
        <v>38</v>
      </c>
      <c r="C16" s="33">
        <v>1300</v>
      </c>
      <c r="D16" s="33">
        <f t="shared" si="0"/>
        <v>46457</v>
      </c>
      <c r="H16" s="33"/>
      <c r="I16" s="33"/>
      <c r="J16" s="33"/>
    </row>
    <row r="17" spans="1:4" x14ac:dyDescent="0.2">
      <c r="A17" s="31">
        <v>45606</v>
      </c>
      <c r="B17" s="22" t="s">
        <v>182</v>
      </c>
      <c r="C17" s="33">
        <v>1479</v>
      </c>
      <c r="D17" s="33">
        <f t="shared" si="0"/>
        <v>44978</v>
      </c>
    </row>
    <row r="18" spans="1:4" x14ac:dyDescent="0.2">
      <c r="A18" s="31">
        <v>45607</v>
      </c>
      <c r="C18" s="33"/>
      <c r="D18" s="33">
        <f t="shared" si="0"/>
        <v>44978</v>
      </c>
    </row>
    <row r="19" spans="1:4" x14ac:dyDescent="0.2">
      <c r="A19" s="31">
        <v>45608</v>
      </c>
      <c r="B19" s="22" t="s">
        <v>45</v>
      </c>
      <c r="C19" s="33">
        <v>373</v>
      </c>
      <c r="D19" s="33">
        <f t="shared" si="0"/>
        <v>44605</v>
      </c>
    </row>
    <row r="20" spans="1:4" x14ac:dyDescent="0.2">
      <c r="B20" s="22" t="s">
        <v>38</v>
      </c>
      <c r="C20" s="33">
        <v>278</v>
      </c>
      <c r="D20" s="33">
        <f t="shared" si="0"/>
        <v>44327</v>
      </c>
    </row>
    <row r="21" spans="1:4" x14ac:dyDescent="0.2">
      <c r="A21" s="31">
        <v>45609</v>
      </c>
      <c r="B21" s="22" t="s">
        <v>38</v>
      </c>
      <c r="C21" s="33">
        <v>921</v>
      </c>
      <c r="D21" s="33">
        <f t="shared" si="0"/>
        <v>43406</v>
      </c>
    </row>
    <row r="22" spans="1:4" x14ac:dyDescent="0.2">
      <c r="A22" s="31">
        <v>45610</v>
      </c>
      <c r="B22" s="22" t="s">
        <v>38</v>
      </c>
      <c r="C22" s="33">
        <f>228+408+640</f>
        <v>1276</v>
      </c>
      <c r="D22" s="33">
        <f t="shared" si="0"/>
        <v>42130</v>
      </c>
    </row>
    <row r="23" spans="1:4" x14ac:dyDescent="0.2">
      <c r="B23" s="22" t="s">
        <v>38</v>
      </c>
      <c r="C23" s="33">
        <v>778</v>
      </c>
      <c r="D23" s="33">
        <f t="shared" si="0"/>
        <v>41352</v>
      </c>
    </row>
    <row r="24" spans="1:4" x14ac:dyDescent="0.2">
      <c r="B24" s="22" t="s">
        <v>38</v>
      </c>
      <c r="C24" s="33">
        <v>330</v>
      </c>
      <c r="D24" s="33">
        <f t="shared" si="0"/>
        <v>41022</v>
      </c>
    </row>
    <row r="25" spans="1:4" x14ac:dyDescent="0.2">
      <c r="A25" s="31">
        <v>45611</v>
      </c>
      <c r="B25" s="22"/>
      <c r="C25" s="33"/>
      <c r="D25" s="33">
        <f t="shared" si="0"/>
        <v>41022</v>
      </c>
    </row>
    <row r="26" spans="1:4" x14ac:dyDescent="0.2">
      <c r="A26" s="31">
        <v>45612</v>
      </c>
      <c r="B26" s="22"/>
      <c r="C26" s="33"/>
      <c r="D26" s="33">
        <f t="shared" si="0"/>
        <v>41022</v>
      </c>
    </row>
    <row r="27" spans="1:4" x14ac:dyDescent="0.2">
      <c r="A27" s="31">
        <v>45613</v>
      </c>
      <c r="B27" s="22" t="s">
        <v>45</v>
      </c>
      <c r="C27" s="33">
        <v>306</v>
      </c>
      <c r="D27" s="33">
        <f t="shared" si="0"/>
        <v>40716</v>
      </c>
    </row>
    <row r="28" spans="1:4" x14ac:dyDescent="0.2">
      <c r="B28" s="22" t="s">
        <v>38</v>
      </c>
      <c r="C28" s="33">
        <v>3201</v>
      </c>
      <c r="D28" s="33">
        <f t="shared" si="0"/>
        <v>37515</v>
      </c>
    </row>
    <row r="29" spans="1:4" x14ac:dyDescent="0.2">
      <c r="A29" s="31">
        <v>45614</v>
      </c>
      <c r="B29" s="22" t="s">
        <v>38</v>
      </c>
      <c r="C29" s="33">
        <v>2009</v>
      </c>
      <c r="D29" s="33">
        <f t="shared" si="0"/>
        <v>35506</v>
      </c>
    </row>
    <row r="30" spans="1:4" x14ac:dyDescent="0.2">
      <c r="B30" s="22" t="s">
        <v>38</v>
      </c>
      <c r="C30" s="33">
        <f>750+108</f>
        <v>858</v>
      </c>
      <c r="D30" s="33">
        <f t="shared" si="0"/>
        <v>34648</v>
      </c>
    </row>
    <row r="31" spans="1:4" x14ac:dyDescent="0.2">
      <c r="A31" s="31">
        <v>45615</v>
      </c>
      <c r="B31" s="22" t="s">
        <v>28</v>
      </c>
      <c r="C31" s="33">
        <v>514</v>
      </c>
      <c r="D31" s="33">
        <f t="shared" si="0"/>
        <v>34134</v>
      </c>
    </row>
    <row r="32" spans="1:4" x14ac:dyDescent="0.2">
      <c r="B32" s="22" t="s">
        <v>28</v>
      </c>
      <c r="C32" s="33">
        <v>221</v>
      </c>
      <c r="D32" s="33">
        <f t="shared" si="0"/>
        <v>33913</v>
      </c>
    </row>
    <row r="33" spans="1:4" x14ac:dyDescent="0.2">
      <c r="A33" s="31"/>
      <c r="B33" s="22" t="s">
        <v>182</v>
      </c>
      <c r="C33" s="33">
        <v>1314</v>
      </c>
      <c r="D33" s="33">
        <f t="shared" si="0"/>
        <v>32599</v>
      </c>
    </row>
    <row r="34" spans="1:4" x14ac:dyDescent="0.2">
      <c r="A34" s="31">
        <v>45616</v>
      </c>
      <c r="B34" s="22" t="s">
        <v>28</v>
      </c>
      <c r="C34" s="33">
        <v>600</v>
      </c>
      <c r="D34" s="33">
        <f t="shared" si="0"/>
        <v>31999</v>
      </c>
    </row>
    <row r="35" spans="1:4" x14ac:dyDescent="0.2">
      <c r="A35" s="31"/>
      <c r="B35" s="22" t="s">
        <v>45</v>
      </c>
      <c r="C35" s="33">
        <v>510</v>
      </c>
      <c r="D35" s="33">
        <f t="shared" si="0"/>
        <v>31489</v>
      </c>
    </row>
    <row r="36" spans="1:4" x14ac:dyDescent="0.2">
      <c r="A36" s="31">
        <v>45617</v>
      </c>
      <c r="B36" s="22" t="s">
        <v>45</v>
      </c>
      <c r="C36" s="33">
        <v>979</v>
      </c>
      <c r="D36" s="33">
        <f t="shared" ref="D36:D67" si="1">D35-C36</f>
        <v>30510</v>
      </c>
    </row>
    <row r="37" spans="1:4" x14ac:dyDescent="0.2">
      <c r="A37" s="31"/>
      <c r="B37" s="22" t="s">
        <v>45</v>
      </c>
      <c r="C37" s="33">
        <v>128</v>
      </c>
      <c r="D37" s="33">
        <f t="shared" si="1"/>
        <v>30382</v>
      </c>
    </row>
    <row r="38" spans="1:4" x14ac:dyDescent="0.2">
      <c r="A38" s="31"/>
      <c r="B38" s="22" t="s">
        <v>38</v>
      </c>
      <c r="C38" s="33">
        <v>1129</v>
      </c>
      <c r="D38" s="33">
        <f t="shared" si="1"/>
        <v>29253</v>
      </c>
    </row>
    <row r="39" spans="1:4" x14ac:dyDescent="0.2">
      <c r="A39" s="31"/>
      <c r="B39" s="22"/>
      <c r="C39" s="33"/>
      <c r="D39" s="33">
        <f t="shared" si="1"/>
        <v>29253</v>
      </c>
    </row>
    <row r="40" spans="1:4" x14ac:dyDescent="0.2">
      <c r="A40" s="31"/>
      <c r="B40" s="22"/>
      <c r="C40" s="33"/>
      <c r="D40" s="33">
        <f t="shared" si="1"/>
        <v>29253</v>
      </c>
    </row>
    <row r="41" spans="1:4" x14ac:dyDescent="0.2">
      <c r="A41" s="31"/>
      <c r="B41" s="22"/>
      <c r="C41" s="33"/>
      <c r="D41" s="33">
        <f t="shared" si="1"/>
        <v>29253</v>
      </c>
    </row>
    <row r="42" spans="1:4" x14ac:dyDescent="0.2">
      <c r="D42" s="33">
        <f t="shared" si="1"/>
        <v>29253</v>
      </c>
    </row>
    <row r="43" spans="1:4" x14ac:dyDescent="0.2">
      <c r="D43" s="33">
        <f t="shared" si="1"/>
        <v>29253</v>
      </c>
    </row>
    <row r="44" spans="1:4" x14ac:dyDescent="0.2">
      <c r="D44" s="33">
        <f t="shared" si="1"/>
        <v>29253</v>
      </c>
    </row>
    <row r="45" spans="1:4" x14ac:dyDescent="0.2">
      <c r="D45" s="33">
        <f t="shared" si="1"/>
        <v>29253</v>
      </c>
    </row>
    <row r="46" spans="1:4" x14ac:dyDescent="0.2">
      <c r="D46" s="33">
        <f t="shared" si="1"/>
        <v>29253</v>
      </c>
    </row>
    <row r="47" spans="1:4" x14ac:dyDescent="0.2">
      <c r="D47" s="33">
        <f t="shared" si="1"/>
        <v>29253</v>
      </c>
    </row>
    <row r="48" spans="1:4" x14ac:dyDescent="0.2">
      <c r="D48" s="33">
        <f t="shared" si="1"/>
        <v>29253</v>
      </c>
    </row>
    <row r="49" spans="4:4" x14ac:dyDescent="0.2">
      <c r="D49" s="33">
        <f t="shared" si="1"/>
        <v>29253</v>
      </c>
    </row>
    <row r="50" spans="4:4" x14ac:dyDescent="0.2">
      <c r="D50" s="33">
        <f t="shared" si="1"/>
        <v>29253</v>
      </c>
    </row>
    <row r="51" spans="4:4" x14ac:dyDescent="0.2">
      <c r="D51" s="33">
        <f t="shared" si="1"/>
        <v>29253</v>
      </c>
    </row>
    <row r="52" spans="4:4" x14ac:dyDescent="0.2">
      <c r="D52" s="33">
        <f t="shared" si="1"/>
        <v>29253</v>
      </c>
    </row>
    <row r="53" spans="4:4" x14ac:dyDescent="0.2">
      <c r="D53" s="33">
        <f t="shared" si="1"/>
        <v>29253</v>
      </c>
    </row>
    <row r="54" spans="4:4" x14ac:dyDescent="0.2">
      <c r="D54" s="33">
        <f t="shared" si="1"/>
        <v>29253</v>
      </c>
    </row>
    <row r="55" spans="4:4" x14ac:dyDescent="0.2">
      <c r="D55" s="33">
        <f t="shared" si="1"/>
        <v>29253</v>
      </c>
    </row>
    <row r="56" spans="4:4" x14ac:dyDescent="0.2">
      <c r="D56" s="33">
        <f t="shared" si="1"/>
        <v>29253</v>
      </c>
    </row>
    <row r="57" spans="4:4" x14ac:dyDescent="0.2">
      <c r="D57" s="33">
        <f t="shared" si="1"/>
        <v>29253</v>
      </c>
    </row>
    <row r="58" spans="4:4" x14ac:dyDescent="0.2">
      <c r="D58" s="33">
        <f t="shared" si="1"/>
        <v>29253</v>
      </c>
    </row>
    <row r="59" spans="4:4" x14ac:dyDescent="0.2">
      <c r="D59" s="33">
        <f t="shared" si="1"/>
        <v>29253</v>
      </c>
    </row>
    <row r="60" spans="4:4" x14ac:dyDescent="0.2">
      <c r="D60" s="33">
        <f t="shared" si="1"/>
        <v>29253</v>
      </c>
    </row>
    <row r="61" spans="4:4" x14ac:dyDescent="0.2">
      <c r="D61" s="33">
        <f t="shared" si="1"/>
        <v>29253</v>
      </c>
    </row>
    <row r="62" spans="4:4" x14ac:dyDescent="0.2">
      <c r="D62" s="33">
        <f t="shared" si="1"/>
        <v>29253</v>
      </c>
    </row>
    <row r="63" spans="4:4" x14ac:dyDescent="0.2">
      <c r="D63" s="33">
        <f t="shared" si="1"/>
        <v>29253</v>
      </c>
    </row>
    <row r="64" spans="4:4" x14ac:dyDescent="0.2">
      <c r="D64" s="33">
        <f t="shared" si="1"/>
        <v>29253</v>
      </c>
    </row>
    <row r="65" spans="4:4" x14ac:dyDescent="0.2">
      <c r="D65" s="33">
        <f t="shared" si="1"/>
        <v>29253</v>
      </c>
    </row>
    <row r="66" spans="4:4" x14ac:dyDescent="0.2">
      <c r="D66" s="33">
        <f t="shared" si="1"/>
        <v>29253</v>
      </c>
    </row>
    <row r="67" spans="4:4" x14ac:dyDescent="0.2">
      <c r="D67" s="33">
        <f t="shared" si="1"/>
        <v>29253</v>
      </c>
    </row>
    <row r="68" spans="4:4" x14ac:dyDescent="0.2">
      <c r="D68" s="33">
        <f t="shared" ref="D68:D99" si="2">D67-C68</f>
        <v>29253</v>
      </c>
    </row>
    <row r="69" spans="4:4" x14ac:dyDescent="0.2">
      <c r="D69" s="33">
        <f t="shared" si="2"/>
        <v>29253</v>
      </c>
    </row>
    <row r="70" spans="4:4" x14ac:dyDescent="0.2">
      <c r="D70" s="33">
        <f t="shared" si="2"/>
        <v>29253</v>
      </c>
    </row>
    <row r="71" spans="4:4" x14ac:dyDescent="0.2">
      <c r="D71" s="33">
        <f t="shared" si="2"/>
        <v>29253</v>
      </c>
    </row>
    <row r="72" spans="4:4" x14ac:dyDescent="0.2">
      <c r="D72" s="33">
        <f t="shared" si="2"/>
        <v>29253</v>
      </c>
    </row>
    <row r="73" spans="4:4" x14ac:dyDescent="0.2">
      <c r="D73" s="33">
        <f t="shared" si="2"/>
        <v>29253</v>
      </c>
    </row>
    <row r="74" spans="4:4" x14ac:dyDescent="0.2">
      <c r="D74" s="33">
        <f t="shared" si="2"/>
        <v>29253</v>
      </c>
    </row>
    <row r="75" spans="4:4" x14ac:dyDescent="0.2">
      <c r="D75" s="33">
        <f t="shared" si="2"/>
        <v>29253</v>
      </c>
    </row>
    <row r="76" spans="4:4" x14ac:dyDescent="0.2">
      <c r="D76" s="33">
        <f t="shared" si="2"/>
        <v>29253</v>
      </c>
    </row>
    <row r="77" spans="4:4" x14ac:dyDescent="0.2">
      <c r="D77" s="33">
        <f t="shared" si="2"/>
        <v>29253</v>
      </c>
    </row>
    <row r="78" spans="4:4" x14ac:dyDescent="0.2">
      <c r="D78" s="33">
        <f t="shared" si="2"/>
        <v>29253</v>
      </c>
    </row>
    <row r="79" spans="4:4" x14ac:dyDescent="0.2">
      <c r="D79" s="33">
        <f t="shared" si="2"/>
        <v>29253</v>
      </c>
    </row>
    <row r="80" spans="4:4" x14ac:dyDescent="0.2">
      <c r="D80" s="33">
        <f t="shared" si="2"/>
        <v>29253</v>
      </c>
    </row>
    <row r="81" spans="1:3" x14ac:dyDescent="0.2">
      <c r="A81" t="s">
        <v>203</v>
      </c>
      <c r="B81" t="s">
        <v>204</v>
      </c>
      <c r="C81" t="s">
        <v>205</v>
      </c>
    </row>
    <row r="82" spans="1:3" x14ac:dyDescent="0.2">
      <c r="A82" t="s">
        <v>203</v>
      </c>
      <c r="B82" t="s">
        <v>204</v>
      </c>
      <c r="C82" t="s">
        <v>205</v>
      </c>
    </row>
  </sheetData>
  <mergeCells count="4">
    <mergeCell ref="F1:J1"/>
    <mergeCell ref="A1:D1"/>
    <mergeCell ref="F3:I3"/>
    <mergeCell ref="A3:C3"/>
  </mergeCells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40"/>
  <sheetViews>
    <sheetView zoomScale="110" zoomScaleNormal="110" workbookViewId="0">
      <selection activeCell="I37" sqref="I37"/>
    </sheetView>
  </sheetViews>
  <sheetFormatPr baseColWidth="10" defaultColWidth="8.83203125" defaultRowHeight="14" x14ac:dyDescent="0.2"/>
  <cols>
    <col min="1" max="1" width="12.83203125" style="23" customWidth="1"/>
    <col min="2" max="2" width="30.1640625" style="21" customWidth="1"/>
    <col min="3" max="4" width="17.33203125" style="21" customWidth="1"/>
    <col min="5" max="5" width="8.83203125" style="19" customWidth="1"/>
    <col min="6" max="6" width="4" style="23" customWidth="1"/>
    <col min="7" max="7" width="37.83203125" style="21" customWidth="1"/>
    <col min="8" max="10" width="17.33203125" style="21" customWidth="1"/>
    <col min="11" max="11" width="8.83203125" style="19" customWidth="1"/>
    <col min="12" max="16384" width="8.83203125" style="19"/>
  </cols>
  <sheetData>
    <row r="1" spans="1:10" x14ac:dyDescent="0.2">
      <c r="A1" s="89" t="s">
        <v>52</v>
      </c>
      <c r="B1" s="90"/>
      <c r="C1" s="90"/>
      <c r="D1" s="91"/>
      <c r="F1" s="89" t="s">
        <v>53</v>
      </c>
      <c r="G1" s="90"/>
      <c r="H1" s="90"/>
      <c r="I1" s="90"/>
      <c r="J1" s="91"/>
    </row>
    <row r="2" spans="1:10" x14ac:dyDescent="0.2">
      <c r="A2" s="23" t="s">
        <v>54</v>
      </c>
      <c r="B2" s="23" t="s">
        <v>55</v>
      </c>
      <c r="C2" s="23" t="s">
        <v>56</v>
      </c>
      <c r="D2" s="23" t="s">
        <v>57</v>
      </c>
      <c r="F2" s="23" t="s">
        <v>58</v>
      </c>
      <c r="G2" s="23" t="s">
        <v>55</v>
      </c>
      <c r="H2" s="23" t="s">
        <v>56</v>
      </c>
      <c r="I2" s="23" t="s">
        <v>59</v>
      </c>
      <c r="J2" s="23" t="s">
        <v>60</v>
      </c>
    </row>
    <row r="3" spans="1:10" x14ac:dyDescent="0.2">
      <c r="A3" s="92" t="s">
        <v>61</v>
      </c>
      <c r="B3" s="90"/>
      <c r="C3" s="91"/>
      <c r="D3" s="34">
        <v>55000</v>
      </c>
      <c r="F3" s="92" t="s">
        <v>62</v>
      </c>
      <c r="G3" s="90"/>
      <c r="H3" s="90"/>
      <c r="I3" s="91"/>
      <c r="J3" s="34"/>
    </row>
    <row r="4" spans="1:10" x14ac:dyDescent="0.2">
      <c r="A4" s="31"/>
      <c r="B4" s="32"/>
      <c r="C4" s="33"/>
      <c r="D4" s="33">
        <f t="shared" ref="D4:D40" si="0">D3-C4</f>
        <v>55000</v>
      </c>
      <c r="F4" s="23">
        <v>1</v>
      </c>
      <c r="H4" s="33"/>
      <c r="I4" s="33"/>
      <c r="J4" s="33">
        <f>J3-H4+I4</f>
        <v>0</v>
      </c>
    </row>
    <row r="5" spans="1:10" x14ac:dyDescent="0.2">
      <c r="A5" s="31"/>
      <c r="B5" s="32"/>
      <c r="C5" s="33"/>
      <c r="D5" s="33">
        <f t="shared" si="0"/>
        <v>55000</v>
      </c>
      <c r="F5" s="23">
        <v>2</v>
      </c>
      <c r="H5" s="33"/>
      <c r="I5" s="33"/>
      <c r="J5" s="33">
        <f>J4-H5+I5</f>
        <v>0</v>
      </c>
    </row>
    <row r="6" spans="1:10" x14ac:dyDescent="0.2">
      <c r="A6" s="31"/>
      <c r="B6" s="22"/>
      <c r="C6" s="33"/>
      <c r="D6" s="33">
        <f t="shared" si="0"/>
        <v>55000</v>
      </c>
      <c r="F6" s="23">
        <v>3</v>
      </c>
      <c r="H6" s="33"/>
      <c r="I6" s="33"/>
      <c r="J6" s="33">
        <f>J5-H6+I6</f>
        <v>0</v>
      </c>
    </row>
    <row r="7" spans="1:10" x14ac:dyDescent="0.2">
      <c r="A7" s="31"/>
      <c r="B7" s="22"/>
      <c r="C7" s="33"/>
      <c r="D7" s="33">
        <f t="shared" si="0"/>
        <v>55000</v>
      </c>
      <c r="F7" s="23">
        <v>4</v>
      </c>
      <c r="H7" s="33"/>
      <c r="I7" s="33"/>
      <c r="J7" s="33">
        <f>J6-H7+I7</f>
        <v>0</v>
      </c>
    </row>
    <row r="8" spans="1:10" x14ac:dyDescent="0.2">
      <c r="A8" s="31"/>
      <c r="B8" s="22"/>
      <c r="C8" s="33"/>
      <c r="D8" s="33">
        <f t="shared" si="0"/>
        <v>55000</v>
      </c>
      <c r="F8" s="23">
        <v>5</v>
      </c>
      <c r="H8" s="33"/>
      <c r="I8" s="33"/>
      <c r="J8" s="33">
        <f>J7-H8+I8</f>
        <v>0</v>
      </c>
    </row>
    <row r="9" spans="1:10" x14ac:dyDescent="0.2">
      <c r="A9" s="31"/>
      <c r="B9" s="22"/>
      <c r="C9" s="33"/>
      <c r="D9" s="33">
        <f t="shared" si="0"/>
        <v>55000</v>
      </c>
      <c r="H9" s="33"/>
      <c r="I9" s="33"/>
      <c r="J9" s="33"/>
    </row>
    <row r="10" spans="1:10" x14ac:dyDescent="0.2">
      <c r="A10" s="31"/>
      <c r="B10" s="22"/>
      <c r="C10" s="33"/>
      <c r="D10" s="33">
        <f t="shared" si="0"/>
        <v>55000</v>
      </c>
      <c r="H10" s="33"/>
      <c r="I10" s="33"/>
      <c r="J10" s="33"/>
    </row>
    <row r="11" spans="1:10" x14ac:dyDescent="0.2">
      <c r="A11" s="31"/>
      <c r="B11" s="22"/>
      <c r="C11" s="33"/>
      <c r="D11" s="33">
        <f t="shared" si="0"/>
        <v>55000</v>
      </c>
      <c r="H11" s="33"/>
      <c r="I11" s="33"/>
      <c r="J11" s="33"/>
    </row>
    <row r="12" spans="1:10" x14ac:dyDescent="0.2">
      <c r="A12" s="31"/>
      <c r="B12" s="22"/>
      <c r="C12" s="33"/>
      <c r="D12" s="33">
        <f t="shared" si="0"/>
        <v>55000</v>
      </c>
      <c r="H12" s="33"/>
      <c r="I12" s="33"/>
      <c r="J12" s="33"/>
    </row>
    <row r="13" spans="1:10" x14ac:dyDescent="0.2">
      <c r="A13" s="31"/>
      <c r="B13" s="22"/>
      <c r="C13" s="33"/>
      <c r="D13" s="33">
        <f t="shared" si="0"/>
        <v>55000</v>
      </c>
      <c r="H13" s="33"/>
      <c r="I13" s="33"/>
      <c r="J13" s="33"/>
    </row>
    <row r="14" spans="1:10" x14ac:dyDescent="0.2">
      <c r="A14" s="31"/>
      <c r="B14" s="22"/>
      <c r="C14" s="33"/>
      <c r="D14" s="33">
        <f t="shared" si="0"/>
        <v>55000</v>
      </c>
      <c r="H14" s="33"/>
      <c r="I14" s="33"/>
      <c r="J14" s="33"/>
    </row>
    <row r="15" spans="1:10" x14ac:dyDescent="0.2">
      <c r="A15" s="31"/>
      <c r="B15" s="22"/>
      <c r="C15" s="33"/>
      <c r="D15" s="33">
        <f t="shared" si="0"/>
        <v>55000</v>
      </c>
      <c r="H15" s="33"/>
      <c r="I15" s="33"/>
      <c r="J15" s="33"/>
    </row>
    <row r="16" spans="1:10" x14ac:dyDescent="0.2">
      <c r="A16" s="31"/>
      <c r="B16" s="22"/>
      <c r="C16" s="33"/>
      <c r="D16" s="33">
        <f t="shared" si="0"/>
        <v>55000</v>
      </c>
      <c r="H16" s="33"/>
      <c r="I16" s="33"/>
      <c r="J16" s="33"/>
    </row>
    <row r="17" spans="1:4" x14ac:dyDescent="0.2">
      <c r="A17" s="31"/>
      <c r="B17" s="22"/>
      <c r="C17" s="33"/>
      <c r="D17" s="33">
        <f t="shared" si="0"/>
        <v>55000</v>
      </c>
    </row>
    <row r="18" spans="1:4" x14ac:dyDescent="0.2">
      <c r="A18" s="31"/>
      <c r="B18" s="22"/>
      <c r="C18" s="33"/>
      <c r="D18" s="33">
        <f t="shared" si="0"/>
        <v>55000</v>
      </c>
    </row>
    <row r="19" spans="1:4" x14ac:dyDescent="0.2">
      <c r="A19" s="31"/>
      <c r="B19" s="22"/>
      <c r="C19" s="33"/>
      <c r="D19" s="33">
        <f t="shared" si="0"/>
        <v>55000</v>
      </c>
    </row>
    <row r="20" spans="1:4" x14ac:dyDescent="0.2">
      <c r="A20" s="31"/>
      <c r="B20" s="22"/>
      <c r="C20" s="33"/>
      <c r="D20" s="33">
        <f t="shared" si="0"/>
        <v>55000</v>
      </c>
    </row>
    <row r="21" spans="1:4" x14ac:dyDescent="0.2">
      <c r="A21" s="31"/>
      <c r="B21" s="22"/>
      <c r="C21" s="33"/>
      <c r="D21" s="33">
        <f t="shared" si="0"/>
        <v>55000</v>
      </c>
    </row>
    <row r="22" spans="1:4" x14ac:dyDescent="0.2">
      <c r="A22" s="31"/>
      <c r="B22" s="22"/>
      <c r="C22" s="33"/>
      <c r="D22" s="33">
        <f t="shared" si="0"/>
        <v>55000</v>
      </c>
    </row>
    <row r="23" spans="1:4" x14ac:dyDescent="0.2">
      <c r="A23" s="31"/>
      <c r="B23" s="22"/>
      <c r="C23" s="33"/>
      <c r="D23" s="33">
        <f t="shared" si="0"/>
        <v>55000</v>
      </c>
    </row>
    <row r="24" spans="1:4" x14ac:dyDescent="0.2">
      <c r="A24" s="31"/>
      <c r="B24" s="22"/>
      <c r="C24" s="33"/>
      <c r="D24" s="33">
        <f t="shared" si="0"/>
        <v>55000</v>
      </c>
    </row>
    <row r="25" spans="1:4" x14ac:dyDescent="0.2">
      <c r="A25" s="31"/>
      <c r="B25" s="22"/>
      <c r="C25" s="33"/>
      <c r="D25" s="33">
        <f t="shared" si="0"/>
        <v>55000</v>
      </c>
    </row>
    <row r="26" spans="1:4" x14ac:dyDescent="0.2">
      <c r="A26" s="31"/>
      <c r="B26" s="22"/>
      <c r="C26" s="33"/>
      <c r="D26" s="33">
        <f t="shared" si="0"/>
        <v>55000</v>
      </c>
    </row>
    <row r="27" spans="1:4" x14ac:dyDescent="0.2">
      <c r="A27" s="31"/>
      <c r="B27" s="22"/>
      <c r="C27" s="33"/>
      <c r="D27" s="33">
        <f t="shared" si="0"/>
        <v>55000</v>
      </c>
    </row>
    <row r="28" spans="1:4" x14ac:dyDescent="0.2">
      <c r="A28" s="31"/>
      <c r="B28" s="22"/>
      <c r="C28" s="33"/>
      <c r="D28" s="33">
        <f t="shared" si="0"/>
        <v>55000</v>
      </c>
    </row>
    <row r="29" spans="1:4" x14ac:dyDescent="0.2">
      <c r="A29" s="31"/>
      <c r="B29" s="22"/>
      <c r="C29" s="33"/>
      <c r="D29" s="33">
        <f t="shared" si="0"/>
        <v>55000</v>
      </c>
    </row>
    <row r="30" spans="1:4" x14ac:dyDescent="0.2">
      <c r="A30" s="31"/>
      <c r="B30" s="22"/>
      <c r="C30" s="33"/>
      <c r="D30" s="33">
        <f t="shared" si="0"/>
        <v>55000</v>
      </c>
    </row>
    <row r="31" spans="1:4" x14ac:dyDescent="0.2">
      <c r="A31" s="31"/>
      <c r="B31" s="22"/>
      <c r="C31" s="33"/>
      <c r="D31" s="33">
        <f t="shared" si="0"/>
        <v>55000</v>
      </c>
    </row>
    <row r="32" spans="1:4" x14ac:dyDescent="0.2">
      <c r="A32" s="31"/>
      <c r="B32" s="22"/>
      <c r="C32" s="33"/>
      <c r="D32" s="33">
        <f t="shared" si="0"/>
        <v>55000</v>
      </c>
    </row>
    <row r="33" spans="1:4" x14ac:dyDescent="0.2">
      <c r="A33" s="31"/>
      <c r="B33" s="22"/>
      <c r="C33" s="33"/>
      <c r="D33" s="33">
        <f t="shared" si="0"/>
        <v>55000</v>
      </c>
    </row>
    <row r="34" spans="1:4" x14ac:dyDescent="0.2">
      <c r="A34" s="31"/>
      <c r="B34" s="22"/>
      <c r="C34" s="33"/>
      <c r="D34" s="33">
        <f t="shared" si="0"/>
        <v>55000</v>
      </c>
    </row>
    <row r="35" spans="1:4" x14ac:dyDescent="0.2">
      <c r="A35" s="31"/>
      <c r="B35" s="22"/>
      <c r="C35" s="33"/>
      <c r="D35" s="33">
        <f t="shared" si="0"/>
        <v>55000</v>
      </c>
    </row>
    <row r="36" spans="1:4" x14ac:dyDescent="0.2">
      <c r="A36" s="31"/>
      <c r="B36" s="22"/>
      <c r="C36" s="33"/>
      <c r="D36" s="33">
        <f t="shared" si="0"/>
        <v>55000</v>
      </c>
    </row>
    <row r="37" spans="1:4" x14ac:dyDescent="0.2">
      <c r="A37" s="31"/>
      <c r="B37" s="22"/>
      <c r="C37" s="33"/>
      <c r="D37" s="33">
        <f t="shared" si="0"/>
        <v>55000</v>
      </c>
    </row>
    <row r="38" spans="1:4" x14ac:dyDescent="0.2">
      <c r="A38" s="31"/>
      <c r="B38" s="22"/>
      <c r="C38" s="33"/>
      <c r="D38" s="33">
        <f t="shared" si="0"/>
        <v>55000</v>
      </c>
    </row>
    <row r="39" spans="1:4" x14ac:dyDescent="0.2">
      <c r="A39" s="31"/>
      <c r="B39" s="22"/>
      <c r="C39" s="33"/>
      <c r="D39" s="33">
        <f t="shared" si="0"/>
        <v>55000</v>
      </c>
    </row>
    <row r="40" spans="1:4" x14ac:dyDescent="0.2">
      <c r="A40" s="31"/>
      <c r="B40" s="22"/>
      <c r="C40" s="33"/>
      <c r="D40" s="33">
        <f t="shared" si="0"/>
        <v>55000</v>
      </c>
    </row>
  </sheetData>
  <mergeCells count="4">
    <mergeCell ref="F1:J1"/>
    <mergeCell ref="A1:D1"/>
    <mergeCell ref="F3:I3"/>
    <mergeCell ref="A3:C3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6"/>
  <sheetViews>
    <sheetView zoomScale="110" zoomScaleNormal="110" workbookViewId="0">
      <selection activeCell="G40" sqref="G40:G43"/>
    </sheetView>
  </sheetViews>
  <sheetFormatPr baseColWidth="10" defaultColWidth="8.83203125" defaultRowHeight="14" x14ac:dyDescent="0.2"/>
  <cols>
    <col min="1" max="1" width="12.83203125" style="23" customWidth="1"/>
    <col min="2" max="2" width="30.1640625" style="21" customWidth="1"/>
    <col min="3" max="4" width="17.33203125" style="21" customWidth="1"/>
    <col min="5" max="5" width="8.83203125" style="19" customWidth="1"/>
    <col min="6" max="6" width="4" style="23" customWidth="1"/>
    <col min="7" max="7" width="37.83203125" style="21" customWidth="1"/>
    <col min="8" max="8" width="17.33203125" style="21" customWidth="1"/>
    <col min="9" max="9" width="17.33203125" style="43" customWidth="1"/>
    <col min="10" max="10" width="17.33203125" style="21" customWidth="1"/>
    <col min="11" max="11" width="8.83203125" style="19" customWidth="1"/>
    <col min="12" max="16384" width="8.83203125" style="19"/>
  </cols>
  <sheetData>
    <row r="1" spans="1:10" x14ac:dyDescent="0.2">
      <c r="A1" s="89" t="s">
        <v>52</v>
      </c>
      <c r="B1" s="90"/>
      <c r="C1" s="90"/>
      <c r="D1" s="91"/>
      <c r="F1" s="89" t="s">
        <v>53</v>
      </c>
      <c r="G1" s="90"/>
      <c r="H1" s="90"/>
      <c r="I1" s="90"/>
      <c r="J1" s="91"/>
    </row>
    <row r="2" spans="1:10" x14ac:dyDescent="0.2">
      <c r="A2" s="23" t="s">
        <v>54</v>
      </c>
      <c r="B2" s="23" t="s">
        <v>55</v>
      </c>
      <c r="C2" s="23" t="s">
        <v>56</v>
      </c>
      <c r="D2" s="23" t="s">
        <v>57</v>
      </c>
      <c r="F2" s="23" t="s">
        <v>58</v>
      </c>
      <c r="G2" s="23" t="s">
        <v>55</v>
      </c>
      <c r="H2" s="23" t="s">
        <v>56</v>
      </c>
      <c r="I2" s="23" t="s">
        <v>59</v>
      </c>
      <c r="J2" s="23" t="s">
        <v>60</v>
      </c>
    </row>
    <row r="3" spans="1:10" x14ac:dyDescent="0.2">
      <c r="A3" s="92" t="s">
        <v>61</v>
      </c>
      <c r="B3" s="90"/>
      <c r="C3" s="91"/>
      <c r="D3" s="34">
        <v>55000</v>
      </c>
      <c r="F3" s="92" t="s">
        <v>62</v>
      </c>
      <c r="G3" s="90"/>
      <c r="H3" s="90"/>
      <c r="I3" s="91"/>
      <c r="J3" s="34">
        <f>'23-05'!J6</f>
        <v>310493</v>
      </c>
    </row>
    <row r="4" spans="1:10" x14ac:dyDescent="0.2">
      <c r="A4" s="29">
        <v>45078</v>
      </c>
      <c r="B4" s="27" t="s">
        <v>36</v>
      </c>
      <c r="C4" s="18">
        <f>500+130</f>
        <v>630</v>
      </c>
      <c r="D4" s="33">
        <f t="shared" ref="D4:D44" si="0">D3-C4</f>
        <v>54370</v>
      </c>
      <c r="F4" s="23">
        <v>1</v>
      </c>
      <c r="G4" s="21" t="s">
        <v>75</v>
      </c>
      <c r="H4" s="33"/>
      <c r="I4" s="42">
        <v>100000</v>
      </c>
      <c r="J4" s="33">
        <f t="shared" ref="J4:J9" si="1">J3+I4-H4</f>
        <v>410493</v>
      </c>
    </row>
    <row r="5" spans="1:10" x14ac:dyDescent="0.2">
      <c r="A5" s="29"/>
      <c r="B5" s="27" t="s">
        <v>76</v>
      </c>
      <c r="C5" s="18"/>
      <c r="D5" s="33">
        <f t="shared" si="0"/>
        <v>54370</v>
      </c>
      <c r="F5" s="23">
        <v>2</v>
      </c>
      <c r="G5" s="21" t="s">
        <v>77</v>
      </c>
      <c r="H5" s="33"/>
      <c r="I5" s="42">
        <v>402500</v>
      </c>
      <c r="J5" s="33">
        <f t="shared" si="1"/>
        <v>812993</v>
      </c>
    </row>
    <row r="6" spans="1:10" x14ac:dyDescent="0.2">
      <c r="A6" s="29">
        <v>45079</v>
      </c>
      <c r="B6" s="28"/>
      <c r="C6" s="18"/>
      <c r="D6" s="33">
        <f t="shared" si="0"/>
        <v>54370</v>
      </c>
      <c r="F6" s="23">
        <v>3</v>
      </c>
      <c r="G6" s="21" t="s">
        <v>63</v>
      </c>
      <c r="H6" s="33">
        <v>42512</v>
      </c>
      <c r="I6" s="42"/>
      <c r="J6" s="33">
        <f t="shared" si="1"/>
        <v>770481</v>
      </c>
    </row>
    <row r="7" spans="1:10" x14ac:dyDescent="0.2">
      <c r="A7" s="29">
        <v>45080</v>
      </c>
      <c r="B7" s="28" t="s">
        <v>45</v>
      </c>
      <c r="C7" s="18">
        <f>6988</f>
        <v>6988</v>
      </c>
      <c r="D7" s="33">
        <f t="shared" si="0"/>
        <v>47382</v>
      </c>
      <c r="F7" s="23">
        <v>4</v>
      </c>
      <c r="G7" s="21" t="s">
        <v>44</v>
      </c>
      <c r="H7" s="33">
        <v>18090</v>
      </c>
      <c r="I7" s="42"/>
      <c r="J7" s="33">
        <f t="shared" si="1"/>
        <v>752391</v>
      </c>
    </row>
    <row r="8" spans="1:10" x14ac:dyDescent="0.2">
      <c r="A8" s="29">
        <v>45081</v>
      </c>
      <c r="B8" s="28"/>
      <c r="C8" s="18"/>
      <c r="D8" s="33">
        <f t="shared" si="0"/>
        <v>47382</v>
      </c>
      <c r="F8" s="23">
        <v>5</v>
      </c>
      <c r="G8" s="21" t="s">
        <v>52</v>
      </c>
      <c r="H8" s="33">
        <v>55000</v>
      </c>
      <c r="I8" s="42"/>
      <c r="J8" s="33">
        <f t="shared" si="1"/>
        <v>697391</v>
      </c>
    </row>
    <row r="9" spans="1:10" x14ac:dyDescent="0.2">
      <c r="A9" s="29">
        <v>45082</v>
      </c>
      <c r="B9" s="28" t="s">
        <v>36</v>
      </c>
      <c r="C9" s="18">
        <v>500</v>
      </c>
      <c r="D9" s="33">
        <f t="shared" si="0"/>
        <v>46882</v>
      </c>
      <c r="F9" s="23">
        <v>6</v>
      </c>
      <c r="G9" s="21" t="s">
        <v>78</v>
      </c>
      <c r="H9" s="33">
        <v>136000</v>
      </c>
      <c r="I9" s="42"/>
      <c r="J9" s="33">
        <f t="shared" si="1"/>
        <v>561391</v>
      </c>
    </row>
    <row r="10" spans="1:10" x14ac:dyDescent="0.2">
      <c r="A10" s="29">
        <v>45083</v>
      </c>
      <c r="B10" s="28" t="s">
        <v>36</v>
      </c>
      <c r="C10" s="18">
        <v>500</v>
      </c>
      <c r="D10" s="33">
        <f t="shared" si="0"/>
        <v>46382</v>
      </c>
      <c r="F10" s="94" t="s">
        <v>64</v>
      </c>
      <c r="G10" s="90"/>
      <c r="H10" s="90"/>
      <c r="I10" s="91"/>
      <c r="J10" s="37">
        <f>J9</f>
        <v>561391</v>
      </c>
    </row>
    <row r="11" spans="1:10" x14ac:dyDescent="0.2">
      <c r="A11" s="29">
        <v>45084</v>
      </c>
      <c r="B11" s="28" t="s">
        <v>76</v>
      </c>
      <c r="C11" s="18"/>
      <c r="D11" s="33">
        <f t="shared" si="0"/>
        <v>46382</v>
      </c>
      <c r="F11" s="44"/>
      <c r="G11" s="36"/>
      <c r="H11" s="35"/>
      <c r="I11" s="45"/>
      <c r="J11" s="35"/>
    </row>
    <row r="12" spans="1:10" x14ac:dyDescent="0.2">
      <c r="A12" s="29"/>
      <c r="B12" s="28" t="s">
        <v>36</v>
      </c>
      <c r="C12" s="18">
        <v>500</v>
      </c>
      <c r="D12" s="33">
        <f t="shared" si="0"/>
        <v>45882</v>
      </c>
    </row>
    <row r="13" spans="1:10" x14ac:dyDescent="0.2">
      <c r="A13" s="29">
        <v>45085</v>
      </c>
      <c r="B13" s="28" t="s">
        <v>38</v>
      </c>
      <c r="C13" s="18">
        <v>3991</v>
      </c>
      <c r="D13" s="33">
        <f t="shared" si="0"/>
        <v>41891</v>
      </c>
      <c r="H13" s="33"/>
      <c r="I13" s="42"/>
      <c r="J13" s="33"/>
    </row>
    <row r="14" spans="1:10" x14ac:dyDescent="0.2">
      <c r="A14" s="29">
        <v>45086</v>
      </c>
      <c r="B14" s="28" t="s">
        <v>36</v>
      </c>
      <c r="C14" s="18">
        <v>700</v>
      </c>
      <c r="D14" s="33">
        <f t="shared" si="0"/>
        <v>41191</v>
      </c>
      <c r="H14" s="33"/>
      <c r="I14" s="42"/>
      <c r="J14" s="33"/>
    </row>
    <row r="15" spans="1:10" x14ac:dyDescent="0.2">
      <c r="A15" s="29"/>
      <c r="B15" s="28" t="s">
        <v>65</v>
      </c>
      <c r="C15" s="18">
        <v>200</v>
      </c>
      <c r="D15" s="33">
        <f t="shared" si="0"/>
        <v>40991</v>
      </c>
      <c r="H15" s="33"/>
      <c r="I15" s="42"/>
      <c r="J15" s="33"/>
    </row>
    <row r="16" spans="1:10" x14ac:dyDescent="0.2">
      <c r="A16" s="29">
        <v>45087</v>
      </c>
      <c r="B16" s="28"/>
      <c r="C16" s="18"/>
      <c r="D16" s="33">
        <f t="shared" si="0"/>
        <v>40991</v>
      </c>
      <c r="H16" s="33"/>
      <c r="I16" s="42"/>
      <c r="J16" s="33"/>
    </row>
    <row r="17" spans="1:4" x14ac:dyDescent="0.2">
      <c r="A17" s="29">
        <v>45088</v>
      </c>
      <c r="B17" s="28"/>
      <c r="C17" s="18"/>
      <c r="D17" s="33">
        <f t="shared" si="0"/>
        <v>40991</v>
      </c>
    </row>
    <row r="18" spans="1:4" x14ac:dyDescent="0.2">
      <c r="A18" s="29">
        <v>45089</v>
      </c>
      <c r="B18" s="28" t="s">
        <v>38</v>
      </c>
      <c r="C18" s="18">
        <f>4197+130</f>
        <v>4327</v>
      </c>
      <c r="D18" s="33">
        <f t="shared" si="0"/>
        <v>36664</v>
      </c>
    </row>
    <row r="19" spans="1:4" x14ac:dyDescent="0.2">
      <c r="A19" s="29"/>
      <c r="B19" s="28" t="s">
        <v>79</v>
      </c>
      <c r="C19" s="18">
        <f>200*2+370*2</f>
        <v>1140</v>
      </c>
      <c r="D19" s="33">
        <f t="shared" si="0"/>
        <v>35524</v>
      </c>
    </row>
    <row r="20" spans="1:4" x14ac:dyDescent="0.2">
      <c r="A20" s="29">
        <v>45090</v>
      </c>
      <c r="B20" s="28" t="s">
        <v>36</v>
      </c>
      <c r="C20" s="18">
        <v>500</v>
      </c>
      <c r="D20" s="33">
        <f t="shared" si="0"/>
        <v>35024</v>
      </c>
    </row>
    <row r="21" spans="1:4" x14ac:dyDescent="0.2">
      <c r="A21" s="29"/>
      <c r="B21" s="28" t="s">
        <v>65</v>
      </c>
      <c r="C21" s="18">
        <v>300</v>
      </c>
      <c r="D21" s="33">
        <f t="shared" si="0"/>
        <v>34724</v>
      </c>
    </row>
    <row r="22" spans="1:4" x14ac:dyDescent="0.2">
      <c r="A22" s="29">
        <v>45091</v>
      </c>
      <c r="B22" s="28"/>
      <c r="C22" s="18"/>
      <c r="D22" s="33">
        <f t="shared" si="0"/>
        <v>34724</v>
      </c>
    </row>
    <row r="23" spans="1:4" x14ac:dyDescent="0.2">
      <c r="A23" s="29">
        <v>45092</v>
      </c>
      <c r="B23" s="28" t="s">
        <v>36</v>
      </c>
      <c r="C23" s="18">
        <v>636</v>
      </c>
      <c r="D23" s="33">
        <f t="shared" si="0"/>
        <v>34088</v>
      </c>
    </row>
    <row r="24" spans="1:4" x14ac:dyDescent="0.2">
      <c r="A24" s="29">
        <v>45093</v>
      </c>
      <c r="B24" s="28" t="s">
        <v>36</v>
      </c>
      <c r="C24" s="18">
        <f>160+500</f>
        <v>660</v>
      </c>
      <c r="D24" s="33">
        <f t="shared" si="0"/>
        <v>33428</v>
      </c>
    </row>
    <row r="25" spans="1:4" x14ac:dyDescent="0.2">
      <c r="A25" s="29"/>
      <c r="B25" s="28" t="s">
        <v>38</v>
      </c>
      <c r="C25" s="18">
        <v>1101</v>
      </c>
      <c r="D25" s="33">
        <f t="shared" si="0"/>
        <v>32327</v>
      </c>
    </row>
    <row r="26" spans="1:4" x14ac:dyDescent="0.2">
      <c r="A26" s="29"/>
      <c r="B26" s="28" t="s">
        <v>65</v>
      </c>
      <c r="C26" s="18">
        <v>200</v>
      </c>
      <c r="D26" s="33">
        <f t="shared" si="0"/>
        <v>32127</v>
      </c>
    </row>
    <row r="27" spans="1:4" x14ac:dyDescent="0.2">
      <c r="A27" s="29">
        <v>45094</v>
      </c>
      <c r="B27" s="28" t="s">
        <v>65</v>
      </c>
      <c r="C27" s="18">
        <v>200</v>
      </c>
      <c r="D27" s="33">
        <f t="shared" si="0"/>
        <v>31927</v>
      </c>
    </row>
    <row r="28" spans="1:4" x14ac:dyDescent="0.2">
      <c r="A28" s="29">
        <v>45095</v>
      </c>
      <c r="B28" s="28" t="s">
        <v>45</v>
      </c>
      <c r="C28" s="18">
        <f>990+4013</f>
        <v>5003</v>
      </c>
      <c r="D28" s="33">
        <f t="shared" si="0"/>
        <v>26924</v>
      </c>
    </row>
    <row r="29" spans="1:4" x14ac:dyDescent="0.2">
      <c r="A29" s="29">
        <v>45096</v>
      </c>
      <c r="B29" s="28"/>
      <c r="C29" s="18"/>
      <c r="D29" s="33">
        <f t="shared" si="0"/>
        <v>26924</v>
      </c>
    </row>
    <row r="30" spans="1:4" x14ac:dyDescent="0.2">
      <c r="A30" s="29">
        <v>45097</v>
      </c>
      <c r="B30" s="28" t="s">
        <v>80</v>
      </c>
      <c r="C30" s="18">
        <v>3950</v>
      </c>
      <c r="D30" s="33">
        <f t="shared" si="0"/>
        <v>22974</v>
      </c>
    </row>
    <row r="31" spans="1:4" x14ac:dyDescent="0.2">
      <c r="A31" s="29">
        <v>45098</v>
      </c>
      <c r="B31" s="28" t="s">
        <v>65</v>
      </c>
      <c r="C31" s="18">
        <v>400</v>
      </c>
      <c r="D31" s="33">
        <f t="shared" si="0"/>
        <v>22574</v>
      </c>
    </row>
    <row r="32" spans="1:4" x14ac:dyDescent="0.2">
      <c r="A32" s="29">
        <v>45099</v>
      </c>
      <c r="B32" s="28" t="s">
        <v>36</v>
      </c>
      <c r="C32" s="18">
        <v>637</v>
      </c>
      <c r="D32" s="33">
        <f t="shared" si="0"/>
        <v>21937</v>
      </c>
    </row>
    <row r="33" spans="1:4" x14ac:dyDescent="0.2">
      <c r="A33" s="29">
        <v>45100</v>
      </c>
      <c r="B33" s="28" t="s">
        <v>65</v>
      </c>
      <c r="C33" s="18">
        <v>100</v>
      </c>
      <c r="D33" s="33">
        <f t="shared" si="0"/>
        <v>21837</v>
      </c>
    </row>
    <row r="34" spans="1:4" x14ac:dyDescent="0.2">
      <c r="A34" s="29">
        <v>45101</v>
      </c>
      <c r="B34" s="28" t="s">
        <v>38</v>
      </c>
      <c r="C34" s="18">
        <f>3360+(3075-(3+276+199+89+199+282+129+169+398+139))</f>
        <v>4552</v>
      </c>
      <c r="D34" s="33">
        <f t="shared" si="0"/>
        <v>17285</v>
      </c>
    </row>
    <row r="35" spans="1:4" x14ac:dyDescent="0.2">
      <c r="A35" s="29"/>
      <c r="B35" s="28" t="s">
        <v>81</v>
      </c>
      <c r="C35" s="18">
        <v>127</v>
      </c>
      <c r="D35" s="33">
        <f t="shared" si="0"/>
        <v>17158</v>
      </c>
    </row>
    <row r="36" spans="1:4" x14ac:dyDescent="0.2">
      <c r="A36" s="29">
        <v>45102</v>
      </c>
      <c r="B36" s="28" t="s">
        <v>65</v>
      </c>
      <c r="C36" s="18">
        <v>300</v>
      </c>
      <c r="D36" s="33">
        <f t="shared" si="0"/>
        <v>16858</v>
      </c>
    </row>
    <row r="37" spans="1:4" x14ac:dyDescent="0.2">
      <c r="A37" s="29">
        <v>45103</v>
      </c>
      <c r="B37" s="28" t="s">
        <v>36</v>
      </c>
      <c r="C37" s="18">
        <v>440</v>
      </c>
      <c r="D37" s="33">
        <f t="shared" si="0"/>
        <v>16418</v>
      </c>
    </row>
    <row r="38" spans="1:4" x14ac:dyDescent="0.2">
      <c r="A38" s="29">
        <v>45104</v>
      </c>
      <c r="B38" s="28" t="s">
        <v>36</v>
      </c>
      <c r="C38" s="18">
        <v>459</v>
      </c>
      <c r="D38" s="33">
        <f t="shared" si="0"/>
        <v>15959</v>
      </c>
    </row>
    <row r="39" spans="1:4" x14ac:dyDescent="0.2">
      <c r="A39" s="29"/>
      <c r="B39" s="28" t="s">
        <v>82</v>
      </c>
      <c r="C39" s="18">
        <v>200</v>
      </c>
      <c r="D39" s="33">
        <f t="shared" si="0"/>
        <v>15759</v>
      </c>
    </row>
    <row r="40" spans="1:4" x14ac:dyDescent="0.2">
      <c r="A40" s="29">
        <v>45105</v>
      </c>
      <c r="B40" s="28" t="s">
        <v>28</v>
      </c>
      <c r="C40" s="18">
        <v>525</v>
      </c>
      <c r="D40" s="33">
        <f t="shared" si="0"/>
        <v>15234</v>
      </c>
    </row>
    <row r="41" spans="1:4" x14ac:dyDescent="0.2">
      <c r="A41" s="29">
        <v>45106</v>
      </c>
      <c r="B41" s="28" t="s">
        <v>36</v>
      </c>
      <c r="C41" s="18">
        <v>500</v>
      </c>
      <c r="D41" s="33">
        <f t="shared" si="0"/>
        <v>14734</v>
      </c>
    </row>
    <row r="42" spans="1:4" x14ac:dyDescent="0.2">
      <c r="A42" s="29"/>
      <c r="B42" s="21" t="s">
        <v>72</v>
      </c>
      <c r="C42" s="33">
        <v>2203</v>
      </c>
      <c r="D42" s="33">
        <f t="shared" si="0"/>
        <v>12531</v>
      </c>
    </row>
    <row r="43" spans="1:4" x14ac:dyDescent="0.2">
      <c r="A43" s="30"/>
      <c r="B43" s="28" t="s">
        <v>65</v>
      </c>
      <c r="C43" s="18">
        <v>300</v>
      </c>
      <c r="D43" s="33">
        <f t="shared" si="0"/>
        <v>12231</v>
      </c>
    </row>
    <row r="44" spans="1:4" x14ac:dyDescent="0.2">
      <c r="A44" s="29">
        <v>45107</v>
      </c>
      <c r="B44" s="28" t="s">
        <v>36</v>
      </c>
      <c r="C44" s="18">
        <v>500</v>
      </c>
      <c r="D44" s="33">
        <f t="shared" si="0"/>
        <v>11731</v>
      </c>
    </row>
    <row r="45" spans="1:4" x14ac:dyDescent="0.2">
      <c r="A45" s="95" t="s">
        <v>73</v>
      </c>
      <c r="B45" s="96"/>
      <c r="C45" s="37">
        <f>SUM(C4:C44)</f>
        <v>43269</v>
      </c>
      <c r="D45" s="37"/>
    </row>
    <row r="46" spans="1:4" x14ac:dyDescent="0.2">
      <c r="A46" s="94" t="s">
        <v>74</v>
      </c>
      <c r="B46" s="91"/>
      <c r="C46" s="37"/>
      <c r="D46" s="37">
        <f>D44</f>
        <v>11731</v>
      </c>
    </row>
  </sheetData>
  <mergeCells count="7">
    <mergeCell ref="A1:D1"/>
    <mergeCell ref="F3:I3"/>
    <mergeCell ref="A45:B45"/>
    <mergeCell ref="A46:B46"/>
    <mergeCell ref="A3:C3"/>
    <mergeCell ref="F1:J1"/>
    <mergeCell ref="F10:I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4"/>
  <sheetViews>
    <sheetView zoomScale="115" zoomScaleNormal="115" workbookViewId="0">
      <selection activeCell="K14" sqref="K14:K23"/>
    </sheetView>
  </sheetViews>
  <sheetFormatPr baseColWidth="10" defaultColWidth="8.83203125" defaultRowHeight="14" x14ac:dyDescent="0.2"/>
  <cols>
    <col min="1" max="1" width="12.83203125" style="23" customWidth="1"/>
    <col min="2" max="2" width="30.1640625" style="21" customWidth="1"/>
    <col min="3" max="4" width="17.33203125" style="21" customWidth="1"/>
    <col min="5" max="5" width="8.83203125" style="19" customWidth="1"/>
    <col min="6" max="6" width="4" style="23" customWidth="1"/>
    <col min="7" max="7" width="37.83203125" style="21" customWidth="1"/>
    <col min="8" max="10" width="17.33203125" style="21" customWidth="1"/>
    <col min="11" max="11" width="10" style="19" bestFit="1" customWidth="1"/>
    <col min="12" max="12" width="8.83203125" style="19" customWidth="1"/>
    <col min="13" max="16384" width="8.83203125" style="19"/>
  </cols>
  <sheetData>
    <row r="1" spans="1:10" x14ac:dyDescent="0.2">
      <c r="A1" s="89" t="s">
        <v>52</v>
      </c>
      <c r="B1" s="90"/>
      <c r="C1" s="90"/>
      <c r="D1" s="91"/>
      <c r="F1" s="89" t="s">
        <v>53</v>
      </c>
      <c r="G1" s="90"/>
      <c r="H1" s="90"/>
      <c r="I1" s="90"/>
      <c r="J1" s="91"/>
    </row>
    <row r="2" spans="1:10" x14ac:dyDescent="0.2">
      <c r="A2" s="23" t="s">
        <v>54</v>
      </c>
      <c r="B2" s="23" t="s">
        <v>55</v>
      </c>
      <c r="C2" s="23" t="s">
        <v>56</v>
      </c>
      <c r="D2" s="23" t="s">
        <v>57</v>
      </c>
      <c r="F2" s="23" t="s">
        <v>58</v>
      </c>
      <c r="G2" s="23" t="s">
        <v>55</v>
      </c>
      <c r="H2" s="23" t="s">
        <v>56</v>
      </c>
      <c r="I2" s="23" t="s">
        <v>59</v>
      </c>
      <c r="J2" s="23" t="s">
        <v>60</v>
      </c>
    </row>
    <row r="3" spans="1:10" x14ac:dyDescent="0.2">
      <c r="A3" s="92" t="s">
        <v>61</v>
      </c>
      <c r="B3" s="90"/>
      <c r="C3" s="91"/>
      <c r="D3" s="34">
        <v>55000</v>
      </c>
      <c r="F3" s="92" t="s">
        <v>62</v>
      </c>
      <c r="G3" s="90"/>
      <c r="H3" s="90"/>
      <c r="I3" s="91"/>
      <c r="J3" s="34">
        <f>'23-06'!J10</f>
        <v>561391</v>
      </c>
    </row>
    <row r="4" spans="1:10" x14ac:dyDescent="0.2">
      <c r="A4" s="24">
        <v>45108</v>
      </c>
      <c r="B4" s="25" t="s">
        <v>45</v>
      </c>
      <c r="C4" s="20">
        <f>245+1559</f>
        <v>1804</v>
      </c>
      <c r="D4" s="33">
        <f t="shared" ref="D4:D42" si="0">D3-C4</f>
        <v>53196</v>
      </c>
      <c r="F4" s="23">
        <v>1</v>
      </c>
      <c r="G4" s="21" t="s">
        <v>63</v>
      </c>
      <c r="H4" s="33">
        <f>42926+55</f>
        <v>42981</v>
      </c>
      <c r="I4" s="33"/>
      <c r="J4" s="33">
        <f>J3-H4+I4</f>
        <v>518410</v>
      </c>
    </row>
    <row r="5" spans="1:10" x14ac:dyDescent="0.2">
      <c r="A5" s="24"/>
      <c r="B5" s="26" t="s">
        <v>65</v>
      </c>
      <c r="C5" s="20">
        <v>200</v>
      </c>
      <c r="D5" s="33">
        <f t="shared" si="0"/>
        <v>52996</v>
      </c>
      <c r="F5" s="23">
        <v>3</v>
      </c>
      <c r="G5" s="21" t="s">
        <v>52</v>
      </c>
      <c r="H5" s="33">
        <v>55000</v>
      </c>
      <c r="I5" s="33"/>
      <c r="J5" s="33">
        <f>J4-H5+I5</f>
        <v>463410</v>
      </c>
    </row>
    <row r="6" spans="1:10" x14ac:dyDescent="0.2">
      <c r="A6" s="24">
        <v>45109</v>
      </c>
      <c r="B6" s="25" t="s">
        <v>83</v>
      </c>
      <c r="C6" s="20">
        <v>1000</v>
      </c>
      <c r="D6" s="33">
        <f t="shared" si="0"/>
        <v>51996</v>
      </c>
      <c r="F6" s="23">
        <v>4</v>
      </c>
      <c r="G6" s="21" t="s">
        <v>84</v>
      </c>
      <c r="H6" s="33">
        <v>2000</v>
      </c>
      <c r="I6" s="33"/>
      <c r="J6" s="33">
        <f>J5-H6+I6</f>
        <v>461410</v>
      </c>
    </row>
    <row r="7" spans="1:10" x14ac:dyDescent="0.2">
      <c r="A7" s="24">
        <v>45110</v>
      </c>
      <c r="B7" s="25" t="s">
        <v>36</v>
      </c>
      <c r="C7" s="20">
        <v>450</v>
      </c>
      <c r="D7" s="33">
        <f t="shared" si="0"/>
        <v>51546</v>
      </c>
      <c r="F7" s="94" t="s">
        <v>64</v>
      </c>
      <c r="G7" s="90"/>
      <c r="H7" s="90"/>
      <c r="I7" s="91"/>
      <c r="J7" s="37">
        <f>J6</f>
        <v>461410</v>
      </c>
    </row>
    <row r="8" spans="1:10" x14ac:dyDescent="0.2">
      <c r="A8" s="24">
        <v>45111</v>
      </c>
      <c r="B8" s="26" t="s">
        <v>45</v>
      </c>
      <c r="C8" s="20">
        <f>4351-500+150+162</f>
        <v>4163</v>
      </c>
      <c r="D8" s="33">
        <f t="shared" si="0"/>
        <v>47383</v>
      </c>
      <c r="F8" s="44"/>
      <c r="G8" s="36"/>
      <c r="H8" s="35"/>
      <c r="I8" s="45"/>
      <c r="J8" s="45"/>
    </row>
    <row r="9" spans="1:10" x14ac:dyDescent="0.2">
      <c r="A9" s="24">
        <v>45112</v>
      </c>
      <c r="B9" s="26" t="s">
        <v>85</v>
      </c>
      <c r="C9" s="20">
        <v>150</v>
      </c>
      <c r="D9" s="33">
        <f t="shared" si="0"/>
        <v>47233</v>
      </c>
    </row>
    <row r="10" spans="1:10" x14ac:dyDescent="0.2">
      <c r="A10" s="24">
        <v>45113</v>
      </c>
      <c r="B10" s="26" t="s">
        <v>36</v>
      </c>
      <c r="C10" s="20">
        <v>500</v>
      </c>
      <c r="D10" s="33">
        <f t="shared" si="0"/>
        <v>46733</v>
      </c>
      <c r="H10" s="33"/>
      <c r="I10" s="33"/>
      <c r="J10" s="33"/>
    </row>
    <row r="11" spans="1:10" x14ac:dyDescent="0.2">
      <c r="A11" s="24">
        <v>45114</v>
      </c>
      <c r="B11" s="26" t="s">
        <v>36</v>
      </c>
      <c r="C11" s="20">
        <v>500</v>
      </c>
      <c r="D11" s="33">
        <f t="shared" si="0"/>
        <v>46233</v>
      </c>
      <c r="H11" s="33"/>
      <c r="I11" s="33"/>
      <c r="J11" s="33"/>
    </row>
    <row r="12" spans="1:10" x14ac:dyDescent="0.2">
      <c r="A12" s="24"/>
      <c r="B12" s="26" t="s">
        <v>45</v>
      </c>
      <c r="C12" s="20">
        <f>2420+150+2201+220</f>
        <v>4991</v>
      </c>
      <c r="D12" s="33">
        <f t="shared" si="0"/>
        <v>41242</v>
      </c>
      <c r="H12" s="33"/>
      <c r="I12" s="33"/>
      <c r="J12" s="33"/>
    </row>
    <row r="13" spans="1:10" x14ac:dyDescent="0.2">
      <c r="A13" s="24"/>
      <c r="B13" s="26" t="s">
        <v>65</v>
      </c>
      <c r="C13" s="20">
        <v>300</v>
      </c>
      <c r="D13" s="33">
        <f t="shared" si="0"/>
        <v>40942</v>
      </c>
      <c r="H13" s="33"/>
      <c r="I13" s="33"/>
      <c r="J13" s="33"/>
    </row>
    <row r="14" spans="1:10" x14ac:dyDescent="0.2">
      <c r="A14" s="24">
        <v>45115</v>
      </c>
      <c r="B14" s="26"/>
      <c r="C14" s="20"/>
      <c r="D14" s="33">
        <f t="shared" si="0"/>
        <v>40942</v>
      </c>
      <c r="H14" s="33"/>
      <c r="I14" s="33"/>
      <c r="J14" s="33"/>
    </row>
    <row r="15" spans="1:10" x14ac:dyDescent="0.2">
      <c r="A15" s="24">
        <v>45116</v>
      </c>
      <c r="B15" s="26"/>
      <c r="C15" s="20"/>
      <c r="D15" s="33">
        <f t="shared" si="0"/>
        <v>40942</v>
      </c>
      <c r="H15" s="33"/>
      <c r="I15" s="33"/>
      <c r="J15" s="33"/>
    </row>
    <row r="16" spans="1:10" x14ac:dyDescent="0.2">
      <c r="A16" s="24">
        <v>45117</v>
      </c>
      <c r="B16" s="26" t="s">
        <v>65</v>
      </c>
      <c r="C16" s="20">
        <v>400</v>
      </c>
      <c r="D16" s="33">
        <f t="shared" si="0"/>
        <v>40542</v>
      </c>
      <c r="H16" s="33"/>
      <c r="I16" s="33"/>
      <c r="J16" s="33"/>
    </row>
    <row r="17" spans="1:4" x14ac:dyDescent="0.2">
      <c r="A17" s="24">
        <v>45118</v>
      </c>
      <c r="B17" s="26"/>
      <c r="C17" s="20"/>
      <c r="D17" s="33">
        <f t="shared" si="0"/>
        <v>40542</v>
      </c>
    </row>
    <row r="18" spans="1:4" x14ac:dyDescent="0.2">
      <c r="A18" s="24">
        <v>45119</v>
      </c>
      <c r="B18" s="26" t="s">
        <v>45</v>
      </c>
      <c r="C18" s="20">
        <f>706+1300+4595</f>
        <v>6601</v>
      </c>
      <c r="D18" s="33">
        <f t="shared" si="0"/>
        <v>33941</v>
      </c>
    </row>
    <row r="19" spans="1:4" x14ac:dyDescent="0.2">
      <c r="A19" s="24">
        <v>45120</v>
      </c>
      <c r="B19" s="26" t="s">
        <v>36</v>
      </c>
      <c r="C19" s="20">
        <v>640</v>
      </c>
      <c r="D19" s="33">
        <f t="shared" si="0"/>
        <v>33301</v>
      </c>
    </row>
    <row r="20" spans="1:4" x14ac:dyDescent="0.2">
      <c r="A20" s="24">
        <v>45121</v>
      </c>
      <c r="B20" s="26" t="s">
        <v>65</v>
      </c>
      <c r="C20" s="20">
        <v>300</v>
      </c>
      <c r="D20" s="33">
        <f t="shared" si="0"/>
        <v>33001</v>
      </c>
    </row>
    <row r="21" spans="1:4" x14ac:dyDescent="0.2">
      <c r="A21" s="24">
        <v>45122</v>
      </c>
      <c r="B21" s="26" t="s">
        <v>36</v>
      </c>
      <c r="C21" s="20">
        <v>670</v>
      </c>
      <c r="D21" s="33">
        <f t="shared" si="0"/>
        <v>32331</v>
      </c>
    </row>
    <row r="22" spans="1:4" x14ac:dyDescent="0.2">
      <c r="A22" s="24"/>
      <c r="B22" s="26"/>
      <c r="C22" s="20"/>
      <c r="D22" s="33">
        <f t="shared" si="0"/>
        <v>32331</v>
      </c>
    </row>
    <row r="23" spans="1:4" x14ac:dyDescent="0.2">
      <c r="A23" s="24">
        <v>45123</v>
      </c>
      <c r="B23" s="26"/>
      <c r="C23" s="20"/>
      <c r="D23" s="33">
        <f t="shared" si="0"/>
        <v>32331</v>
      </c>
    </row>
    <row r="24" spans="1:4" x14ac:dyDescent="0.2">
      <c r="A24" s="24">
        <v>45124</v>
      </c>
      <c r="B24" s="26"/>
      <c r="C24" s="20"/>
      <c r="D24" s="33">
        <f t="shared" si="0"/>
        <v>32331</v>
      </c>
    </row>
    <row r="25" spans="1:4" x14ac:dyDescent="0.2">
      <c r="A25" s="24">
        <v>45125</v>
      </c>
      <c r="B25" s="26" t="s">
        <v>45</v>
      </c>
      <c r="C25" s="20">
        <f>2347+2773</f>
        <v>5120</v>
      </c>
      <c r="D25" s="33">
        <f t="shared" si="0"/>
        <v>27211</v>
      </c>
    </row>
    <row r="26" spans="1:4" x14ac:dyDescent="0.2">
      <c r="A26" s="24">
        <v>45126</v>
      </c>
      <c r="B26" s="26"/>
      <c r="C26" s="20"/>
      <c r="D26" s="33">
        <f t="shared" si="0"/>
        <v>27211</v>
      </c>
    </row>
    <row r="27" spans="1:4" x14ac:dyDescent="0.2">
      <c r="A27" s="24">
        <v>45127</v>
      </c>
      <c r="B27" s="26" t="s">
        <v>36</v>
      </c>
      <c r="C27" s="20">
        <v>600</v>
      </c>
      <c r="D27" s="33">
        <f t="shared" si="0"/>
        <v>26611</v>
      </c>
    </row>
    <row r="28" spans="1:4" x14ac:dyDescent="0.2">
      <c r="A28" s="24">
        <v>45128</v>
      </c>
      <c r="B28" s="26" t="s">
        <v>36</v>
      </c>
      <c r="C28" s="20">
        <v>454</v>
      </c>
      <c r="D28" s="33">
        <f t="shared" si="0"/>
        <v>26157</v>
      </c>
    </row>
    <row r="29" spans="1:4" x14ac:dyDescent="0.2">
      <c r="A29" s="24"/>
      <c r="B29" s="26" t="s">
        <v>86</v>
      </c>
      <c r="C29" s="20">
        <v>100</v>
      </c>
      <c r="D29" s="33">
        <f t="shared" si="0"/>
        <v>26057</v>
      </c>
    </row>
    <row r="30" spans="1:4" x14ac:dyDescent="0.2">
      <c r="A30" s="24"/>
      <c r="B30" s="26" t="s">
        <v>87</v>
      </c>
      <c r="C30" s="20">
        <v>792</v>
      </c>
      <c r="D30" s="33">
        <f t="shared" si="0"/>
        <v>25265</v>
      </c>
    </row>
    <row r="31" spans="1:4" x14ac:dyDescent="0.2">
      <c r="A31" s="24">
        <v>45129</v>
      </c>
      <c r="B31" s="26" t="s">
        <v>45</v>
      </c>
      <c r="C31" s="20">
        <f>150+2752</f>
        <v>2902</v>
      </c>
      <c r="D31" s="33">
        <f t="shared" si="0"/>
        <v>22363</v>
      </c>
    </row>
    <row r="32" spans="1:4" x14ac:dyDescent="0.2">
      <c r="A32" s="24">
        <v>45130</v>
      </c>
      <c r="B32" s="26" t="s">
        <v>88</v>
      </c>
      <c r="C32" s="20">
        <v>853</v>
      </c>
      <c r="D32" s="33">
        <f t="shared" si="0"/>
        <v>21510</v>
      </c>
    </row>
    <row r="33" spans="1:7" x14ac:dyDescent="0.2">
      <c r="A33" s="24">
        <v>45131</v>
      </c>
      <c r="B33" s="26" t="s">
        <v>89</v>
      </c>
      <c r="C33" s="20">
        <v>1990</v>
      </c>
      <c r="D33" s="33">
        <f t="shared" si="0"/>
        <v>19520</v>
      </c>
    </row>
    <row r="34" spans="1:7" x14ac:dyDescent="0.2">
      <c r="A34" s="24">
        <v>45132</v>
      </c>
      <c r="B34" s="26"/>
      <c r="C34" s="20"/>
      <c r="D34" s="33">
        <f t="shared" si="0"/>
        <v>19520</v>
      </c>
    </row>
    <row r="35" spans="1:7" x14ac:dyDescent="0.2">
      <c r="A35" s="24">
        <v>45133</v>
      </c>
      <c r="B35" s="26" t="s">
        <v>90</v>
      </c>
      <c r="C35" s="20">
        <v>220</v>
      </c>
      <c r="D35" s="33">
        <f t="shared" si="0"/>
        <v>19300</v>
      </c>
      <c r="G35" s="74">
        <f>C43-C40-C35-C33-C32-C30-C29-C6</f>
        <v>41425</v>
      </c>
    </row>
    <row r="36" spans="1:7" x14ac:dyDescent="0.2">
      <c r="A36" s="24">
        <v>45134</v>
      </c>
      <c r="B36" s="26"/>
      <c r="C36" s="20"/>
      <c r="D36" s="33">
        <f t="shared" si="0"/>
        <v>19300</v>
      </c>
    </row>
    <row r="37" spans="1:7" x14ac:dyDescent="0.2">
      <c r="A37" s="24"/>
      <c r="B37" s="26" t="s">
        <v>65</v>
      </c>
      <c r="C37" s="20">
        <f>100+100+100+100</f>
        <v>400</v>
      </c>
      <c r="D37" s="33">
        <f t="shared" si="0"/>
        <v>18900</v>
      </c>
    </row>
    <row r="38" spans="1:7" x14ac:dyDescent="0.2">
      <c r="A38" s="24">
        <v>45135</v>
      </c>
      <c r="B38" s="26" t="s">
        <v>38</v>
      </c>
      <c r="C38" s="20">
        <f>88+192+7739</f>
        <v>8019</v>
      </c>
      <c r="D38" s="33">
        <f t="shared" si="0"/>
        <v>10881</v>
      </c>
    </row>
    <row r="39" spans="1:7" x14ac:dyDescent="0.2">
      <c r="A39" s="24">
        <v>45136</v>
      </c>
      <c r="B39" s="26"/>
      <c r="C39" s="20"/>
      <c r="D39" s="33">
        <f t="shared" si="0"/>
        <v>10881</v>
      </c>
    </row>
    <row r="40" spans="1:7" x14ac:dyDescent="0.2">
      <c r="A40" s="24">
        <v>45137</v>
      </c>
      <c r="B40" s="21" t="s">
        <v>72</v>
      </c>
      <c r="C40" s="33">
        <v>2313</v>
      </c>
      <c r="D40" s="33">
        <f t="shared" si="0"/>
        <v>8568</v>
      </c>
    </row>
    <row r="41" spans="1:7" x14ac:dyDescent="0.2">
      <c r="A41" s="24">
        <v>45138</v>
      </c>
      <c r="B41" s="26" t="s">
        <v>65</v>
      </c>
      <c r="C41" s="20">
        <v>300</v>
      </c>
      <c r="D41" s="33">
        <f t="shared" si="0"/>
        <v>8268</v>
      </c>
    </row>
    <row r="42" spans="1:7" x14ac:dyDescent="0.2">
      <c r="A42" s="24"/>
      <c r="B42" s="26" t="s">
        <v>80</v>
      </c>
      <c r="C42" s="20">
        <v>1961</v>
      </c>
      <c r="D42" s="33">
        <f t="shared" si="0"/>
        <v>6307</v>
      </c>
    </row>
    <row r="43" spans="1:7" x14ac:dyDescent="0.2">
      <c r="A43" s="95" t="s">
        <v>73</v>
      </c>
      <c r="B43" s="96"/>
      <c r="C43" s="37">
        <f>SUM(C4:C42)</f>
        <v>48693</v>
      </c>
      <c r="D43" s="37"/>
    </row>
    <row r="44" spans="1:7" x14ac:dyDescent="0.2">
      <c r="A44" s="94" t="s">
        <v>74</v>
      </c>
      <c r="B44" s="91"/>
      <c r="C44" s="37"/>
      <c r="D44" s="37">
        <f>D42</f>
        <v>6307</v>
      </c>
    </row>
  </sheetData>
  <mergeCells count="7">
    <mergeCell ref="A1:D1"/>
    <mergeCell ref="F7:I7"/>
    <mergeCell ref="A43:B43"/>
    <mergeCell ref="F3:I3"/>
    <mergeCell ref="A44:B44"/>
    <mergeCell ref="A3:C3"/>
    <mergeCell ref="F1:J1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115" zoomScaleNormal="115" workbookViewId="0">
      <selection activeCell="G35" sqref="G35"/>
    </sheetView>
  </sheetViews>
  <sheetFormatPr baseColWidth="10" defaultColWidth="8.83203125" defaultRowHeight="14" x14ac:dyDescent="0.2"/>
  <cols>
    <col min="1" max="1" width="12.83203125" style="23" customWidth="1"/>
    <col min="2" max="2" width="30.1640625" style="21" customWidth="1"/>
    <col min="3" max="4" width="17.33203125" style="21" customWidth="1"/>
    <col min="5" max="5" width="8.83203125" style="19" customWidth="1"/>
    <col min="6" max="6" width="4" style="23" customWidth="1"/>
    <col min="7" max="7" width="37.83203125" style="21" customWidth="1"/>
    <col min="8" max="10" width="17.33203125" style="21" customWidth="1"/>
    <col min="11" max="11" width="8.83203125" style="19" customWidth="1"/>
    <col min="12" max="16384" width="8.83203125" style="19"/>
  </cols>
  <sheetData>
    <row r="1" spans="1:10" x14ac:dyDescent="0.2">
      <c r="A1" s="89" t="s">
        <v>52</v>
      </c>
      <c r="B1" s="90"/>
      <c r="C1" s="90"/>
      <c r="D1" s="91"/>
      <c r="F1" s="89" t="s">
        <v>53</v>
      </c>
      <c r="G1" s="90"/>
      <c r="H1" s="90"/>
      <c r="I1" s="90"/>
      <c r="J1" s="91"/>
    </row>
    <row r="2" spans="1:10" x14ac:dyDescent="0.2">
      <c r="A2" s="23" t="s">
        <v>54</v>
      </c>
      <c r="B2" s="23" t="s">
        <v>55</v>
      </c>
      <c r="C2" s="23" t="s">
        <v>56</v>
      </c>
      <c r="D2" s="23" t="s">
        <v>57</v>
      </c>
      <c r="F2" s="23" t="s">
        <v>58</v>
      </c>
      <c r="G2" s="23" t="s">
        <v>55</v>
      </c>
      <c r="H2" s="23" t="s">
        <v>56</v>
      </c>
      <c r="I2" s="23" t="s">
        <v>59</v>
      </c>
      <c r="J2" s="23" t="s">
        <v>60</v>
      </c>
    </row>
    <row r="3" spans="1:10" x14ac:dyDescent="0.2">
      <c r="A3" s="92" t="s">
        <v>61</v>
      </c>
      <c r="B3" s="90"/>
      <c r="C3" s="91"/>
      <c r="D3" s="34">
        <v>55000</v>
      </c>
      <c r="F3" s="92" t="s">
        <v>62</v>
      </c>
      <c r="G3" s="90"/>
      <c r="H3" s="90"/>
      <c r="I3" s="91"/>
      <c r="J3" s="34">
        <f>'23-07'!J7</f>
        <v>461410</v>
      </c>
    </row>
    <row r="4" spans="1:10" x14ac:dyDescent="0.2">
      <c r="A4" s="24">
        <v>45139</v>
      </c>
      <c r="B4" s="32"/>
      <c r="C4" s="33"/>
      <c r="D4" s="33">
        <f t="shared" ref="D4:D35" si="0">D3-C4</f>
        <v>55000</v>
      </c>
      <c r="F4" s="23">
        <v>1</v>
      </c>
      <c r="G4" s="21" t="s">
        <v>91</v>
      </c>
      <c r="H4" s="55">
        <v>55000</v>
      </c>
      <c r="I4" s="33"/>
      <c r="J4" s="33">
        <f>J3-H4+I4</f>
        <v>406410</v>
      </c>
    </row>
    <row r="5" spans="1:10" x14ac:dyDescent="0.2">
      <c r="A5" s="24">
        <v>45140</v>
      </c>
      <c r="B5" s="32"/>
      <c r="C5" s="33"/>
      <c r="D5" s="33">
        <f t="shared" si="0"/>
        <v>55000</v>
      </c>
      <c r="F5" s="23">
        <v>2</v>
      </c>
      <c r="G5" s="21" t="s">
        <v>92</v>
      </c>
      <c r="H5" s="56">
        <f>45374+55</f>
        <v>45429</v>
      </c>
      <c r="I5" s="33"/>
      <c r="J5" s="33">
        <f>J4-H5+I5</f>
        <v>360981</v>
      </c>
    </row>
    <row r="6" spans="1:10" x14ac:dyDescent="0.2">
      <c r="A6" s="24">
        <v>45141</v>
      </c>
      <c r="B6" s="22" t="s">
        <v>45</v>
      </c>
      <c r="C6" s="33">
        <f>3291+390+240</f>
        <v>3921</v>
      </c>
      <c r="D6" s="33">
        <f t="shared" si="0"/>
        <v>51079</v>
      </c>
      <c r="F6" s="23">
        <v>3</v>
      </c>
      <c r="H6" s="33"/>
      <c r="I6" s="33"/>
      <c r="J6" s="33">
        <f>J5-H6+I6</f>
        <v>360981</v>
      </c>
    </row>
    <row r="7" spans="1:10" x14ac:dyDescent="0.2">
      <c r="A7" s="24">
        <v>45142</v>
      </c>
      <c r="B7" s="22"/>
      <c r="C7" s="33"/>
      <c r="D7" s="33">
        <f t="shared" si="0"/>
        <v>51079</v>
      </c>
      <c r="F7" s="94" t="s">
        <v>4</v>
      </c>
      <c r="G7" s="90"/>
      <c r="H7" s="90"/>
      <c r="I7" s="91"/>
      <c r="J7" s="37">
        <f>J6-H7+I7</f>
        <v>360981</v>
      </c>
    </row>
    <row r="8" spans="1:10" x14ac:dyDescent="0.2">
      <c r="A8" s="24">
        <v>45143</v>
      </c>
      <c r="B8" s="22"/>
      <c r="C8" s="33"/>
      <c r="D8" s="33">
        <f t="shared" si="0"/>
        <v>51079</v>
      </c>
      <c r="F8" s="49">
        <v>5</v>
      </c>
      <c r="G8" s="50"/>
      <c r="H8" s="51"/>
      <c r="I8" s="51"/>
      <c r="J8" s="52">
        <f>J7-H8+I8</f>
        <v>360981</v>
      </c>
    </row>
    <row r="9" spans="1:10" x14ac:dyDescent="0.2">
      <c r="A9" s="24">
        <v>45144</v>
      </c>
      <c r="B9" s="22"/>
      <c r="C9" s="33"/>
      <c r="D9" s="33">
        <f t="shared" si="0"/>
        <v>51079</v>
      </c>
      <c r="H9" s="33"/>
      <c r="I9" s="33"/>
      <c r="J9" s="33"/>
    </row>
    <row r="10" spans="1:10" x14ac:dyDescent="0.2">
      <c r="A10" s="24">
        <v>45145</v>
      </c>
      <c r="B10" s="22" t="s">
        <v>93</v>
      </c>
      <c r="C10" s="33">
        <v>1527</v>
      </c>
      <c r="D10" s="33">
        <f t="shared" si="0"/>
        <v>49552</v>
      </c>
      <c r="H10" s="33"/>
      <c r="I10" s="33"/>
      <c r="J10" s="33"/>
    </row>
    <row r="11" spans="1:10" x14ac:dyDescent="0.2">
      <c r="A11" s="24"/>
      <c r="B11" s="22" t="s">
        <v>45</v>
      </c>
      <c r="C11" s="33">
        <f>440+2929+840</f>
        <v>4209</v>
      </c>
      <c r="D11" s="33">
        <f t="shared" si="0"/>
        <v>45343</v>
      </c>
      <c r="H11" s="33"/>
      <c r="I11" s="33"/>
      <c r="J11" s="33"/>
    </row>
    <row r="12" spans="1:10" x14ac:dyDescent="0.2">
      <c r="A12" s="24">
        <v>45146</v>
      </c>
      <c r="B12" s="22"/>
      <c r="C12" s="33"/>
      <c r="D12" s="33">
        <f t="shared" si="0"/>
        <v>45343</v>
      </c>
      <c r="H12" s="33"/>
      <c r="I12" s="33"/>
      <c r="J12" s="33"/>
    </row>
    <row r="13" spans="1:10" x14ac:dyDescent="0.2">
      <c r="A13" s="24">
        <v>45147</v>
      </c>
      <c r="B13" s="22" t="s">
        <v>65</v>
      </c>
      <c r="C13" s="33">
        <v>300</v>
      </c>
      <c r="D13" s="33">
        <f t="shared" si="0"/>
        <v>45043</v>
      </c>
      <c r="H13" s="33"/>
      <c r="I13" s="33"/>
      <c r="J13" s="33"/>
    </row>
    <row r="14" spans="1:10" x14ac:dyDescent="0.2">
      <c r="A14" s="24">
        <v>45148</v>
      </c>
      <c r="B14" s="22"/>
      <c r="C14" s="33"/>
      <c r="D14" s="33">
        <f t="shared" si="0"/>
        <v>45043</v>
      </c>
      <c r="H14" s="33"/>
      <c r="I14" s="33"/>
      <c r="J14" s="33"/>
    </row>
    <row r="15" spans="1:10" x14ac:dyDescent="0.2">
      <c r="A15" s="24">
        <v>45149</v>
      </c>
      <c r="B15" s="22" t="s">
        <v>65</v>
      </c>
      <c r="C15" s="33">
        <v>300</v>
      </c>
      <c r="D15" s="33">
        <f t="shared" si="0"/>
        <v>44743</v>
      </c>
      <c r="H15" s="33"/>
      <c r="I15" s="33"/>
      <c r="J15" s="33"/>
    </row>
    <row r="16" spans="1:10" x14ac:dyDescent="0.2">
      <c r="A16" s="24">
        <v>45150</v>
      </c>
      <c r="B16" s="22" t="s">
        <v>45</v>
      </c>
      <c r="C16" s="33">
        <v>3740</v>
      </c>
      <c r="D16" s="33">
        <f t="shared" si="0"/>
        <v>41003</v>
      </c>
      <c r="H16" s="33"/>
      <c r="I16" s="33"/>
      <c r="J16" s="33"/>
    </row>
    <row r="17" spans="1:4" x14ac:dyDescent="0.2">
      <c r="A17" s="24">
        <v>45151</v>
      </c>
      <c r="B17" s="22"/>
      <c r="C17" s="33"/>
      <c r="D17" s="33">
        <f t="shared" si="0"/>
        <v>41003</v>
      </c>
    </row>
    <row r="18" spans="1:4" x14ac:dyDescent="0.2">
      <c r="A18" s="24">
        <v>45152</v>
      </c>
      <c r="B18" s="22"/>
      <c r="C18" s="33"/>
      <c r="D18" s="33">
        <f t="shared" si="0"/>
        <v>41003</v>
      </c>
    </row>
    <row r="19" spans="1:4" x14ac:dyDescent="0.2">
      <c r="A19" s="24">
        <v>45153</v>
      </c>
      <c r="B19" s="22"/>
      <c r="C19" s="33"/>
      <c r="D19" s="33">
        <f t="shared" si="0"/>
        <v>41003</v>
      </c>
    </row>
    <row r="20" spans="1:4" x14ac:dyDescent="0.2">
      <c r="A20" s="24">
        <v>45154</v>
      </c>
      <c r="B20" s="22" t="s">
        <v>38</v>
      </c>
      <c r="C20" s="33">
        <f>4522+500+130+240+510+110</f>
        <v>6012</v>
      </c>
      <c r="D20" s="33">
        <f t="shared" si="0"/>
        <v>34991</v>
      </c>
    </row>
    <row r="21" spans="1:4" x14ac:dyDescent="0.2">
      <c r="A21" s="24">
        <v>45155</v>
      </c>
      <c r="B21" s="22"/>
      <c r="C21" s="33"/>
      <c r="D21" s="33">
        <f t="shared" si="0"/>
        <v>34991</v>
      </c>
    </row>
    <row r="22" spans="1:4" x14ac:dyDescent="0.2">
      <c r="A22" s="24">
        <v>45156</v>
      </c>
      <c r="C22" s="33"/>
      <c r="D22" s="33">
        <f t="shared" si="0"/>
        <v>34991</v>
      </c>
    </row>
    <row r="23" spans="1:4" x14ac:dyDescent="0.2">
      <c r="A23" s="24">
        <v>45157</v>
      </c>
      <c r="B23" s="22" t="s">
        <v>65</v>
      </c>
      <c r="C23" s="33">
        <v>300</v>
      </c>
      <c r="D23" s="33">
        <f t="shared" si="0"/>
        <v>34691</v>
      </c>
    </row>
    <row r="24" spans="1:4" x14ac:dyDescent="0.2">
      <c r="A24" s="24">
        <v>45158</v>
      </c>
      <c r="B24" s="22" t="s">
        <v>45</v>
      </c>
      <c r="C24" s="33">
        <f>3986+3736+130</f>
        <v>7852</v>
      </c>
      <c r="D24" s="33">
        <f t="shared" si="0"/>
        <v>26839</v>
      </c>
    </row>
    <row r="25" spans="1:4" x14ac:dyDescent="0.2">
      <c r="A25" s="24">
        <v>45159</v>
      </c>
      <c r="D25" s="33">
        <f t="shared" si="0"/>
        <v>26839</v>
      </c>
    </row>
    <row r="26" spans="1:4" x14ac:dyDescent="0.2">
      <c r="A26" s="24">
        <v>45160</v>
      </c>
      <c r="D26" s="33">
        <f t="shared" si="0"/>
        <v>26839</v>
      </c>
    </row>
    <row r="27" spans="1:4" x14ac:dyDescent="0.2">
      <c r="A27" s="24">
        <v>45161</v>
      </c>
      <c r="B27" s="22" t="s">
        <v>65</v>
      </c>
      <c r="C27" s="33">
        <v>300</v>
      </c>
      <c r="D27" s="33">
        <f t="shared" si="0"/>
        <v>26539</v>
      </c>
    </row>
    <row r="28" spans="1:4" x14ac:dyDescent="0.2">
      <c r="A28" s="24">
        <v>45162</v>
      </c>
      <c r="B28" s="22"/>
      <c r="C28" s="33"/>
      <c r="D28" s="33">
        <f t="shared" si="0"/>
        <v>26539</v>
      </c>
    </row>
    <row r="29" spans="1:4" x14ac:dyDescent="0.2">
      <c r="A29" s="24">
        <v>45163</v>
      </c>
      <c r="B29" s="22" t="s">
        <v>38</v>
      </c>
      <c r="C29" s="33">
        <v>4140</v>
      </c>
      <c r="D29" s="33">
        <f t="shared" si="0"/>
        <v>22399</v>
      </c>
    </row>
    <row r="30" spans="1:4" x14ac:dyDescent="0.2">
      <c r="A30" s="24">
        <v>45164</v>
      </c>
      <c r="B30" s="22" t="s">
        <v>65</v>
      </c>
      <c r="C30" s="33">
        <v>300</v>
      </c>
      <c r="D30" s="33">
        <f t="shared" si="0"/>
        <v>22099</v>
      </c>
    </row>
    <row r="31" spans="1:4" x14ac:dyDescent="0.2">
      <c r="A31" s="24">
        <v>45165</v>
      </c>
      <c r="B31" s="22"/>
      <c r="C31" s="33"/>
      <c r="D31" s="33">
        <f t="shared" si="0"/>
        <v>22099</v>
      </c>
    </row>
    <row r="32" spans="1:4" x14ac:dyDescent="0.2">
      <c r="A32" s="24">
        <v>45166</v>
      </c>
      <c r="B32" s="22"/>
      <c r="C32" s="33"/>
      <c r="D32" s="33">
        <f t="shared" si="0"/>
        <v>22099</v>
      </c>
    </row>
    <row r="33" spans="1:7" x14ac:dyDescent="0.2">
      <c r="A33" s="24">
        <v>45167</v>
      </c>
      <c r="B33" s="22" t="s">
        <v>65</v>
      </c>
      <c r="C33" s="33">
        <v>300</v>
      </c>
      <c r="D33" s="33">
        <f t="shared" si="0"/>
        <v>21799</v>
      </c>
    </row>
    <row r="34" spans="1:7" x14ac:dyDescent="0.2">
      <c r="A34" s="24">
        <v>45168</v>
      </c>
      <c r="B34" s="22" t="s">
        <v>94</v>
      </c>
      <c r="C34" s="33">
        <v>2203</v>
      </c>
      <c r="D34" s="33">
        <f t="shared" si="0"/>
        <v>19596</v>
      </c>
      <c r="G34" s="74">
        <f>C36-C34-C10</f>
        <v>37546</v>
      </c>
    </row>
    <row r="35" spans="1:7" x14ac:dyDescent="0.2">
      <c r="A35" s="24">
        <v>45169</v>
      </c>
      <c r="B35" s="22" t="s">
        <v>38</v>
      </c>
      <c r="C35" s="33">
        <f>2910+2962</f>
        <v>5872</v>
      </c>
      <c r="D35" s="33">
        <f t="shared" si="0"/>
        <v>13724</v>
      </c>
    </row>
    <row r="36" spans="1:7" x14ac:dyDescent="0.2">
      <c r="A36" s="47"/>
      <c r="B36" s="48" t="s">
        <v>95</v>
      </c>
      <c r="C36" s="34">
        <f>SUM(C4:C35)</f>
        <v>41276</v>
      </c>
      <c r="D36" s="34"/>
    </row>
    <row r="37" spans="1:7" x14ac:dyDescent="0.2">
      <c r="A37" s="47"/>
      <c r="B37" s="48" t="s">
        <v>4</v>
      </c>
      <c r="C37" s="34"/>
      <c r="D37" s="34">
        <f>D35</f>
        <v>13724</v>
      </c>
    </row>
  </sheetData>
  <mergeCells count="5">
    <mergeCell ref="A1:D1"/>
    <mergeCell ref="F7:I7"/>
    <mergeCell ref="F3:I3"/>
    <mergeCell ref="A3:C3"/>
    <mergeCell ref="F1:J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8"/>
  <sheetViews>
    <sheetView zoomScale="115" zoomScaleNormal="115" workbookViewId="0">
      <selection activeCell="G25" sqref="G25"/>
    </sheetView>
  </sheetViews>
  <sheetFormatPr baseColWidth="10" defaultColWidth="8.83203125" defaultRowHeight="14" x14ac:dyDescent="0.2"/>
  <cols>
    <col min="1" max="1" width="12.83203125" style="23" customWidth="1"/>
    <col min="2" max="2" width="30.1640625" style="21" customWidth="1"/>
    <col min="3" max="4" width="17.33203125" style="21" customWidth="1"/>
    <col min="5" max="5" width="8.83203125" style="19" customWidth="1"/>
    <col min="6" max="6" width="4" style="23" customWidth="1"/>
    <col min="7" max="7" width="37.83203125" style="21" customWidth="1"/>
    <col min="8" max="8" width="17.33203125" style="21" customWidth="1"/>
    <col min="9" max="9" width="17.33203125" style="54" customWidth="1"/>
    <col min="10" max="10" width="17.33203125" style="21" customWidth="1"/>
    <col min="11" max="11" width="8.83203125" style="19" customWidth="1"/>
    <col min="12" max="12" width="13.1640625" style="19" bestFit="1" customWidth="1"/>
    <col min="13" max="13" width="8.83203125" style="19" customWidth="1"/>
    <col min="14" max="16384" width="8.83203125" style="19"/>
  </cols>
  <sheetData>
    <row r="1" spans="1:10" x14ac:dyDescent="0.2">
      <c r="A1" s="89" t="s">
        <v>52</v>
      </c>
      <c r="B1" s="90"/>
      <c r="C1" s="90"/>
      <c r="D1" s="91"/>
      <c r="F1" s="89" t="s">
        <v>53</v>
      </c>
      <c r="G1" s="90"/>
      <c r="H1" s="90"/>
      <c r="I1" s="90"/>
      <c r="J1" s="91"/>
    </row>
    <row r="2" spans="1:10" x14ac:dyDescent="0.2">
      <c r="A2" s="23" t="s">
        <v>54</v>
      </c>
      <c r="B2" s="23" t="s">
        <v>55</v>
      </c>
      <c r="C2" s="23" t="s">
        <v>56</v>
      </c>
      <c r="D2" s="23" t="s">
        <v>57</v>
      </c>
      <c r="F2" s="23" t="s">
        <v>58</v>
      </c>
      <c r="G2" s="23" t="s">
        <v>55</v>
      </c>
      <c r="H2" s="23" t="s">
        <v>56</v>
      </c>
      <c r="I2" s="23" t="s">
        <v>59</v>
      </c>
      <c r="J2" s="23" t="s">
        <v>60</v>
      </c>
    </row>
    <row r="3" spans="1:10" x14ac:dyDescent="0.2">
      <c r="A3" s="92" t="s">
        <v>61</v>
      </c>
      <c r="B3" s="90"/>
      <c r="C3" s="91"/>
      <c r="D3" s="34">
        <v>55000</v>
      </c>
      <c r="F3" s="97" t="s">
        <v>62</v>
      </c>
      <c r="G3" s="90"/>
      <c r="H3" s="90"/>
      <c r="I3" s="91"/>
      <c r="J3" s="34">
        <f>'23-08'!J7</f>
        <v>360981</v>
      </c>
    </row>
    <row r="4" spans="1:10" x14ac:dyDescent="0.2">
      <c r="A4" s="24">
        <v>45170</v>
      </c>
      <c r="B4" s="32" t="s">
        <v>45</v>
      </c>
      <c r="C4" s="33">
        <v>3228</v>
      </c>
      <c r="D4" s="33">
        <f t="shared" ref="D4:D37" si="0">D3-C4</f>
        <v>51772</v>
      </c>
      <c r="F4" s="23">
        <v>1</v>
      </c>
      <c r="G4" s="22" t="s">
        <v>96</v>
      </c>
      <c r="H4" s="33">
        <v>10000</v>
      </c>
      <c r="I4" s="53"/>
      <c r="J4" s="33">
        <f t="shared" ref="J4:J12" si="1">J3-H4+I4</f>
        <v>350981</v>
      </c>
    </row>
    <row r="5" spans="1:10" x14ac:dyDescent="0.2">
      <c r="A5" s="24">
        <v>45171</v>
      </c>
      <c r="B5" s="22" t="s">
        <v>65</v>
      </c>
      <c r="C5" s="33">
        <v>300</v>
      </c>
      <c r="D5" s="33">
        <f t="shared" si="0"/>
        <v>51472</v>
      </c>
      <c r="F5" s="23">
        <v>2</v>
      </c>
      <c r="G5" s="21" t="s">
        <v>97</v>
      </c>
      <c r="H5" s="33"/>
      <c r="I5" s="53">
        <v>800000</v>
      </c>
      <c r="J5" s="33">
        <f t="shared" si="1"/>
        <v>1150981</v>
      </c>
    </row>
    <row r="6" spans="1:10" x14ac:dyDescent="0.2">
      <c r="A6" s="24">
        <v>45172</v>
      </c>
      <c r="B6" s="22"/>
      <c r="C6" s="33"/>
      <c r="D6" s="33">
        <f t="shared" si="0"/>
        <v>51472</v>
      </c>
      <c r="F6" s="23">
        <v>3</v>
      </c>
      <c r="G6" s="21" t="s">
        <v>98</v>
      </c>
      <c r="H6" s="33">
        <v>220</v>
      </c>
      <c r="I6" s="53"/>
      <c r="J6" s="33">
        <f t="shared" si="1"/>
        <v>1150761</v>
      </c>
    </row>
    <row r="7" spans="1:10" x14ac:dyDescent="0.2">
      <c r="A7" s="24">
        <v>45173</v>
      </c>
      <c r="C7" s="33"/>
      <c r="D7" s="33">
        <f t="shared" si="0"/>
        <v>51472</v>
      </c>
      <c r="F7" s="23">
        <v>4</v>
      </c>
      <c r="G7" s="21" t="s">
        <v>99</v>
      </c>
      <c r="H7" s="33">
        <v>6000</v>
      </c>
      <c r="I7" s="53"/>
      <c r="J7" s="33">
        <f t="shared" si="1"/>
        <v>1144761</v>
      </c>
    </row>
    <row r="8" spans="1:10" x14ac:dyDescent="0.2">
      <c r="A8" s="24">
        <v>45174</v>
      </c>
      <c r="B8" s="21" t="s">
        <v>38</v>
      </c>
      <c r="C8" s="33">
        <f>1952+140+130+2175</f>
        <v>4397</v>
      </c>
      <c r="D8" s="33">
        <f t="shared" si="0"/>
        <v>47075</v>
      </c>
      <c r="F8" s="23">
        <v>5</v>
      </c>
      <c r="G8" s="21" t="s">
        <v>84</v>
      </c>
      <c r="H8" s="33">
        <v>2000</v>
      </c>
      <c r="I8" s="53"/>
      <c r="J8" s="33">
        <f t="shared" si="1"/>
        <v>1142761</v>
      </c>
    </row>
    <row r="9" spans="1:10" x14ac:dyDescent="0.2">
      <c r="A9" s="24">
        <v>45175</v>
      </c>
      <c r="B9" s="22" t="s">
        <v>65</v>
      </c>
      <c r="C9" s="33">
        <v>300</v>
      </c>
      <c r="D9" s="33">
        <f t="shared" si="0"/>
        <v>46775</v>
      </c>
      <c r="F9" s="23">
        <v>6</v>
      </c>
      <c r="G9" s="21" t="s">
        <v>100</v>
      </c>
      <c r="H9" s="33">
        <v>55000</v>
      </c>
      <c r="I9" s="53"/>
      <c r="J9" s="33">
        <f t="shared" si="1"/>
        <v>1087761</v>
      </c>
    </row>
    <row r="10" spans="1:10" x14ac:dyDescent="0.2">
      <c r="A10" s="24">
        <v>45176</v>
      </c>
      <c r="B10" s="22" t="s">
        <v>38</v>
      </c>
      <c r="C10" s="33">
        <v>2201</v>
      </c>
      <c r="D10" s="33">
        <f t="shared" si="0"/>
        <v>44574</v>
      </c>
      <c r="F10" s="23">
        <v>7</v>
      </c>
      <c r="G10" s="21" t="s">
        <v>46</v>
      </c>
      <c r="H10" s="33">
        <v>47878</v>
      </c>
      <c r="J10" s="33">
        <f t="shared" si="1"/>
        <v>1039883</v>
      </c>
    </row>
    <row r="11" spans="1:10" x14ac:dyDescent="0.2">
      <c r="A11" s="24">
        <v>45177</v>
      </c>
      <c r="D11" s="33">
        <f t="shared" si="0"/>
        <v>44574</v>
      </c>
      <c r="J11" s="33">
        <f t="shared" si="1"/>
        <v>1039883</v>
      </c>
    </row>
    <row r="12" spans="1:10" x14ac:dyDescent="0.2">
      <c r="A12" s="24">
        <v>45178</v>
      </c>
      <c r="B12" s="22"/>
      <c r="C12" s="33"/>
      <c r="D12" s="33">
        <f t="shared" si="0"/>
        <v>44574</v>
      </c>
      <c r="F12" s="94" t="s">
        <v>4</v>
      </c>
      <c r="G12" s="90"/>
      <c r="H12" s="90"/>
      <c r="I12" s="91"/>
      <c r="J12" s="37">
        <f t="shared" si="1"/>
        <v>1039883</v>
      </c>
    </row>
    <row r="13" spans="1:10" x14ac:dyDescent="0.2">
      <c r="A13" s="24">
        <v>45179</v>
      </c>
      <c r="B13" s="22"/>
      <c r="C13" s="33"/>
      <c r="D13" s="33">
        <f t="shared" si="0"/>
        <v>44574</v>
      </c>
      <c r="F13" s="44"/>
      <c r="G13" s="36"/>
      <c r="H13" s="35"/>
      <c r="I13" s="58"/>
      <c r="J13" s="35"/>
    </row>
    <row r="14" spans="1:10" x14ac:dyDescent="0.2">
      <c r="A14" s="24">
        <v>45180</v>
      </c>
      <c r="B14" s="22" t="s">
        <v>65</v>
      </c>
      <c r="C14" s="33">
        <v>300</v>
      </c>
      <c r="D14" s="33">
        <f t="shared" si="0"/>
        <v>44274</v>
      </c>
      <c r="H14" s="33"/>
      <c r="I14" s="53"/>
      <c r="J14" s="33"/>
    </row>
    <row r="15" spans="1:10" x14ac:dyDescent="0.2">
      <c r="A15" s="24"/>
      <c r="B15" s="22" t="s">
        <v>38</v>
      </c>
      <c r="C15" s="33">
        <f>1122+150+150+150+108</f>
        <v>1680</v>
      </c>
      <c r="D15" s="33">
        <f t="shared" si="0"/>
        <v>42594</v>
      </c>
      <c r="H15" s="33"/>
      <c r="I15" s="53"/>
      <c r="J15" s="33"/>
    </row>
    <row r="16" spans="1:10" x14ac:dyDescent="0.2">
      <c r="A16" s="24">
        <v>45181</v>
      </c>
      <c r="B16" s="22"/>
      <c r="C16" s="33"/>
      <c r="D16" s="33">
        <f t="shared" si="0"/>
        <v>42594</v>
      </c>
      <c r="H16" s="33"/>
      <c r="I16" s="53"/>
      <c r="J16" s="33"/>
    </row>
    <row r="17" spans="1:7" x14ac:dyDescent="0.2">
      <c r="A17" s="24">
        <v>45182</v>
      </c>
      <c r="B17" s="22" t="s">
        <v>45</v>
      </c>
      <c r="C17" s="33">
        <f>110+878</f>
        <v>988</v>
      </c>
      <c r="D17" s="33">
        <f t="shared" si="0"/>
        <v>41606</v>
      </c>
    </row>
    <row r="18" spans="1:7" x14ac:dyDescent="0.2">
      <c r="A18" s="24">
        <v>45183</v>
      </c>
      <c r="B18" s="22" t="s">
        <v>38</v>
      </c>
      <c r="C18" s="33">
        <v>3206</v>
      </c>
      <c r="D18" s="33">
        <f t="shared" si="0"/>
        <v>38400</v>
      </c>
    </row>
    <row r="19" spans="1:7" x14ac:dyDescent="0.2">
      <c r="A19" s="24">
        <v>45184</v>
      </c>
      <c r="B19" s="22" t="s">
        <v>101</v>
      </c>
      <c r="C19" s="33"/>
      <c r="D19" s="33">
        <f t="shared" si="0"/>
        <v>38400</v>
      </c>
    </row>
    <row r="20" spans="1:7" x14ac:dyDescent="0.2">
      <c r="A20" s="24">
        <v>45185</v>
      </c>
      <c r="B20" s="22" t="s">
        <v>65</v>
      </c>
      <c r="C20" s="33">
        <v>300</v>
      </c>
      <c r="D20" s="33">
        <f t="shared" si="0"/>
        <v>38100</v>
      </c>
    </row>
    <row r="21" spans="1:7" x14ac:dyDescent="0.2">
      <c r="A21" s="24">
        <v>45186</v>
      </c>
      <c r="B21" s="22" t="s">
        <v>38</v>
      </c>
      <c r="C21" s="33">
        <f>1079+3709</f>
        <v>4788</v>
      </c>
      <c r="D21" s="33">
        <f t="shared" si="0"/>
        <v>33312</v>
      </c>
    </row>
    <row r="22" spans="1:7" x14ac:dyDescent="0.2">
      <c r="A22" s="24">
        <v>45187</v>
      </c>
      <c r="B22" s="22"/>
      <c r="C22" s="33"/>
      <c r="D22" s="33">
        <f t="shared" si="0"/>
        <v>33312</v>
      </c>
    </row>
    <row r="23" spans="1:7" x14ac:dyDescent="0.2">
      <c r="A23" s="24">
        <v>45188</v>
      </c>
      <c r="C23" s="33"/>
      <c r="D23" s="33">
        <f t="shared" si="0"/>
        <v>33312</v>
      </c>
    </row>
    <row r="24" spans="1:7" x14ac:dyDescent="0.2">
      <c r="A24" s="24">
        <v>45189</v>
      </c>
      <c r="B24" s="22" t="s">
        <v>38</v>
      </c>
      <c r="C24" s="33">
        <f>2428+84+150+140+3681</f>
        <v>6483</v>
      </c>
      <c r="D24" s="33">
        <f t="shared" si="0"/>
        <v>26829</v>
      </c>
      <c r="G24" s="74">
        <f>C38-C36</f>
        <v>42409</v>
      </c>
    </row>
    <row r="25" spans="1:7" x14ac:dyDescent="0.2">
      <c r="A25" s="24">
        <v>45190</v>
      </c>
      <c r="B25" s="22"/>
      <c r="C25" s="33"/>
      <c r="D25" s="33">
        <f t="shared" si="0"/>
        <v>26829</v>
      </c>
    </row>
    <row r="26" spans="1:7" x14ac:dyDescent="0.2">
      <c r="A26" s="24">
        <v>45191</v>
      </c>
      <c r="D26" s="33">
        <f t="shared" si="0"/>
        <v>26829</v>
      </c>
    </row>
    <row r="27" spans="1:7" x14ac:dyDescent="0.2">
      <c r="A27" s="24">
        <v>45192</v>
      </c>
      <c r="D27" s="33">
        <f t="shared" si="0"/>
        <v>26829</v>
      </c>
    </row>
    <row r="28" spans="1:7" x14ac:dyDescent="0.2">
      <c r="A28" s="24">
        <v>45193</v>
      </c>
      <c r="B28" s="22"/>
      <c r="C28" s="33"/>
      <c r="D28" s="33">
        <f t="shared" si="0"/>
        <v>26829</v>
      </c>
    </row>
    <row r="29" spans="1:7" x14ac:dyDescent="0.2">
      <c r="A29" s="24">
        <v>45194</v>
      </c>
      <c r="B29" s="22" t="s">
        <v>38</v>
      </c>
      <c r="C29" s="33">
        <v>3825</v>
      </c>
      <c r="D29" s="33">
        <f t="shared" si="0"/>
        <v>23004</v>
      </c>
    </row>
    <row r="30" spans="1:7" x14ac:dyDescent="0.2">
      <c r="A30" s="24">
        <v>45195</v>
      </c>
      <c r="B30" s="22" t="s">
        <v>28</v>
      </c>
      <c r="C30" s="33">
        <f>240+275</f>
        <v>515</v>
      </c>
      <c r="D30" s="33">
        <f t="shared" si="0"/>
        <v>22489</v>
      </c>
    </row>
    <row r="31" spans="1:7" x14ac:dyDescent="0.2">
      <c r="A31" s="24">
        <v>45196</v>
      </c>
      <c r="B31" s="22" t="s">
        <v>28</v>
      </c>
      <c r="C31" s="33">
        <v>500</v>
      </c>
      <c r="D31" s="33">
        <f t="shared" si="0"/>
        <v>21989</v>
      </c>
    </row>
    <row r="32" spans="1:7" x14ac:dyDescent="0.2">
      <c r="A32" s="24">
        <v>45197</v>
      </c>
      <c r="B32" s="22" t="s">
        <v>28</v>
      </c>
      <c r="C32" s="33">
        <v>680</v>
      </c>
      <c r="D32" s="33">
        <f t="shared" si="0"/>
        <v>21309</v>
      </c>
    </row>
    <row r="33" spans="1:4" x14ac:dyDescent="0.2">
      <c r="A33" s="24"/>
      <c r="B33" s="22" t="s">
        <v>80</v>
      </c>
      <c r="C33" s="33">
        <v>2250</v>
      </c>
      <c r="D33" s="33">
        <f t="shared" si="0"/>
        <v>19059</v>
      </c>
    </row>
    <row r="34" spans="1:4" x14ac:dyDescent="0.2">
      <c r="A34" s="24">
        <v>45198</v>
      </c>
      <c r="B34" s="22" t="s">
        <v>38</v>
      </c>
      <c r="C34" s="33">
        <v>3817</v>
      </c>
      <c r="D34" s="33">
        <f t="shared" si="0"/>
        <v>15242</v>
      </c>
    </row>
    <row r="35" spans="1:4" x14ac:dyDescent="0.2">
      <c r="A35" s="24">
        <v>45199</v>
      </c>
      <c r="B35" s="22" t="s">
        <v>38</v>
      </c>
      <c r="C35" s="33">
        <f>2151+500</f>
        <v>2651</v>
      </c>
      <c r="D35" s="33">
        <f t="shared" si="0"/>
        <v>12591</v>
      </c>
    </row>
    <row r="36" spans="1:4" x14ac:dyDescent="0.2">
      <c r="A36" s="24"/>
      <c r="B36" s="21" t="s">
        <v>102</v>
      </c>
      <c r="C36" s="33">
        <v>2203</v>
      </c>
      <c r="D36" s="33">
        <f t="shared" si="0"/>
        <v>10388</v>
      </c>
    </row>
    <row r="37" spans="1:4" x14ac:dyDescent="0.2">
      <c r="A37" s="59"/>
      <c r="B37" s="48" t="s">
        <v>4</v>
      </c>
      <c r="C37" s="34"/>
      <c r="D37" s="34">
        <f t="shared" si="0"/>
        <v>10388</v>
      </c>
    </row>
    <row r="38" spans="1:4" x14ac:dyDescent="0.2">
      <c r="A38" s="60"/>
      <c r="B38" s="48" t="s">
        <v>95</v>
      </c>
      <c r="C38" s="34">
        <f>SUM(C4:C36)</f>
        <v>44612</v>
      </c>
      <c r="D38" s="34"/>
    </row>
  </sheetData>
  <mergeCells count="5">
    <mergeCell ref="A1:D1"/>
    <mergeCell ref="F3:I3"/>
    <mergeCell ref="F12:I12"/>
    <mergeCell ref="A3:C3"/>
    <mergeCell ref="F1:J1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7"/>
  <sheetViews>
    <sheetView zoomScale="110" zoomScaleNormal="110" workbookViewId="0">
      <selection activeCell="C58" sqref="C58"/>
    </sheetView>
  </sheetViews>
  <sheetFormatPr baseColWidth="10" defaultColWidth="8.83203125" defaultRowHeight="14" x14ac:dyDescent="0.2"/>
  <cols>
    <col min="1" max="1" width="12.83203125" style="23" customWidth="1"/>
    <col min="2" max="2" width="30.1640625" style="21" customWidth="1"/>
    <col min="3" max="4" width="17.33203125" style="21" customWidth="1"/>
    <col min="5" max="5" width="8.83203125" style="19" customWidth="1"/>
    <col min="6" max="6" width="4" style="23" customWidth="1"/>
    <col min="7" max="7" width="37.83203125" style="21" customWidth="1"/>
    <col min="8" max="10" width="17.33203125" style="21" customWidth="1"/>
    <col min="11" max="12" width="8.83203125" style="19" customWidth="1"/>
    <col min="13" max="13" width="13.1640625" style="19" bestFit="1" customWidth="1"/>
    <col min="14" max="14" width="8.83203125" style="19" customWidth="1"/>
    <col min="15" max="16384" width="8.83203125" style="19"/>
  </cols>
  <sheetData>
    <row r="1" spans="1:10" x14ac:dyDescent="0.2">
      <c r="A1" s="89" t="s">
        <v>52</v>
      </c>
      <c r="B1" s="90"/>
      <c r="C1" s="90"/>
      <c r="D1" s="91"/>
      <c r="F1" s="89" t="s">
        <v>53</v>
      </c>
      <c r="G1" s="90"/>
      <c r="H1" s="90"/>
      <c r="I1" s="90"/>
      <c r="J1" s="91"/>
    </row>
    <row r="2" spans="1:10" x14ac:dyDescent="0.2">
      <c r="A2" s="23" t="s">
        <v>54</v>
      </c>
      <c r="B2" s="23" t="s">
        <v>55</v>
      </c>
      <c r="C2" s="23" t="s">
        <v>56</v>
      </c>
      <c r="D2" s="23" t="s">
        <v>57</v>
      </c>
      <c r="F2" s="23" t="s">
        <v>58</v>
      </c>
      <c r="G2" s="23" t="s">
        <v>55</v>
      </c>
      <c r="H2" s="23" t="s">
        <v>56</v>
      </c>
      <c r="I2" s="23" t="s">
        <v>59</v>
      </c>
      <c r="J2" s="23" t="s">
        <v>60</v>
      </c>
    </row>
    <row r="3" spans="1:10" x14ac:dyDescent="0.2">
      <c r="A3" s="92" t="s">
        <v>61</v>
      </c>
      <c r="B3" s="90"/>
      <c r="C3" s="91"/>
      <c r="D3" s="34">
        <v>55000</v>
      </c>
      <c r="F3" s="92" t="s">
        <v>62</v>
      </c>
      <c r="G3" s="90"/>
      <c r="H3" s="90"/>
      <c r="I3" s="91"/>
      <c r="J3" s="34">
        <f>'23-09'!J12</f>
        <v>1039883</v>
      </c>
    </row>
    <row r="4" spans="1:10" x14ac:dyDescent="0.2">
      <c r="A4" s="31">
        <v>45200</v>
      </c>
      <c r="B4" s="32" t="s">
        <v>65</v>
      </c>
      <c r="C4" s="33">
        <v>400</v>
      </c>
      <c r="D4" s="33">
        <f t="shared" ref="D4:D46" si="0">D3-C4</f>
        <v>54600</v>
      </c>
      <c r="F4" s="23">
        <v>1</v>
      </c>
      <c r="G4" s="21" t="s">
        <v>103</v>
      </c>
      <c r="H4" s="33">
        <v>7000</v>
      </c>
      <c r="I4" s="33"/>
      <c r="J4" s="33">
        <f t="shared" ref="J4:J9" si="1">J3-H4+I4</f>
        <v>1032883</v>
      </c>
    </row>
    <row r="5" spans="1:10" x14ac:dyDescent="0.2">
      <c r="A5" s="31"/>
      <c r="B5" s="32" t="s">
        <v>36</v>
      </c>
      <c r="C5" s="33">
        <v>600</v>
      </c>
      <c r="D5" s="33">
        <f t="shared" si="0"/>
        <v>54000</v>
      </c>
      <c r="F5" s="23">
        <v>2</v>
      </c>
      <c r="G5" s="21" t="s">
        <v>104</v>
      </c>
      <c r="H5" s="33">
        <v>55000</v>
      </c>
      <c r="I5" s="33"/>
      <c r="J5" s="33">
        <f t="shared" si="1"/>
        <v>977883</v>
      </c>
    </row>
    <row r="6" spans="1:10" x14ac:dyDescent="0.2">
      <c r="A6" s="31">
        <v>45201</v>
      </c>
      <c r="B6" s="32" t="s">
        <v>36</v>
      </c>
      <c r="C6" s="33">
        <v>700</v>
      </c>
      <c r="D6" s="33">
        <f t="shared" si="0"/>
        <v>53300</v>
      </c>
      <c r="F6" s="23">
        <v>3</v>
      </c>
      <c r="G6" s="21" t="s">
        <v>46</v>
      </c>
      <c r="H6" s="33">
        <v>45428</v>
      </c>
      <c r="I6" s="33"/>
      <c r="J6" s="33">
        <f t="shared" si="1"/>
        <v>932455</v>
      </c>
    </row>
    <row r="7" spans="1:10" x14ac:dyDescent="0.2">
      <c r="A7" s="31">
        <v>45202</v>
      </c>
      <c r="B7" s="32" t="s">
        <v>36</v>
      </c>
      <c r="C7" s="33"/>
      <c r="D7" s="33">
        <f t="shared" si="0"/>
        <v>53300</v>
      </c>
      <c r="F7" s="23">
        <v>4</v>
      </c>
      <c r="G7" s="21" t="s">
        <v>94</v>
      </c>
      <c r="H7" s="33">
        <v>2203</v>
      </c>
      <c r="I7" s="33"/>
      <c r="J7" s="33">
        <f t="shared" si="1"/>
        <v>930252</v>
      </c>
    </row>
    <row r="8" spans="1:10" x14ac:dyDescent="0.2">
      <c r="A8" s="31"/>
      <c r="B8" s="32" t="s">
        <v>38</v>
      </c>
      <c r="C8" s="33">
        <v>2467</v>
      </c>
      <c r="D8" s="33">
        <f t="shared" si="0"/>
        <v>50833</v>
      </c>
      <c r="H8" s="33"/>
      <c r="I8" s="33"/>
      <c r="J8" s="33">
        <f t="shared" si="1"/>
        <v>930252</v>
      </c>
    </row>
    <row r="9" spans="1:10" x14ac:dyDescent="0.2">
      <c r="A9" s="31">
        <v>45203</v>
      </c>
      <c r="B9" s="32" t="s">
        <v>36</v>
      </c>
      <c r="C9" s="33"/>
      <c r="D9" s="33">
        <f t="shared" si="0"/>
        <v>50833</v>
      </c>
      <c r="F9" s="94" t="s">
        <v>4</v>
      </c>
      <c r="G9" s="90"/>
      <c r="H9" s="90"/>
      <c r="I9" s="91"/>
      <c r="J9" s="37">
        <f t="shared" si="1"/>
        <v>930252</v>
      </c>
    </row>
    <row r="10" spans="1:10" x14ac:dyDescent="0.2">
      <c r="A10" s="31"/>
      <c r="B10" s="32" t="s">
        <v>65</v>
      </c>
      <c r="C10" s="33">
        <v>300</v>
      </c>
      <c r="D10" s="33">
        <f t="shared" si="0"/>
        <v>50533</v>
      </c>
      <c r="F10" s="49"/>
      <c r="G10" s="50"/>
      <c r="H10" s="51"/>
      <c r="I10" s="51"/>
      <c r="J10" s="51"/>
    </row>
    <row r="11" spans="1:10" x14ac:dyDescent="0.2">
      <c r="A11" s="31">
        <v>45204</v>
      </c>
      <c r="B11" s="32" t="s">
        <v>36</v>
      </c>
      <c r="C11" s="33"/>
      <c r="D11" s="33">
        <f t="shared" si="0"/>
        <v>50533</v>
      </c>
      <c r="H11" s="33"/>
      <c r="I11" s="33"/>
      <c r="J11" s="33"/>
    </row>
    <row r="12" spans="1:10" x14ac:dyDescent="0.2">
      <c r="A12" s="31">
        <v>45205</v>
      </c>
      <c r="B12" s="22" t="s">
        <v>36</v>
      </c>
      <c r="C12" s="33">
        <v>500</v>
      </c>
      <c r="D12" s="33">
        <f t="shared" si="0"/>
        <v>50033</v>
      </c>
      <c r="H12" s="33"/>
      <c r="I12" s="33"/>
      <c r="J12" s="33"/>
    </row>
    <row r="13" spans="1:10" x14ac:dyDescent="0.2">
      <c r="A13" s="31">
        <v>45206</v>
      </c>
      <c r="B13" s="22" t="s">
        <v>38</v>
      </c>
      <c r="C13" s="33">
        <f>7800</f>
        <v>7800</v>
      </c>
      <c r="D13" s="33">
        <f t="shared" si="0"/>
        <v>42233</v>
      </c>
      <c r="H13" s="33"/>
      <c r="I13" s="33"/>
      <c r="J13" s="33"/>
    </row>
    <row r="14" spans="1:10" x14ac:dyDescent="0.2">
      <c r="B14" s="22" t="s">
        <v>65</v>
      </c>
      <c r="C14" s="33">
        <v>300</v>
      </c>
      <c r="D14" s="33">
        <f t="shared" si="0"/>
        <v>41933</v>
      </c>
      <c r="H14" s="33"/>
      <c r="I14" s="33"/>
      <c r="J14" s="33"/>
    </row>
    <row r="15" spans="1:10" x14ac:dyDescent="0.2">
      <c r="A15" s="31">
        <v>45207</v>
      </c>
      <c r="B15" s="22" t="s">
        <v>45</v>
      </c>
      <c r="C15" s="33">
        <v>4300</v>
      </c>
      <c r="D15" s="33">
        <f t="shared" si="0"/>
        <v>37633</v>
      </c>
      <c r="H15" s="33"/>
      <c r="I15" s="33"/>
      <c r="J15" s="33"/>
    </row>
    <row r="16" spans="1:10" x14ac:dyDescent="0.2">
      <c r="A16" s="31">
        <v>45208</v>
      </c>
      <c r="B16" s="22" t="s">
        <v>36</v>
      </c>
      <c r="C16" s="33">
        <v>600</v>
      </c>
      <c r="D16" s="33">
        <f t="shared" si="0"/>
        <v>37033</v>
      </c>
      <c r="H16" s="33"/>
      <c r="I16" s="33"/>
      <c r="J16" s="33"/>
    </row>
    <row r="17" spans="1:4" x14ac:dyDescent="0.2">
      <c r="A17" s="31">
        <v>45209</v>
      </c>
      <c r="B17" s="22" t="s">
        <v>36</v>
      </c>
      <c r="C17" s="33">
        <v>600</v>
      </c>
      <c r="D17" s="33">
        <f t="shared" si="0"/>
        <v>36433</v>
      </c>
    </row>
    <row r="18" spans="1:4" x14ac:dyDescent="0.2">
      <c r="A18" s="31">
        <v>45210</v>
      </c>
      <c r="B18" s="22" t="s">
        <v>36</v>
      </c>
      <c r="C18" s="33">
        <v>700</v>
      </c>
      <c r="D18" s="33">
        <f t="shared" si="0"/>
        <v>35733</v>
      </c>
    </row>
    <row r="19" spans="1:4" x14ac:dyDescent="0.2">
      <c r="A19" s="31">
        <v>45211</v>
      </c>
      <c r="B19" s="22" t="s">
        <v>45</v>
      </c>
      <c r="C19" s="33">
        <f>2042+437</f>
        <v>2479</v>
      </c>
      <c r="D19" s="33">
        <f t="shared" si="0"/>
        <v>33254</v>
      </c>
    </row>
    <row r="20" spans="1:4" x14ac:dyDescent="0.2">
      <c r="A20" s="31"/>
      <c r="B20" s="22" t="s">
        <v>36</v>
      </c>
      <c r="C20" s="33">
        <v>600</v>
      </c>
      <c r="D20" s="33">
        <f t="shared" si="0"/>
        <v>32654</v>
      </c>
    </row>
    <row r="21" spans="1:4" x14ac:dyDescent="0.2">
      <c r="A21" s="31">
        <v>45212</v>
      </c>
      <c r="B21" s="22"/>
      <c r="C21" s="33"/>
      <c r="D21" s="33">
        <f t="shared" si="0"/>
        <v>32654</v>
      </c>
    </row>
    <row r="22" spans="1:4" x14ac:dyDescent="0.2">
      <c r="A22" s="31">
        <v>45213</v>
      </c>
      <c r="B22" s="22"/>
      <c r="C22" s="33"/>
      <c r="D22" s="33">
        <f t="shared" si="0"/>
        <v>32654</v>
      </c>
    </row>
    <row r="23" spans="1:4" x14ac:dyDescent="0.2">
      <c r="A23" s="31">
        <v>45214</v>
      </c>
      <c r="B23" s="22" t="s">
        <v>38</v>
      </c>
      <c r="C23" s="33">
        <v>3355</v>
      </c>
      <c r="D23" s="33">
        <f t="shared" si="0"/>
        <v>29299</v>
      </c>
    </row>
    <row r="24" spans="1:4" x14ac:dyDescent="0.2">
      <c r="A24" s="31">
        <v>45215</v>
      </c>
      <c r="B24" s="22" t="s">
        <v>65</v>
      </c>
      <c r="C24" s="33">
        <v>300</v>
      </c>
      <c r="D24" s="33">
        <f t="shared" si="0"/>
        <v>28999</v>
      </c>
    </row>
    <row r="25" spans="1:4" x14ac:dyDescent="0.2">
      <c r="B25" s="22" t="s">
        <v>28</v>
      </c>
      <c r="C25" s="33">
        <v>600</v>
      </c>
      <c r="D25" s="33">
        <f t="shared" si="0"/>
        <v>28399</v>
      </c>
    </row>
    <row r="26" spans="1:4" x14ac:dyDescent="0.2">
      <c r="A26" s="31">
        <v>45216</v>
      </c>
      <c r="B26" s="22" t="s">
        <v>28</v>
      </c>
      <c r="C26" s="33">
        <v>600</v>
      </c>
      <c r="D26" s="33">
        <f t="shared" si="0"/>
        <v>27799</v>
      </c>
    </row>
    <row r="27" spans="1:4" x14ac:dyDescent="0.2">
      <c r="A27" s="31">
        <v>45217</v>
      </c>
      <c r="B27" s="22" t="s">
        <v>28</v>
      </c>
      <c r="C27" s="33">
        <v>600</v>
      </c>
      <c r="D27" s="33">
        <f t="shared" si="0"/>
        <v>27199</v>
      </c>
    </row>
    <row r="28" spans="1:4" x14ac:dyDescent="0.2">
      <c r="A28" s="31">
        <v>45218</v>
      </c>
      <c r="B28" s="22" t="s">
        <v>28</v>
      </c>
      <c r="C28" s="33">
        <v>600</v>
      </c>
      <c r="D28" s="33">
        <f t="shared" si="0"/>
        <v>26599</v>
      </c>
    </row>
    <row r="29" spans="1:4" x14ac:dyDescent="0.2">
      <c r="B29" s="22" t="s">
        <v>105</v>
      </c>
      <c r="C29" s="33">
        <f>3962-700-400+500</f>
        <v>3362</v>
      </c>
      <c r="D29" s="33">
        <f t="shared" si="0"/>
        <v>23237</v>
      </c>
    </row>
    <row r="30" spans="1:4" x14ac:dyDescent="0.2">
      <c r="A30" s="31">
        <v>45219</v>
      </c>
      <c r="B30" s="22" t="s">
        <v>80</v>
      </c>
      <c r="C30" s="33">
        <v>3096</v>
      </c>
      <c r="D30" s="33">
        <f t="shared" si="0"/>
        <v>20141</v>
      </c>
    </row>
    <row r="31" spans="1:4" x14ac:dyDescent="0.2">
      <c r="A31" s="31">
        <v>45220</v>
      </c>
      <c r="B31" s="22" t="s">
        <v>65</v>
      </c>
      <c r="C31" s="33">
        <v>300</v>
      </c>
      <c r="D31" s="33">
        <f t="shared" si="0"/>
        <v>19841</v>
      </c>
    </row>
    <row r="32" spans="1:4" x14ac:dyDescent="0.2">
      <c r="A32" s="31">
        <v>45221</v>
      </c>
      <c r="B32" s="22" t="s">
        <v>45</v>
      </c>
      <c r="C32" s="33">
        <f>5104+452+400+2083</f>
        <v>8039</v>
      </c>
      <c r="D32" s="33">
        <f t="shared" si="0"/>
        <v>11802</v>
      </c>
    </row>
    <row r="33" spans="1:4" x14ac:dyDescent="0.2">
      <c r="A33" s="31">
        <v>45222</v>
      </c>
      <c r="B33" s="22" t="s">
        <v>28</v>
      </c>
      <c r="C33" s="33">
        <v>480</v>
      </c>
      <c r="D33" s="33">
        <f t="shared" si="0"/>
        <v>11322</v>
      </c>
    </row>
    <row r="34" spans="1:4" x14ac:dyDescent="0.2">
      <c r="A34" s="31">
        <v>45223</v>
      </c>
      <c r="B34" s="22" t="s">
        <v>28</v>
      </c>
      <c r="C34" s="33">
        <v>600</v>
      </c>
      <c r="D34" s="33">
        <f t="shared" si="0"/>
        <v>10722</v>
      </c>
    </row>
    <row r="35" spans="1:4" x14ac:dyDescent="0.2">
      <c r="A35" s="31">
        <v>45224</v>
      </c>
      <c r="B35" s="22" t="s">
        <v>28</v>
      </c>
      <c r="C35" s="33">
        <v>600</v>
      </c>
      <c r="D35" s="33">
        <f t="shared" si="0"/>
        <v>10122</v>
      </c>
    </row>
    <row r="36" spans="1:4" x14ac:dyDescent="0.2">
      <c r="B36" s="22" t="s">
        <v>45</v>
      </c>
      <c r="C36" s="33">
        <f>829+619</f>
        <v>1448</v>
      </c>
      <c r="D36" s="33">
        <f t="shared" si="0"/>
        <v>8674</v>
      </c>
    </row>
    <row r="37" spans="1:4" x14ac:dyDescent="0.2">
      <c r="A37" s="31">
        <v>45225</v>
      </c>
      <c r="B37" s="22" t="s">
        <v>45</v>
      </c>
      <c r="C37" s="33">
        <v>820</v>
      </c>
      <c r="D37" s="33">
        <f t="shared" si="0"/>
        <v>7854</v>
      </c>
    </row>
    <row r="38" spans="1:4" x14ac:dyDescent="0.2">
      <c r="B38" s="21" t="s">
        <v>28</v>
      </c>
      <c r="C38" s="33">
        <v>500</v>
      </c>
      <c r="D38" s="33">
        <f t="shared" si="0"/>
        <v>7354</v>
      </c>
    </row>
    <row r="39" spans="1:4" x14ac:dyDescent="0.2">
      <c r="A39" s="31">
        <v>45226</v>
      </c>
      <c r="B39" s="22" t="s">
        <v>45</v>
      </c>
      <c r="C39" s="33">
        <v>898</v>
      </c>
      <c r="D39" s="33">
        <f t="shared" si="0"/>
        <v>6456</v>
      </c>
    </row>
    <row r="40" spans="1:4" x14ac:dyDescent="0.2">
      <c r="A40" s="31"/>
      <c r="B40" s="22" t="s">
        <v>28</v>
      </c>
      <c r="C40" s="33">
        <v>480</v>
      </c>
      <c r="D40" s="33">
        <f t="shared" si="0"/>
        <v>5976</v>
      </c>
    </row>
    <row r="41" spans="1:4" x14ac:dyDescent="0.2">
      <c r="A41" s="31">
        <v>45227</v>
      </c>
      <c r="B41" s="22" t="s">
        <v>45</v>
      </c>
      <c r="C41" s="33">
        <v>1844</v>
      </c>
      <c r="D41" s="33">
        <f t="shared" si="0"/>
        <v>4132</v>
      </c>
    </row>
    <row r="42" spans="1:4" x14ac:dyDescent="0.2">
      <c r="B42" s="22" t="s">
        <v>28</v>
      </c>
      <c r="C42" s="33">
        <v>480</v>
      </c>
      <c r="D42" s="33">
        <f t="shared" si="0"/>
        <v>3652</v>
      </c>
    </row>
    <row r="43" spans="1:4" x14ac:dyDescent="0.2">
      <c r="A43" s="31">
        <v>45228</v>
      </c>
      <c r="B43" s="22" t="s">
        <v>65</v>
      </c>
      <c r="C43" s="33">
        <v>200</v>
      </c>
      <c r="D43" s="33">
        <f t="shared" si="0"/>
        <v>3452</v>
      </c>
    </row>
    <row r="44" spans="1:4" x14ac:dyDescent="0.2">
      <c r="A44" s="31">
        <v>45229</v>
      </c>
      <c r="B44" s="22" t="s">
        <v>28</v>
      </c>
      <c r="C44" s="33">
        <v>480</v>
      </c>
      <c r="D44" s="33">
        <f t="shared" si="0"/>
        <v>2972</v>
      </c>
    </row>
    <row r="45" spans="1:4" x14ac:dyDescent="0.2">
      <c r="A45" s="31">
        <v>45230</v>
      </c>
      <c r="B45" s="22" t="s">
        <v>28</v>
      </c>
      <c r="C45" s="33">
        <v>480</v>
      </c>
      <c r="D45" s="33">
        <f t="shared" si="0"/>
        <v>2492</v>
      </c>
    </row>
    <row r="46" spans="1:4" x14ac:dyDescent="0.2">
      <c r="A46" s="47"/>
      <c r="B46" s="48" t="s">
        <v>4</v>
      </c>
      <c r="C46" s="34"/>
      <c r="D46" s="34">
        <f t="shared" si="0"/>
        <v>2492</v>
      </c>
    </row>
    <row r="47" spans="1:4" x14ac:dyDescent="0.2">
      <c r="A47" s="47"/>
      <c r="B47" s="48" t="s">
        <v>95</v>
      </c>
      <c r="C47" s="34">
        <f>SUM(C4:C45)</f>
        <v>52508</v>
      </c>
      <c r="D47" s="34"/>
    </row>
  </sheetData>
  <mergeCells count="5">
    <mergeCell ref="A1:D1"/>
    <mergeCell ref="F9:I9"/>
    <mergeCell ref="F3:I3"/>
    <mergeCell ref="A3:C3"/>
    <mergeCell ref="F1:J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zoomScale="110" zoomScaleNormal="110" workbookViewId="0">
      <selection activeCell="G35" sqref="G35:G45"/>
    </sheetView>
  </sheetViews>
  <sheetFormatPr baseColWidth="10" defaultColWidth="8.83203125" defaultRowHeight="14" x14ac:dyDescent="0.2"/>
  <cols>
    <col min="1" max="1" width="12.83203125" style="23" customWidth="1"/>
    <col min="2" max="2" width="30.1640625" style="21" customWidth="1"/>
    <col min="3" max="4" width="17.33203125" style="21" customWidth="1"/>
    <col min="5" max="5" width="8.83203125" style="19" customWidth="1"/>
    <col min="6" max="6" width="4" style="23" customWidth="1"/>
    <col min="7" max="7" width="37.83203125" style="21" customWidth="1"/>
    <col min="8" max="10" width="17.33203125" style="21" customWidth="1"/>
    <col min="11" max="11" width="8.83203125" style="19" customWidth="1"/>
    <col min="12" max="12" width="11.33203125" style="19" bestFit="1" customWidth="1"/>
    <col min="13" max="13" width="8.83203125" style="19" customWidth="1"/>
    <col min="14" max="16384" width="8.83203125" style="19"/>
  </cols>
  <sheetData>
    <row r="1" spans="1:12" x14ac:dyDescent="0.2">
      <c r="A1" s="89" t="s">
        <v>52</v>
      </c>
      <c r="B1" s="90"/>
      <c r="C1" s="90"/>
      <c r="D1" s="91"/>
      <c r="F1" s="89" t="s">
        <v>53</v>
      </c>
      <c r="G1" s="90"/>
      <c r="H1" s="90"/>
      <c r="I1" s="90"/>
      <c r="J1" s="91"/>
    </row>
    <row r="2" spans="1:12" x14ac:dyDescent="0.2">
      <c r="A2" s="23" t="s">
        <v>54</v>
      </c>
      <c r="B2" s="23" t="s">
        <v>55</v>
      </c>
      <c r="C2" s="23" t="s">
        <v>56</v>
      </c>
      <c r="D2" s="23" t="s">
        <v>57</v>
      </c>
      <c r="F2" s="23" t="s">
        <v>58</v>
      </c>
      <c r="G2" s="23" t="s">
        <v>55</v>
      </c>
      <c r="H2" s="23" t="s">
        <v>56</v>
      </c>
      <c r="I2" s="23" t="s">
        <v>59</v>
      </c>
      <c r="J2" s="23" t="s">
        <v>60</v>
      </c>
    </row>
    <row r="3" spans="1:12" x14ac:dyDescent="0.2">
      <c r="A3" s="92" t="s">
        <v>61</v>
      </c>
      <c r="B3" s="90"/>
      <c r="C3" s="91"/>
      <c r="D3" s="34">
        <v>55000</v>
      </c>
      <c r="F3" s="92" t="s">
        <v>62</v>
      </c>
      <c r="G3" s="90"/>
      <c r="H3" s="90"/>
      <c r="I3" s="91"/>
      <c r="J3" s="34">
        <f>'23-10'!J9</f>
        <v>930252</v>
      </c>
    </row>
    <row r="4" spans="1:12" x14ac:dyDescent="0.2">
      <c r="A4" s="31">
        <v>45231</v>
      </c>
      <c r="B4" s="32" t="s">
        <v>28</v>
      </c>
      <c r="C4" s="33">
        <v>500</v>
      </c>
      <c r="D4" s="33">
        <f t="shared" ref="D4:D40" si="0">D3-C4</f>
        <v>54500</v>
      </c>
      <c r="F4" s="23">
        <v>1</v>
      </c>
      <c r="G4" s="21" t="s">
        <v>106</v>
      </c>
      <c r="H4" s="33">
        <v>21510</v>
      </c>
      <c r="I4" s="33"/>
      <c r="J4" s="33">
        <f>J3-H4+I4</f>
        <v>908742</v>
      </c>
    </row>
    <row r="5" spans="1:12" x14ac:dyDescent="0.2">
      <c r="A5" s="31">
        <v>45232</v>
      </c>
      <c r="B5" s="32" t="s">
        <v>28</v>
      </c>
      <c r="C5" s="33">
        <v>500</v>
      </c>
      <c r="D5" s="33">
        <f t="shared" si="0"/>
        <v>54000</v>
      </c>
      <c r="F5" s="23">
        <v>2</v>
      </c>
      <c r="G5" s="21" t="s">
        <v>100</v>
      </c>
      <c r="H5" s="33">
        <v>42987</v>
      </c>
      <c r="I5" s="33"/>
      <c r="J5" s="33">
        <f>J4-H5+I5</f>
        <v>865755</v>
      </c>
    </row>
    <row r="6" spans="1:12" x14ac:dyDescent="0.2">
      <c r="A6" s="31">
        <v>45233</v>
      </c>
      <c r="B6" s="22" t="s">
        <v>28</v>
      </c>
      <c r="C6" s="33">
        <v>500</v>
      </c>
      <c r="D6" s="33">
        <f t="shared" si="0"/>
        <v>53500</v>
      </c>
      <c r="F6" s="23">
        <v>3</v>
      </c>
      <c r="G6" s="21" t="s">
        <v>46</v>
      </c>
      <c r="H6" s="33">
        <v>43736</v>
      </c>
      <c r="I6" s="33"/>
      <c r="J6" s="33">
        <f>J5-H6+I6</f>
        <v>822019</v>
      </c>
    </row>
    <row r="7" spans="1:12" x14ac:dyDescent="0.2">
      <c r="B7" s="22" t="s">
        <v>45</v>
      </c>
      <c r="C7" s="33">
        <f>4387+793</f>
        <v>5180</v>
      </c>
      <c r="D7" s="33">
        <f t="shared" si="0"/>
        <v>48320</v>
      </c>
      <c r="F7" s="23">
        <v>4</v>
      </c>
      <c r="H7" s="33"/>
      <c r="I7" s="33"/>
      <c r="J7" s="33">
        <f>J6-H7+I7</f>
        <v>822019</v>
      </c>
    </row>
    <row r="8" spans="1:12" x14ac:dyDescent="0.2">
      <c r="A8" s="31">
        <v>45234</v>
      </c>
      <c r="B8" s="22"/>
      <c r="C8" s="33"/>
      <c r="D8" s="33">
        <f t="shared" si="0"/>
        <v>48320</v>
      </c>
      <c r="F8" s="94" t="s">
        <v>4</v>
      </c>
      <c r="G8" s="90"/>
      <c r="H8" s="90"/>
      <c r="I8" s="91"/>
      <c r="J8" s="37">
        <f>J7-H8+I8</f>
        <v>822019</v>
      </c>
    </row>
    <row r="9" spans="1:12" x14ac:dyDescent="0.2">
      <c r="A9" s="31">
        <v>45235</v>
      </c>
      <c r="B9" s="22"/>
      <c r="C9" s="33"/>
      <c r="D9" s="33">
        <f t="shared" si="0"/>
        <v>48320</v>
      </c>
      <c r="F9" s="49"/>
      <c r="G9" s="50"/>
      <c r="H9" s="51"/>
      <c r="I9" s="51"/>
      <c r="J9" s="51"/>
    </row>
    <row r="10" spans="1:12" x14ac:dyDescent="0.2">
      <c r="A10" s="31">
        <v>45236</v>
      </c>
      <c r="B10" s="22" t="s">
        <v>28</v>
      </c>
      <c r="C10" s="33">
        <v>450</v>
      </c>
      <c r="D10" s="33">
        <f t="shared" si="0"/>
        <v>47870</v>
      </c>
      <c r="H10" s="33"/>
      <c r="I10" s="33"/>
      <c r="J10" s="33"/>
    </row>
    <row r="11" spans="1:12" x14ac:dyDescent="0.2">
      <c r="A11" s="31">
        <v>45237</v>
      </c>
      <c r="B11" s="22" t="s">
        <v>45</v>
      </c>
      <c r="C11" s="33">
        <v>4830</v>
      </c>
      <c r="D11" s="33">
        <f t="shared" si="0"/>
        <v>43040</v>
      </c>
      <c r="H11" s="33"/>
      <c r="I11" s="33"/>
      <c r="J11" s="33"/>
    </row>
    <row r="12" spans="1:12" x14ac:dyDescent="0.2">
      <c r="A12" s="31">
        <v>45238</v>
      </c>
      <c r="B12" s="22" t="s">
        <v>28</v>
      </c>
      <c r="C12" s="33">
        <v>500</v>
      </c>
      <c r="D12" s="33">
        <f t="shared" si="0"/>
        <v>42540</v>
      </c>
      <c r="H12" s="33"/>
      <c r="I12" s="33"/>
      <c r="J12" s="33"/>
    </row>
    <row r="13" spans="1:12" x14ac:dyDescent="0.2">
      <c r="A13" s="31">
        <v>45239</v>
      </c>
      <c r="B13" s="22" t="s">
        <v>28</v>
      </c>
      <c r="C13" s="33">
        <v>500</v>
      </c>
      <c r="D13" s="33">
        <f t="shared" si="0"/>
        <v>42040</v>
      </c>
      <c r="H13" s="33"/>
      <c r="I13" s="33"/>
      <c r="J13" s="33"/>
    </row>
    <row r="14" spans="1:12" x14ac:dyDescent="0.2">
      <c r="A14" s="31">
        <v>45240</v>
      </c>
      <c r="B14" s="22" t="s">
        <v>28</v>
      </c>
      <c r="C14" s="33">
        <v>500</v>
      </c>
      <c r="D14" s="33">
        <f t="shared" si="0"/>
        <v>41540</v>
      </c>
      <c r="H14" s="33"/>
      <c r="I14" s="33"/>
      <c r="J14" s="33"/>
    </row>
    <row r="15" spans="1:12" x14ac:dyDescent="0.2">
      <c r="A15" s="31">
        <v>45241</v>
      </c>
      <c r="B15" s="22" t="s">
        <v>45</v>
      </c>
      <c r="C15" s="33">
        <v>3469</v>
      </c>
      <c r="D15" s="33">
        <f t="shared" si="0"/>
        <v>38071</v>
      </c>
      <c r="H15" s="33"/>
      <c r="I15" s="33"/>
      <c r="J15" s="33"/>
    </row>
    <row r="16" spans="1:12" x14ac:dyDescent="0.2">
      <c r="B16" s="22" t="s">
        <v>65</v>
      </c>
      <c r="C16" s="33">
        <v>200</v>
      </c>
      <c r="D16" s="33">
        <f t="shared" si="0"/>
        <v>37871</v>
      </c>
      <c r="H16" s="33"/>
      <c r="I16" s="33"/>
      <c r="J16" s="33"/>
      <c r="L16" s="57">
        <f>J6-SUM(C4:C21)</f>
        <v>799043</v>
      </c>
    </row>
    <row r="17" spans="1:4" x14ac:dyDescent="0.2">
      <c r="A17" s="31">
        <v>45242</v>
      </c>
      <c r="B17" s="22"/>
      <c r="C17" s="33"/>
      <c r="D17" s="33">
        <f t="shared" si="0"/>
        <v>37871</v>
      </c>
    </row>
    <row r="18" spans="1:4" x14ac:dyDescent="0.2">
      <c r="A18" s="31">
        <v>45243</v>
      </c>
      <c r="B18" s="22" t="s">
        <v>28</v>
      </c>
      <c r="C18" s="33">
        <v>500</v>
      </c>
      <c r="D18" s="33">
        <f t="shared" si="0"/>
        <v>37371</v>
      </c>
    </row>
    <row r="19" spans="1:4" x14ac:dyDescent="0.2">
      <c r="A19" s="31">
        <v>45244</v>
      </c>
      <c r="B19" s="22" t="s">
        <v>28</v>
      </c>
      <c r="C19" s="33">
        <v>500</v>
      </c>
      <c r="D19" s="33">
        <f t="shared" si="0"/>
        <v>36871</v>
      </c>
    </row>
    <row r="20" spans="1:4" x14ac:dyDescent="0.2">
      <c r="A20" s="31">
        <v>45245</v>
      </c>
      <c r="B20" s="22" t="s">
        <v>45</v>
      </c>
      <c r="C20" s="33">
        <v>1220</v>
      </c>
      <c r="D20" s="33">
        <f t="shared" si="0"/>
        <v>35651</v>
      </c>
    </row>
    <row r="21" spans="1:4" x14ac:dyDescent="0.2">
      <c r="A21" s="31">
        <v>45246</v>
      </c>
      <c r="B21" s="22" t="s">
        <v>45</v>
      </c>
      <c r="C21" s="33">
        <f>780+2847</f>
        <v>3627</v>
      </c>
      <c r="D21" s="33">
        <f t="shared" si="0"/>
        <v>32024</v>
      </c>
    </row>
    <row r="22" spans="1:4" x14ac:dyDescent="0.2">
      <c r="A22" s="31">
        <v>45247</v>
      </c>
      <c r="B22" s="22"/>
      <c r="C22" s="33"/>
      <c r="D22" s="33">
        <f t="shared" si="0"/>
        <v>32024</v>
      </c>
    </row>
    <row r="23" spans="1:4" x14ac:dyDescent="0.2">
      <c r="A23" s="31">
        <v>45248</v>
      </c>
      <c r="B23" s="22" t="s">
        <v>45</v>
      </c>
      <c r="C23" s="33">
        <f>3175+459</f>
        <v>3634</v>
      </c>
      <c r="D23" s="33">
        <f t="shared" si="0"/>
        <v>28390</v>
      </c>
    </row>
    <row r="24" spans="1:4" x14ac:dyDescent="0.2">
      <c r="A24" s="31">
        <v>45249</v>
      </c>
      <c r="B24" s="22" t="s">
        <v>65</v>
      </c>
      <c r="C24" s="33">
        <v>400</v>
      </c>
      <c r="D24" s="33">
        <f t="shared" si="0"/>
        <v>27990</v>
      </c>
    </row>
    <row r="25" spans="1:4" x14ac:dyDescent="0.2">
      <c r="A25" s="31">
        <v>45250</v>
      </c>
      <c r="B25" s="22"/>
      <c r="C25" s="33"/>
      <c r="D25" s="33">
        <f t="shared" si="0"/>
        <v>27990</v>
      </c>
    </row>
    <row r="26" spans="1:4" x14ac:dyDescent="0.2">
      <c r="A26" s="31">
        <v>45251</v>
      </c>
      <c r="B26" s="22" t="s">
        <v>28</v>
      </c>
      <c r="C26" s="33">
        <v>650</v>
      </c>
      <c r="D26" s="33">
        <f t="shared" si="0"/>
        <v>27340</v>
      </c>
    </row>
    <row r="27" spans="1:4" x14ac:dyDescent="0.2">
      <c r="A27" s="31">
        <v>45252</v>
      </c>
      <c r="B27" s="22" t="s">
        <v>28</v>
      </c>
      <c r="C27" s="33">
        <v>650</v>
      </c>
      <c r="D27" s="33">
        <f t="shared" si="0"/>
        <v>26690</v>
      </c>
    </row>
    <row r="28" spans="1:4" x14ac:dyDescent="0.2">
      <c r="A28" s="31">
        <v>45253</v>
      </c>
      <c r="B28" s="22" t="s">
        <v>28</v>
      </c>
      <c r="C28" s="33">
        <v>650</v>
      </c>
      <c r="D28" s="33">
        <f t="shared" si="0"/>
        <v>26040</v>
      </c>
    </row>
    <row r="29" spans="1:4" x14ac:dyDescent="0.2">
      <c r="B29" s="21" t="s">
        <v>45</v>
      </c>
      <c r="C29" s="33">
        <f>907+340+340</f>
        <v>1587</v>
      </c>
      <c r="D29" s="33">
        <f t="shared" si="0"/>
        <v>24453</v>
      </c>
    </row>
    <row r="30" spans="1:4" x14ac:dyDescent="0.2">
      <c r="A30" s="31">
        <v>45254</v>
      </c>
      <c r="B30" s="22" t="s">
        <v>28</v>
      </c>
      <c r="C30" s="33">
        <v>650</v>
      </c>
      <c r="D30" s="33">
        <f t="shared" si="0"/>
        <v>23803</v>
      </c>
    </row>
    <row r="31" spans="1:4" x14ac:dyDescent="0.2">
      <c r="B31" s="22" t="s">
        <v>65</v>
      </c>
      <c r="C31" s="33"/>
      <c r="D31" s="33">
        <f t="shared" si="0"/>
        <v>23803</v>
      </c>
    </row>
    <row r="32" spans="1:4" x14ac:dyDescent="0.2">
      <c r="A32" s="31">
        <v>45255</v>
      </c>
      <c r="B32" s="22"/>
      <c r="C32" s="33"/>
      <c r="D32" s="33">
        <f t="shared" si="0"/>
        <v>23803</v>
      </c>
    </row>
    <row r="33" spans="1:4" x14ac:dyDescent="0.2">
      <c r="A33" s="31">
        <v>45256</v>
      </c>
      <c r="B33" s="22" t="s">
        <v>45</v>
      </c>
      <c r="C33" s="33">
        <v>4131</v>
      </c>
      <c r="D33" s="33">
        <f t="shared" si="0"/>
        <v>19672</v>
      </c>
    </row>
    <row r="34" spans="1:4" x14ac:dyDescent="0.2">
      <c r="A34" s="31">
        <v>45257</v>
      </c>
      <c r="B34" s="22" t="s">
        <v>28</v>
      </c>
      <c r="C34" s="33">
        <v>500</v>
      </c>
      <c r="D34" s="33">
        <f t="shared" si="0"/>
        <v>19172</v>
      </c>
    </row>
    <row r="35" spans="1:4" x14ac:dyDescent="0.2">
      <c r="A35" s="31">
        <v>45258</v>
      </c>
      <c r="B35" s="22" t="s">
        <v>28</v>
      </c>
      <c r="C35" s="33">
        <v>640</v>
      </c>
      <c r="D35" s="33">
        <f t="shared" si="0"/>
        <v>18532</v>
      </c>
    </row>
    <row r="36" spans="1:4" x14ac:dyDescent="0.2">
      <c r="A36" s="31">
        <v>45259</v>
      </c>
      <c r="B36" s="22" t="s">
        <v>28</v>
      </c>
      <c r="C36" s="33">
        <v>560</v>
      </c>
      <c r="D36" s="33">
        <f t="shared" si="0"/>
        <v>17972</v>
      </c>
    </row>
    <row r="37" spans="1:4" x14ac:dyDescent="0.2">
      <c r="B37" s="22" t="s">
        <v>45</v>
      </c>
      <c r="C37" s="33">
        <v>977</v>
      </c>
      <c r="D37" s="33">
        <f t="shared" si="0"/>
        <v>16995</v>
      </c>
    </row>
    <row r="38" spans="1:4" x14ac:dyDescent="0.2">
      <c r="A38" s="31">
        <v>45260</v>
      </c>
      <c r="B38" s="22" t="s">
        <v>80</v>
      </c>
      <c r="C38" s="33">
        <v>2561</v>
      </c>
      <c r="D38" s="33">
        <f t="shared" si="0"/>
        <v>14434</v>
      </c>
    </row>
    <row r="39" spans="1:4" x14ac:dyDescent="0.2">
      <c r="A39" s="31"/>
      <c r="B39" s="21" t="s">
        <v>102</v>
      </c>
      <c r="C39" s="33">
        <v>2421</v>
      </c>
      <c r="D39" s="33">
        <f t="shared" si="0"/>
        <v>12013</v>
      </c>
    </row>
    <row r="40" spans="1:4" x14ac:dyDescent="0.2">
      <c r="A40" s="47"/>
      <c r="B40" s="48" t="s">
        <v>4</v>
      </c>
      <c r="C40" s="34"/>
      <c r="D40" s="34">
        <f t="shared" si="0"/>
        <v>12013</v>
      </c>
    </row>
    <row r="41" spans="1:4" x14ac:dyDescent="0.2">
      <c r="A41" s="47"/>
      <c r="B41" s="48" t="s">
        <v>95</v>
      </c>
      <c r="C41" s="34">
        <f>SUM(C4:C39)</f>
        <v>42987</v>
      </c>
      <c r="D41" s="34"/>
    </row>
  </sheetData>
  <mergeCells count="5">
    <mergeCell ref="A1:D1"/>
    <mergeCell ref="F8:I8"/>
    <mergeCell ref="F3:I3"/>
    <mergeCell ref="A3:C3"/>
    <mergeCell ref="F1:J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2"/>
  <sheetViews>
    <sheetView zoomScale="110" zoomScaleNormal="110" workbookViewId="0">
      <selection activeCell="G39" sqref="G39"/>
    </sheetView>
  </sheetViews>
  <sheetFormatPr baseColWidth="10" defaultColWidth="8.83203125" defaultRowHeight="14" x14ac:dyDescent="0.2"/>
  <cols>
    <col min="1" max="1" width="12.83203125" style="23" customWidth="1"/>
    <col min="2" max="2" width="30.1640625" style="21" customWidth="1"/>
    <col min="3" max="4" width="17.33203125" style="21" customWidth="1"/>
    <col min="5" max="5" width="10" style="19" bestFit="1" customWidth="1"/>
    <col min="6" max="6" width="4" style="23" customWidth="1"/>
    <col min="7" max="7" width="37.83203125" style="21" customWidth="1"/>
    <col min="8" max="8" width="17.33203125" style="21" customWidth="1"/>
    <col min="9" max="9" width="17.33203125" style="54" customWidth="1"/>
    <col min="10" max="10" width="17.33203125" style="21" customWidth="1"/>
    <col min="11" max="11" width="8.83203125" style="19" customWidth="1"/>
    <col min="12" max="16384" width="8.83203125" style="19"/>
  </cols>
  <sheetData>
    <row r="1" spans="1:10" x14ac:dyDescent="0.2">
      <c r="A1" s="89" t="s">
        <v>52</v>
      </c>
      <c r="B1" s="90"/>
      <c r="C1" s="90"/>
      <c r="D1" s="91"/>
      <c r="F1" s="89" t="s">
        <v>53</v>
      </c>
      <c r="G1" s="90"/>
      <c r="H1" s="90"/>
      <c r="I1" s="90"/>
      <c r="J1" s="91"/>
    </row>
    <row r="2" spans="1:10" x14ac:dyDescent="0.2">
      <c r="A2" s="23" t="s">
        <v>54</v>
      </c>
      <c r="B2" s="23" t="s">
        <v>55</v>
      </c>
      <c r="C2" s="23" t="s">
        <v>56</v>
      </c>
      <c r="D2" s="23" t="s">
        <v>57</v>
      </c>
      <c r="F2" s="23" t="s">
        <v>58</v>
      </c>
      <c r="G2" s="23" t="s">
        <v>55</v>
      </c>
      <c r="H2" s="23" t="s">
        <v>56</v>
      </c>
      <c r="I2" s="23" t="s">
        <v>59</v>
      </c>
      <c r="J2" s="23" t="s">
        <v>60</v>
      </c>
    </row>
    <row r="3" spans="1:10" x14ac:dyDescent="0.2">
      <c r="A3" s="92" t="s">
        <v>61</v>
      </c>
      <c r="B3" s="90"/>
      <c r="C3" s="91"/>
      <c r="D3" s="34">
        <v>55000</v>
      </c>
      <c r="E3" s="57"/>
      <c r="F3" s="92" t="s">
        <v>62</v>
      </c>
      <c r="G3" s="90"/>
      <c r="H3" s="90"/>
      <c r="I3" s="91"/>
      <c r="J3" s="34">
        <v>822000</v>
      </c>
    </row>
    <row r="4" spans="1:10" x14ac:dyDescent="0.2">
      <c r="A4" s="31">
        <v>45261</v>
      </c>
      <c r="B4" s="32" t="s">
        <v>28</v>
      </c>
      <c r="C4" s="33">
        <f>190+170+450</f>
        <v>810</v>
      </c>
      <c r="D4" s="33">
        <f t="shared" ref="D4:D41" si="0">D3-C4</f>
        <v>54190</v>
      </c>
      <c r="F4" s="23">
        <v>1</v>
      </c>
      <c r="G4" s="21" t="s">
        <v>107</v>
      </c>
      <c r="H4" s="33">
        <v>10000</v>
      </c>
      <c r="I4" s="53"/>
      <c r="J4" s="33">
        <f t="shared" ref="J4:J12" si="1">J3-H4+I4</f>
        <v>812000</v>
      </c>
    </row>
    <row r="5" spans="1:10" x14ac:dyDescent="0.2">
      <c r="B5" s="32" t="s">
        <v>65</v>
      </c>
      <c r="C5" s="33">
        <v>500</v>
      </c>
      <c r="D5" s="33">
        <f t="shared" si="0"/>
        <v>53690</v>
      </c>
      <c r="F5" s="23">
        <v>2</v>
      </c>
      <c r="G5" s="21" t="s">
        <v>108</v>
      </c>
      <c r="H5" s="33">
        <v>4400</v>
      </c>
      <c r="I5" s="53"/>
      <c r="J5" s="33">
        <f t="shared" si="1"/>
        <v>807600</v>
      </c>
    </row>
    <row r="6" spans="1:10" x14ac:dyDescent="0.2">
      <c r="A6" s="31">
        <v>45262</v>
      </c>
      <c r="B6" s="22" t="s">
        <v>45</v>
      </c>
      <c r="C6" s="33">
        <v>4483</v>
      </c>
      <c r="D6" s="33">
        <f t="shared" si="0"/>
        <v>49207</v>
      </c>
      <c r="F6" s="23">
        <v>3</v>
      </c>
      <c r="G6" s="21" t="s">
        <v>109</v>
      </c>
      <c r="H6" s="33"/>
      <c r="I6" s="53">
        <v>700000</v>
      </c>
      <c r="J6" s="33">
        <f t="shared" si="1"/>
        <v>1507600</v>
      </c>
    </row>
    <row r="7" spans="1:10" x14ac:dyDescent="0.2">
      <c r="A7" s="31">
        <v>45263</v>
      </c>
      <c r="B7" s="22" t="s">
        <v>45</v>
      </c>
      <c r="C7" s="33">
        <v>1660</v>
      </c>
      <c r="D7" s="33">
        <f t="shared" si="0"/>
        <v>47547</v>
      </c>
      <c r="F7" s="23">
        <v>4</v>
      </c>
      <c r="G7" s="21" t="s">
        <v>110</v>
      </c>
      <c r="H7" s="33">
        <v>8718</v>
      </c>
      <c r="I7" s="53"/>
      <c r="J7" s="33">
        <f t="shared" si="1"/>
        <v>1498882</v>
      </c>
    </row>
    <row r="8" spans="1:10" x14ac:dyDescent="0.2">
      <c r="A8" s="31">
        <v>45264</v>
      </c>
      <c r="B8" s="22" t="s">
        <v>28</v>
      </c>
      <c r="C8" s="33">
        <v>400</v>
      </c>
      <c r="D8" s="33">
        <f t="shared" si="0"/>
        <v>47147</v>
      </c>
      <c r="F8" s="23">
        <v>5</v>
      </c>
      <c r="G8" s="21" t="s">
        <v>111</v>
      </c>
      <c r="H8" s="33">
        <v>7878</v>
      </c>
      <c r="I8" s="53"/>
      <c r="J8" s="33">
        <f t="shared" si="1"/>
        <v>1491004</v>
      </c>
    </row>
    <row r="9" spans="1:10" x14ac:dyDescent="0.2">
      <c r="A9" s="31">
        <v>45265</v>
      </c>
      <c r="B9" s="22"/>
      <c r="C9" s="33"/>
      <c r="D9" s="33">
        <f t="shared" si="0"/>
        <v>47147</v>
      </c>
      <c r="F9" s="23">
        <v>6</v>
      </c>
      <c r="G9" s="21" t="s">
        <v>63</v>
      </c>
      <c r="H9" s="33">
        <f>43826+440</f>
        <v>44266</v>
      </c>
      <c r="I9" s="53"/>
      <c r="J9" s="33">
        <f t="shared" si="1"/>
        <v>1446738</v>
      </c>
    </row>
    <row r="10" spans="1:10" x14ac:dyDescent="0.2">
      <c r="A10" s="31">
        <v>45266</v>
      </c>
      <c r="B10" s="22" t="s">
        <v>28</v>
      </c>
      <c r="C10" s="33">
        <v>650</v>
      </c>
      <c r="D10" s="33">
        <f t="shared" si="0"/>
        <v>46497</v>
      </c>
      <c r="F10" s="23">
        <v>7</v>
      </c>
      <c r="G10" s="21" t="s">
        <v>112</v>
      </c>
      <c r="H10" s="33">
        <v>205700</v>
      </c>
      <c r="I10" s="53"/>
      <c r="J10" s="33">
        <f t="shared" si="1"/>
        <v>1241038</v>
      </c>
    </row>
    <row r="11" spans="1:10" x14ac:dyDescent="0.2">
      <c r="A11" s="31">
        <v>45267</v>
      </c>
      <c r="B11" s="22" t="s">
        <v>28</v>
      </c>
      <c r="C11" s="33">
        <v>440</v>
      </c>
      <c r="D11" s="33">
        <f t="shared" si="0"/>
        <v>46057</v>
      </c>
      <c r="F11" s="23">
        <v>8</v>
      </c>
      <c r="G11" s="21" t="s">
        <v>113</v>
      </c>
      <c r="H11" s="33">
        <v>55000</v>
      </c>
      <c r="I11" s="53"/>
      <c r="J11" s="33">
        <f t="shared" si="1"/>
        <v>1186038</v>
      </c>
    </row>
    <row r="12" spans="1:10" x14ac:dyDescent="0.2">
      <c r="B12" s="22" t="s">
        <v>45</v>
      </c>
      <c r="C12" s="33">
        <v>2015</v>
      </c>
      <c r="D12" s="33">
        <f t="shared" si="0"/>
        <v>44042</v>
      </c>
      <c r="F12" s="94" t="s">
        <v>4</v>
      </c>
      <c r="G12" s="90"/>
      <c r="H12" s="90"/>
      <c r="I12" s="91"/>
      <c r="J12" s="37">
        <f t="shared" si="1"/>
        <v>1186038</v>
      </c>
    </row>
    <row r="13" spans="1:10" x14ac:dyDescent="0.2">
      <c r="A13" s="31">
        <v>45268</v>
      </c>
      <c r="B13" s="22" t="s">
        <v>28</v>
      </c>
      <c r="C13" s="33">
        <v>500</v>
      </c>
      <c r="D13" s="33">
        <f t="shared" si="0"/>
        <v>43542</v>
      </c>
      <c r="F13" s="49"/>
      <c r="G13" s="50"/>
      <c r="H13" s="51"/>
      <c r="I13" s="51"/>
      <c r="J13" s="51"/>
    </row>
    <row r="14" spans="1:10" x14ac:dyDescent="0.2">
      <c r="A14" s="31"/>
      <c r="B14" s="22" t="s">
        <v>45</v>
      </c>
      <c r="C14" s="33">
        <v>1521</v>
      </c>
      <c r="D14" s="33">
        <f t="shared" si="0"/>
        <v>42021</v>
      </c>
      <c r="H14" s="33"/>
      <c r="I14" s="53"/>
      <c r="J14" s="33"/>
    </row>
    <row r="15" spans="1:10" x14ac:dyDescent="0.2">
      <c r="A15" s="31">
        <v>45269</v>
      </c>
      <c r="B15" s="22" t="s">
        <v>45</v>
      </c>
      <c r="C15" s="33">
        <f>2820+700</f>
        <v>3520</v>
      </c>
      <c r="D15" s="33">
        <f t="shared" si="0"/>
        <v>38501</v>
      </c>
      <c r="H15" s="33"/>
      <c r="I15" s="53"/>
      <c r="J15" s="33"/>
    </row>
    <row r="16" spans="1:10" x14ac:dyDescent="0.2">
      <c r="A16" s="31">
        <v>45270</v>
      </c>
      <c r="B16" s="22"/>
      <c r="C16" s="33"/>
      <c r="D16" s="33">
        <f t="shared" si="0"/>
        <v>38501</v>
      </c>
      <c r="H16" s="33"/>
      <c r="I16" s="53"/>
      <c r="J16" s="33"/>
    </row>
    <row r="17" spans="1:4" x14ac:dyDescent="0.2">
      <c r="A17" s="31">
        <v>45271</v>
      </c>
      <c r="B17" s="22" t="s">
        <v>45</v>
      </c>
      <c r="C17" s="33">
        <v>2515</v>
      </c>
      <c r="D17" s="33">
        <f t="shared" si="0"/>
        <v>35986</v>
      </c>
    </row>
    <row r="18" spans="1:4" x14ac:dyDescent="0.2">
      <c r="B18" s="22" t="s">
        <v>28</v>
      </c>
      <c r="C18" s="33">
        <v>460</v>
      </c>
      <c r="D18" s="33">
        <f t="shared" si="0"/>
        <v>35526</v>
      </c>
    </row>
    <row r="19" spans="1:4" x14ac:dyDescent="0.2">
      <c r="A19" s="31">
        <v>45272</v>
      </c>
      <c r="B19" s="22" t="s">
        <v>45</v>
      </c>
      <c r="C19" s="33">
        <v>2317</v>
      </c>
      <c r="D19" s="33">
        <f t="shared" si="0"/>
        <v>33209</v>
      </c>
    </row>
    <row r="20" spans="1:4" x14ac:dyDescent="0.2">
      <c r="A20" s="31">
        <v>45273</v>
      </c>
      <c r="B20" s="22" t="s">
        <v>28</v>
      </c>
      <c r="C20" s="33">
        <v>600</v>
      </c>
      <c r="D20" s="33">
        <f t="shared" si="0"/>
        <v>32609</v>
      </c>
    </row>
    <row r="21" spans="1:4" x14ac:dyDescent="0.2">
      <c r="A21" s="31">
        <v>45274</v>
      </c>
      <c r="B21" s="22" t="s">
        <v>45</v>
      </c>
      <c r="C21" s="33">
        <f>1652+349</f>
        <v>2001</v>
      </c>
      <c r="D21" s="33">
        <f t="shared" si="0"/>
        <v>30608</v>
      </c>
    </row>
    <row r="22" spans="1:4" x14ac:dyDescent="0.2">
      <c r="A22" s="31">
        <v>45275</v>
      </c>
      <c r="B22" s="22" t="s">
        <v>65</v>
      </c>
      <c r="C22" s="33">
        <v>100</v>
      </c>
      <c r="D22" s="33">
        <f t="shared" si="0"/>
        <v>30508</v>
      </c>
    </row>
    <row r="23" spans="1:4" x14ac:dyDescent="0.2">
      <c r="A23" s="31">
        <v>45276</v>
      </c>
      <c r="B23" s="22" t="s">
        <v>45</v>
      </c>
      <c r="C23" s="33">
        <f>2200+2347</f>
        <v>4547</v>
      </c>
      <c r="D23" s="33">
        <f t="shared" si="0"/>
        <v>25961</v>
      </c>
    </row>
    <row r="24" spans="1:4" x14ac:dyDescent="0.2">
      <c r="A24" s="31">
        <v>45277</v>
      </c>
      <c r="B24" s="22" t="s">
        <v>65</v>
      </c>
      <c r="C24" s="33">
        <v>300</v>
      </c>
      <c r="D24" s="33">
        <f t="shared" si="0"/>
        <v>25661</v>
      </c>
    </row>
    <row r="25" spans="1:4" x14ac:dyDescent="0.2">
      <c r="A25" s="31">
        <v>45278</v>
      </c>
      <c r="B25" s="22"/>
      <c r="C25" s="33"/>
      <c r="D25" s="33">
        <f t="shared" si="0"/>
        <v>25661</v>
      </c>
    </row>
    <row r="26" spans="1:4" x14ac:dyDescent="0.2">
      <c r="A26" s="31">
        <v>45279</v>
      </c>
      <c r="B26" s="22" t="s">
        <v>65</v>
      </c>
      <c r="C26" s="33">
        <v>200</v>
      </c>
      <c r="D26" s="33">
        <f t="shared" si="0"/>
        <v>25461</v>
      </c>
    </row>
    <row r="27" spans="1:4" x14ac:dyDescent="0.2">
      <c r="A27" s="31">
        <v>45280</v>
      </c>
      <c r="B27" s="22" t="s">
        <v>45</v>
      </c>
      <c r="C27" s="33">
        <v>4200</v>
      </c>
      <c r="D27" s="33">
        <f t="shared" si="0"/>
        <v>21261</v>
      </c>
    </row>
    <row r="28" spans="1:4" x14ac:dyDescent="0.2">
      <c r="A28" s="31">
        <v>45281</v>
      </c>
      <c r="B28" s="22" t="s">
        <v>28</v>
      </c>
      <c r="C28" s="33">
        <v>600</v>
      </c>
      <c r="D28" s="33">
        <f t="shared" si="0"/>
        <v>20661</v>
      </c>
    </row>
    <row r="29" spans="1:4" x14ac:dyDescent="0.2">
      <c r="A29" s="31">
        <v>45282</v>
      </c>
      <c r="B29" s="22" t="s">
        <v>45</v>
      </c>
      <c r="C29" s="33">
        <f>2300+791</f>
        <v>3091</v>
      </c>
      <c r="D29" s="33">
        <f t="shared" si="0"/>
        <v>17570</v>
      </c>
    </row>
    <row r="30" spans="1:4" x14ac:dyDescent="0.2">
      <c r="A30" s="31">
        <v>45283</v>
      </c>
      <c r="B30" s="22" t="s">
        <v>45</v>
      </c>
      <c r="C30" s="33">
        <v>2481</v>
      </c>
      <c r="D30" s="33">
        <f t="shared" si="0"/>
        <v>15089</v>
      </c>
    </row>
    <row r="31" spans="1:4" x14ac:dyDescent="0.2">
      <c r="B31" s="22" t="s">
        <v>45</v>
      </c>
      <c r="C31" s="33">
        <f>2520+1000</f>
        <v>3520</v>
      </c>
      <c r="D31" s="33">
        <f t="shared" si="0"/>
        <v>11569</v>
      </c>
    </row>
    <row r="32" spans="1:4" x14ac:dyDescent="0.2">
      <c r="B32" s="22" t="s">
        <v>45</v>
      </c>
      <c r="C32" s="33">
        <v>4864</v>
      </c>
      <c r="D32" s="33">
        <f t="shared" si="0"/>
        <v>6705</v>
      </c>
    </row>
    <row r="33" spans="1:7" x14ac:dyDescent="0.2">
      <c r="A33" s="31">
        <v>45284</v>
      </c>
      <c r="B33" s="21" t="s">
        <v>102</v>
      </c>
      <c r="C33" s="33">
        <v>2200</v>
      </c>
      <c r="D33" s="33">
        <f t="shared" si="0"/>
        <v>4505</v>
      </c>
    </row>
    <row r="34" spans="1:7" x14ac:dyDescent="0.2">
      <c r="A34" s="31">
        <v>45285</v>
      </c>
      <c r="B34" s="22"/>
      <c r="C34" s="33"/>
      <c r="D34" s="33">
        <f t="shared" si="0"/>
        <v>4505</v>
      </c>
    </row>
    <row r="35" spans="1:7" x14ac:dyDescent="0.2">
      <c r="A35" s="31">
        <v>45286</v>
      </c>
      <c r="B35" s="22" t="s">
        <v>45</v>
      </c>
      <c r="C35" s="33">
        <v>1300</v>
      </c>
      <c r="D35" s="33">
        <f t="shared" si="0"/>
        <v>3205</v>
      </c>
    </row>
    <row r="36" spans="1:7" x14ac:dyDescent="0.2">
      <c r="A36" s="31">
        <v>45287</v>
      </c>
      <c r="B36" s="22" t="s">
        <v>65</v>
      </c>
      <c r="C36" s="33">
        <v>300</v>
      </c>
      <c r="D36" s="33">
        <f t="shared" si="0"/>
        <v>2905</v>
      </c>
    </row>
    <row r="37" spans="1:7" x14ac:dyDescent="0.2">
      <c r="A37" s="31">
        <v>45288</v>
      </c>
      <c r="B37" s="22"/>
      <c r="C37" s="33"/>
      <c r="D37" s="33">
        <f t="shared" si="0"/>
        <v>2905</v>
      </c>
    </row>
    <row r="38" spans="1:7" x14ac:dyDescent="0.2">
      <c r="A38" s="31">
        <v>45289</v>
      </c>
      <c r="B38" s="22" t="s">
        <v>45</v>
      </c>
      <c r="C38" s="33">
        <v>460</v>
      </c>
      <c r="D38" s="33">
        <f t="shared" si="0"/>
        <v>2445</v>
      </c>
      <c r="G38" s="74">
        <f>C42-C38-C36-C24-C26-C5</f>
        <v>50795</v>
      </c>
    </row>
    <row r="39" spans="1:7" x14ac:dyDescent="0.2">
      <c r="A39" s="31">
        <v>45290</v>
      </c>
      <c r="B39" s="22"/>
      <c r="C39" s="33"/>
      <c r="D39" s="33">
        <f t="shared" si="0"/>
        <v>2445</v>
      </c>
    </row>
    <row r="40" spans="1:7" x14ac:dyDescent="0.2">
      <c r="A40" s="31">
        <v>45291</v>
      </c>
      <c r="B40" s="22"/>
      <c r="C40" s="33"/>
      <c r="D40" s="33">
        <f t="shared" si="0"/>
        <v>2445</v>
      </c>
    </row>
    <row r="41" spans="1:7" x14ac:dyDescent="0.2">
      <c r="A41" s="47"/>
      <c r="B41" s="48" t="s">
        <v>4</v>
      </c>
      <c r="C41" s="34"/>
      <c r="D41" s="34">
        <f t="shared" si="0"/>
        <v>2445</v>
      </c>
    </row>
    <row r="42" spans="1:7" x14ac:dyDescent="0.2">
      <c r="A42" s="47"/>
      <c r="B42" s="61" t="s">
        <v>95</v>
      </c>
      <c r="C42" s="34">
        <f>SUM(C4:C40)</f>
        <v>52555</v>
      </c>
      <c r="D42" s="34"/>
    </row>
  </sheetData>
  <mergeCells count="5">
    <mergeCell ref="A1:D1"/>
    <mergeCell ref="F3:I3"/>
    <mergeCell ref="F12:I12"/>
    <mergeCell ref="A3:C3"/>
    <mergeCell ref="F1:J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23-04</vt:lpstr>
      <vt:lpstr>23-05</vt:lpstr>
      <vt:lpstr>23-06</vt:lpstr>
      <vt:lpstr>23-07</vt:lpstr>
      <vt:lpstr>23-08</vt:lpstr>
      <vt:lpstr>23-09</vt:lpstr>
      <vt:lpstr>23-10</vt:lpstr>
      <vt:lpstr>23-11</vt:lpstr>
      <vt:lpstr>23-12</vt:lpstr>
      <vt:lpstr>24-01</vt:lpstr>
      <vt:lpstr>24-02</vt:lpstr>
      <vt:lpstr>24-03</vt:lpstr>
      <vt:lpstr>Keuangan Tahunan</vt:lpstr>
      <vt:lpstr>24-04</vt:lpstr>
      <vt:lpstr>24-05</vt:lpstr>
      <vt:lpstr>24-06</vt:lpstr>
      <vt:lpstr>24-07</vt:lpstr>
      <vt:lpstr>24-08</vt:lpstr>
      <vt:lpstr>24-09</vt:lpstr>
      <vt:lpstr>24-10</vt:lpstr>
      <vt:lpstr>24-11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Ifal Malela</dc:creator>
  <cp:lastModifiedBy>Ａｎｄｉｆａｌｌｉｈ Ｎｏｏｒ ＭＡＬＥＬＡ(is0751hr)</cp:lastModifiedBy>
  <dcterms:created xsi:type="dcterms:W3CDTF">2023-07-03T10:10:34Z</dcterms:created>
  <dcterms:modified xsi:type="dcterms:W3CDTF">2024-11-21T12:16:09Z</dcterms:modified>
</cp:coreProperties>
</file>