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koko\Documents\Codes\Calculator\"/>
    </mc:Choice>
  </mc:AlternateContent>
  <xr:revisionPtr revIDLastSave="0" documentId="13_ncr:1_{7474980E-9CD1-40D6-8DA6-8B9913FA9F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Исходные данные" sheetId="1" r:id="rId1"/>
    <sheet name="Объём сжигания" sheetId="7" r:id="rId2"/>
    <sheet name="Лимит сжигания 5%" sheetId="6" r:id="rId3"/>
    <sheet name="Сверх нормативное сжигание" sheetId="5" r:id="rId4"/>
    <sheet name="Лимиты" sheetId="4" r:id="rId5"/>
    <sheet name="Сверх лимит (вред)" sheetId="3" r:id="rId6"/>
    <sheet name="Итоговый вывод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2" i="7"/>
  <c r="F1" i="6"/>
  <c r="F1" i="7"/>
  <c r="F4" i="1"/>
  <c r="F15" i="6" s="1"/>
  <c r="D15" i="5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E1" i="2"/>
  <c r="D1" i="2"/>
  <c r="E1" i="4"/>
  <c r="D1" i="4"/>
  <c r="C1" i="5"/>
  <c r="D1" i="6"/>
  <c r="E1" i="6"/>
  <c r="D1" i="7"/>
  <c r="E1" i="7"/>
  <c r="C1" i="3"/>
  <c r="C1" i="7"/>
  <c r="C18" i="7"/>
  <c r="E17" i="7"/>
  <c r="D17" i="7"/>
  <c r="D17" i="6" s="1"/>
  <c r="E16" i="7"/>
  <c r="D16" i="7"/>
  <c r="D17" i="4" s="1"/>
  <c r="E15" i="7"/>
  <c r="D15" i="7"/>
  <c r="D15" i="6" s="1"/>
  <c r="E14" i="7"/>
  <c r="D14" i="7"/>
  <c r="D14" i="6" s="1"/>
  <c r="E13" i="7"/>
  <c r="D13" i="7"/>
  <c r="D13" i="6" s="1"/>
  <c r="E12" i="7"/>
  <c r="D12" i="7"/>
  <c r="D13" i="4" s="1"/>
  <c r="E11" i="7"/>
  <c r="D11" i="7"/>
  <c r="D12" i="4" s="1"/>
  <c r="E10" i="7"/>
  <c r="D10" i="7"/>
  <c r="D10" i="6" s="1"/>
  <c r="E9" i="7"/>
  <c r="D9" i="7"/>
  <c r="D9" i="6" s="1"/>
  <c r="E8" i="7"/>
  <c r="D8" i="7"/>
  <c r="D8" i="6" s="1"/>
  <c r="E7" i="7"/>
  <c r="D7" i="7"/>
  <c r="D7" i="6" s="1"/>
  <c r="E6" i="7"/>
  <c r="D6" i="7"/>
  <c r="D6" i="6" s="1"/>
  <c r="E5" i="7"/>
  <c r="D5" i="7"/>
  <c r="D5" i="6" s="1"/>
  <c r="E4" i="7"/>
  <c r="D4" i="7"/>
  <c r="D4" i="6" s="1"/>
  <c r="E3" i="7"/>
  <c r="D3" i="7"/>
  <c r="D3" i="6" s="1"/>
  <c r="E2" i="7"/>
  <c r="D2" i="7"/>
  <c r="D3" i="4" s="1"/>
  <c r="B18" i="4"/>
  <c r="C17" i="4"/>
  <c r="B17" i="4"/>
  <c r="C16" i="4"/>
  <c r="B16" i="4"/>
  <c r="B15" i="4"/>
  <c r="B14" i="4"/>
  <c r="C13" i="4"/>
  <c r="B13" i="4"/>
  <c r="C12" i="4"/>
  <c r="B12" i="4"/>
  <c r="B11" i="4"/>
  <c r="B10" i="4"/>
  <c r="C9" i="4"/>
  <c r="B8" i="4"/>
  <c r="C7" i="4"/>
  <c r="B7" i="4"/>
  <c r="C6" i="4"/>
  <c r="B6" i="4"/>
  <c r="B5" i="4"/>
  <c r="B4" i="4"/>
  <c r="C3" i="4"/>
  <c r="B3" i="4"/>
  <c r="F14" i="6" l="1"/>
  <c r="F13" i="6"/>
  <c r="D13" i="5" s="1"/>
  <c r="F12" i="6"/>
  <c r="D12" i="5" s="1"/>
  <c r="F17" i="6"/>
  <c r="F9" i="6"/>
  <c r="D9" i="5" s="1"/>
  <c r="F11" i="6"/>
  <c r="D11" i="5" s="1"/>
  <c r="F10" i="6"/>
  <c r="D10" i="5" s="1"/>
  <c r="F16" i="6"/>
  <c r="D16" i="5" s="1"/>
  <c r="F8" i="6"/>
  <c r="D8" i="5" s="1"/>
  <c r="F6" i="6"/>
  <c r="D6" i="5" s="1"/>
  <c r="F7" i="6"/>
  <c r="D7" i="5" s="1"/>
  <c r="F2" i="6"/>
  <c r="D2" i="5" s="1"/>
  <c r="F5" i="6"/>
  <c r="D5" i="5" s="1"/>
  <c r="F4" i="6"/>
  <c r="D4" i="5" s="1"/>
  <c r="F3" i="6"/>
  <c r="D3" i="5" s="1"/>
  <c r="D18" i="4"/>
  <c r="D17" i="5"/>
  <c r="D14" i="5"/>
  <c r="D16" i="4"/>
  <c r="F18" i="6"/>
  <c r="F18" i="7"/>
  <c r="D11" i="6"/>
  <c r="D7" i="4"/>
  <c r="C18" i="6"/>
  <c r="G1" i="4"/>
  <c r="D1" i="5"/>
  <c r="D1" i="3"/>
  <c r="F1" i="2"/>
  <c r="C1" i="4"/>
  <c r="C1" i="2"/>
  <c r="C1" i="6"/>
  <c r="D9" i="4"/>
  <c r="D2" i="6"/>
  <c r="D12" i="6"/>
  <c r="D6" i="4"/>
  <c r="D18" i="7"/>
  <c r="E18" i="7"/>
  <c r="D14" i="4"/>
  <c r="D16" i="6"/>
  <c r="D10" i="4"/>
  <c r="D11" i="4"/>
  <c r="D15" i="4"/>
  <c r="D4" i="4"/>
  <c r="D8" i="4"/>
  <c r="C5" i="4"/>
  <c r="D5" i="4"/>
  <c r="C10" i="4"/>
  <c r="C14" i="4"/>
  <c r="C18" i="4"/>
  <c r="C4" i="4"/>
  <c r="C8" i="4"/>
  <c r="C11" i="4"/>
  <c r="C15" i="4"/>
  <c r="E4" i="1"/>
  <c r="D4" i="1"/>
  <c r="E14" i="6" l="1"/>
  <c r="C14" i="5" s="1"/>
  <c r="C14" i="3" s="1"/>
  <c r="E3" i="6"/>
  <c r="E4" i="6"/>
  <c r="G3" i="4"/>
  <c r="E15" i="4"/>
  <c r="E17" i="6"/>
  <c r="E6" i="6"/>
  <c r="E7" i="4" s="1"/>
  <c r="E15" i="6"/>
  <c r="E9" i="6"/>
  <c r="E16" i="6"/>
  <c r="G15" i="4"/>
  <c r="E5" i="6"/>
  <c r="E11" i="6"/>
  <c r="E7" i="6"/>
  <c r="E13" i="6"/>
  <c r="E12" i="6"/>
  <c r="D18" i="6"/>
  <c r="E2" i="6"/>
  <c r="E10" i="6"/>
  <c r="E8" i="6"/>
  <c r="D2" i="3"/>
  <c r="D19" i="4"/>
  <c r="D3" i="2" s="1"/>
  <c r="C19" i="4"/>
  <c r="C3" i="2" s="1"/>
  <c r="C2" i="2" s="1"/>
  <c r="C9" i="2" s="1"/>
  <c r="C6" i="5" l="1"/>
  <c r="C6" i="3" s="1"/>
  <c r="D8" i="3"/>
  <c r="G9" i="4"/>
  <c r="C17" i="5"/>
  <c r="C17" i="3" s="1"/>
  <c r="E18" i="4"/>
  <c r="C2" i="5"/>
  <c r="C2" i="3" s="1"/>
  <c r="E3" i="4"/>
  <c r="D11" i="3"/>
  <c r="G12" i="4"/>
  <c r="C12" i="5"/>
  <c r="C12" i="3" s="1"/>
  <c r="E13" i="4"/>
  <c r="G8" i="4"/>
  <c r="D7" i="3"/>
  <c r="C13" i="5"/>
  <c r="C13" i="3" s="1"/>
  <c r="E14" i="4"/>
  <c r="C9" i="5"/>
  <c r="C9" i="3" s="1"/>
  <c r="E10" i="4"/>
  <c r="D13" i="3"/>
  <c r="G14" i="4"/>
  <c r="G16" i="4"/>
  <c r="D15" i="3"/>
  <c r="C7" i="5"/>
  <c r="C7" i="3" s="1"/>
  <c r="E8" i="4"/>
  <c r="G17" i="4"/>
  <c r="D16" i="3"/>
  <c r="E18" i="6"/>
  <c r="D3" i="3"/>
  <c r="G4" i="4"/>
  <c r="C11" i="5"/>
  <c r="C11" i="3" s="1"/>
  <c r="E12" i="4"/>
  <c r="C16" i="5"/>
  <c r="C16" i="3" s="1"/>
  <c r="E17" i="4"/>
  <c r="D14" i="3"/>
  <c r="C15" i="5"/>
  <c r="C15" i="3" s="1"/>
  <c r="E16" i="4"/>
  <c r="F15" i="4"/>
  <c r="C4" i="5"/>
  <c r="C4" i="3" s="1"/>
  <c r="E5" i="4"/>
  <c r="D5" i="3"/>
  <c r="G6" i="4"/>
  <c r="G11" i="4"/>
  <c r="D10" i="3"/>
  <c r="E9" i="4"/>
  <c r="C8" i="5"/>
  <c r="C8" i="3" s="1"/>
  <c r="D9" i="3"/>
  <c r="G10" i="4"/>
  <c r="C5" i="5"/>
  <c r="C5" i="3" s="1"/>
  <c r="E6" i="4"/>
  <c r="D6" i="3"/>
  <c r="G7" i="4"/>
  <c r="G5" i="4"/>
  <c r="D4" i="3"/>
  <c r="D12" i="3"/>
  <c r="G13" i="4"/>
  <c r="E11" i="4"/>
  <c r="C10" i="5"/>
  <c r="C10" i="3" s="1"/>
  <c r="C3" i="5"/>
  <c r="C3" i="3" s="1"/>
  <c r="E4" i="4"/>
  <c r="D17" i="3"/>
  <c r="G18" i="4"/>
  <c r="F7" i="4"/>
  <c r="H3" i="4"/>
  <c r="G19" i="4" l="1"/>
  <c r="F3" i="2" s="1"/>
  <c r="H14" i="4"/>
  <c r="F17" i="4"/>
  <c r="F12" i="4"/>
  <c r="H16" i="4"/>
  <c r="F10" i="4"/>
  <c r="H9" i="4"/>
  <c r="F18" i="4"/>
  <c r="H5" i="4"/>
  <c r="H17" i="4"/>
  <c r="F6" i="4"/>
  <c r="H6" i="4"/>
  <c r="F14" i="4"/>
  <c r="F13" i="4"/>
  <c r="H13" i="4"/>
  <c r="F8" i="4"/>
  <c r="C18" i="3"/>
  <c r="E7" i="2" s="1"/>
  <c r="H4" i="4"/>
  <c r="D18" i="5"/>
  <c r="H7" i="4"/>
  <c r="H10" i="4"/>
  <c r="H12" i="4"/>
  <c r="F5" i="4"/>
  <c r="H18" i="4"/>
  <c r="H15" i="4"/>
  <c r="E19" i="4"/>
  <c r="F16" i="4"/>
  <c r="H11" i="4"/>
  <c r="F3" i="4"/>
  <c r="C18" i="5"/>
  <c r="H8" i="4"/>
  <c r="F11" i="4"/>
  <c r="F4" i="4"/>
  <c r="F9" i="4"/>
  <c r="F19" i="4" l="1"/>
  <c r="E4" i="2" s="1"/>
  <c r="E6" i="2" s="1"/>
  <c r="E3" i="2"/>
  <c r="D4" i="2"/>
  <c r="D2" i="2" s="1"/>
  <c r="H19" i="4"/>
  <c r="F4" i="2" s="1"/>
  <c r="F6" i="2" s="1"/>
  <c r="F9" i="2" s="1"/>
  <c r="F5" i="2" s="1"/>
  <c r="F2" i="2" s="1"/>
  <c r="D18" i="3"/>
  <c r="F7" i="2" s="1"/>
  <c r="E9" i="2" l="1"/>
  <c r="E5" i="2" s="1"/>
  <c r="E2" i="2" s="1"/>
</calcChain>
</file>

<file path=xl/sharedStrings.xml><?xml version="1.0" encoding="utf-8"?>
<sst xmlns="http://schemas.openxmlformats.org/spreadsheetml/2006/main" count="171" uniqueCount="41">
  <si>
    <t>Плата НВОС, всего</t>
  </si>
  <si>
    <t>рублей</t>
  </si>
  <si>
    <t>Объем добычи</t>
  </si>
  <si>
    <t>млн. м3</t>
  </si>
  <si>
    <t>плата НВОС в пределах нормативов</t>
  </si>
  <si>
    <t>Объем сжигания</t>
  </si>
  <si>
    <t>плата НВОС сверх нормативов</t>
  </si>
  <si>
    <t>КВ</t>
  </si>
  <si>
    <t>Азот (IV) оксид (Азота диоксид)</t>
  </si>
  <si>
    <t>тонн/год</t>
  </si>
  <si>
    <t>Азот (II) оксид (Азота оксид)</t>
  </si>
  <si>
    <t>Углерод (Сажа)</t>
  </si>
  <si>
    <t>Сера диоксид (Ангидрид сернистый)</t>
  </si>
  <si>
    <t>Дигидросульфид (Сероводород)</t>
  </si>
  <si>
    <t>Углерод оксид</t>
  </si>
  <si>
    <t>Углерод диоксид</t>
  </si>
  <si>
    <t>Метан</t>
  </si>
  <si>
    <t>Этан</t>
  </si>
  <si>
    <t>Пропан</t>
  </si>
  <si>
    <t>Бутан</t>
  </si>
  <si>
    <t>Пентан</t>
  </si>
  <si>
    <t>Смесь углеводородов предельных С6-С10</t>
  </si>
  <si>
    <t>Бенз/а/пирен (3,4-Бензпирен)</t>
  </si>
  <si>
    <t>Метантиол (Метилмеркаптан)</t>
  </si>
  <si>
    <t>Этантиол (Этилмеркаптан)</t>
  </si>
  <si>
    <t>сверх норматив с КПЗ</t>
  </si>
  <si>
    <t>Для сравнения с КВ</t>
  </si>
  <si>
    <t>Размер вреда</t>
  </si>
  <si>
    <t>коэф. ПЗ (покрытия затрат)</t>
  </si>
  <si>
    <t>Лимит</t>
  </si>
  <si>
    <t>Сверхнормы</t>
  </si>
  <si>
    <t>Вещество</t>
  </si>
  <si>
    <t>Всего выбросов:</t>
  </si>
  <si>
    <t>Сумма:</t>
  </si>
  <si>
    <r>
      <t xml:space="preserve">Объём выбросов </t>
    </r>
    <r>
      <rPr>
        <i/>
        <sz val="11"/>
        <color theme="1"/>
        <rFont val="Calibri"/>
        <family val="2"/>
        <charset val="204"/>
        <scheme val="minor"/>
      </rPr>
      <t>тонн</t>
    </r>
  </si>
  <si>
    <r>
      <t xml:space="preserve">Цена за вещество </t>
    </r>
    <r>
      <rPr>
        <i/>
        <sz val="11"/>
        <color theme="1"/>
        <rFont val="Calibri"/>
        <family val="2"/>
        <charset val="204"/>
        <scheme val="minor"/>
      </rPr>
      <t>руб./тонна</t>
    </r>
  </si>
  <si>
    <t>Сжигание в лимите, 5 % от добычи</t>
  </si>
  <si>
    <t>Всего вреда:</t>
  </si>
  <si>
    <t>До выраб. 2023</t>
  </si>
  <si>
    <t>После выраб. 2023</t>
  </si>
  <si>
    <t>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</si>
</sst>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₽_-;\-* #,##0.00\ _₽_-;_-* &quot;-&quot;??\ _₽_-;_-@_-"/>
    <numFmt numFmtId="165" formatCode="0.0"/>
    <numFmt numFmtId="166" formatCode="0.000"/>
    <numFmt numFmtId="167" formatCode="_-* #,##0.000\ _₽_-;\-* #,##0.000\ _₽_-;_-* &quot;-&quot;???\ _₽_-;_-@_-"/>
    <numFmt numFmtId="168" formatCode="0.0000"/>
    <numFmt numFmtId="169" formatCode="0.000000"/>
    <numFmt numFmtId="170" formatCode="0.0000000"/>
  </numFmts>
  <fonts count="19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i/>
      <sz val="11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i/>
      <sz val="8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b/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164" fontId="13" fillId="0" borderId="0" applyFont="0" applyFill="0" applyBorder="0" applyAlignment="0" applyProtection="0"/>
  </cellStyleXfs>
  <cellXfs count="160">
    <xf numFmtId="0" fontId="0" fillId="0" borderId="0" xfId="0"/>
    <xf numFmtId="164" fontId="0" fillId="0" borderId="0" xfId="0" applyNumberFormat="1"/>
    <xf numFmtId="167" fontId="0" fillId="0" borderId="0" xfId="0" applyNumberFormat="1"/>
    <xf numFmtId="2" fontId="0" fillId="0" borderId="3" xfId="0" applyNumberFormat="1" applyBorder="1"/>
    <xf numFmtId="2" fontId="0" fillId="0" borderId="0" xfId="0" applyNumberFormat="1"/>
    <xf numFmtId="2" fontId="0" fillId="0" borderId="2" xfId="0" applyNumberFormat="1" applyBorder="1"/>
    <xf numFmtId="4" fontId="0" fillId="7" borderId="3" xfId="0" applyNumberFormat="1" applyFill="1" applyBorder="1"/>
    <xf numFmtId="0" fontId="11" fillId="2" borderId="8" xfId="1" applyFont="1" applyFill="1" applyBorder="1" applyAlignment="1">
      <alignment horizontal="centerContinuous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2" borderId="20" xfId="1" applyFont="1" applyFill="1" applyBorder="1" applyAlignment="1">
      <alignment horizontal="centerContinuous" vertical="center" wrapText="1"/>
    </xf>
    <xf numFmtId="0" fontId="0" fillId="0" borderId="29" xfId="0" applyBorder="1" applyAlignment="1">
      <alignment horizontal="centerContinuous"/>
    </xf>
    <xf numFmtId="0" fontId="8" fillId="9" borderId="14" xfId="1" applyFont="1" applyFill="1" applyBorder="1" applyAlignment="1">
      <alignment horizontal="center" vertical="center" wrapText="1"/>
    </xf>
    <xf numFmtId="0" fontId="10" fillId="9" borderId="14" xfId="1" applyFont="1" applyFill="1" applyBorder="1" applyAlignment="1">
      <alignment horizontal="center" vertical="center" wrapText="1"/>
    </xf>
    <xf numFmtId="0" fontId="8" fillId="9" borderId="22" xfId="1" applyFont="1" applyFill="1" applyBorder="1" applyAlignment="1">
      <alignment horizontal="center" vertical="center" wrapText="1"/>
    </xf>
    <xf numFmtId="0" fontId="16" fillId="5" borderId="15" xfId="1" applyFont="1" applyFill="1" applyBorder="1" applyAlignment="1">
      <alignment horizontal="center" vertical="center"/>
    </xf>
    <xf numFmtId="0" fontId="16" fillId="5" borderId="24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Continuous" vertical="center"/>
    </xf>
    <xf numFmtId="2" fontId="0" fillId="0" borderId="19" xfId="0" applyNumberFormat="1" applyBorder="1"/>
    <xf numFmtId="0" fontId="8" fillId="9" borderId="12" xfId="1" applyFont="1" applyFill="1" applyBorder="1" applyAlignment="1">
      <alignment horizontal="center" vertical="center" wrapText="1"/>
    </xf>
    <xf numFmtId="2" fontId="0" fillId="0" borderId="6" xfId="0" applyNumberFormat="1" applyBorder="1"/>
    <xf numFmtId="0" fontId="0" fillId="0" borderId="19" xfId="0" applyBorder="1" applyAlignment="1">
      <alignment horizontal="center" vertical="center"/>
    </xf>
    <xf numFmtId="0" fontId="8" fillId="9" borderId="16" xfId="1" applyFont="1" applyFill="1" applyBorder="1" applyAlignment="1">
      <alignment horizontal="center" vertical="center" wrapText="1"/>
    </xf>
    <xf numFmtId="2" fontId="0" fillId="0" borderId="7" xfId="0" applyNumberFormat="1" applyBorder="1"/>
    <xf numFmtId="0" fontId="15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Continuous" vertical="center"/>
    </xf>
    <xf numFmtId="0" fontId="15" fillId="0" borderId="19" xfId="0" applyFont="1" applyBorder="1" applyAlignment="1">
      <alignment horizontal="center" vertical="center"/>
    </xf>
    <xf numFmtId="2" fontId="15" fillId="0" borderId="6" xfId="0" applyNumberFormat="1" applyFont="1" applyBorder="1"/>
    <xf numFmtId="2" fontId="15" fillId="0" borderId="3" xfId="0" applyNumberFormat="1" applyFont="1" applyBorder="1"/>
    <xf numFmtId="2" fontId="15" fillId="0" borderId="7" xfId="0" applyNumberFormat="1" applyFont="1" applyBorder="1"/>
    <xf numFmtId="0" fontId="0" fillId="0" borderId="25" xfId="0" applyBorder="1" applyAlignment="1">
      <alignment horizontal="centerContinuous" vertical="center"/>
    </xf>
    <xf numFmtId="0" fontId="0" fillId="0" borderId="26" xfId="0" applyBorder="1" applyAlignment="1">
      <alignment horizontal="center" vertical="center"/>
    </xf>
    <xf numFmtId="2" fontId="0" fillId="0" borderId="5" xfId="0" applyNumberFormat="1" applyBorder="1"/>
    <xf numFmtId="2" fontId="0" fillId="0" borderId="28" xfId="0" applyNumberFormat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4" xfId="0" applyNumberFormat="1" applyBorder="1"/>
    <xf numFmtId="2" fontId="0" fillId="0" borderId="1" xfId="0" applyNumberFormat="1" applyBorder="1"/>
    <xf numFmtId="2" fontId="0" fillId="0" borderId="30" xfId="0" applyNumberFormat="1" applyBorder="1"/>
    <xf numFmtId="0" fontId="16" fillId="5" borderId="13" xfId="1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Continuous"/>
    </xf>
    <xf numFmtId="168" fontId="15" fillId="0" borderId="3" xfId="0" applyNumberFormat="1" applyFont="1" applyBorder="1"/>
    <xf numFmtId="168" fontId="0" fillId="0" borderId="0" xfId="0" applyNumberFormat="1"/>
    <xf numFmtId="170" fontId="0" fillId="0" borderId="0" xfId="0" applyNumberFormat="1"/>
    <xf numFmtId="0" fontId="12" fillId="3" borderId="8" xfId="0" applyFont="1" applyFill="1" applyBorder="1" applyAlignment="1">
      <alignment horizontal="center" vertical="center"/>
    </xf>
    <xf numFmtId="0" fontId="11" fillId="0" borderId="8" xfId="1" applyFont="1" applyBorder="1" applyAlignment="1">
      <alignment horizontal="centerContinuous" vertical="center" wrapText="1"/>
    </xf>
    <xf numFmtId="0" fontId="11" fillId="0" borderId="0" xfId="1" applyFont="1" applyAlignment="1">
      <alignment vertical="center" wrapText="1"/>
    </xf>
    <xf numFmtId="0" fontId="11" fillId="0" borderId="20" xfId="1" applyFont="1" applyBorder="1" applyAlignment="1">
      <alignment horizontal="centerContinuous" vertical="center" wrapText="1"/>
    </xf>
    <xf numFmtId="169" fontId="15" fillId="0" borderId="3" xfId="0" applyNumberFormat="1" applyFont="1" applyBorder="1"/>
    <xf numFmtId="169" fontId="15" fillId="0" borderId="19" xfId="0" applyNumberFormat="1" applyFont="1" applyBorder="1"/>
    <xf numFmtId="0" fontId="8" fillId="0" borderId="15" xfId="1" applyFont="1" applyBorder="1" applyAlignment="1">
      <alignment horizontal="center" vertical="center"/>
    </xf>
    <xf numFmtId="0" fontId="0" fillId="0" borderId="24" xfId="0" applyBorder="1" applyAlignment="1">
      <alignment horizontal="centerContinuous"/>
    </xf>
    <xf numFmtId="0" fontId="8" fillId="0" borderId="17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Continuous" vertical="center"/>
    </xf>
    <xf numFmtId="165" fontId="15" fillId="0" borderId="3" xfId="0" applyNumberFormat="1" applyFont="1" applyBorder="1"/>
    <xf numFmtId="169" fontId="15" fillId="0" borderId="7" xfId="0" applyNumberFormat="1" applyFont="1" applyBorder="1"/>
    <xf numFmtId="0" fontId="8" fillId="0" borderId="24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6" fillId="0" borderId="22" xfId="1" applyFont="1" applyBorder="1" applyAlignment="1">
      <alignment horizontal="centerContinuous" vertical="center" wrapText="1"/>
    </xf>
    <xf numFmtId="0" fontId="4" fillId="0" borderId="12" xfId="0" applyFont="1" applyBorder="1" applyAlignment="1">
      <alignment horizontal="left" vertical="center"/>
    </xf>
    <xf numFmtId="165" fontId="5" fillId="0" borderId="13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left" vertical="center"/>
    </xf>
    <xf numFmtId="165" fontId="5" fillId="0" borderId="15" xfId="0" applyNumberFormat="1" applyFont="1" applyBorder="1" applyAlignment="1">
      <alignment horizontal="center" vertical="center"/>
    </xf>
    <xf numFmtId="0" fontId="6" fillId="7" borderId="14" xfId="1" applyFont="1" applyFill="1" applyBorder="1" applyAlignment="1">
      <alignment horizontal="left" vertical="center" wrapText="1"/>
    </xf>
    <xf numFmtId="0" fontId="2" fillId="7" borderId="14" xfId="1" applyFont="1" applyFill="1" applyBorder="1" applyAlignment="1">
      <alignment horizontal="left" vertical="center" wrapText="1"/>
    </xf>
    <xf numFmtId="0" fontId="6" fillId="7" borderId="22" xfId="1" applyFont="1" applyFill="1" applyBorder="1" applyAlignment="1">
      <alignment horizontal="left" vertical="center" wrapText="1"/>
    </xf>
    <xf numFmtId="0" fontId="2" fillId="7" borderId="12" xfId="1" applyFont="1" applyFill="1" applyBorder="1" applyAlignment="1">
      <alignment horizontal="left" vertical="center" wrapText="1"/>
    </xf>
    <xf numFmtId="4" fontId="0" fillId="7" borderId="6" xfId="0" applyNumberFormat="1" applyFill="1" applyBorder="1"/>
    <xf numFmtId="0" fontId="0" fillId="7" borderId="9" xfId="0" applyFill="1" applyBorder="1" applyAlignment="1">
      <alignment horizontal="center" vertical="center"/>
    </xf>
    <xf numFmtId="0" fontId="3" fillId="7" borderId="13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0" fontId="7" fillId="7" borderId="24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 wrapText="1"/>
    </xf>
    <xf numFmtId="0" fontId="10" fillId="0" borderId="0" xfId="1" applyFont="1" applyAlignment="1">
      <alignment horizontal="center" vertical="center" wrapText="1"/>
    </xf>
    <xf numFmtId="165" fontId="9" fillId="0" borderId="0" xfId="0" applyNumberFormat="1" applyFont="1" applyAlignment="1">
      <alignment vertical="center" wrapText="1"/>
    </xf>
    <xf numFmtId="168" fontId="9" fillId="0" borderId="0" xfId="0" applyNumberFormat="1" applyFont="1" applyAlignment="1">
      <alignment horizontal="right" vertical="center" wrapText="1"/>
    </xf>
    <xf numFmtId="169" fontId="9" fillId="0" borderId="0" xfId="0" applyNumberFormat="1" applyFont="1" applyAlignment="1">
      <alignment horizontal="right" vertical="center" wrapText="1"/>
    </xf>
    <xf numFmtId="0" fontId="0" fillId="8" borderId="11" xfId="0" applyFill="1" applyBorder="1" applyAlignment="1">
      <alignment horizontal="centerContinuous" vertical="center"/>
    </xf>
    <xf numFmtId="0" fontId="0" fillId="8" borderId="27" xfId="0" applyFill="1" applyBorder="1" applyAlignment="1">
      <alignment horizontal="centerContinuous" vertical="center"/>
    </xf>
    <xf numFmtId="0" fontId="0" fillId="0" borderId="27" xfId="0" applyBorder="1" applyAlignment="1">
      <alignment horizontal="centerContinuous" vertical="center"/>
    </xf>
    <xf numFmtId="0" fontId="0" fillId="7" borderId="8" xfId="0" applyFill="1" applyBorder="1" applyAlignment="1">
      <alignment horizontal="center" vertical="center"/>
    </xf>
    <xf numFmtId="4" fontId="0" fillId="7" borderId="12" xfId="0" applyNumberFormat="1" applyFill="1" applyBorder="1"/>
    <xf numFmtId="4" fontId="0" fillId="7" borderId="14" xfId="0" applyNumberFormat="1" applyFill="1" applyBorder="1"/>
    <xf numFmtId="4" fontId="0" fillId="7" borderId="14" xfId="0" applyNumberFormat="1" applyFill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43" fontId="14" fillId="6" borderId="6" xfId="0" applyNumberFormat="1" applyFont="1" applyFill="1" applyBorder="1" applyProtection="1">
      <protection locked="0"/>
    </xf>
    <xf numFmtId="43" fontId="14" fillId="6" borderId="3" xfId="0" applyNumberFormat="1" applyFont="1" applyFill="1" applyBorder="1" applyProtection="1">
      <protection locked="0"/>
    </xf>
    <xf numFmtId="43" fontId="14" fillId="6" borderId="3" xfId="2" applyNumberFormat="1" applyFont="1" applyFill="1" applyBorder="1" applyAlignment="1" applyProtection="1">
      <protection locked="0"/>
    </xf>
    <xf numFmtId="0" fontId="0" fillId="8" borderId="6" xfId="0" applyFill="1" applyBorder="1"/>
    <xf numFmtId="0" fontId="15" fillId="0" borderId="26" xfId="0" applyFont="1" applyBorder="1" applyAlignment="1">
      <alignment horizontal="center" vertical="center"/>
    </xf>
    <xf numFmtId="0" fontId="15" fillId="0" borderId="5" xfId="0" applyFont="1" applyBorder="1"/>
    <xf numFmtId="0" fontId="15" fillId="0" borderId="2" xfId="0" applyFont="1" applyBorder="1"/>
    <xf numFmtId="0" fontId="15" fillId="0" borderId="26" xfId="0" applyFont="1" applyBorder="1"/>
    <xf numFmtId="0" fontId="15" fillId="8" borderId="5" xfId="0" applyFont="1" applyFill="1" applyBorder="1"/>
    <xf numFmtId="0" fontId="0" fillId="4" borderId="10" xfId="0" applyFill="1" applyBorder="1" applyAlignment="1">
      <alignment horizontal="center" vertical="center" wrapText="1"/>
    </xf>
    <xf numFmtId="2" fontId="0" fillId="8" borderId="31" xfId="0" applyNumberFormat="1" applyFill="1" applyBorder="1"/>
    <xf numFmtId="2" fontId="15" fillId="8" borderId="18" xfId="0" applyNumberFormat="1" applyFont="1" applyFill="1" applyBorder="1"/>
    <xf numFmtId="2" fontId="0" fillId="8" borderId="25" xfId="0" applyNumberFormat="1" applyFill="1" applyBorder="1"/>
    <xf numFmtId="2" fontId="0" fillId="8" borderId="18" xfId="0" applyNumberFormat="1" applyFill="1" applyBorder="1"/>
    <xf numFmtId="2" fontId="15" fillId="0" borderId="12" xfId="0" applyNumberFormat="1" applyFont="1" applyBorder="1"/>
    <xf numFmtId="2" fontId="15" fillId="0" borderId="14" xfId="0" applyNumberFormat="1" applyFont="1" applyBorder="1"/>
    <xf numFmtId="168" fontId="15" fillId="0" borderId="14" xfId="0" applyNumberFormat="1" applyFont="1" applyBorder="1"/>
    <xf numFmtId="170" fontId="15" fillId="0" borderId="14" xfId="0" applyNumberFormat="1" applyFont="1" applyBorder="1"/>
    <xf numFmtId="170" fontId="15" fillId="0" borderId="16" xfId="0" applyNumberFormat="1" applyFont="1" applyBorder="1"/>
    <xf numFmtId="2" fontId="15" fillId="8" borderId="21" xfId="0" applyNumberFormat="1" applyFont="1" applyFill="1" applyBorder="1"/>
    <xf numFmtId="2" fontId="18" fillId="5" borderId="12" xfId="0" applyNumberFormat="1" applyFont="1" applyFill="1" applyBorder="1"/>
    <xf numFmtId="2" fontId="18" fillId="5" borderId="14" xfId="0" applyNumberFormat="1" applyFont="1" applyFill="1" applyBorder="1"/>
    <xf numFmtId="168" fontId="18" fillId="5" borderId="14" xfId="0" applyNumberFormat="1" applyFont="1" applyFill="1" applyBorder="1"/>
    <xf numFmtId="169" fontId="18" fillId="5" borderId="14" xfId="0" applyNumberFormat="1" applyFont="1" applyFill="1" applyBorder="1"/>
    <xf numFmtId="169" fontId="18" fillId="5" borderId="22" xfId="0" applyNumberFormat="1" applyFont="1" applyFill="1" applyBorder="1"/>
    <xf numFmtId="2" fontId="18" fillId="10" borderId="21" xfId="0" applyNumberFormat="1" applyFont="1" applyFill="1" applyBorder="1"/>
    <xf numFmtId="2" fontId="9" fillId="5" borderId="21" xfId="0" applyNumberFormat="1" applyFont="1" applyFill="1" applyBorder="1" applyAlignment="1">
      <alignment horizontal="right" vertical="center" wrapText="1"/>
    </xf>
    <xf numFmtId="2" fontId="15" fillId="0" borderId="18" xfId="0" applyNumberFormat="1" applyFont="1" applyBorder="1"/>
    <xf numFmtId="2" fontId="9" fillId="5" borderId="14" xfId="0" applyNumberFormat="1" applyFont="1" applyFill="1" applyBorder="1" applyAlignment="1">
      <alignment horizontal="right" vertical="center" wrapText="1"/>
    </xf>
    <xf numFmtId="165" fontId="9" fillId="5" borderId="14" xfId="0" applyNumberFormat="1" applyFont="1" applyFill="1" applyBorder="1" applyAlignment="1">
      <alignment vertical="center" wrapText="1"/>
    </xf>
    <xf numFmtId="168" fontId="9" fillId="5" borderId="14" xfId="0" applyNumberFormat="1" applyFont="1" applyFill="1" applyBorder="1" applyAlignment="1">
      <alignment horizontal="right" vertical="center" wrapText="1"/>
    </xf>
    <xf numFmtId="169" fontId="9" fillId="5" borderId="14" xfId="0" applyNumberFormat="1" applyFont="1" applyFill="1" applyBorder="1" applyAlignment="1">
      <alignment horizontal="right" vertical="center" wrapText="1"/>
    </xf>
    <xf numFmtId="169" fontId="9" fillId="5" borderId="16" xfId="0" applyNumberFormat="1" applyFont="1" applyFill="1" applyBorder="1" applyAlignment="1">
      <alignment horizontal="right" vertical="center" wrapText="1"/>
    </xf>
    <xf numFmtId="2" fontId="0" fillId="10" borderId="21" xfId="0" applyNumberFormat="1" applyFill="1" applyBorder="1"/>
    <xf numFmtId="0" fontId="0" fillId="0" borderId="8" xfId="0" applyBorder="1" applyAlignment="1">
      <alignment horizontal="center" vertical="center"/>
    </xf>
    <xf numFmtId="43" fontId="14" fillId="5" borderId="12" xfId="0" applyNumberFormat="1" applyFont="1" applyFill="1" applyBorder="1"/>
    <xf numFmtId="43" fontId="14" fillId="5" borderId="14" xfId="0" applyNumberFormat="1" applyFont="1" applyFill="1" applyBorder="1"/>
    <xf numFmtId="164" fontId="0" fillId="0" borderId="14" xfId="0" applyNumberFormat="1" applyBorder="1"/>
    <xf numFmtId="164" fontId="0" fillId="0" borderId="3" xfId="0" applyNumberFormat="1" applyBorder="1"/>
    <xf numFmtId="169" fontId="0" fillId="0" borderId="0" xfId="0" applyNumberFormat="1"/>
    <xf numFmtId="2" fontId="15" fillId="0" borderId="0" xfId="0" applyNumberFormat="1" applyFont="1"/>
    <xf numFmtId="0" fontId="0" fillId="0" borderId="33" xfId="0" applyBorder="1" applyAlignment="1">
      <alignment horizontal="center" vertical="center"/>
    </xf>
    <xf numFmtId="2" fontId="0" fillId="0" borderId="33" xfId="0" applyNumberFormat="1" applyBorder="1"/>
    <xf numFmtId="168" fontId="0" fillId="0" borderId="33" xfId="0" applyNumberFormat="1" applyBorder="1"/>
    <xf numFmtId="169" fontId="0" fillId="0" borderId="33" xfId="0" applyNumberFormat="1" applyBorder="1"/>
    <xf numFmtId="2" fontId="15" fillId="0" borderId="33" xfId="0" applyNumberFormat="1" applyFont="1" applyBorder="1"/>
    <xf numFmtId="165" fontId="0" fillId="0" borderId="0" xfId="0" applyNumberFormat="1"/>
    <xf numFmtId="165" fontId="0" fillId="0" borderId="33" xfId="0" applyNumberFormat="1" applyBorder="1"/>
    <xf numFmtId="43" fontId="14" fillId="0" borderId="33" xfId="0" applyNumberFormat="1" applyFont="1" applyBorder="1" applyProtection="1">
      <protection locked="0"/>
    </xf>
    <xf numFmtId="43" fontId="14" fillId="0" borderId="0" xfId="0" applyNumberFormat="1" applyFont="1" applyProtection="1">
      <protection locked="0"/>
    </xf>
    <xf numFmtId="164" fontId="0" fillId="0" borderId="33" xfId="0" applyNumberFormat="1" applyBorder="1"/>
    <xf numFmtId="170" fontId="0" fillId="0" borderId="33" xfId="0" applyNumberFormat="1" applyBorder="1"/>
    <xf numFmtId="0" fontId="0" fillId="0" borderId="33" xfId="0" applyBorder="1"/>
    <xf numFmtId="2" fontId="0" fillId="0" borderId="33" xfId="0" quotePrefix="1" applyNumberFormat="1" applyBorder="1"/>
    <xf numFmtId="0" fontId="0" fillId="0" borderId="3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19" xfId="0" applyBorder="1"/>
    <xf numFmtId="2" fontId="0" fillId="8" borderId="6" xfId="0" applyNumberFormat="1" applyFill="1" applyBorder="1"/>
    <xf numFmtId="4" fontId="0" fillId="0" borderId="0" xfId="0" applyNumberFormat="1"/>
    <xf numFmtId="0" fontId="12" fillId="3" borderId="21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</cellXfs>
  <cellStyles count="3">
    <cellStyle name="Обычный" xfId="0" builtinId="0"/>
    <cellStyle name="Обычный_ДН-1-7 от 03.11.2004 добыча 13070т.т.по ОАО СНГ" xfId="1" xr:uid="{00000000-0005-0000-0000-000001000000}"/>
    <cellStyle name="Финансовый" xfId="2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tabSelected="1" zoomScaleNormal="100" workbookViewId="0">
      <selection activeCell="D10" sqref="D10"/>
    </sheetView>
  </sheetViews>
  <sheetFormatPr defaultRowHeight="14.4" x14ac:dyDescent="0.3"/>
  <cols>
    <col min="1" max="1" width="33" customWidth="1"/>
    <col min="2" max="2" width="10.77734375" customWidth="1"/>
    <col min="3" max="15" width="17.77734375" customWidth="1"/>
    <col min="16" max="16" width="14.5546875" bestFit="1" customWidth="1"/>
  </cols>
  <sheetData>
    <row r="1" spans="1:15" ht="30" customHeight="1" thickBot="1" x14ac:dyDescent="0.35">
      <c r="A1" s="22"/>
      <c r="B1" s="88" t="s">
        <v>40</v>
      </c>
      <c r="C1" s="129">
        <v>2022</v>
      </c>
      <c r="D1" s="8" t="s">
        <v>38</v>
      </c>
      <c r="E1" s="8" t="s">
        <v>39</v>
      </c>
      <c r="F1" s="8">
        <v>2024</v>
      </c>
      <c r="G1" s="136"/>
      <c r="H1" s="17"/>
      <c r="I1" s="17"/>
      <c r="J1" s="17"/>
      <c r="K1" s="17"/>
      <c r="L1" s="17"/>
      <c r="M1" s="17"/>
      <c r="N1" s="17"/>
      <c r="O1" s="17"/>
    </row>
    <row r="2" spans="1:15" ht="15" customHeight="1" x14ac:dyDescent="0.3">
      <c r="A2" s="65" t="s">
        <v>2</v>
      </c>
      <c r="B2" s="66" t="s">
        <v>3</v>
      </c>
      <c r="C2" s="130">
        <v>0</v>
      </c>
      <c r="D2" s="95">
        <v>0</v>
      </c>
      <c r="E2" s="95">
        <v>0</v>
      </c>
      <c r="F2" s="95">
        <v>0</v>
      </c>
      <c r="G2" s="143"/>
      <c r="H2" s="144"/>
      <c r="I2" s="144"/>
      <c r="J2" s="144"/>
      <c r="K2" s="144"/>
      <c r="L2" s="144"/>
      <c r="M2" s="144"/>
      <c r="N2" s="144"/>
      <c r="O2" s="144"/>
    </row>
    <row r="3" spans="1:15" ht="15" customHeight="1" x14ac:dyDescent="0.3">
      <c r="A3" s="67" t="s">
        <v>5</v>
      </c>
      <c r="B3" s="68" t="s">
        <v>3</v>
      </c>
      <c r="C3" s="131">
        <v>0</v>
      </c>
      <c r="D3" s="96">
        <v>0</v>
      </c>
      <c r="E3" s="97">
        <v>0</v>
      </c>
      <c r="F3" s="96">
        <v>0</v>
      </c>
      <c r="G3" s="143"/>
      <c r="H3" s="144"/>
      <c r="I3" s="144"/>
      <c r="J3" s="144"/>
      <c r="K3" s="144"/>
      <c r="L3" s="144"/>
      <c r="M3" s="144"/>
      <c r="N3" s="144"/>
      <c r="O3" s="144"/>
    </row>
    <row r="4" spans="1:15" ht="15" customHeight="1" thickBot="1" x14ac:dyDescent="0.35">
      <c r="A4" s="64" t="s">
        <v>36</v>
      </c>
      <c r="B4" s="54"/>
      <c r="C4" s="132"/>
      <c r="D4" s="133">
        <f t="shared" ref="D4:F4" si="0">D2*5/100</f>
        <v>0</v>
      </c>
      <c r="E4" s="133">
        <f t="shared" si="0"/>
        <v>0</v>
      </c>
      <c r="F4" s="133">
        <f t="shared" si="0"/>
        <v>0</v>
      </c>
      <c r="G4" s="145"/>
      <c r="H4" s="1"/>
      <c r="I4" s="1"/>
      <c r="J4" s="1"/>
      <c r="K4" s="1"/>
      <c r="L4" s="1"/>
      <c r="M4" s="1"/>
      <c r="N4" s="1"/>
      <c r="O4" s="1"/>
    </row>
    <row r="6" spans="1:15" x14ac:dyDescent="0.3">
      <c r="A6" s="78"/>
      <c r="B6" s="17"/>
      <c r="C6" s="17"/>
    </row>
    <row r="7" spans="1:15" x14ac:dyDescent="0.3">
      <c r="A7" s="79"/>
      <c r="B7" s="80"/>
      <c r="C7" s="81"/>
    </row>
    <row r="8" spans="1:15" x14ac:dyDescent="0.3">
      <c r="A8" s="79"/>
      <c r="B8" s="80"/>
      <c r="C8" s="81"/>
    </row>
    <row r="9" spans="1:15" x14ac:dyDescent="0.3">
      <c r="A9" s="82"/>
      <c r="B9" s="80"/>
      <c r="C9" s="83"/>
    </row>
    <row r="10" spans="1:15" x14ac:dyDescent="0.3">
      <c r="A10" s="82"/>
      <c r="B10" s="80"/>
      <c r="C10" s="81"/>
    </row>
    <row r="11" spans="1:15" x14ac:dyDescent="0.3">
      <c r="A11" s="82"/>
      <c r="B11" s="80"/>
      <c r="C11" s="84"/>
    </row>
    <row r="12" spans="1:15" x14ac:dyDescent="0.3">
      <c r="A12" s="79"/>
      <c r="B12" s="80"/>
      <c r="C12" s="81"/>
    </row>
    <row r="13" spans="1:15" x14ac:dyDescent="0.3">
      <c r="A13" s="79"/>
      <c r="B13" s="80"/>
      <c r="C13" s="81"/>
    </row>
    <row r="14" spans="1:15" x14ac:dyDescent="0.3">
      <c r="A14" s="79"/>
      <c r="B14" s="80"/>
      <c r="C14" s="81"/>
    </row>
    <row r="15" spans="1:15" x14ac:dyDescent="0.3">
      <c r="A15" s="79"/>
      <c r="B15" s="80"/>
      <c r="C15" s="81"/>
    </row>
    <row r="16" spans="1:15" x14ac:dyDescent="0.3">
      <c r="A16" s="79"/>
      <c r="B16" s="80"/>
      <c r="C16" s="81"/>
    </row>
    <row r="17" spans="1:12" x14ac:dyDescent="0.3">
      <c r="A17" s="79"/>
      <c r="B17" s="80"/>
      <c r="C17" s="81"/>
    </row>
    <row r="18" spans="1:12" x14ac:dyDescent="0.3">
      <c r="A18" s="79"/>
      <c r="B18" s="80"/>
      <c r="C18" s="81"/>
    </row>
    <row r="19" spans="1:12" x14ac:dyDescent="0.3">
      <c r="A19" s="79"/>
      <c r="B19" s="80"/>
      <c r="C19" s="81"/>
    </row>
    <row r="20" spans="1:12" x14ac:dyDescent="0.3">
      <c r="A20" s="79"/>
      <c r="B20" s="80"/>
      <c r="C20" s="85"/>
    </row>
    <row r="21" spans="1:12" x14ac:dyDescent="0.3">
      <c r="A21" s="79"/>
      <c r="B21" s="80"/>
      <c r="C21" s="85"/>
    </row>
    <row r="22" spans="1:12" x14ac:dyDescent="0.3">
      <c r="A22" s="79"/>
      <c r="B22" s="80"/>
      <c r="C22" s="85"/>
    </row>
    <row r="25" spans="1:12" x14ac:dyDescent="0.3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pans="1:12" x14ac:dyDescent="0.3">
      <c r="K26" s="62"/>
      <c r="L26" s="62"/>
    </row>
    <row r="27" spans="1:12" x14ac:dyDescent="0.3">
      <c r="K27" s="2"/>
      <c r="L27" s="2"/>
    </row>
    <row r="28" spans="1:12" x14ac:dyDescent="0.3">
      <c r="K28" s="2"/>
      <c r="L28" s="2"/>
    </row>
    <row r="29" spans="1:12" x14ac:dyDescent="0.3">
      <c r="K29" s="2"/>
      <c r="L29" s="2"/>
    </row>
    <row r="30" spans="1:12" x14ac:dyDescent="0.3">
      <c r="K30" s="2"/>
      <c r="L30" s="2"/>
    </row>
    <row r="31" spans="1:12" x14ac:dyDescent="0.3">
      <c r="K31" s="2"/>
      <c r="L31" s="2"/>
    </row>
    <row r="32" spans="1:12" x14ac:dyDescent="0.3">
      <c r="K32" s="2"/>
      <c r="L32" s="2"/>
    </row>
    <row r="33" spans="1:12" x14ac:dyDescent="0.3">
      <c r="K33" s="2"/>
      <c r="L33" s="2"/>
    </row>
    <row r="34" spans="1:12" x14ac:dyDescent="0.3">
      <c r="K34" s="2"/>
      <c r="L34" s="2"/>
    </row>
    <row r="35" spans="1:12" x14ac:dyDescent="0.3">
      <c r="K35" s="2"/>
      <c r="L35" s="2"/>
    </row>
    <row r="44" spans="1:12" ht="14.4" customHeight="1" x14ac:dyDescent="0.3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</row>
    <row r="63" spans="1:11" ht="14.4" customHeight="1" x14ac:dyDescent="0.3">
      <c r="K63" s="1"/>
    </row>
    <row r="64" spans="1:11" x14ac:dyDescent="0.3">
      <c r="A64" s="63"/>
    </row>
    <row r="107" spans="11:16" ht="14.4" customHeight="1" x14ac:dyDescent="0.3"/>
    <row r="108" spans="11:16" x14ac:dyDescent="0.3">
      <c r="K108" s="4"/>
    </row>
    <row r="109" spans="11:16" x14ac:dyDescent="0.3">
      <c r="K109" s="4"/>
      <c r="M109" s="4"/>
      <c r="O109" s="4"/>
      <c r="P109" s="4"/>
    </row>
  </sheetData>
  <conditionalFormatting sqref="A3:A4">
    <cfRule type="cellIs" dxfId="1" priority="3" stopIfTrue="1" operator="lessThan">
      <formula>0</formula>
    </cfRule>
  </conditionalFormatting>
  <conditionalFormatting sqref="E3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A241-99A1-4A53-A6DA-DF74B15DBA26}">
  <dimension ref="A1:O18"/>
  <sheetViews>
    <sheetView workbookViewId="0">
      <selection activeCell="F1" sqref="F1:F18"/>
    </sheetView>
  </sheetViews>
  <sheetFormatPr defaultRowHeight="14.4" x14ac:dyDescent="0.3"/>
  <cols>
    <col min="1" max="1" width="35.77734375" customWidth="1"/>
    <col min="3" max="3" width="15.77734375" customWidth="1"/>
    <col min="4" max="5" width="17.77734375" customWidth="1"/>
    <col min="6" max="15" width="15.77734375" customWidth="1"/>
  </cols>
  <sheetData>
    <row r="1" spans="1:15" ht="30" customHeight="1" thickBot="1" x14ac:dyDescent="0.35">
      <c r="A1" s="47" t="s">
        <v>31</v>
      </c>
      <c r="B1" s="9" t="s">
        <v>40</v>
      </c>
      <c r="C1" s="94">
        <f>'Исходные данные'!C1</f>
        <v>2022</v>
      </c>
      <c r="D1" s="57" t="str">
        <f>'Исходные данные'!D1</f>
        <v>До выраб. 2023</v>
      </c>
      <c r="E1" s="58" t="str">
        <f>'Исходные данные'!E1</f>
        <v>После выраб. 2023</v>
      </c>
      <c r="F1" s="8">
        <f>'Исходные данные'!F1</f>
        <v>2024</v>
      </c>
      <c r="G1" s="136"/>
      <c r="H1" s="17"/>
      <c r="I1" s="17"/>
      <c r="J1" s="17"/>
      <c r="K1" s="17"/>
      <c r="L1" s="17"/>
      <c r="M1" s="17"/>
      <c r="N1" s="17"/>
      <c r="O1" s="17"/>
    </row>
    <row r="2" spans="1:15" ht="15" customHeight="1" x14ac:dyDescent="0.3">
      <c r="A2" s="20" t="s">
        <v>8</v>
      </c>
      <c r="B2" s="56" t="s">
        <v>9</v>
      </c>
      <c r="C2" s="121">
        <v>0</v>
      </c>
      <c r="D2" s="122" t="e">
        <f>'Исходные данные'!D$3*$C2/'Исходные данные'!$C$3</f>
        <v>#DIV/0!</v>
      </c>
      <c r="E2" s="122" t="e">
        <f>'Исходные данные'!E$3*$C2/'Исходные данные'!$C$3</f>
        <v>#DIV/0!</v>
      </c>
      <c r="F2" s="21">
        <f>IFERROR('Исходные данные'!F$3*$C2/'Исходные данные'!$C$3,0)</f>
        <v>0</v>
      </c>
      <c r="G2" s="137"/>
      <c r="H2" s="4"/>
      <c r="I2" s="4"/>
      <c r="J2" s="4"/>
      <c r="K2" s="4"/>
      <c r="L2" s="4"/>
      <c r="M2" s="4"/>
      <c r="N2" s="4"/>
      <c r="O2" s="4"/>
    </row>
    <row r="3" spans="1:15" ht="15" customHeight="1" x14ac:dyDescent="0.3">
      <c r="A3" s="12" t="s">
        <v>10</v>
      </c>
      <c r="B3" s="53" t="s">
        <v>9</v>
      </c>
      <c r="C3" s="123">
        <v>0</v>
      </c>
      <c r="D3" s="29" t="e">
        <f>'Исходные данные'!D$3*$C3/'Исходные данные'!$C$3</f>
        <v>#DIV/0!</v>
      </c>
      <c r="E3" s="29" t="e">
        <f>'Исходные данные'!E$3*$C3/'Исходные данные'!$C$3</f>
        <v>#DIV/0!</v>
      </c>
      <c r="F3" s="3">
        <f>IFERROR('Исходные данные'!F$3*$C3/'Исходные данные'!$C$3,0)</f>
        <v>0</v>
      </c>
      <c r="G3" s="137"/>
      <c r="H3" s="4"/>
      <c r="I3" s="4"/>
      <c r="J3" s="4"/>
      <c r="K3" s="4"/>
      <c r="L3" s="4"/>
      <c r="M3" s="4"/>
      <c r="N3" s="4"/>
      <c r="O3" s="4"/>
    </row>
    <row r="4" spans="1:15" ht="15" customHeight="1" x14ac:dyDescent="0.3">
      <c r="A4" s="13" t="s">
        <v>11</v>
      </c>
      <c r="B4" s="53" t="s">
        <v>9</v>
      </c>
      <c r="C4" s="124">
        <v>0</v>
      </c>
      <c r="D4" s="59" t="e">
        <f>'Исходные данные'!D$3*$C4/'Исходные данные'!$C$3</f>
        <v>#DIV/0!</v>
      </c>
      <c r="E4" s="59" t="e">
        <f>'Исходные данные'!E$3*$C4/'Исходные данные'!$C$3</f>
        <v>#DIV/0!</v>
      </c>
      <c r="F4" s="3">
        <f>IFERROR('Исходные данные'!F$3*$C4/'Исходные данные'!$C$3,0)</f>
        <v>0</v>
      </c>
      <c r="G4" s="142"/>
      <c r="H4" s="141"/>
      <c r="I4" s="141"/>
      <c r="J4" s="141"/>
      <c r="K4" s="141"/>
      <c r="L4" s="141"/>
      <c r="M4" s="141"/>
      <c r="N4" s="141"/>
      <c r="O4" s="141"/>
    </row>
    <row r="5" spans="1:15" ht="15" customHeight="1" x14ac:dyDescent="0.3">
      <c r="A5" s="13" t="s">
        <v>12</v>
      </c>
      <c r="B5" s="53" t="s">
        <v>9</v>
      </c>
      <c r="C5" s="123">
        <v>0</v>
      </c>
      <c r="D5" s="29" t="e">
        <f>'Исходные данные'!D$3*$C5/'Исходные данные'!$C$3</f>
        <v>#DIV/0!</v>
      </c>
      <c r="E5" s="29" t="e">
        <f>'Исходные данные'!E$3*$C5/'Исходные данные'!$C$3</f>
        <v>#DIV/0!</v>
      </c>
      <c r="F5" s="3">
        <f>IFERROR('Исходные данные'!F$3*$C5/'Исходные данные'!$C$3,0)</f>
        <v>0</v>
      </c>
      <c r="G5" s="137"/>
      <c r="H5" s="4"/>
      <c r="I5" s="4"/>
      <c r="J5" s="4"/>
      <c r="K5" s="4"/>
      <c r="L5" s="4"/>
      <c r="M5" s="4"/>
      <c r="N5" s="4"/>
      <c r="O5" s="4"/>
    </row>
    <row r="6" spans="1:15" ht="15" customHeight="1" x14ac:dyDescent="0.3">
      <c r="A6" s="13" t="s">
        <v>13</v>
      </c>
      <c r="B6" s="53" t="s">
        <v>9</v>
      </c>
      <c r="C6" s="125">
        <v>0</v>
      </c>
      <c r="D6" s="44" t="e">
        <f>'Исходные данные'!D$3*$C6/'Исходные данные'!$C$3</f>
        <v>#DIV/0!</v>
      </c>
      <c r="E6" s="44" t="e">
        <f>'Исходные данные'!E$3*$C6/'Исходные данные'!$C$3</f>
        <v>#DIV/0!</v>
      </c>
      <c r="F6" s="3">
        <f>IFERROR('Исходные данные'!F$3*$C6/'Исходные данные'!$C$3,0)</f>
        <v>0</v>
      </c>
      <c r="G6" s="138"/>
      <c r="H6" s="45"/>
      <c r="I6" s="45"/>
      <c r="J6" s="45"/>
      <c r="K6" s="45"/>
      <c r="L6" s="45"/>
      <c r="M6" s="45"/>
      <c r="N6" s="45"/>
      <c r="O6" s="45"/>
    </row>
    <row r="7" spans="1:15" ht="15" customHeight="1" x14ac:dyDescent="0.3">
      <c r="A7" s="12" t="s">
        <v>14</v>
      </c>
      <c r="B7" s="53" t="s">
        <v>9</v>
      </c>
      <c r="C7" s="123">
        <v>0</v>
      </c>
      <c r="D7" s="29" t="e">
        <f>'Исходные данные'!D$3*$C7/'Исходные данные'!$C$3</f>
        <v>#DIV/0!</v>
      </c>
      <c r="E7" s="29" t="e">
        <f>'Исходные данные'!E$3*$C7/'Исходные данные'!$C$3</f>
        <v>#DIV/0!</v>
      </c>
      <c r="F7" s="3">
        <f>IFERROR('Исходные данные'!F$3*$C7/'Исходные данные'!$C$3,0)</f>
        <v>0</v>
      </c>
      <c r="G7" s="137"/>
      <c r="H7" s="4"/>
      <c r="I7" s="4"/>
      <c r="J7" s="4"/>
      <c r="K7" s="4"/>
      <c r="L7" s="4"/>
      <c r="M7" s="4"/>
      <c r="N7" s="4"/>
      <c r="O7" s="4"/>
    </row>
    <row r="8" spans="1:15" ht="15" customHeight="1" x14ac:dyDescent="0.3">
      <c r="A8" s="12" t="s">
        <v>15</v>
      </c>
      <c r="B8" s="53" t="s">
        <v>9</v>
      </c>
      <c r="C8" s="123">
        <v>0</v>
      </c>
      <c r="D8" s="29" t="e">
        <f>'Исходные данные'!D$3*$C8/'Исходные данные'!$C$3</f>
        <v>#DIV/0!</v>
      </c>
      <c r="E8" s="29" t="e">
        <f>'Исходные данные'!E$3*$C8/'Исходные данные'!$C$3</f>
        <v>#DIV/0!</v>
      </c>
      <c r="F8" s="3">
        <f>IFERROR('Исходные данные'!F$3*$C8/'Исходные данные'!$C$3,0)</f>
        <v>0</v>
      </c>
      <c r="G8" s="137"/>
      <c r="H8" s="4"/>
      <c r="I8" s="4"/>
      <c r="J8" s="4"/>
      <c r="K8" s="4"/>
      <c r="L8" s="4"/>
      <c r="M8" s="4"/>
      <c r="N8" s="4"/>
      <c r="O8" s="4"/>
    </row>
    <row r="9" spans="1:15" ht="15" customHeight="1" x14ac:dyDescent="0.3">
      <c r="A9" s="12" t="s">
        <v>16</v>
      </c>
      <c r="B9" s="53" t="s">
        <v>9</v>
      </c>
      <c r="C9" s="123">
        <v>0</v>
      </c>
      <c r="D9" s="29" t="e">
        <f>'Исходные данные'!D$3*$C9/'Исходные данные'!$C$3</f>
        <v>#DIV/0!</v>
      </c>
      <c r="E9" s="29" t="e">
        <f>'Исходные данные'!E$3*$C9/'Исходные данные'!$C$3</f>
        <v>#DIV/0!</v>
      </c>
      <c r="F9" s="3">
        <f>IFERROR('Исходные данные'!F$3*$C9/'Исходные данные'!$C$3,0)</f>
        <v>0</v>
      </c>
      <c r="G9" s="137"/>
      <c r="H9" s="4"/>
      <c r="I9" s="4"/>
      <c r="J9" s="4"/>
      <c r="K9" s="4"/>
      <c r="L9" s="4"/>
      <c r="M9" s="4"/>
      <c r="N9" s="4"/>
      <c r="O9" s="4"/>
    </row>
    <row r="10" spans="1:15" ht="15" customHeight="1" x14ac:dyDescent="0.3">
      <c r="A10" s="12" t="s">
        <v>17</v>
      </c>
      <c r="B10" s="53" t="s">
        <v>9</v>
      </c>
      <c r="C10" s="123">
        <v>0</v>
      </c>
      <c r="D10" s="29" t="e">
        <f>'Исходные данные'!D$3*$C10/'Исходные данные'!$C$3</f>
        <v>#DIV/0!</v>
      </c>
      <c r="E10" s="29" t="e">
        <f>'Исходные данные'!E$3*$C10/'Исходные данные'!$C$3</f>
        <v>#DIV/0!</v>
      </c>
      <c r="F10" s="3">
        <f>IFERROR('Исходные данные'!F$3*$C10/'Исходные данные'!$C$3,0)</f>
        <v>0</v>
      </c>
      <c r="G10" s="137"/>
      <c r="H10" s="4"/>
      <c r="I10" s="4"/>
      <c r="J10" s="4"/>
      <c r="K10" s="4"/>
      <c r="L10" s="4"/>
      <c r="M10" s="4"/>
      <c r="N10" s="4"/>
      <c r="O10" s="4"/>
    </row>
    <row r="11" spans="1:15" ht="15" customHeight="1" x14ac:dyDescent="0.3">
      <c r="A11" s="12" t="s">
        <v>18</v>
      </c>
      <c r="B11" s="53" t="s">
        <v>9</v>
      </c>
      <c r="C11" s="123">
        <v>0</v>
      </c>
      <c r="D11" s="29" t="e">
        <f>'Исходные данные'!D$3*$C11/'Исходные данные'!$C$3</f>
        <v>#DIV/0!</v>
      </c>
      <c r="E11" s="29" t="e">
        <f>'Исходные данные'!E$3*$C11/'Исходные данные'!$C$3</f>
        <v>#DIV/0!</v>
      </c>
      <c r="F11" s="3">
        <f>IFERROR('Исходные данные'!F$3*$C11/'Исходные данные'!$C$3,0)</f>
        <v>0</v>
      </c>
      <c r="G11" s="137"/>
      <c r="H11" s="4"/>
      <c r="I11" s="4"/>
      <c r="J11" s="4"/>
      <c r="K11" s="4"/>
      <c r="L11" s="4"/>
      <c r="M11" s="4"/>
      <c r="N11" s="4"/>
      <c r="O11" s="4"/>
    </row>
    <row r="12" spans="1:15" ht="15" customHeight="1" x14ac:dyDescent="0.3">
      <c r="A12" s="12" t="s">
        <v>19</v>
      </c>
      <c r="B12" s="53" t="s">
        <v>9</v>
      </c>
      <c r="C12" s="123">
        <v>0</v>
      </c>
      <c r="D12" s="29" t="e">
        <f>'Исходные данные'!D$3*$C12/'Исходные данные'!$C$3</f>
        <v>#DIV/0!</v>
      </c>
      <c r="E12" s="29" t="e">
        <f>'Исходные данные'!E$3*$C12/'Исходные данные'!$C$3</f>
        <v>#DIV/0!</v>
      </c>
      <c r="F12" s="3">
        <f>IFERROR('Исходные данные'!F$3*$C12/'Исходные данные'!$C$3,0)</f>
        <v>0</v>
      </c>
      <c r="G12" s="137"/>
      <c r="H12" s="4"/>
      <c r="I12" s="4"/>
      <c r="J12" s="4"/>
      <c r="K12" s="4"/>
      <c r="L12" s="4"/>
      <c r="M12" s="4"/>
      <c r="N12" s="4"/>
      <c r="O12" s="4"/>
    </row>
    <row r="13" spans="1:15" ht="15" customHeight="1" x14ac:dyDescent="0.3">
      <c r="A13" s="12" t="s">
        <v>20</v>
      </c>
      <c r="B13" s="53" t="s">
        <v>9</v>
      </c>
      <c r="C13" s="123">
        <v>0</v>
      </c>
      <c r="D13" s="29" t="e">
        <f>'Исходные данные'!D$3*$C13/'Исходные данные'!$C$3</f>
        <v>#DIV/0!</v>
      </c>
      <c r="E13" s="29" t="e">
        <f>'Исходные данные'!E$3*$C13/'Исходные данные'!$C$3</f>
        <v>#DIV/0!</v>
      </c>
      <c r="F13" s="3">
        <f>IFERROR('Исходные данные'!F$3*$C13/'Исходные данные'!$C$3,0)</f>
        <v>0</v>
      </c>
      <c r="G13" s="137"/>
      <c r="H13" s="4"/>
      <c r="I13" s="4"/>
      <c r="J13" s="4"/>
      <c r="K13" s="4"/>
      <c r="L13" s="4"/>
      <c r="M13" s="4"/>
      <c r="N13" s="4"/>
      <c r="O13" s="4"/>
    </row>
    <row r="14" spans="1:15" ht="15" customHeight="1" x14ac:dyDescent="0.3">
      <c r="A14" s="12" t="s">
        <v>21</v>
      </c>
      <c r="B14" s="53" t="s">
        <v>9</v>
      </c>
      <c r="C14" s="123">
        <v>0</v>
      </c>
      <c r="D14" s="29" t="e">
        <f>'Исходные данные'!D$3*$C14/'Исходные данные'!$C$3</f>
        <v>#DIV/0!</v>
      </c>
      <c r="E14" s="29" t="e">
        <f>'Исходные данные'!E$3*$C14/'Исходные данные'!$C$3</f>
        <v>#DIV/0!</v>
      </c>
      <c r="F14" s="3">
        <f>IFERROR('Исходные данные'!F$3*$C14/'Исходные данные'!$C$3,0)</f>
        <v>0</v>
      </c>
      <c r="G14" s="137"/>
      <c r="H14" s="4"/>
      <c r="I14" s="4"/>
      <c r="J14" s="4"/>
      <c r="K14" s="4"/>
      <c r="L14" s="4"/>
      <c r="M14" s="4"/>
      <c r="N14" s="4"/>
      <c r="O14" s="4"/>
    </row>
    <row r="15" spans="1:15" ht="15" customHeight="1" x14ac:dyDescent="0.3">
      <c r="A15" s="12" t="s">
        <v>22</v>
      </c>
      <c r="B15" s="53" t="s">
        <v>9</v>
      </c>
      <c r="C15" s="126">
        <v>0</v>
      </c>
      <c r="D15" s="51" t="e">
        <f>'Исходные данные'!D$3*$C15/'Исходные данные'!$C$3</f>
        <v>#DIV/0!</v>
      </c>
      <c r="E15" s="51" t="e">
        <f>'Исходные данные'!E$3*$C15/'Исходные данные'!$C$3</f>
        <v>#DIV/0!</v>
      </c>
      <c r="F15" s="3">
        <f>IFERROR('Исходные данные'!F$3*$C15/'Исходные данные'!$C$3,0)</f>
        <v>0</v>
      </c>
      <c r="G15" s="139"/>
      <c r="H15" s="134"/>
      <c r="I15" s="134"/>
      <c r="J15" s="134"/>
      <c r="K15" s="134"/>
      <c r="L15" s="134"/>
      <c r="M15" s="134"/>
      <c r="N15" s="134"/>
      <c r="O15" s="134"/>
    </row>
    <row r="16" spans="1:15" ht="15" customHeight="1" x14ac:dyDescent="0.3">
      <c r="A16" s="12" t="s">
        <v>23</v>
      </c>
      <c r="B16" s="53" t="s">
        <v>9</v>
      </c>
      <c r="C16" s="126">
        <v>0</v>
      </c>
      <c r="D16" s="51" t="e">
        <f>'Исходные данные'!D$3*$C16/'Исходные данные'!$C$3</f>
        <v>#DIV/0!</v>
      </c>
      <c r="E16" s="51" t="e">
        <f>'Исходные данные'!E$3*$C16/'Исходные данные'!$C$3</f>
        <v>#DIV/0!</v>
      </c>
      <c r="F16" s="3">
        <f>IFERROR('Исходные данные'!F$3*$C16/'Исходные данные'!$C$3,0)</f>
        <v>0</v>
      </c>
      <c r="G16" s="139"/>
      <c r="H16" s="134"/>
      <c r="I16" s="134"/>
      <c r="J16" s="134"/>
      <c r="K16" s="134"/>
      <c r="L16" s="134"/>
      <c r="M16" s="134"/>
      <c r="N16" s="134"/>
      <c r="O16" s="134"/>
    </row>
    <row r="17" spans="1:15" ht="15" customHeight="1" thickBot="1" x14ac:dyDescent="0.35">
      <c r="A17" s="23" t="s">
        <v>24</v>
      </c>
      <c r="B17" s="55" t="s">
        <v>9</v>
      </c>
      <c r="C17" s="127">
        <v>0</v>
      </c>
      <c r="D17" s="60" t="e">
        <f>'Исходные данные'!D$3*$C17/'Исходные данные'!$C$3</f>
        <v>#DIV/0!</v>
      </c>
      <c r="E17" s="60" t="e">
        <f>'Исходные данные'!E$3*$C17/'Исходные данные'!$C$3</f>
        <v>#DIV/0!</v>
      </c>
      <c r="F17" s="19">
        <f>IFERROR('Исходные данные'!F$3*$C17/'Исходные данные'!$C$3,0)</f>
        <v>0</v>
      </c>
      <c r="G17" s="139"/>
      <c r="H17" s="134"/>
      <c r="I17" s="134"/>
      <c r="J17" s="134"/>
      <c r="K17" s="134"/>
      <c r="L17" s="134"/>
      <c r="M17" s="134"/>
      <c r="N17" s="134"/>
      <c r="O17" s="134"/>
    </row>
    <row r="18" spans="1:15" ht="15" customHeight="1" thickBot="1" x14ac:dyDescent="0.35">
      <c r="A18" s="7" t="s">
        <v>32</v>
      </c>
      <c r="B18" s="43"/>
      <c r="C18" s="128">
        <f t="shared" ref="C18:F18" si="0">SUM(C2:C17)</f>
        <v>0</v>
      </c>
      <c r="D18" s="106" t="e">
        <f t="shared" si="0"/>
        <v>#DIV/0!</v>
      </c>
      <c r="E18" s="106" t="e">
        <f t="shared" si="0"/>
        <v>#DIV/0!</v>
      </c>
      <c r="F18" s="154">
        <f t="shared" si="0"/>
        <v>0</v>
      </c>
      <c r="G18" s="137"/>
      <c r="H18" s="4"/>
      <c r="I18" s="4"/>
      <c r="J18" s="4"/>
      <c r="K18" s="4"/>
      <c r="L18" s="4"/>
      <c r="M18" s="4"/>
      <c r="N18" s="4"/>
      <c r="O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8494-4D63-4867-8254-33E7E9AACD06}">
  <dimension ref="A1:O18"/>
  <sheetViews>
    <sheetView workbookViewId="0">
      <selection activeCell="F1" sqref="F1:F18"/>
    </sheetView>
  </sheetViews>
  <sheetFormatPr defaultRowHeight="14.4" x14ac:dyDescent="0.3"/>
  <cols>
    <col min="1" max="1" width="35.77734375" customWidth="1"/>
    <col min="3" max="3" width="15.77734375" customWidth="1"/>
    <col min="4" max="5" width="17.77734375" customWidth="1"/>
    <col min="6" max="15" width="15.77734375" customWidth="1"/>
  </cols>
  <sheetData>
    <row r="1" spans="1:15" ht="30" customHeight="1" thickBot="1" x14ac:dyDescent="0.35">
      <c r="A1" s="47" t="s">
        <v>31</v>
      </c>
      <c r="B1" s="9" t="s">
        <v>40</v>
      </c>
      <c r="C1" s="94">
        <f>'Исходные данные'!C1</f>
        <v>2022</v>
      </c>
      <c r="D1" s="57" t="str">
        <f>'Исходные данные'!D1</f>
        <v>До выраб. 2023</v>
      </c>
      <c r="E1" s="58" t="str">
        <f>'Исходные данные'!E1</f>
        <v>После выраб. 2023</v>
      </c>
      <c r="F1" s="8">
        <f>'Исходные данные'!F1</f>
        <v>2024</v>
      </c>
      <c r="G1" s="136"/>
      <c r="H1" s="17"/>
      <c r="I1" s="17"/>
      <c r="J1" s="17"/>
      <c r="K1" s="17"/>
      <c r="L1" s="17"/>
      <c r="M1" s="17"/>
      <c r="N1" s="17"/>
      <c r="O1" s="17"/>
    </row>
    <row r="2" spans="1:15" ht="15" customHeight="1" x14ac:dyDescent="0.3">
      <c r="A2" s="20" t="s">
        <v>8</v>
      </c>
      <c r="B2" s="56" t="s">
        <v>9</v>
      </c>
      <c r="C2" s="115">
        <f>'Объём сжигания'!C2</f>
        <v>0</v>
      </c>
      <c r="D2" s="28" t="e">
        <f>'Объём сжигания'!D2</f>
        <v>#DIV/0!</v>
      </c>
      <c r="E2" s="28" t="e">
        <f>'Исходные данные'!E$4*'Объём сжигания'!E2/'Исходные данные'!E$3</f>
        <v>#DIV/0!</v>
      </c>
      <c r="F2" s="21">
        <f>IFERROR('Исходные данные'!F$4*'Объём сжигания'!F2/'Исходные данные'!F$3,0)</f>
        <v>0</v>
      </c>
      <c r="G2" s="137"/>
      <c r="H2" s="4"/>
      <c r="I2" s="4"/>
      <c r="J2" s="4"/>
      <c r="K2" s="4"/>
      <c r="L2" s="4"/>
      <c r="M2" s="4"/>
      <c r="N2" s="4"/>
      <c r="O2" s="4"/>
    </row>
    <row r="3" spans="1:15" ht="15" customHeight="1" x14ac:dyDescent="0.3">
      <c r="A3" s="12" t="s">
        <v>10</v>
      </c>
      <c r="B3" s="53" t="s">
        <v>9</v>
      </c>
      <c r="C3" s="116">
        <f>'Объём сжигания'!C3</f>
        <v>0</v>
      </c>
      <c r="D3" s="29" t="e">
        <f>'Объём сжигания'!D3</f>
        <v>#DIV/0!</v>
      </c>
      <c r="E3" s="29" t="e">
        <f>'Исходные данные'!E$4*'Объём сжигания'!E3/'Исходные данные'!E$3</f>
        <v>#DIV/0!</v>
      </c>
      <c r="F3" s="21">
        <f>IFERROR('Исходные данные'!F$4*'Объём сжигания'!F3/'Исходные данные'!F$3,0)</f>
        <v>0</v>
      </c>
      <c r="G3" s="137"/>
      <c r="H3" s="4"/>
      <c r="I3" s="4"/>
      <c r="J3" s="4"/>
      <c r="K3" s="4"/>
      <c r="L3" s="4"/>
      <c r="M3" s="4"/>
      <c r="N3" s="4"/>
      <c r="O3" s="4"/>
    </row>
    <row r="4" spans="1:15" ht="15" customHeight="1" x14ac:dyDescent="0.3">
      <c r="A4" s="13" t="s">
        <v>11</v>
      </c>
      <c r="B4" s="53" t="s">
        <v>9</v>
      </c>
      <c r="C4" s="116">
        <f>'Объём сжигания'!C4</f>
        <v>0</v>
      </c>
      <c r="D4" s="29" t="e">
        <f>'Объём сжигания'!D4</f>
        <v>#DIV/0!</v>
      </c>
      <c r="E4" s="29" t="e">
        <f>'Исходные данные'!E$4*'Объём сжигания'!E4/'Исходные данные'!E$3</f>
        <v>#DIV/0!</v>
      </c>
      <c r="F4" s="21">
        <f>IFERROR('Исходные данные'!F$4*'Объём сжигания'!F4/'Исходные данные'!F$3,0)</f>
        <v>0</v>
      </c>
      <c r="G4" s="137"/>
      <c r="H4" s="4"/>
      <c r="I4" s="4"/>
      <c r="J4" s="4"/>
      <c r="K4" s="4"/>
      <c r="L4" s="4"/>
      <c r="M4" s="4"/>
      <c r="N4" s="4"/>
      <c r="O4" s="4"/>
    </row>
    <row r="5" spans="1:15" ht="15" customHeight="1" x14ac:dyDescent="0.3">
      <c r="A5" s="13" t="s">
        <v>12</v>
      </c>
      <c r="B5" s="53" t="s">
        <v>9</v>
      </c>
      <c r="C5" s="116">
        <f>'Объём сжигания'!C5</f>
        <v>0</v>
      </c>
      <c r="D5" s="29" t="e">
        <f>'Объём сжигания'!D5</f>
        <v>#DIV/0!</v>
      </c>
      <c r="E5" s="29" t="e">
        <f>'Исходные данные'!E$4*'Объём сжигания'!E5/'Исходные данные'!E$3</f>
        <v>#DIV/0!</v>
      </c>
      <c r="F5" s="21">
        <f>IFERROR('Исходные данные'!F$4*'Объём сжигания'!F5/'Исходные данные'!F$3,0)</f>
        <v>0</v>
      </c>
      <c r="G5" s="137"/>
      <c r="H5" s="4"/>
      <c r="I5" s="4"/>
      <c r="J5" s="4"/>
      <c r="K5" s="4"/>
      <c r="L5" s="4"/>
      <c r="M5" s="4"/>
      <c r="N5" s="4"/>
      <c r="O5" s="4"/>
    </row>
    <row r="6" spans="1:15" ht="15" customHeight="1" x14ac:dyDescent="0.3">
      <c r="A6" s="13" t="s">
        <v>13</v>
      </c>
      <c r="B6" s="53" t="s">
        <v>9</v>
      </c>
      <c r="C6" s="117">
        <f>'Объём сжигания'!C6</f>
        <v>0</v>
      </c>
      <c r="D6" s="44" t="e">
        <f>'Объём сжигания'!D6</f>
        <v>#DIV/0!</v>
      </c>
      <c r="E6" s="44" t="e">
        <f>'Исходные данные'!E$4*'Объём сжигания'!E6/'Исходные данные'!E$3</f>
        <v>#DIV/0!</v>
      </c>
      <c r="F6" s="21">
        <f>IFERROR('Исходные данные'!F$4*'Объём сжигания'!F6/'Исходные данные'!F$3,0)</f>
        <v>0</v>
      </c>
      <c r="G6" s="137"/>
      <c r="H6" s="4"/>
      <c r="I6" s="4"/>
      <c r="J6" s="4"/>
      <c r="K6" s="4"/>
      <c r="L6" s="4"/>
      <c r="M6" s="4"/>
      <c r="N6" s="4"/>
      <c r="O6" s="4"/>
    </row>
    <row r="7" spans="1:15" ht="15" customHeight="1" x14ac:dyDescent="0.3">
      <c r="A7" s="12" t="s">
        <v>14</v>
      </c>
      <c r="B7" s="53" t="s">
        <v>9</v>
      </c>
      <c r="C7" s="116">
        <f>'Объём сжигания'!C7</f>
        <v>0</v>
      </c>
      <c r="D7" s="29" t="e">
        <f>'Объём сжигания'!D7</f>
        <v>#DIV/0!</v>
      </c>
      <c r="E7" s="29" t="e">
        <f>'Исходные данные'!E$4*'Объём сжигания'!E7/'Исходные данные'!E$3</f>
        <v>#DIV/0!</v>
      </c>
      <c r="F7" s="21">
        <f>IFERROR('Исходные данные'!F$4*'Объём сжигания'!F7/'Исходные данные'!F$3,0)</f>
        <v>0</v>
      </c>
      <c r="G7" s="137"/>
      <c r="H7" s="4"/>
      <c r="I7" s="4"/>
      <c r="J7" s="4"/>
      <c r="K7" s="4"/>
      <c r="L7" s="4"/>
      <c r="M7" s="4"/>
      <c r="N7" s="4"/>
      <c r="O7" s="4"/>
    </row>
    <row r="8" spans="1:15" ht="15" customHeight="1" x14ac:dyDescent="0.3">
      <c r="A8" s="12" t="s">
        <v>15</v>
      </c>
      <c r="B8" s="53" t="s">
        <v>9</v>
      </c>
      <c r="C8" s="116">
        <f>'Объём сжигания'!C8</f>
        <v>0</v>
      </c>
      <c r="D8" s="29" t="e">
        <f>'Объём сжигания'!D8</f>
        <v>#DIV/0!</v>
      </c>
      <c r="E8" s="29" t="e">
        <f>'Исходные данные'!E$4*'Объём сжигания'!E8/'Исходные данные'!E$3</f>
        <v>#DIV/0!</v>
      </c>
      <c r="F8" s="21">
        <f>IFERROR('Исходные данные'!F$4*'Объём сжигания'!F8/'Исходные данные'!F$3,0)</f>
        <v>0</v>
      </c>
      <c r="G8" s="137"/>
      <c r="H8" s="4"/>
      <c r="I8" s="4"/>
      <c r="J8" s="4"/>
      <c r="K8" s="4"/>
      <c r="L8" s="4"/>
      <c r="M8" s="4"/>
      <c r="N8" s="4"/>
      <c r="O8" s="4"/>
    </row>
    <row r="9" spans="1:15" ht="15" customHeight="1" x14ac:dyDescent="0.3">
      <c r="A9" s="12" t="s">
        <v>16</v>
      </c>
      <c r="B9" s="53" t="s">
        <v>9</v>
      </c>
      <c r="C9" s="116">
        <f>'Объём сжигания'!C9</f>
        <v>0</v>
      </c>
      <c r="D9" s="29" t="e">
        <f>'Объём сжигания'!D9</f>
        <v>#DIV/0!</v>
      </c>
      <c r="E9" s="29" t="e">
        <f>'Исходные данные'!E$4*'Объём сжигания'!E9/'Исходные данные'!E$3</f>
        <v>#DIV/0!</v>
      </c>
      <c r="F9" s="21">
        <f>IFERROR('Исходные данные'!F$4*'Объём сжигания'!F9/'Исходные данные'!F$3,0)</f>
        <v>0</v>
      </c>
      <c r="G9" s="137"/>
      <c r="H9" s="4"/>
      <c r="I9" s="4"/>
      <c r="J9" s="4"/>
      <c r="K9" s="4"/>
      <c r="L9" s="4"/>
      <c r="M9" s="4"/>
      <c r="N9" s="4"/>
      <c r="O9" s="4"/>
    </row>
    <row r="10" spans="1:15" ht="15" customHeight="1" x14ac:dyDescent="0.3">
      <c r="A10" s="12" t="s">
        <v>17</v>
      </c>
      <c r="B10" s="53" t="s">
        <v>9</v>
      </c>
      <c r="C10" s="116">
        <f>'Объём сжигания'!C10</f>
        <v>0</v>
      </c>
      <c r="D10" s="29" t="e">
        <f>'Объём сжигания'!D10</f>
        <v>#DIV/0!</v>
      </c>
      <c r="E10" s="29" t="e">
        <f>'Исходные данные'!E$4*'Объём сжигания'!E10/'Исходные данные'!E$3</f>
        <v>#DIV/0!</v>
      </c>
      <c r="F10" s="21">
        <f>IFERROR('Исходные данные'!F$4*'Объём сжигания'!F10/'Исходные данные'!F$3,0)</f>
        <v>0</v>
      </c>
      <c r="G10" s="137"/>
      <c r="H10" s="4"/>
      <c r="I10" s="4"/>
      <c r="J10" s="4"/>
      <c r="K10" s="4"/>
      <c r="L10" s="4"/>
      <c r="M10" s="4"/>
      <c r="N10" s="4"/>
      <c r="O10" s="4"/>
    </row>
    <row r="11" spans="1:15" ht="15" customHeight="1" x14ac:dyDescent="0.3">
      <c r="A11" s="12" t="s">
        <v>18</v>
      </c>
      <c r="B11" s="53" t="s">
        <v>9</v>
      </c>
      <c r="C11" s="116">
        <f>'Объём сжигания'!C11</f>
        <v>0</v>
      </c>
      <c r="D11" s="29" t="e">
        <f>'Объём сжигания'!D11</f>
        <v>#DIV/0!</v>
      </c>
      <c r="E11" s="29" t="e">
        <f>'Исходные данные'!E$4*'Объём сжигания'!E11/'Исходные данные'!E$3</f>
        <v>#DIV/0!</v>
      </c>
      <c r="F11" s="21">
        <f>IFERROR('Исходные данные'!F$4*'Объём сжигания'!F11/'Исходные данные'!F$3,0)</f>
        <v>0</v>
      </c>
      <c r="G11" s="137"/>
      <c r="H11" s="4"/>
      <c r="I11" s="4"/>
      <c r="J11" s="4"/>
      <c r="K11" s="4"/>
      <c r="L11" s="4"/>
      <c r="M11" s="4"/>
      <c r="N11" s="4"/>
      <c r="O11" s="4"/>
    </row>
    <row r="12" spans="1:15" ht="15" customHeight="1" x14ac:dyDescent="0.3">
      <c r="A12" s="12" t="s">
        <v>19</v>
      </c>
      <c r="B12" s="53" t="s">
        <v>9</v>
      </c>
      <c r="C12" s="116">
        <f>'Объём сжигания'!C12</f>
        <v>0</v>
      </c>
      <c r="D12" s="29" t="e">
        <f>'Объём сжигания'!D12</f>
        <v>#DIV/0!</v>
      </c>
      <c r="E12" s="29" t="e">
        <f>'Исходные данные'!E$4*'Объём сжигания'!E12/'Исходные данные'!E$3</f>
        <v>#DIV/0!</v>
      </c>
      <c r="F12" s="21">
        <f>IFERROR('Исходные данные'!F$4*'Объём сжигания'!F12/'Исходные данные'!F$3,0)</f>
        <v>0</v>
      </c>
      <c r="G12" s="137"/>
      <c r="H12" s="4"/>
      <c r="I12" s="4"/>
      <c r="J12" s="4"/>
      <c r="K12" s="4"/>
      <c r="L12" s="4"/>
      <c r="M12" s="4"/>
      <c r="N12" s="4"/>
      <c r="O12" s="4"/>
    </row>
    <row r="13" spans="1:15" ht="15" customHeight="1" x14ac:dyDescent="0.3">
      <c r="A13" s="12" t="s">
        <v>20</v>
      </c>
      <c r="B13" s="53" t="s">
        <v>9</v>
      </c>
      <c r="C13" s="116">
        <f>'Объём сжигания'!C13</f>
        <v>0</v>
      </c>
      <c r="D13" s="29" t="e">
        <f>'Объём сжигания'!D13</f>
        <v>#DIV/0!</v>
      </c>
      <c r="E13" s="29" t="e">
        <f>'Исходные данные'!E$4*'Объём сжигания'!E13/'Исходные данные'!E$3</f>
        <v>#DIV/0!</v>
      </c>
      <c r="F13" s="21">
        <f>IFERROR('Исходные данные'!F$4*'Объём сжигания'!F13/'Исходные данные'!F$3,0)</f>
        <v>0</v>
      </c>
      <c r="G13" s="137"/>
      <c r="H13" s="4"/>
      <c r="I13" s="4"/>
      <c r="J13" s="4"/>
      <c r="K13" s="4"/>
      <c r="L13" s="4"/>
      <c r="M13" s="4"/>
      <c r="N13" s="4"/>
      <c r="O13" s="4"/>
    </row>
    <row r="14" spans="1:15" ht="15" customHeight="1" x14ac:dyDescent="0.3">
      <c r="A14" s="12" t="s">
        <v>21</v>
      </c>
      <c r="B14" s="53" t="s">
        <v>9</v>
      </c>
      <c r="C14" s="116">
        <f>'Объём сжигания'!C14</f>
        <v>0</v>
      </c>
      <c r="D14" s="29" t="e">
        <f>'Объём сжигания'!D14</f>
        <v>#DIV/0!</v>
      </c>
      <c r="E14" s="29" t="e">
        <f>'Исходные данные'!E$4*'Объём сжигания'!E14/'Исходные данные'!E$3</f>
        <v>#DIV/0!</v>
      </c>
      <c r="F14" s="21">
        <f>IFERROR('Исходные данные'!F$4*'Объём сжигания'!F14/'Исходные данные'!F$3,0)</f>
        <v>0</v>
      </c>
      <c r="G14" s="137"/>
      <c r="H14" s="4"/>
      <c r="I14" s="4"/>
      <c r="J14" s="4"/>
      <c r="K14" s="4"/>
      <c r="L14" s="4"/>
      <c r="M14" s="4"/>
      <c r="N14" s="4"/>
      <c r="O14" s="4"/>
    </row>
    <row r="15" spans="1:15" ht="15" customHeight="1" x14ac:dyDescent="0.3">
      <c r="A15" s="12" t="s">
        <v>22</v>
      </c>
      <c r="B15" s="53" t="s">
        <v>9</v>
      </c>
      <c r="C15" s="118">
        <f>'Объём сжигания'!C15</f>
        <v>0</v>
      </c>
      <c r="D15" s="51" t="e">
        <f>'Объём сжигания'!D15</f>
        <v>#DIV/0!</v>
      </c>
      <c r="E15" s="51" t="e">
        <f>'Исходные данные'!E$4*'Объём сжигания'!E15/'Исходные данные'!E$3</f>
        <v>#DIV/0!</v>
      </c>
      <c r="F15" s="21">
        <f>IFERROR('Исходные данные'!F$4*'Объём сжигания'!F15/'Исходные данные'!F$3,0)</f>
        <v>0</v>
      </c>
      <c r="G15" s="137"/>
      <c r="H15" s="4"/>
      <c r="I15" s="4"/>
      <c r="J15" s="4"/>
      <c r="K15" s="4"/>
      <c r="L15" s="4"/>
      <c r="M15" s="4"/>
      <c r="N15" s="4"/>
      <c r="O15" s="4"/>
    </row>
    <row r="16" spans="1:15" ht="15" customHeight="1" x14ac:dyDescent="0.3">
      <c r="A16" s="12" t="s">
        <v>23</v>
      </c>
      <c r="B16" s="53" t="s">
        <v>9</v>
      </c>
      <c r="C16" s="118">
        <f>'Объём сжигания'!C16</f>
        <v>0</v>
      </c>
      <c r="D16" s="51" t="e">
        <f>'Объём сжигания'!D16</f>
        <v>#DIV/0!</v>
      </c>
      <c r="E16" s="51" t="e">
        <f>'Исходные данные'!E$4*'Объём сжигания'!E16/'Исходные данные'!E$3</f>
        <v>#DIV/0!</v>
      </c>
      <c r="F16" s="21">
        <f>IFERROR('Исходные данные'!F$4*'Объём сжигания'!F16/'Исходные данные'!F$3,0)</f>
        <v>0</v>
      </c>
      <c r="G16" s="137"/>
      <c r="H16" s="4"/>
      <c r="I16" s="4"/>
      <c r="J16" s="4"/>
      <c r="K16" s="4"/>
      <c r="L16" s="4"/>
      <c r="M16" s="4"/>
      <c r="N16" s="4"/>
      <c r="O16" s="4"/>
    </row>
    <row r="17" spans="1:15" ht="15" customHeight="1" thickBot="1" x14ac:dyDescent="0.35">
      <c r="A17" s="14" t="s">
        <v>24</v>
      </c>
      <c r="B17" s="61" t="s">
        <v>9</v>
      </c>
      <c r="C17" s="119">
        <f>'Объём сжигания'!C17</f>
        <v>0</v>
      </c>
      <c r="D17" s="52" t="e">
        <f>'Объём сжигания'!D17</f>
        <v>#DIV/0!</v>
      </c>
      <c r="E17" s="52" t="e">
        <f>'Исходные данные'!E$4*'Объём сжигания'!E17/'Исходные данные'!E$3</f>
        <v>#DIV/0!</v>
      </c>
      <c r="F17" s="21">
        <f>IFERROR('Исходные данные'!F$4*'Объём сжигания'!F17/'Исходные данные'!F$3,0)</f>
        <v>0</v>
      </c>
      <c r="G17" s="137"/>
      <c r="H17" s="4"/>
      <c r="I17" s="4"/>
      <c r="J17" s="4"/>
      <c r="K17" s="4"/>
      <c r="L17" s="4"/>
      <c r="M17" s="4"/>
      <c r="N17" s="4"/>
      <c r="O17" s="4"/>
    </row>
    <row r="18" spans="1:15" ht="15" customHeight="1" thickBot="1" x14ac:dyDescent="0.35">
      <c r="A18" s="50" t="s">
        <v>32</v>
      </c>
      <c r="B18" s="11"/>
      <c r="C18" s="120">
        <f>SUM(C2:C17)</f>
        <v>0</v>
      </c>
      <c r="D18" s="106" t="e">
        <f>SUM(D2:D17)</f>
        <v>#DIV/0!</v>
      </c>
      <c r="E18" s="106" t="e">
        <f>SUM(E2:E17)</f>
        <v>#DIV/0!</v>
      </c>
      <c r="F18" s="106">
        <f t="shared" ref="F18" si="0">SUM(F2:F17)</f>
        <v>0</v>
      </c>
      <c r="G18" s="140"/>
      <c r="H18" s="135"/>
      <c r="I18" s="135"/>
      <c r="J18" s="135"/>
      <c r="K18" s="135"/>
      <c r="L18" s="135"/>
      <c r="M18" s="135"/>
      <c r="N18" s="135"/>
      <c r="O18" s="1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45E6-7818-41AE-B880-DD0D806B3513}">
  <dimension ref="A1:N18"/>
  <sheetViews>
    <sheetView workbookViewId="0">
      <selection activeCell="D1" sqref="D1:D18"/>
    </sheetView>
  </sheetViews>
  <sheetFormatPr defaultRowHeight="14.4" x14ac:dyDescent="0.3"/>
  <cols>
    <col min="1" max="1" width="35.77734375" customWidth="1"/>
    <col min="3" max="3" width="17.77734375" customWidth="1"/>
    <col min="4" max="13" width="15.77734375" customWidth="1"/>
  </cols>
  <sheetData>
    <row r="1" spans="1:14" ht="30" customHeight="1" thickBot="1" x14ac:dyDescent="0.35">
      <c r="A1" s="47" t="s">
        <v>31</v>
      </c>
      <c r="B1" s="9" t="s">
        <v>40</v>
      </c>
      <c r="C1" s="93" t="str">
        <f>'Исходные данные'!E1</f>
        <v>После выраб. 2023</v>
      </c>
      <c r="D1" s="8">
        <f>'Исходные данные'!F1</f>
        <v>2024</v>
      </c>
      <c r="E1" s="136"/>
      <c r="F1" s="17"/>
      <c r="G1" s="17"/>
      <c r="H1" s="17"/>
      <c r="I1" s="17"/>
      <c r="J1" s="17"/>
      <c r="K1" s="17"/>
      <c r="L1" s="17"/>
      <c r="M1" s="17"/>
    </row>
    <row r="2" spans="1:14" ht="15" customHeight="1" x14ac:dyDescent="0.3">
      <c r="A2" s="20" t="s">
        <v>8</v>
      </c>
      <c r="B2" s="56" t="s">
        <v>9</v>
      </c>
      <c r="C2" s="109" t="e">
        <f>'Объём сжигания'!E2-'Лимит сжигания 5%'!E2</f>
        <v>#DIV/0!</v>
      </c>
      <c r="D2" s="21">
        <f>IFERROR('Объём сжигания'!F2-'Лимит сжигания 5%'!F2,0)</f>
        <v>0</v>
      </c>
      <c r="E2" s="137"/>
      <c r="F2" s="4"/>
      <c r="G2" s="4"/>
      <c r="H2" s="4"/>
      <c r="I2" s="4"/>
      <c r="J2" s="4"/>
      <c r="K2" s="4"/>
      <c r="L2" s="4"/>
      <c r="M2" s="4"/>
      <c r="N2" s="4"/>
    </row>
    <row r="3" spans="1:14" ht="15" customHeight="1" x14ac:dyDescent="0.3">
      <c r="A3" s="12" t="s">
        <v>10</v>
      </c>
      <c r="B3" s="53" t="s">
        <v>9</v>
      </c>
      <c r="C3" s="110" t="e">
        <f>'Объём сжигания'!E3-'Лимит сжигания 5%'!E3</f>
        <v>#DIV/0!</v>
      </c>
      <c r="D3" s="21">
        <f>IFERROR('Объём сжигания'!F3-'Лимит сжигания 5%'!F3,0)</f>
        <v>0</v>
      </c>
      <c r="E3" s="137"/>
      <c r="F3" s="4"/>
      <c r="G3" s="4"/>
      <c r="H3" s="4"/>
      <c r="I3" s="4"/>
      <c r="J3" s="4"/>
      <c r="K3" s="4"/>
      <c r="L3" s="4"/>
      <c r="M3" s="4"/>
      <c r="N3" s="4"/>
    </row>
    <row r="4" spans="1:14" ht="15" customHeight="1" x14ac:dyDescent="0.3">
      <c r="A4" s="13" t="s">
        <v>11</v>
      </c>
      <c r="B4" s="53" t="s">
        <v>9</v>
      </c>
      <c r="C4" s="110" t="e">
        <f>'Объём сжигания'!E4-'Лимит сжигания 5%'!E4</f>
        <v>#DIV/0!</v>
      </c>
      <c r="D4" s="21">
        <f>IFERROR('Объём сжигания'!F4-'Лимит сжигания 5%'!F4,0)</f>
        <v>0</v>
      </c>
      <c r="E4" s="137"/>
      <c r="F4" s="4"/>
      <c r="G4" s="4"/>
      <c r="H4" s="4"/>
      <c r="I4" s="4"/>
      <c r="J4" s="4"/>
      <c r="K4" s="4"/>
      <c r="L4" s="4"/>
      <c r="M4" s="4"/>
      <c r="N4" s="4"/>
    </row>
    <row r="5" spans="1:14" ht="15" customHeight="1" x14ac:dyDescent="0.3">
      <c r="A5" s="13" t="s">
        <v>12</v>
      </c>
      <c r="B5" s="53" t="s">
        <v>9</v>
      </c>
      <c r="C5" s="110" t="e">
        <f>'Объём сжигания'!E5-'Лимит сжигания 5%'!E5</f>
        <v>#DIV/0!</v>
      </c>
      <c r="D5" s="21">
        <f>IFERROR('Объём сжигания'!F5-'Лимит сжигания 5%'!F5,0)</f>
        <v>0</v>
      </c>
      <c r="E5" s="137"/>
      <c r="F5" s="4"/>
      <c r="G5" s="4"/>
      <c r="H5" s="4"/>
      <c r="I5" s="4"/>
      <c r="J5" s="4"/>
      <c r="K5" s="4"/>
      <c r="L5" s="4"/>
      <c r="M5" s="4"/>
      <c r="N5" s="4"/>
    </row>
    <row r="6" spans="1:14" ht="15" customHeight="1" x14ac:dyDescent="0.3">
      <c r="A6" s="13" t="s">
        <v>13</v>
      </c>
      <c r="B6" s="53" t="s">
        <v>9</v>
      </c>
      <c r="C6" s="111" t="e">
        <f>'Объём сжигания'!E6-'Лимит сжигания 5%'!E6</f>
        <v>#DIV/0!</v>
      </c>
      <c r="D6" s="21">
        <f>IFERROR('Объём сжигания'!F6-'Лимит сжигания 5%'!F6,0)</f>
        <v>0</v>
      </c>
      <c r="E6" s="138"/>
      <c r="F6" s="45"/>
      <c r="G6" s="45"/>
      <c r="H6" s="45"/>
      <c r="I6" s="45"/>
      <c r="J6" s="45"/>
      <c r="K6" s="45"/>
      <c r="L6" s="45"/>
      <c r="M6" s="45"/>
      <c r="N6" s="45"/>
    </row>
    <row r="7" spans="1:14" ht="15" customHeight="1" x14ac:dyDescent="0.3">
      <c r="A7" s="12" t="s">
        <v>14</v>
      </c>
      <c r="B7" s="53" t="s">
        <v>9</v>
      </c>
      <c r="C7" s="110" t="e">
        <f>'Объём сжигания'!E7-'Лимит сжигания 5%'!E7</f>
        <v>#DIV/0!</v>
      </c>
      <c r="D7" s="21">
        <f>IFERROR('Объём сжигания'!F7-'Лимит сжигания 5%'!F7,0)</f>
        <v>0</v>
      </c>
      <c r="E7" s="137"/>
      <c r="F7" s="4"/>
      <c r="G7" s="4"/>
      <c r="H7" s="4"/>
      <c r="I7" s="4"/>
      <c r="J7" s="4"/>
      <c r="K7" s="4"/>
      <c r="L7" s="4"/>
      <c r="M7" s="4"/>
      <c r="N7" s="4"/>
    </row>
    <row r="8" spans="1:14" ht="15" customHeight="1" x14ac:dyDescent="0.3">
      <c r="A8" s="12" t="s">
        <v>15</v>
      </c>
      <c r="B8" s="53" t="s">
        <v>9</v>
      </c>
      <c r="C8" s="110" t="e">
        <f>'Объём сжигания'!E8-'Лимит сжигания 5%'!E8</f>
        <v>#DIV/0!</v>
      </c>
      <c r="D8" s="21">
        <f>IFERROR('Объём сжигания'!F8-'Лимит сжигания 5%'!F8,0)</f>
        <v>0</v>
      </c>
      <c r="E8" s="137"/>
      <c r="F8" s="4"/>
      <c r="G8" s="4"/>
      <c r="H8" s="4"/>
      <c r="I8" s="4"/>
      <c r="J8" s="4"/>
      <c r="K8" s="4"/>
      <c r="L8" s="4"/>
      <c r="M8" s="4"/>
      <c r="N8" s="4"/>
    </row>
    <row r="9" spans="1:14" ht="15" customHeight="1" x14ac:dyDescent="0.3">
      <c r="A9" s="12" t="s">
        <v>16</v>
      </c>
      <c r="B9" s="53" t="s">
        <v>9</v>
      </c>
      <c r="C9" s="110" t="e">
        <f>'Объём сжигания'!E9-'Лимит сжигания 5%'!E9</f>
        <v>#DIV/0!</v>
      </c>
      <c r="D9" s="21">
        <f>IFERROR('Объём сжигания'!F9-'Лимит сжигания 5%'!F9,0)</f>
        <v>0</v>
      </c>
      <c r="E9" s="137"/>
      <c r="F9" s="4"/>
      <c r="G9" s="4"/>
      <c r="H9" s="4"/>
      <c r="I9" s="4"/>
      <c r="J9" s="4"/>
      <c r="K9" s="4"/>
      <c r="L9" s="4"/>
      <c r="M9" s="4"/>
      <c r="N9" s="4"/>
    </row>
    <row r="10" spans="1:14" ht="15" customHeight="1" x14ac:dyDescent="0.3">
      <c r="A10" s="12" t="s">
        <v>17</v>
      </c>
      <c r="B10" s="53" t="s">
        <v>9</v>
      </c>
      <c r="C10" s="110" t="e">
        <f>'Объём сжигания'!E10-'Лимит сжигания 5%'!E10</f>
        <v>#DIV/0!</v>
      </c>
      <c r="D10" s="21">
        <f>IFERROR('Объём сжигания'!F10-'Лимит сжигания 5%'!F10,0)</f>
        <v>0</v>
      </c>
      <c r="E10" s="137"/>
      <c r="F10" s="4"/>
      <c r="G10" s="4"/>
      <c r="H10" s="4"/>
      <c r="I10" s="4"/>
      <c r="J10" s="4"/>
      <c r="K10" s="4"/>
      <c r="L10" s="4"/>
      <c r="M10" s="4"/>
      <c r="N10" s="4"/>
    </row>
    <row r="11" spans="1:14" ht="15" customHeight="1" x14ac:dyDescent="0.3">
      <c r="A11" s="12" t="s">
        <v>18</v>
      </c>
      <c r="B11" s="53" t="s">
        <v>9</v>
      </c>
      <c r="C11" s="110" t="e">
        <f>'Объём сжигания'!E11-'Лимит сжигания 5%'!E11</f>
        <v>#DIV/0!</v>
      </c>
      <c r="D11" s="21">
        <f>IFERROR('Объём сжигания'!F11-'Лимит сжигания 5%'!F11,0)</f>
        <v>0</v>
      </c>
      <c r="E11" s="137"/>
      <c r="F11" s="4"/>
      <c r="G11" s="4"/>
      <c r="H11" s="4"/>
      <c r="I11" s="4"/>
      <c r="J11" s="4"/>
      <c r="K11" s="4"/>
      <c r="L11" s="4"/>
      <c r="M11" s="4"/>
      <c r="N11" s="4"/>
    </row>
    <row r="12" spans="1:14" ht="15" customHeight="1" x14ac:dyDescent="0.3">
      <c r="A12" s="12" t="s">
        <v>19</v>
      </c>
      <c r="B12" s="53" t="s">
        <v>9</v>
      </c>
      <c r="C12" s="110" t="e">
        <f>'Объём сжигания'!E12-'Лимит сжигания 5%'!E12</f>
        <v>#DIV/0!</v>
      </c>
      <c r="D12" s="21">
        <f>IFERROR('Объём сжигания'!F12-'Лимит сжигания 5%'!F12,0)</f>
        <v>0</v>
      </c>
      <c r="E12" s="137"/>
      <c r="F12" s="4"/>
      <c r="G12" s="4"/>
      <c r="H12" s="4"/>
      <c r="I12" s="4"/>
      <c r="J12" s="4"/>
      <c r="K12" s="4"/>
      <c r="L12" s="4"/>
      <c r="M12" s="4"/>
      <c r="N12" s="4"/>
    </row>
    <row r="13" spans="1:14" ht="15" customHeight="1" x14ac:dyDescent="0.3">
      <c r="A13" s="12" t="s">
        <v>20</v>
      </c>
      <c r="B13" s="53" t="s">
        <v>9</v>
      </c>
      <c r="C13" s="110" t="e">
        <f>'Объём сжигания'!E13-'Лимит сжигания 5%'!E13</f>
        <v>#DIV/0!</v>
      </c>
      <c r="D13" s="21">
        <f>IFERROR('Объём сжигания'!F13-'Лимит сжигания 5%'!F13,0)</f>
        <v>0</v>
      </c>
      <c r="E13" s="137"/>
      <c r="F13" s="4"/>
      <c r="G13" s="4"/>
      <c r="H13" s="4"/>
      <c r="I13" s="4"/>
      <c r="J13" s="4"/>
      <c r="K13" s="4"/>
      <c r="L13" s="4"/>
      <c r="M13" s="4"/>
      <c r="N13" s="4"/>
    </row>
    <row r="14" spans="1:14" ht="15" customHeight="1" x14ac:dyDescent="0.3">
      <c r="A14" s="12" t="s">
        <v>21</v>
      </c>
      <c r="B14" s="53" t="s">
        <v>9</v>
      </c>
      <c r="C14" s="110" t="e">
        <f>'Объём сжигания'!E14-'Лимит сжигания 5%'!E14</f>
        <v>#DIV/0!</v>
      </c>
      <c r="D14" s="21">
        <f>IFERROR('Объём сжигания'!F14-'Лимит сжигания 5%'!F14,0)</f>
        <v>0</v>
      </c>
      <c r="E14" s="137"/>
      <c r="F14" s="4"/>
      <c r="G14" s="4"/>
      <c r="H14" s="4"/>
      <c r="I14" s="4"/>
      <c r="J14" s="4"/>
      <c r="K14" s="4"/>
      <c r="L14" s="4"/>
      <c r="M14" s="4"/>
      <c r="N14" s="4"/>
    </row>
    <row r="15" spans="1:14" ht="15" customHeight="1" x14ac:dyDescent="0.3">
      <c r="A15" s="12" t="s">
        <v>22</v>
      </c>
      <c r="B15" s="53" t="s">
        <v>9</v>
      </c>
      <c r="C15" s="112" t="e">
        <f>'Объём сжигания'!E15-'Лимит сжигания 5%'!E15</f>
        <v>#DIV/0!</v>
      </c>
      <c r="D15" s="21">
        <f>IFERROR('Объём сжигания'!F15-'Лимит сжигания 5%'!F15,0)</f>
        <v>0</v>
      </c>
      <c r="E15" s="146"/>
      <c r="F15" s="46"/>
      <c r="G15" s="46"/>
      <c r="H15" s="46"/>
      <c r="I15" s="46"/>
      <c r="J15" s="46"/>
      <c r="K15" s="46"/>
      <c r="L15" s="46"/>
      <c r="M15" s="46"/>
      <c r="N15" s="46"/>
    </row>
    <row r="16" spans="1:14" ht="15" customHeight="1" x14ac:dyDescent="0.3">
      <c r="A16" s="12" t="s">
        <v>23</v>
      </c>
      <c r="B16" s="53" t="s">
        <v>9</v>
      </c>
      <c r="C16" s="112" t="e">
        <f>'Объём сжигания'!E16-'Лимит сжигания 5%'!E16</f>
        <v>#DIV/0!</v>
      </c>
      <c r="D16" s="21">
        <f>IFERROR('Объём сжигания'!F16-'Лимит сжигания 5%'!F16,0)</f>
        <v>0</v>
      </c>
      <c r="E16" s="146"/>
      <c r="F16" s="46"/>
      <c r="G16" s="46"/>
      <c r="H16" s="46"/>
      <c r="I16" s="46"/>
      <c r="J16" s="46"/>
      <c r="K16" s="46"/>
      <c r="L16" s="46"/>
      <c r="M16" s="46"/>
      <c r="N16" s="46"/>
    </row>
    <row r="17" spans="1:14" ht="15" customHeight="1" thickBot="1" x14ac:dyDescent="0.35">
      <c r="A17" s="23" t="s">
        <v>24</v>
      </c>
      <c r="B17" s="55" t="s">
        <v>9</v>
      </c>
      <c r="C17" s="113" t="e">
        <f>'Объём сжигания'!E17-'Лимит сжигания 5%'!E17</f>
        <v>#DIV/0!</v>
      </c>
      <c r="D17" s="21">
        <f>IFERROR('Объём сжигания'!F17-'Лимит сжигания 5%'!F17,0)</f>
        <v>0</v>
      </c>
      <c r="E17" s="146"/>
      <c r="F17" s="46"/>
      <c r="G17" s="46"/>
      <c r="H17" s="46"/>
      <c r="I17" s="46"/>
      <c r="J17" s="46"/>
      <c r="K17" s="46"/>
      <c r="L17" s="46"/>
      <c r="M17" s="46"/>
      <c r="N17" s="46"/>
    </row>
    <row r="18" spans="1:14" ht="15" customHeight="1" thickBot="1" x14ac:dyDescent="0.35">
      <c r="A18" s="48" t="s">
        <v>32</v>
      </c>
      <c r="B18" s="43"/>
      <c r="C18" s="114" t="e">
        <f t="shared" ref="C18:D18" si="0">SUM(C2:C17)</f>
        <v>#DIV/0!</v>
      </c>
      <c r="D18" s="108">
        <f t="shared" si="0"/>
        <v>0</v>
      </c>
      <c r="E18" s="137"/>
      <c r="F18" s="4"/>
      <c r="G18" s="4"/>
      <c r="H18" s="4"/>
      <c r="I18" s="4"/>
      <c r="J18" s="4"/>
      <c r="K18" s="4"/>
      <c r="L18" s="4"/>
      <c r="M18" s="4"/>
      <c r="N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A909-2054-423C-978E-DEEBC8FF5F07}">
  <dimension ref="A1:Z19"/>
  <sheetViews>
    <sheetView workbookViewId="0">
      <selection activeCell="H1" sqref="H1:H19"/>
    </sheetView>
  </sheetViews>
  <sheetFormatPr defaultRowHeight="14.4" x14ac:dyDescent="0.3"/>
  <cols>
    <col min="1" max="1" width="35.77734375" customWidth="1"/>
    <col min="2" max="2" width="17.77734375" customWidth="1"/>
    <col min="3" max="26" width="15.77734375" customWidth="1"/>
  </cols>
  <sheetData>
    <row r="1" spans="1:26" ht="15" customHeight="1" x14ac:dyDescent="0.3">
      <c r="A1" s="156" t="s">
        <v>31</v>
      </c>
      <c r="B1" s="158" t="s">
        <v>35</v>
      </c>
      <c r="C1" s="35">
        <f>'Исходные данные'!C1</f>
        <v>2022</v>
      </c>
      <c r="D1" s="25" t="str">
        <f>'Исходные данные'!D1</f>
        <v>До выраб. 2023</v>
      </c>
      <c r="E1" s="26" t="str">
        <f>'Исходные данные'!E1</f>
        <v>После выраб. 2023</v>
      </c>
      <c r="F1" s="26"/>
      <c r="G1" s="31">
        <f>'Исходные данные'!F1</f>
        <v>2024</v>
      </c>
      <c r="H1" s="18"/>
      <c r="I1" s="149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</row>
    <row r="2" spans="1:26" ht="15" thickBot="1" x14ac:dyDescent="0.35">
      <c r="A2" s="157"/>
      <c r="B2" s="159"/>
      <c r="C2" s="36" t="s">
        <v>29</v>
      </c>
      <c r="D2" s="27" t="s">
        <v>29</v>
      </c>
      <c r="E2" s="27" t="s">
        <v>29</v>
      </c>
      <c r="F2" s="27" t="s">
        <v>30</v>
      </c>
      <c r="G2" s="32" t="s">
        <v>29</v>
      </c>
      <c r="H2" s="22" t="s">
        <v>30</v>
      </c>
      <c r="I2" s="13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" customHeight="1" x14ac:dyDescent="0.3">
      <c r="A3" s="20" t="s">
        <v>8</v>
      </c>
      <c r="B3" s="40">
        <f>138.8*1.26</f>
        <v>174.88800000000001</v>
      </c>
      <c r="C3" s="37">
        <f>'Объём сжигания'!C2*$B3</f>
        <v>0</v>
      </c>
      <c r="D3" s="28" t="e">
        <f>'Объём сжигания'!D2*$B3</f>
        <v>#DIV/0!</v>
      </c>
      <c r="E3" s="28" t="e">
        <f>'Лимит сжигания 5%'!E2*$B3</f>
        <v>#DIV/0!</v>
      </c>
      <c r="F3" s="28" t="e">
        <f>'Сверх нормативное сжигание'!C2*$B3*100</f>
        <v>#DIV/0!</v>
      </c>
      <c r="G3" s="33">
        <f>'Лимит сжигания 5%'!F2*$B3</f>
        <v>0</v>
      </c>
      <c r="H3" s="21">
        <f>'Сверх нормативное сжигание'!D2*$B3*100</f>
        <v>0</v>
      </c>
      <c r="I3" s="14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">
      <c r="A4" s="12" t="s">
        <v>10</v>
      </c>
      <c r="B4" s="15">
        <f>93.5*1.26</f>
        <v>117.81</v>
      </c>
      <c r="C4" s="38">
        <f>'Объём сжигания'!C3*$B4</f>
        <v>0</v>
      </c>
      <c r="D4" s="29" t="e">
        <f>'Объём сжигания'!D3*$B4</f>
        <v>#DIV/0!</v>
      </c>
      <c r="E4" s="29" t="e">
        <f>'Лимит сжигания 5%'!E3*$B4</f>
        <v>#DIV/0!</v>
      </c>
      <c r="F4" s="29" t="e">
        <f>'Сверх нормативное сжигание'!C3*$B4*100</f>
        <v>#DIV/0!</v>
      </c>
      <c r="G4" s="5">
        <f>'Лимит сжигания 5%'!F3*$B4</f>
        <v>0</v>
      </c>
      <c r="H4" s="3">
        <f>'Сверх нормативное сжигание'!D3*$B4*100</f>
        <v>0</v>
      </c>
      <c r="I4" s="13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">
      <c r="A5" s="13" t="s">
        <v>11</v>
      </c>
      <c r="B5" s="15">
        <f>36.6*1.26</f>
        <v>46.116</v>
      </c>
      <c r="C5" s="38">
        <f>'Объём сжигания'!C4*$B5</f>
        <v>0</v>
      </c>
      <c r="D5" s="29" t="e">
        <f>'Объём сжигания'!D4*$B5</f>
        <v>#DIV/0!</v>
      </c>
      <c r="E5" s="29" t="e">
        <f>'Лимит сжигания 5%'!E4*$B5</f>
        <v>#DIV/0!</v>
      </c>
      <c r="F5" s="29" t="e">
        <f>'Сверх нормативное сжигание'!C4*$B5*100</f>
        <v>#DIV/0!</v>
      </c>
      <c r="G5" s="5">
        <f>'Лимит сжигания 5%'!F4*$B5</f>
        <v>0</v>
      </c>
      <c r="H5" s="3">
        <f>'Сверх нормативное сжигание'!D4*$B5*100</f>
        <v>0</v>
      </c>
      <c r="I5" s="13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3">
      <c r="A6" s="13" t="s">
        <v>12</v>
      </c>
      <c r="B6" s="15">
        <f>45.4*1.26</f>
        <v>57.204000000000001</v>
      </c>
      <c r="C6" s="38">
        <f>'Объём сжигания'!C5*$B6</f>
        <v>0</v>
      </c>
      <c r="D6" s="29" t="e">
        <f>'Объём сжигания'!D5*$B6</f>
        <v>#DIV/0!</v>
      </c>
      <c r="E6" s="29" t="e">
        <f>'Лимит сжигания 5%'!E5*$B6</f>
        <v>#DIV/0!</v>
      </c>
      <c r="F6" s="29" t="e">
        <f>'Сверх нормативное сжигание'!C5*$B6*100</f>
        <v>#DIV/0!</v>
      </c>
      <c r="G6" s="5">
        <f>'Лимит сжигания 5%'!F5*$B6</f>
        <v>0</v>
      </c>
      <c r="H6" s="3">
        <f>'Сверх нормативное сжигание'!D5*$B6*100</f>
        <v>0</v>
      </c>
      <c r="I6" s="13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3">
      <c r="A7" s="13" t="s">
        <v>13</v>
      </c>
      <c r="B7" s="15">
        <f>686.2*1.26</f>
        <v>864.61200000000008</v>
      </c>
      <c r="C7" s="38">
        <f>'Объём сжигания'!C6*$B7</f>
        <v>0</v>
      </c>
      <c r="D7" s="29" t="e">
        <f>'Объём сжигания'!D6*$B7</f>
        <v>#DIV/0!</v>
      </c>
      <c r="E7" s="29" t="e">
        <f>'Лимит сжигания 5%'!E6*$B7</f>
        <v>#DIV/0!</v>
      </c>
      <c r="F7" s="29" t="e">
        <f>'Сверх нормативное сжигание'!C6*$B7*100</f>
        <v>#DIV/0!</v>
      </c>
      <c r="G7" s="5">
        <f>'Лимит сжигания 5%'!F6*$B7</f>
        <v>0</v>
      </c>
      <c r="H7" s="3">
        <f>'Сверх нормативное сжигание'!D6*$B7*100</f>
        <v>0</v>
      </c>
      <c r="I7" s="13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3">
      <c r="A8" s="12" t="s">
        <v>14</v>
      </c>
      <c r="B8" s="15">
        <f>1.6*1.26</f>
        <v>2.016</v>
      </c>
      <c r="C8" s="38">
        <f>'Объём сжигания'!C7*$B8</f>
        <v>0</v>
      </c>
      <c r="D8" s="29" t="e">
        <f>'Объём сжигания'!D7*$B8</f>
        <v>#DIV/0!</v>
      </c>
      <c r="E8" s="29" t="e">
        <f>'Лимит сжигания 5%'!E7*$B8</f>
        <v>#DIV/0!</v>
      </c>
      <c r="F8" s="29" t="e">
        <f>'Сверх нормативное сжигание'!C7*$B8*100</f>
        <v>#DIV/0!</v>
      </c>
      <c r="G8" s="5">
        <f>'Лимит сжигания 5%'!F7*$B8</f>
        <v>0</v>
      </c>
      <c r="H8" s="3">
        <f>'Сверх нормативное сжигание'!D7*$B8*100</f>
        <v>0</v>
      </c>
      <c r="I8" s="13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3">
      <c r="A9" s="12" t="s">
        <v>15</v>
      </c>
      <c r="B9" s="15">
        <v>0</v>
      </c>
      <c r="C9" s="38">
        <f>'Объём сжигания'!C8*$B9</f>
        <v>0</v>
      </c>
      <c r="D9" s="29" t="e">
        <f>'Объём сжигания'!D8*$B9</f>
        <v>#DIV/0!</v>
      </c>
      <c r="E9" s="29" t="e">
        <f>'Лимит сжигания 5%'!E8*$B9</f>
        <v>#DIV/0!</v>
      </c>
      <c r="F9" s="29" t="e">
        <f>'Сверх нормативное сжигание'!C8*$B9*100</f>
        <v>#DIV/0!</v>
      </c>
      <c r="G9" s="5">
        <f>'Лимит сжигания 5%'!F8*$B9</f>
        <v>0</v>
      </c>
      <c r="H9" s="3">
        <f>'Сверх нормативное сжигание'!D8*$B9*100</f>
        <v>0</v>
      </c>
      <c r="I9" s="13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">
      <c r="A10" s="12" t="s">
        <v>16</v>
      </c>
      <c r="B10" s="15">
        <f>108*1.26</f>
        <v>136.08000000000001</v>
      </c>
      <c r="C10" s="38">
        <f>'Объём сжигания'!C9*$B10</f>
        <v>0</v>
      </c>
      <c r="D10" s="29" t="e">
        <f>'Объём сжигания'!D9*$B10</f>
        <v>#DIV/0!</v>
      </c>
      <c r="E10" s="29" t="e">
        <f>'Лимит сжигания 5%'!E9*$B10</f>
        <v>#DIV/0!</v>
      </c>
      <c r="F10" s="29" t="e">
        <f>'Сверх нормативное сжигание'!C9*$B10*100</f>
        <v>#DIV/0!</v>
      </c>
      <c r="G10" s="5">
        <f>'Лимит сжигания 5%'!F9*$B10</f>
        <v>0</v>
      </c>
      <c r="H10" s="3">
        <f>'Сверх нормативное сжигание'!D9*$B10*100</f>
        <v>0</v>
      </c>
      <c r="I10" s="13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">
      <c r="A11" s="12" t="s">
        <v>17</v>
      </c>
      <c r="B11" s="15">
        <f>108*1.26</f>
        <v>136.08000000000001</v>
      </c>
      <c r="C11" s="38">
        <f>'Объём сжигания'!C10*$B11</f>
        <v>0</v>
      </c>
      <c r="D11" s="29" t="e">
        <f>'Объём сжигания'!D10*$B11</f>
        <v>#DIV/0!</v>
      </c>
      <c r="E11" s="29" t="e">
        <f>'Лимит сжигания 5%'!E10*$B11</f>
        <v>#DIV/0!</v>
      </c>
      <c r="F11" s="29" t="e">
        <f>'Сверх нормативное сжигание'!C10*$B11*100</f>
        <v>#DIV/0!</v>
      </c>
      <c r="G11" s="5">
        <f>'Лимит сжигания 5%'!F10*$B11</f>
        <v>0</v>
      </c>
      <c r="H11" s="3">
        <f>'Сверх нормативное сжигание'!D10*$B11*100</f>
        <v>0</v>
      </c>
      <c r="I11" s="13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3">
      <c r="A12" s="12" t="s">
        <v>18</v>
      </c>
      <c r="B12" s="15">
        <f>108*1.26</f>
        <v>136.08000000000001</v>
      </c>
      <c r="C12" s="38">
        <f>'Объём сжигания'!C11*$B12</f>
        <v>0</v>
      </c>
      <c r="D12" s="29" t="e">
        <f>'Объём сжигания'!D11*$B12</f>
        <v>#DIV/0!</v>
      </c>
      <c r="E12" s="29" t="e">
        <f>'Лимит сжигания 5%'!E11*$B12</f>
        <v>#DIV/0!</v>
      </c>
      <c r="F12" s="29" t="e">
        <f>'Сверх нормативное сжигание'!C11*$B12*100</f>
        <v>#DIV/0!</v>
      </c>
      <c r="G12" s="5">
        <f>'Лимит сжигания 5%'!F11*$B12</f>
        <v>0</v>
      </c>
      <c r="H12" s="3">
        <f>'Сверх нормативное сжигание'!D11*$B12*100</f>
        <v>0</v>
      </c>
      <c r="I12" s="13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3">
      <c r="A13" s="12" t="s">
        <v>19</v>
      </c>
      <c r="B13" s="15">
        <f>108*1.26</f>
        <v>136.08000000000001</v>
      </c>
      <c r="C13" s="38">
        <f>'Объём сжигания'!C12*$B13</f>
        <v>0</v>
      </c>
      <c r="D13" s="29" t="e">
        <f>'Объём сжигания'!D12*$B13</f>
        <v>#DIV/0!</v>
      </c>
      <c r="E13" s="29" t="e">
        <f>'Лимит сжигания 5%'!E12*$B13</f>
        <v>#DIV/0!</v>
      </c>
      <c r="F13" s="29" t="e">
        <f>'Сверх нормативное сжигание'!C12*$B13*100</f>
        <v>#DIV/0!</v>
      </c>
      <c r="G13" s="5">
        <f>'Лимит сжигания 5%'!F12*$B13</f>
        <v>0</v>
      </c>
      <c r="H13" s="3">
        <f>'Сверх нормативное сжигание'!D12*$B13*100</f>
        <v>0</v>
      </c>
      <c r="I13" s="13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3">
      <c r="A14" s="12" t="s">
        <v>20</v>
      </c>
      <c r="B14" s="15">
        <f>108*1.26</f>
        <v>136.08000000000001</v>
      </c>
      <c r="C14" s="38">
        <f>'Объём сжигания'!C13*$B14</f>
        <v>0</v>
      </c>
      <c r="D14" s="29" t="e">
        <f>'Объём сжигания'!D13*$B14</f>
        <v>#DIV/0!</v>
      </c>
      <c r="E14" s="29" t="e">
        <f>'Лимит сжигания 5%'!E13*$B14</f>
        <v>#DIV/0!</v>
      </c>
      <c r="F14" s="29" t="e">
        <f>'Сверх нормативное сжигание'!C13*$B14*100</f>
        <v>#DIV/0!</v>
      </c>
      <c r="G14" s="5">
        <f>'Лимит сжигания 5%'!F13*$B14</f>
        <v>0</v>
      </c>
      <c r="H14" s="3">
        <f>'Сверх нормативное сжигание'!D13*$B14*100</f>
        <v>0</v>
      </c>
      <c r="I14" s="13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3">
      <c r="A15" s="12" t="s">
        <v>21</v>
      </c>
      <c r="B15" s="15">
        <f>0.1*1.26</f>
        <v>0.126</v>
      </c>
      <c r="C15" s="38">
        <f>'Объём сжигания'!C14*$B15</f>
        <v>0</v>
      </c>
      <c r="D15" s="29" t="e">
        <f>'Объём сжигания'!D14*$B15</f>
        <v>#DIV/0!</v>
      </c>
      <c r="E15" s="29" t="e">
        <f>'Лимит сжигания 5%'!E14*$B15</f>
        <v>#DIV/0!</v>
      </c>
      <c r="F15" s="29" t="e">
        <f>'Сверх нормативное сжигание'!C14*$B15*100</f>
        <v>#DIV/0!</v>
      </c>
      <c r="G15" s="5">
        <f>'Лимит сжигания 5%'!F14*$B15</f>
        <v>0</v>
      </c>
      <c r="H15" s="3">
        <f>'Сверх нормативное сжигание'!D14*$B15*100</f>
        <v>0</v>
      </c>
      <c r="I15" s="13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3">
      <c r="A16" s="12" t="s">
        <v>22</v>
      </c>
      <c r="B16" s="15">
        <f>5472968.7*1.26</f>
        <v>6895940.5619999999</v>
      </c>
      <c r="C16" s="38">
        <f>'Объём сжигания'!C15*$B16</f>
        <v>0</v>
      </c>
      <c r="D16" s="29" t="e">
        <f>'Объём сжигания'!D15*$B16</f>
        <v>#DIV/0!</v>
      </c>
      <c r="E16" s="29" t="e">
        <f>'Лимит сжигания 5%'!E15*$B16</f>
        <v>#DIV/0!</v>
      </c>
      <c r="F16" s="29" t="e">
        <f>'Сверх нормативное сжигание'!C15*$B16*100</f>
        <v>#DIV/0!</v>
      </c>
      <c r="G16" s="5">
        <f>'Лимит сжигания 5%'!F15*$B16</f>
        <v>0</v>
      </c>
      <c r="H16" s="3">
        <f>'Сверх нормативное сжигание'!D15*$B16*100</f>
        <v>0</v>
      </c>
      <c r="I16" s="13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3">
      <c r="A17" s="12" t="s">
        <v>23</v>
      </c>
      <c r="B17" s="41">
        <f>54729.7*1.26</f>
        <v>68959.421999999991</v>
      </c>
      <c r="C17" s="38">
        <f>'Объём сжигания'!C16*$B17</f>
        <v>0</v>
      </c>
      <c r="D17" s="29" t="e">
        <f>'Объём сжигания'!D16*$B17</f>
        <v>#DIV/0!</v>
      </c>
      <c r="E17" s="29" t="e">
        <f>'Лимит сжигания 5%'!E16*$B17</f>
        <v>#DIV/0!</v>
      </c>
      <c r="F17" s="29" t="e">
        <f>'Сверх нормативное сжигание'!C16*$B17*100</f>
        <v>#DIV/0!</v>
      </c>
      <c r="G17" s="5">
        <f>'Лимит сжигания 5%'!F16*$B17</f>
        <v>0</v>
      </c>
      <c r="H17" s="3">
        <f>'Сверх нормативное сжигание'!D16*$B17*100</f>
        <v>0</v>
      </c>
      <c r="I17" s="13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thickBot="1" x14ac:dyDescent="0.35">
      <c r="A18" s="23" t="s">
        <v>24</v>
      </c>
      <c r="B18" s="42">
        <f>54729.7*1.26</f>
        <v>68959.421999999991</v>
      </c>
      <c r="C18" s="39">
        <f>'Объём сжигания'!C17*$B18</f>
        <v>0</v>
      </c>
      <c r="D18" s="30" t="e">
        <f>'Объём сжигания'!D17*$B18</f>
        <v>#DIV/0!</v>
      </c>
      <c r="E18" s="30" t="e">
        <f>'Лимит сжигания 5%'!E17*$B18</f>
        <v>#DIV/0!</v>
      </c>
      <c r="F18" s="30" t="e">
        <f>'Сверх нормативное сжигание'!C17*$B18*100</f>
        <v>#DIV/0!</v>
      </c>
      <c r="G18" s="34">
        <f>'Лимит сжигания 5%'!F17*$B18</f>
        <v>0</v>
      </c>
      <c r="H18" s="24">
        <f>'Сверх нормативное сжигание'!D17*$B18*100</f>
        <v>0</v>
      </c>
      <c r="I18" s="13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thickBot="1" x14ac:dyDescent="0.35">
      <c r="A19" s="7" t="s">
        <v>33</v>
      </c>
      <c r="B19" s="43"/>
      <c r="C19" s="105">
        <f t="shared" ref="C19:H19" si="0">SUM(C3:C18)</f>
        <v>0</v>
      </c>
      <c r="D19" s="106" t="e">
        <f t="shared" si="0"/>
        <v>#DIV/0!</v>
      </c>
      <c r="E19" s="106" t="e">
        <f t="shared" si="0"/>
        <v>#DIV/0!</v>
      </c>
      <c r="F19" s="106" t="e">
        <f t="shared" si="0"/>
        <v>#DIV/0!</v>
      </c>
      <c r="G19" s="107">
        <f t="shared" si="0"/>
        <v>0</v>
      </c>
      <c r="H19" s="108">
        <f t="shared" si="0"/>
        <v>0</v>
      </c>
      <c r="I19" s="13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</sheetData>
  <mergeCells count="2">
    <mergeCell ref="A1:A2"/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9DBE-9C5F-4AAB-B47F-3A8717A4F095}">
  <dimension ref="A1:Z18"/>
  <sheetViews>
    <sheetView workbookViewId="0">
      <selection activeCell="D18" sqref="D1:D18"/>
    </sheetView>
  </sheetViews>
  <sheetFormatPr defaultRowHeight="14.4" x14ac:dyDescent="0.3"/>
  <cols>
    <col min="1" max="1" width="35.77734375" customWidth="1"/>
    <col min="2" max="3" width="17.77734375" customWidth="1"/>
    <col min="4" max="26" width="15.77734375" customWidth="1"/>
  </cols>
  <sheetData>
    <row r="1" spans="1:26" ht="30" customHeight="1" thickBot="1" x14ac:dyDescent="0.35">
      <c r="A1" s="47" t="s">
        <v>31</v>
      </c>
      <c r="B1" s="104" t="s">
        <v>34</v>
      </c>
      <c r="C1" s="99" t="str">
        <f>'Исходные данные'!E1</f>
        <v>После выраб. 2023</v>
      </c>
      <c r="D1" s="8">
        <f>'Исходные данные'!F1</f>
        <v>2024</v>
      </c>
      <c r="E1" s="136"/>
      <c r="F1" s="17"/>
      <c r="G1" s="17"/>
      <c r="H1" s="17"/>
      <c r="I1" s="17"/>
      <c r="J1" s="17"/>
      <c r="K1" s="17"/>
      <c r="L1" s="17"/>
      <c r="M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" customHeight="1" x14ac:dyDescent="0.3">
      <c r="A2" s="20" t="s">
        <v>8</v>
      </c>
      <c r="B2" s="40">
        <v>64289</v>
      </c>
      <c r="C2" s="100" t="e">
        <f>'Сверх нормативное сжигание'!C2*1.04274622*$B2</f>
        <v>#DIV/0!</v>
      </c>
      <c r="D2" s="151">
        <f>'Сверх нормативное сжигание'!D2*1.04274622*$B2</f>
        <v>0</v>
      </c>
      <c r="E2" s="147"/>
    </row>
    <row r="3" spans="1:26" ht="15" customHeight="1" x14ac:dyDescent="0.3">
      <c r="A3" s="12" t="s">
        <v>10</v>
      </c>
      <c r="B3" s="15">
        <v>64289</v>
      </c>
      <c r="C3" s="101" t="e">
        <f>'Сверх нормативное сжигание'!C3*1.04274622*$B3</f>
        <v>#DIV/0!</v>
      </c>
      <c r="D3" s="152">
        <f>'Сверх нормативное сжигание'!D3*1.04274622*$B3</f>
        <v>0</v>
      </c>
      <c r="E3" s="147"/>
    </row>
    <row r="4" spans="1:26" ht="15" customHeight="1" x14ac:dyDescent="0.3">
      <c r="A4" s="13" t="s">
        <v>11</v>
      </c>
      <c r="B4" s="15">
        <v>344850</v>
      </c>
      <c r="C4" s="101" t="e">
        <f>'Сверх нормативное сжигание'!C4*1.04274622*$B4</f>
        <v>#DIV/0!</v>
      </c>
      <c r="D4" s="152">
        <f>'Сверх нормативное сжигание'!D4*1.04274622*$B4</f>
        <v>0</v>
      </c>
      <c r="E4" s="147"/>
    </row>
    <row r="5" spans="1:26" ht="15" customHeight="1" x14ac:dyDescent="0.3">
      <c r="A5" s="13" t="s">
        <v>12</v>
      </c>
      <c r="B5" s="15">
        <v>110723</v>
      </c>
      <c r="C5" s="101" t="e">
        <f>'Сверх нормативное сжигание'!C5*1.04274622*$B5</f>
        <v>#DIV/0!</v>
      </c>
      <c r="D5" s="152">
        <f>'Сверх нормативное сжигание'!D5*1.04274622*$B5</f>
        <v>0</v>
      </c>
      <c r="E5" s="147"/>
    </row>
    <row r="6" spans="1:26" ht="15" customHeight="1" x14ac:dyDescent="0.3">
      <c r="A6" s="13" t="s">
        <v>13</v>
      </c>
      <c r="B6" s="15">
        <v>500000</v>
      </c>
      <c r="C6" s="101" t="e">
        <f>'Сверх нормативное сжигание'!C6*1.04274622*$B6</f>
        <v>#DIV/0!</v>
      </c>
      <c r="D6" s="152">
        <f>'Сверх нормативное сжигание'!D6*1.04274622*$B6</f>
        <v>0</v>
      </c>
      <c r="E6" s="147"/>
    </row>
    <row r="7" spans="1:26" ht="15" customHeight="1" x14ac:dyDescent="0.3">
      <c r="A7" s="12" t="s">
        <v>14</v>
      </c>
      <c r="B7" s="15">
        <v>5000</v>
      </c>
      <c r="C7" s="101" t="e">
        <f>'Сверх нормативное сжигание'!C7*1.04274622*$B7</f>
        <v>#DIV/0!</v>
      </c>
      <c r="D7" s="152">
        <f>'Сверх нормативное сжигание'!D7*1.04274622*$B7</f>
        <v>0</v>
      </c>
      <c r="E7" s="147"/>
    </row>
    <row r="8" spans="1:26" ht="15" customHeight="1" x14ac:dyDescent="0.3">
      <c r="A8" s="12" t="s">
        <v>15</v>
      </c>
      <c r="B8" s="15">
        <v>0</v>
      </c>
      <c r="C8" s="101" t="e">
        <f>'Сверх нормативное сжигание'!C8*1.04274622*$B8</f>
        <v>#DIV/0!</v>
      </c>
      <c r="D8" s="152">
        <f>'Сверх нормативное сжигание'!D8*1.04274622*$B8</f>
        <v>0</v>
      </c>
      <c r="E8" s="147"/>
    </row>
    <row r="9" spans="1:26" ht="15" customHeight="1" x14ac:dyDescent="0.3">
      <c r="A9" s="12" t="s">
        <v>16</v>
      </c>
      <c r="B9" s="15">
        <v>4069</v>
      </c>
      <c r="C9" s="101" t="e">
        <f>'Сверх нормативное сжигание'!C9*1.04274622*$B9</f>
        <v>#DIV/0!</v>
      </c>
      <c r="D9" s="152">
        <f>'Сверх нормативное сжигание'!D9*1.04274622*$B9</f>
        <v>0</v>
      </c>
      <c r="E9" s="147"/>
    </row>
    <row r="10" spans="1:26" ht="15" customHeight="1" x14ac:dyDescent="0.3">
      <c r="A10" s="12" t="s">
        <v>17</v>
      </c>
      <c r="B10" s="15">
        <v>12292</v>
      </c>
      <c r="C10" s="101" t="e">
        <f>'Сверх нормативное сжигание'!C10*1.04274622*$B10</f>
        <v>#DIV/0!</v>
      </c>
      <c r="D10" s="152">
        <f>'Сверх нормативное сжигание'!D10*1.04274622*$B10</f>
        <v>0</v>
      </c>
      <c r="E10" s="147"/>
    </row>
    <row r="11" spans="1:26" ht="15" customHeight="1" x14ac:dyDescent="0.3">
      <c r="A11" s="12" t="s">
        <v>18</v>
      </c>
      <c r="B11" s="15">
        <v>12292</v>
      </c>
      <c r="C11" s="101" t="e">
        <f>'Сверх нормативное сжигание'!C11*1.04274622*$B11</f>
        <v>#DIV/0!</v>
      </c>
      <c r="D11" s="152">
        <f>'Сверх нормативное сжигание'!D11*1.04274622*$B11</f>
        <v>0</v>
      </c>
      <c r="E11" s="147"/>
    </row>
    <row r="12" spans="1:26" ht="15" customHeight="1" x14ac:dyDescent="0.3">
      <c r="A12" s="12" t="s">
        <v>19</v>
      </c>
      <c r="B12" s="15">
        <v>12292</v>
      </c>
      <c r="C12" s="101" t="e">
        <f>'Сверх нормативное сжигание'!C12*1.04274622*$B12</f>
        <v>#DIV/0!</v>
      </c>
      <c r="D12" s="152">
        <f>'Сверх нормативное сжигание'!D12*1.04274622*$B12</f>
        <v>0</v>
      </c>
      <c r="E12" s="147"/>
    </row>
    <row r="13" spans="1:26" ht="15" customHeight="1" x14ac:dyDescent="0.3">
      <c r="A13" s="12" t="s">
        <v>20</v>
      </c>
      <c r="B13" s="15">
        <v>12292</v>
      </c>
      <c r="C13" s="101" t="e">
        <f>'Сверх нормативное сжигание'!C13*1.04274622*$B13</f>
        <v>#DIV/0!</v>
      </c>
      <c r="D13" s="152">
        <f>'Сверх нормативное сжигание'!D13*1.04274622*$B13</f>
        <v>0</v>
      </c>
      <c r="E13" s="147"/>
    </row>
    <row r="14" spans="1:26" ht="15" customHeight="1" x14ac:dyDescent="0.3">
      <c r="A14" s="12" t="s">
        <v>21</v>
      </c>
      <c r="B14" s="15">
        <v>12292</v>
      </c>
      <c r="C14" s="101" t="e">
        <f>'Сверх нормативное сжигание'!C14*1.04274622*$B14</f>
        <v>#DIV/0!</v>
      </c>
      <c r="D14" s="152">
        <f>'Сверх нормативное сжигание'!D14*1.04274622*$B14</f>
        <v>0</v>
      </c>
      <c r="E14" s="147"/>
    </row>
    <row r="15" spans="1:26" ht="15" customHeight="1" x14ac:dyDescent="0.3">
      <c r="A15" s="12" t="s">
        <v>22</v>
      </c>
      <c r="B15" s="15">
        <v>19185000</v>
      </c>
      <c r="C15" s="101" t="e">
        <f>'Сверх нормативное сжигание'!C15*1.04274622*$B15</f>
        <v>#DIV/0!</v>
      </c>
      <c r="D15" s="152">
        <f>'Сверх нормативное сжигание'!D15*1.04274622*$B15</f>
        <v>0</v>
      </c>
      <c r="E15" s="147"/>
    </row>
    <row r="16" spans="1:26" ht="15" customHeight="1" x14ac:dyDescent="0.3">
      <c r="A16" s="12" t="s">
        <v>23</v>
      </c>
      <c r="B16" s="15">
        <v>500000</v>
      </c>
      <c r="C16" s="101" t="e">
        <f>'Сверх нормативное сжигание'!C16*1.04274622*$B16</f>
        <v>#DIV/0!</v>
      </c>
      <c r="D16" s="152">
        <f>'Сверх нормативное сжигание'!D16*1.04274622*$B16</f>
        <v>0</v>
      </c>
      <c r="E16" s="147"/>
    </row>
    <row r="17" spans="1:5" ht="15" customHeight="1" thickBot="1" x14ac:dyDescent="0.35">
      <c r="A17" s="14" t="s">
        <v>24</v>
      </c>
      <c r="B17" s="16">
        <v>500000</v>
      </c>
      <c r="C17" s="102" t="e">
        <f>'Сверх нормативное сжигание'!C17*1.04274622*$B17</f>
        <v>#DIV/0!</v>
      </c>
      <c r="D17" s="153">
        <f>'Сверх нормативное сжигание'!D17*1.04274622*$B17</f>
        <v>0</v>
      </c>
      <c r="E17" s="147"/>
    </row>
    <row r="18" spans="1:5" ht="15" customHeight="1" thickBot="1" x14ac:dyDescent="0.35">
      <c r="A18" s="10" t="s">
        <v>37</v>
      </c>
      <c r="B18" s="11"/>
      <c r="C18" s="103" t="e">
        <f>SUM(C2:C17)</f>
        <v>#DIV/0!</v>
      </c>
      <c r="D18" s="98">
        <f>SUM(D2:D17)</f>
        <v>0</v>
      </c>
      <c r="E18" s="14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workbookViewId="0">
      <selection activeCell="C19" sqref="C19"/>
    </sheetView>
  </sheetViews>
  <sheetFormatPr defaultRowHeight="14.4" x14ac:dyDescent="0.3"/>
  <cols>
    <col min="1" max="1" width="35.77734375" customWidth="1"/>
    <col min="3" max="15" width="17.77734375" customWidth="1"/>
  </cols>
  <sheetData>
    <row r="1" spans="1:15" s="17" customFormat="1" ht="30" customHeight="1" thickBot="1" x14ac:dyDescent="0.35">
      <c r="A1" s="86"/>
      <c r="B1" s="87"/>
      <c r="C1" s="89">
        <f>'Исходные данные'!C1</f>
        <v>2022</v>
      </c>
      <c r="D1" s="74" t="str">
        <f>'Исходные данные'!D1</f>
        <v>До выраб. 2023</v>
      </c>
      <c r="E1" s="74" t="str">
        <f>'Исходные данные'!D1</f>
        <v>До выраб. 2023</v>
      </c>
      <c r="F1" s="74">
        <f>'Исходные данные'!F1</f>
        <v>2024</v>
      </c>
    </row>
    <row r="2" spans="1:15" ht="15" customHeight="1" x14ac:dyDescent="0.3">
      <c r="A2" s="72" t="s">
        <v>0</v>
      </c>
      <c r="B2" s="75" t="s">
        <v>1</v>
      </c>
      <c r="C2" s="90">
        <f>SUM(C3:C4)</f>
        <v>0</v>
      </c>
      <c r="D2" s="73">
        <f t="shared" ref="D2:F2" si="0">IFERROR(IF(D8&gt;=D6,D3+D4,D5+D3),0)</f>
        <v>0</v>
      </c>
      <c r="E2" s="73">
        <f t="shared" si="0"/>
        <v>0</v>
      </c>
      <c r="F2" s="73">
        <f t="shared" si="0"/>
        <v>0</v>
      </c>
      <c r="G2" s="155"/>
      <c r="H2" s="155"/>
      <c r="I2" s="155"/>
      <c r="J2" s="155"/>
      <c r="K2" s="155"/>
      <c r="L2" s="155"/>
      <c r="M2" s="155"/>
      <c r="N2" s="155"/>
      <c r="O2" s="155"/>
    </row>
    <row r="3" spans="1:15" ht="15" customHeight="1" x14ac:dyDescent="0.3">
      <c r="A3" s="69" t="s">
        <v>4</v>
      </c>
      <c r="B3" s="76" t="s">
        <v>1</v>
      </c>
      <c r="C3" s="91">
        <f>Лимиты!C19</f>
        <v>0</v>
      </c>
      <c r="D3" s="6" t="e">
        <f>Лимиты!D19</f>
        <v>#DIV/0!</v>
      </c>
      <c r="E3" s="6" t="e">
        <f>Лимиты!E19</f>
        <v>#DIV/0!</v>
      </c>
      <c r="F3" s="6">
        <f>Лимиты!G19</f>
        <v>0</v>
      </c>
      <c r="G3" s="155"/>
      <c r="H3" s="155"/>
      <c r="I3" s="155"/>
      <c r="J3" s="155"/>
      <c r="K3" s="155"/>
      <c r="L3" s="155"/>
      <c r="M3" s="155"/>
      <c r="N3" s="155"/>
      <c r="O3" s="155"/>
    </row>
    <row r="4" spans="1:15" ht="15" customHeight="1" x14ac:dyDescent="0.3">
      <c r="A4" s="69" t="s">
        <v>6</v>
      </c>
      <c r="B4" s="76" t="s">
        <v>1</v>
      </c>
      <c r="C4" s="92"/>
      <c r="D4" s="6" t="e">
        <f>Лимиты!E19</f>
        <v>#DIV/0!</v>
      </c>
      <c r="E4" s="6" t="e">
        <f>Лимиты!F19</f>
        <v>#DIV/0!</v>
      </c>
      <c r="F4" s="6">
        <f>Лимиты!H19</f>
        <v>0</v>
      </c>
      <c r="G4" s="155"/>
      <c r="H4" s="155"/>
      <c r="I4" s="155"/>
      <c r="J4" s="155"/>
      <c r="K4" s="155"/>
      <c r="L4" s="155"/>
      <c r="M4" s="155"/>
      <c r="N4" s="155"/>
      <c r="O4" s="155"/>
    </row>
    <row r="5" spans="1:15" ht="15" customHeight="1" x14ac:dyDescent="0.3">
      <c r="A5" s="69" t="s">
        <v>25</v>
      </c>
      <c r="B5" s="76" t="s">
        <v>1</v>
      </c>
      <c r="C5" s="91"/>
      <c r="D5" s="6"/>
      <c r="E5" s="6">
        <f t="shared" ref="E5:F5" si="1">IFERROR(E4*E9,0)</f>
        <v>0</v>
      </c>
      <c r="F5" s="6">
        <f t="shared" si="1"/>
        <v>0</v>
      </c>
      <c r="G5" s="155"/>
      <c r="H5" s="155"/>
      <c r="I5" s="155"/>
      <c r="J5" s="155"/>
      <c r="K5" s="155"/>
      <c r="L5" s="155"/>
      <c r="M5" s="155"/>
      <c r="N5" s="155"/>
      <c r="O5" s="155"/>
    </row>
    <row r="6" spans="1:15" ht="15" customHeight="1" x14ac:dyDescent="0.3">
      <c r="A6" s="69" t="s">
        <v>26</v>
      </c>
      <c r="B6" s="76" t="s">
        <v>1</v>
      </c>
      <c r="C6" s="91"/>
      <c r="D6" s="6"/>
      <c r="E6" s="6">
        <f t="shared" ref="E6:F6" si="2">IFERROR(E$4*25,0)</f>
        <v>0</v>
      </c>
      <c r="F6" s="6">
        <f t="shared" si="2"/>
        <v>0</v>
      </c>
      <c r="G6" s="155"/>
      <c r="H6" s="155"/>
      <c r="I6" s="155"/>
      <c r="J6" s="155"/>
      <c r="K6" s="155"/>
      <c r="L6" s="155"/>
      <c r="M6" s="155"/>
      <c r="N6" s="155"/>
      <c r="O6" s="155"/>
    </row>
    <row r="7" spans="1:15" ht="15" customHeight="1" x14ac:dyDescent="0.3">
      <c r="A7" s="70" t="s">
        <v>27</v>
      </c>
      <c r="B7" s="76" t="s">
        <v>1</v>
      </c>
      <c r="C7" s="91"/>
      <c r="D7" s="6"/>
      <c r="E7" s="6" t="e">
        <f>'Сверх лимит (вред)'!C18</f>
        <v>#DIV/0!</v>
      </c>
      <c r="F7" s="6">
        <f>'Сверх лимит (вред)'!D18</f>
        <v>0</v>
      </c>
      <c r="G7" s="155"/>
      <c r="H7" s="155"/>
      <c r="I7" s="155"/>
      <c r="J7" s="155"/>
      <c r="K7" s="155"/>
      <c r="L7" s="155"/>
      <c r="M7" s="155"/>
      <c r="N7" s="155"/>
      <c r="O7" s="155"/>
    </row>
    <row r="8" spans="1:15" ht="15" customHeight="1" x14ac:dyDescent="0.3">
      <c r="A8" s="70" t="s">
        <v>7</v>
      </c>
      <c r="B8" s="76"/>
      <c r="C8" s="91"/>
      <c r="D8" s="6"/>
      <c r="E8" s="6"/>
      <c r="F8" s="6"/>
      <c r="G8" s="155"/>
      <c r="H8" s="155"/>
      <c r="I8" s="155"/>
      <c r="J8" s="155"/>
      <c r="K8" s="155"/>
      <c r="L8" s="155"/>
      <c r="M8" s="155"/>
      <c r="N8" s="155"/>
      <c r="O8" s="155"/>
    </row>
    <row r="9" spans="1:15" ht="15" customHeight="1" thickBot="1" x14ac:dyDescent="0.35">
      <c r="A9" s="71" t="s">
        <v>28</v>
      </c>
      <c r="B9" s="77"/>
      <c r="C9" s="91" t="e">
        <f>25*(1-'Исходные данные'!C4/(C2+C4))</f>
        <v>#DIV/0!</v>
      </c>
      <c r="D9" s="6"/>
      <c r="E9" s="6">
        <f t="shared" ref="E9:F9" si="3">IFERROR(IF((25*(1-E8/(E3+E6)))&lt;1,1,(25*(1-E8/(E3+E6)))),0)</f>
        <v>0</v>
      </c>
      <c r="F9" s="6">
        <f t="shared" si="3"/>
        <v>0</v>
      </c>
      <c r="G9" s="155"/>
      <c r="H9" s="155"/>
      <c r="I9" s="155"/>
      <c r="J9" s="155"/>
      <c r="K9" s="155"/>
      <c r="L9" s="155"/>
      <c r="M9" s="155"/>
      <c r="N9" s="155"/>
      <c r="O9" s="1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Исходные данные</vt:lpstr>
      <vt:lpstr>Объём сжигания</vt:lpstr>
      <vt:lpstr>Лимит сжигания 5%</vt:lpstr>
      <vt:lpstr>Сверх нормативное сжигание</vt:lpstr>
      <vt:lpstr>Лимиты</vt:lpstr>
      <vt:lpstr>Сверх лимит (вред)</vt:lpstr>
      <vt:lpstr>Итоговый вывод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Андрей Коковихин</cp:lastModifiedBy>
  <dcterms:created xsi:type="dcterms:W3CDTF">2023-05-21T14:39:20Z</dcterms:created>
  <dcterms:modified xsi:type="dcterms:W3CDTF">2023-06-02T13:02:01Z</dcterms:modified>
</cp:coreProperties>
</file>