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0" documentId="13_ncr:1_{F115747E-ACE3-4F82-A8D3-29576CBAF3F4}" xr6:coauthVersionLast="47" xr6:coauthVersionMax="47" xr10:uidLastSave="{00000000-0000-0000-0000-000000000000}"/>
  <workbookProtection lockStructure="1"/>
  <bookViews>
    <workbookView xWindow="-98" yWindow="-98" windowWidth="23236" windowHeight="13875" tabRatio="810" activeTab="1" xr2:uid="{00000000-000D-0000-FFFF-FFFF00000000}"/>
  </bookViews>
  <sheets>
    <sheet name="HOW TO USE THIS TOOL" sheetId="2" r:id="rId1"/>
    <sheet name="WEIGHT TRANSFER MAIN" sheetId="1" r:id="rId2"/>
    <sheet name="LONGITUDINAL WEIGHT TRANSFER" sheetId="4" r:id="rId3"/>
    <sheet name="DAMPING" sheetId="5" r:id="rId4"/>
    <sheet name="DAMPING RATIO TRADE-OFF" sheetId="6" r:id="rId5"/>
  </sheets>
  <definedNames>
    <definedName name="a">#REF!</definedName>
    <definedName name="alpha">#REF!</definedName>
    <definedName name="AR_ARB">'WEIGHT TRANSFER MAIN'!$P$20</definedName>
    <definedName name="AR_FrontARB">'WEIGHT TRANSFER MAIN'!$P$18</definedName>
    <definedName name="AR_FrontAxleAndTire">'WEIGHT TRANSFER MAIN'!$P$50</definedName>
    <definedName name="AR_FrontSpring">'WEIGHT TRANSFER MAIN'!$P$15</definedName>
    <definedName name="AR_RearARB">'WEIGHT TRANSFER MAIN'!$P$19</definedName>
    <definedName name="AR_RearAxleAndTire">'WEIGHT TRANSFER MAIN'!$P$51</definedName>
    <definedName name="AR_RearSpring">'WEIGHT TRANSFER MAIN'!$P$16</definedName>
    <definedName name="AR_Spring">'WEIGHT TRANSFER MAIN'!$P$17</definedName>
    <definedName name="AR_Total">'WEIGHT TRANSFER MAIN'!$P$14</definedName>
    <definedName name="ARBMR_Fr">'WEIGHT TRANSFER MAIN'!$E$37</definedName>
    <definedName name="ARBMR_Rr">'WEIGHT TRANSFER MAIN'!$E$38</definedName>
    <definedName name="ARBStiffness_Fr">'WEIGHT TRANSFER MAIN'!$E$31</definedName>
    <definedName name="ARBStiffness_Rr">'WEIGHT TRANSFER MAIN'!$E$32</definedName>
    <definedName name="ARTotal_Tire">'WEIGHT TRANSFER MAIN'!$P$40</definedName>
    <definedName name="b">#REF!</definedName>
    <definedName name="beta">#REF!</definedName>
    <definedName name="Cz">'WEIGHT TRANSFER MAIN'!$E$42</definedName>
    <definedName name="DeltaZ">'WEIGHT TRANSFER MAIN'!$P$27</definedName>
    <definedName name="DF">'WEIGHT TRANSFER MAIN'!$E$47</definedName>
    <definedName name="DF_Dist">'WEIGHT TRANSFER MAIN'!$E$43</definedName>
    <definedName name="FrontTrack">'WEIGHT TRANSFER MAIN'!$E$7</definedName>
    <definedName name="FrontWheelRate_NoTire">'WEIGHT TRANSFER MAIN'!$P$23</definedName>
    <definedName name="g_earth">'LONGITUDINAL WEIGHT TRANSFER'!$C$42</definedName>
    <definedName name="gamma">#REF!</definedName>
    <definedName name="K">#REF!</definedName>
    <definedName name="LatAccel">'WEIGHT TRANSFER MAIN'!$D$51</definedName>
    <definedName name="Long_Acc">'LONGITUDINAL WEIGHT TRANSFER'!$D$36</definedName>
    <definedName name="MassCGHeight">'WEIGHT TRANSFER MAIN'!$E$14</definedName>
    <definedName name="NSM_Fr">'WEIGHT TRANSFER MAIN'!$E$11</definedName>
    <definedName name="NSM_Rr">'WEIGHT TRANSFER MAIN'!$E$12</definedName>
    <definedName name="NSMCG_Fr">'WEIGHT TRANSFER MAIN'!$E$15</definedName>
    <definedName name="NSMCG_Rr">'WEIGHT TRANSFER MAIN'!$E$16</definedName>
    <definedName name="omega1">#REF!</definedName>
    <definedName name="omega2">#REF!</definedName>
    <definedName name="PCx">'WEIGHT TRANSFER MAIN'!$E$22</definedName>
    <definedName name="PCy">'WEIGHT TRANSFER MAIN'!$E$23</definedName>
    <definedName name="PCz">'WEIGHT TRANSFER MAIN'!$E$24</definedName>
    <definedName name="Pitch_Moment">'LONGITUDINAL WEIGHT TRANSFER'!$E$32</definedName>
    <definedName name="Pitch_Stiffness">'WEIGHT TRANSFER MAIN'!$P$31</definedName>
    <definedName name="RC_Fr">'WEIGHT TRANSFER MAIN'!$E$39</definedName>
    <definedName name="RC_Rr">'WEIGHT TRANSFER MAIN'!$E$40</definedName>
    <definedName name="RearTrack">'WEIGHT TRANSFER MAIN'!$E$8</definedName>
    <definedName name="RearWheelRate_NoTire">'WEIGHT TRANSFER MAIN'!$P$24</definedName>
    <definedName name="Ro">'WEIGHT TRANSFER MAIN'!$E$44</definedName>
    <definedName name="S">'WEIGHT TRANSFER MAIN'!$E$45</definedName>
    <definedName name="SM">'WEIGHT TRANSFER MAIN'!$E$17</definedName>
    <definedName name="SM_WD">'WEIGHT TRANSFER MAIN'!$E$18</definedName>
    <definedName name="SMCGHeight">'WEIGHT TRANSFER MAIN'!$E$21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'LONGITUDINAL WEIGHT TRANSFER'!$H$36</definedName>
    <definedName name="solver_typ" localSheetId="2" hidden="1">3</definedName>
    <definedName name="solver_val" localSheetId="2" hidden="1">0</definedName>
    <definedName name="solver_ver" localSheetId="2" hidden="1">3</definedName>
    <definedName name="Speed">'WEIGHT TRANSFER MAIN'!$E$46</definedName>
    <definedName name="SpringMR_Fr">'WEIGHT TRANSFER MAIN'!$E$35</definedName>
    <definedName name="SpringMR_Rr">'WEIGHT TRANSFER MAIN'!$E$36</definedName>
    <definedName name="SpringStiffness_Fr">'WEIGHT TRANSFER MAIN'!$E$27</definedName>
    <definedName name="SpringStiffness_Rr">'WEIGHT TRANSFER MAIN'!$E$28</definedName>
    <definedName name="TireStiffness_Fr">'WEIGHT TRANSFER MAIN'!$E$33</definedName>
    <definedName name="TireStiffness_Rr">'WEIGHT TRANSFER MAIN'!$E$34</definedName>
    <definedName name="TotalMass">'WEIGHT TRANSFER MAIN'!$E$9</definedName>
    <definedName name="WD">'WEIGHT TRANSFER MAIN'!$E$10</definedName>
    <definedName name="Wheelbase">'WEIGHT TRANSFER MAIN'!$E$6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47" i="1" l="1"/>
  <c r="E32" i="5" l="1"/>
  <c r="E33" i="5"/>
  <c r="K31" i="5"/>
  <c r="Q31" i="5" s="1"/>
  <c r="K25" i="5"/>
  <c r="Q25" i="5" s="1"/>
  <c r="D18" i="6"/>
  <c r="E19" i="6" s="1"/>
  <c r="F20" i="6" s="1"/>
  <c r="G21" i="6" s="1"/>
  <c r="H22" i="6" s="1"/>
  <c r="H14" i="6"/>
  <c r="G13" i="6"/>
  <c r="F12" i="6"/>
  <c r="E11" i="6"/>
  <c r="D10" i="6"/>
  <c r="E9" i="5"/>
  <c r="E19" i="5" s="1"/>
  <c r="E8" i="5"/>
  <c r="E18" i="5" s="1"/>
  <c r="E7" i="5"/>
  <c r="E15" i="5" s="1"/>
  <c r="E6" i="5"/>
  <c r="E10" i="5" s="1"/>
  <c r="E17" i="5"/>
  <c r="E16" i="5"/>
  <c r="Q38" i="5"/>
  <c r="Q39" i="5"/>
  <c r="P23" i="1"/>
  <c r="P15" i="1" s="1"/>
  <c r="F37" i="1"/>
  <c r="E9" i="4"/>
  <c r="P45" i="1"/>
  <c r="P44" i="1"/>
  <c r="P19" i="1"/>
  <c r="V15" i="1"/>
  <c r="P18" i="1"/>
  <c r="P24" i="1"/>
  <c r="P16" i="1" s="1"/>
  <c r="V43" i="1"/>
  <c r="V41" i="1"/>
  <c r="K7" i="5"/>
  <c r="P48" i="1"/>
  <c r="P47" i="1"/>
  <c r="V17" i="1"/>
  <c r="P55" i="1"/>
  <c r="P56" i="1"/>
  <c r="E13" i="1"/>
  <c r="P41" i="1" l="1"/>
  <c r="P50" i="1" s="1"/>
  <c r="P20" i="1"/>
  <c r="E21" i="5"/>
  <c r="E23" i="5" s="1"/>
  <c r="E27" i="5" s="1"/>
  <c r="P49" i="1"/>
  <c r="P17" i="1"/>
  <c r="Q36" i="5"/>
  <c r="K12" i="5"/>
  <c r="E28" i="5"/>
  <c r="Q7" i="5"/>
  <c r="E18" i="1"/>
  <c r="P42" i="1"/>
  <c r="E21" i="1"/>
  <c r="E11" i="4" s="1"/>
  <c r="E13" i="5"/>
  <c r="E14" i="5"/>
  <c r="E20" i="5" s="1"/>
  <c r="E13" i="4"/>
  <c r="P31" i="1"/>
  <c r="E11" i="5"/>
  <c r="K6" i="5" s="1"/>
  <c r="E12" i="5"/>
  <c r="P46" i="1"/>
  <c r="V51" i="1" l="1"/>
  <c r="E19" i="1"/>
  <c r="P29" i="1" s="1"/>
  <c r="P30" i="1" s="1"/>
  <c r="P43" i="1"/>
  <c r="P14" i="1"/>
  <c r="K12" i="1" s="1"/>
  <c r="E25" i="5"/>
  <c r="P6" i="4"/>
  <c r="P8" i="4" s="1"/>
  <c r="P13" i="4" s="1"/>
  <c r="V25" i="1"/>
  <c r="P51" i="1"/>
  <c r="P52" i="1" s="1"/>
  <c r="K9" i="5"/>
  <c r="B61" i="6" s="1"/>
  <c r="K8" i="5"/>
  <c r="E22" i="5"/>
  <c r="E26" i="5" s="1"/>
  <c r="Q24" i="5" s="1"/>
  <c r="Q26" i="5" s="1"/>
  <c r="E24" i="5"/>
  <c r="K15" i="5"/>
  <c r="Q15" i="5" s="1"/>
  <c r="V49" i="1"/>
  <c r="P7" i="4"/>
  <c r="P9" i="4" s="1"/>
  <c r="P14" i="4" s="1"/>
  <c r="E31" i="5"/>
  <c r="Q13" i="5"/>
  <c r="V23" i="1"/>
  <c r="E7" i="4"/>
  <c r="J8" i="4" s="1"/>
  <c r="J12" i="4" s="1"/>
  <c r="P26" i="1"/>
  <c r="P25" i="1"/>
  <c r="Q42" i="5"/>
  <c r="B74" i="6" s="1"/>
  <c r="G74" i="6" s="1"/>
  <c r="Q40" i="5"/>
  <c r="P27" i="1"/>
  <c r="P37" i="1" s="1"/>
  <c r="Q6" i="5"/>
  <c r="Q9" i="5" s="1"/>
  <c r="B69" i="6" s="1"/>
  <c r="Q12" i="5"/>
  <c r="E30" i="5"/>
  <c r="K14" i="5"/>
  <c r="K18" i="5" s="1"/>
  <c r="E29" i="5"/>
  <c r="K30" i="5" s="1"/>
  <c r="K13" i="5"/>
  <c r="Q37" i="5"/>
  <c r="E32" i="4"/>
  <c r="E33" i="4" s="1"/>
  <c r="K24" i="5" l="1"/>
  <c r="K27" i="5" s="1"/>
  <c r="B64" i="6" s="1"/>
  <c r="P40" i="1"/>
  <c r="P36" i="1" s="1"/>
  <c r="P38" i="1" s="1"/>
  <c r="K14" i="1"/>
  <c r="Q17" i="5"/>
  <c r="Q30" i="5"/>
  <c r="Q33" i="5" s="1"/>
  <c r="B73" i="6" s="1"/>
  <c r="P11" i="1"/>
  <c r="P10" i="1" s="1"/>
  <c r="P12" i="1" s="1"/>
  <c r="K16" i="5"/>
  <c r="Q14" i="5"/>
  <c r="Q18" i="5" s="1"/>
  <c r="Q27" i="5"/>
  <c r="B72" i="6" s="1"/>
  <c r="V21" i="1"/>
  <c r="K9" i="1" s="1"/>
  <c r="K11" i="1" s="1"/>
  <c r="I8" i="4"/>
  <c r="I12" i="4" s="1"/>
  <c r="Q8" i="5"/>
  <c r="I9" i="4"/>
  <c r="I13" i="4" s="1"/>
  <c r="J9" i="4"/>
  <c r="J13" i="4" s="1"/>
  <c r="K6" i="1"/>
  <c r="K7" i="1" s="1"/>
  <c r="V19" i="1"/>
  <c r="E28" i="4"/>
  <c r="E18" i="4" s="1"/>
  <c r="Q19" i="5"/>
  <c r="B71" i="6" s="1"/>
  <c r="E71" i="6" s="1"/>
  <c r="H71" i="6" s="1"/>
  <c r="Q41" i="5"/>
  <c r="Q43" i="5"/>
  <c r="B75" i="6" s="1"/>
  <c r="H75" i="6" s="1"/>
  <c r="K17" i="5"/>
  <c r="K19" i="5"/>
  <c r="E29" i="4"/>
  <c r="E19" i="4" s="1"/>
  <c r="P28" i="1"/>
  <c r="K32" i="5"/>
  <c r="K33" i="5"/>
  <c r="B65" i="6" s="1"/>
  <c r="D74" i="6"/>
  <c r="L74" i="6"/>
  <c r="J74" i="6"/>
  <c r="B62" i="6"/>
  <c r="D62" i="6" s="1"/>
  <c r="G62" i="6" s="1"/>
  <c r="E34" i="5"/>
  <c r="Q32" i="5" l="1"/>
  <c r="V47" i="1"/>
  <c r="V39" i="1" s="1"/>
  <c r="V45" i="1"/>
  <c r="V37" i="1" s="1"/>
  <c r="K26" i="5"/>
  <c r="K15" i="1"/>
  <c r="Q16" i="5"/>
  <c r="V13" i="1"/>
  <c r="B63" i="6"/>
  <c r="E63" i="6" s="1"/>
  <c r="H63" i="6" s="1"/>
  <c r="E35" i="5"/>
  <c r="Q10" i="5" s="1"/>
  <c r="Q11" i="5" s="1"/>
  <c r="E16" i="4"/>
  <c r="E22" i="4" s="1"/>
  <c r="E24" i="4"/>
  <c r="E17" i="4"/>
  <c r="E23" i="4" s="1"/>
  <c r="E25" i="4"/>
  <c r="K8" i="1"/>
  <c r="K10" i="1" s="1"/>
  <c r="V11" i="1"/>
  <c r="M75" i="6"/>
  <c r="E75" i="6"/>
  <c r="F24" i="6" s="1"/>
  <c r="K75" i="6"/>
  <c r="B39" i="4"/>
  <c r="B70" i="6"/>
  <c r="D70" i="6" s="1"/>
  <c r="G70" i="6" s="1"/>
  <c r="E23" i="6"/>
  <c r="Q44" i="5"/>
  <c r="K20" i="5"/>
  <c r="E38" i="5"/>
  <c r="E36" i="5"/>
  <c r="J62" i="6"/>
  <c r="L62" i="6"/>
  <c r="M71" i="6"/>
  <c r="K71" i="6"/>
  <c r="J20" i="6"/>
  <c r="I33" i="1" l="1"/>
  <c r="J37" i="1"/>
  <c r="I37" i="1"/>
  <c r="J26" i="1"/>
  <c r="I26" i="1"/>
  <c r="J27" i="1"/>
  <c r="I27" i="1"/>
  <c r="I34" i="1"/>
  <c r="I38" i="1"/>
  <c r="J38" i="1"/>
  <c r="J34" i="1"/>
  <c r="K17" i="1"/>
  <c r="J33" i="1"/>
  <c r="K10" i="5"/>
  <c r="K11" i="5" s="1"/>
  <c r="I23" i="1"/>
  <c r="J23" i="1"/>
  <c r="E37" i="5"/>
  <c r="K28" i="5" s="1"/>
  <c r="K38" i="5" s="1"/>
  <c r="K21" i="5"/>
  <c r="D63" i="6" s="1"/>
  <c r="Q45" i="5"/>
  <c r="Q47" i="5" s="1"/>
  <c r="E39" i="5"/>
  <c r="M73" i="6" s="1"/>
  <c r="H73" i="6" s="1"/>
  <c r="K63" i="6"/>
  <c r="M63" i="6"/>
  <c r="J22" i="1"/>
  <c r="K16" i="1"/>
  <c r="I22" i="1"/>
  <c r="Q20" i="5"/>
  <c r="K22" i="5"/>
  <c r="I19" i="6"/>
  <c r="L70" i="6"/>
  <c r="J70" i="6"/>
  <c r="Q46" i="5"/>
  <c r="D61" i="6" l="1"/>
  <c r="E10" i="6" s="1"/>
  <c r="B54" i="1"/>
  <c r="H74" i="6"/>
  <c r="E74" i="6" s="1"/>
  <c r="F23" i="6" s="1"/>
  <c r="G75" i="6"/>
  <c r="I24" i="6" s="1"/>
  <c r="K34" i="5"/>
  <c r="K35" i="5" s="1"/>
  <c r="E62" i="6"/>
  <c r="F11" i="6" s="1"/>
  <c r="E61" i="6"/>
  <c r="F10" i="6" s="1"/>
  <c r="J64" i="6"/>
  <c r="G64" i="6" s="1"/>
  <c r="L64" i="6" s="1"/>
  <c r="L73" i="6"/>
  <c r="G73" i="6" s="1"/>
  <c r="I22" i="6" s="1"/>
  <c r="M65" i="6"/>
  <c r="H65" i="6" s="1"/>
  <c r="E65" i="6" s="1"/>
  <c r="F14" i="6" s="1"/>
  <c r="L65" i="6"/>
  <c r="G65" i="6" s="1"/>
  <c r="D65" i="6" s="1"/>
  <c r="E14" i="6" s="1"/>
  <c r="K23" i="5"/>
  <c r="Q21" i="5"/>
  <c r="Q23" i="5" s="1"/>
  <c r="J72" i="6"/>
  <c r="G72" i="6" s="1"/>
  <c r="K72" i="6"/>
  <c r="H72" i="6" s="1"/>
  <c r="K64" i="6"/>
  <c r="H64" i="6" s="1"/>
  <c r="Q28" i="5"/>
  <c r="Q29" i="5" s="1"/>
  <c r="K29" i="5"/>
  <c r="E73" i="6"/>
  <c r="F22" i="6" s="1"/>
  <c r="J22" i="6"/>
  <c r="K73" i="6"/>
  <c r="E12" i="6"/>
  <c r="G63" i="6"/>
  <c r="Q22" i="5"/>
  <c r="G61" i="6" l="1"/>
  <c r="M74" i="6"/>
  <c r="D71" i="6"/>
  <c r="E20" i="6" s="1"/>
  <c r="J23" i="6"/>
  <c r="L75" i="6"/>
  <c r="J75" i="6"/>
  <c r="G24" i="6" s="1"/>
  <c r="D23" i="6"/>
  <c r="D24" i="6"/>
  <c r="K74" i="6"/>
  <c r="G23" i="6" s="1"/>
  <c r="H24" i="6" s="1"/>
  <c r="D75" i="6"/>
  <c r="E24" i="6" s="1"/>
  <c r="Q34" i="5"/>
  <c r="Q35" i="5" s="1"/>
  <c r="H61" i="6"/>
  <c r="M61" i="6" s="1"/>
  <c r="H62" i="6"/>
  <c r="M62" i="6" s="1"/>
  <c r="H11" i="6" s="1"/>
  <c r="K65" i="6"/>
  <c r="D14" i="6"/>
  <c r="J73" i="6"/>
  <c r="G22" i="6" s="1"/>
  <c r="H23" i="6" s="1"/>
  <c r="J65" i="6"/>
  <c r="D64" i="6"/>
  <c r="E13" i="6" s="1"/>
  <c r="D73" i="6"/>
  <c r="E22" i="6" s="1"/>
  <c r="D69" i="6"/>
  <c r="G69" i="6" s="1"/>
  <c r="E69" i="6"/>
  <c r="F18" i="6" s="1"/>
  <c r="D22" i="6"/>
  <c r="M64" i="6"/>
  <c r="H13" i="6" s="1"/>
  <c r="E64" i="6"/>
  <c r="F13" i="6" s="1"/>
  <c r="D13" i="6"/>
  <c r="M72" i="6"/>
  <c r="J21" i="6"/>
  <c r="E72" i="6"/>
  <c r="F21" i="6" s="1"/>
  <c r="L72" i="6"/>
  <c r="D21" i="6"/>
  <c r="D72" i="6"/>
  <c r="E21" i="6" s="1"/>
  <c r="I21" i="6"/>
  <c r="E70" i="6"/>
  <c r="J61" i="6"/>
  <c r="L61" i="6"/>
  <c r="J63" i="6"/>
  <c r="G12" i="6" s="1"/>
  <c r="L63" i="6"/>
  <c r="H12" i="6" s="1"/>
  <c r="D12" i="6"/>
  <c r="G71" i="6" l="1"/>
  <c r="I20" i="6" s="1"/>
  <c r="K61" i="6"/>
  <c r="G10" i="6" s="1"/>
  <c r="K62" i="6"/>
  <c r="G11" i="6" s="1"/>
  <c r="D11" i="6"/>
  <c r="G14" i="6"/>
  <c r="H21" i="6"/>
  <c r="H69" i="6"/>
  <c r="K69" i="6" s="1"/>
  <c r="E18" i="6"/>
  <c r="H70" i="6"/>
  <c r="F19" i="6"/>
  <c r="J69" i="6"/>
  <c r="L69" i="6"/>
  <c r="I18" i="6"/>
  <c r="H10" i="6"/>
  <c r="L71" i="6" l="1"/>
  <c r="H20" i="6" s="1"/>
  <c r="D20" i="6"/>
  <c r="J18" i="6"/>
  <c r="J71" i="6"/>
  <c r="G20" i="6" s="1"/>
  <c r="M69" i="6"/>
  <c r="H18" i="6" s="1"/>
  <c r="K70" i="6"/>
  <c r="G19" i="6" s="1"/>
  <c r="M70" i="6"/>
  <c r="H19" i="6" s="1"/>
  <c r="D19" i="6"/>
  <c r="J19" i="6"/>
  <c r="G1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Damper force due to elastic weight transfer</t>
        </r>
      </text>
    </comment>
    <comment ref="I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Damper force due to elastic weight transfer</t>
        </r>
      </text>
    </comment>
    <comment ref="I1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Damper displacement due to elastic weight transfer</t>
        </r>
      </text>
    </comment>
    <comment ref="I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Damper displacement due to elastic weight transfer
</t>
        </r>
      </text>
    </comment>
    <comment ref="I1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SM elastic weight transfer. No tire coupling.
</t>
        </r>
      </text>
    </comment>
    <comment ref="I1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SM elastic WT + SM geometric WT + NSM WT. No tire coupling.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SM elastic WT + SM geometric WT + NSM WT. Tire coupling.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The Y position of the NSM CG is equal to the half track.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 xml:space="preserve">SM elastic weight transfer. No tire coupling.
</t>
        </r>
      </text>
    </comment>
    <comment ref="C1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The Y position of the NSM CG is equal to the half track.</t>
        </r>
      </text>
    </comment>
    <comment ref="I1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SM elastic WT + SM geometric WT + NSM WT. No tire coupling.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7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SM elastic WT + SM geometric WT + NSM WT. Tire coupling.</t>
        </r>
      </text>
    </comment>
    <comment ref="D22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Value between 0 and Wheelbase</t>
        </r>
      </text>
    </comment>
    <comment ref="C29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low speed; 
per corner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0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low speed; 
per corner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Wheel Motion / Spring Motion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Wheel Motion / Spring Motion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Wheel Motion / Spring Motion (mm/mm)
Chassis Roll / ARB Torsion
(deg/deg)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8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Wheel Motion / Spring Motion (mm/mm)
Chassis Roll / ARB Torsion
(deg/deg)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6" authorId="0" shapeId="0" xr:uid="{00000000-0006-0000-0300-000001000000}">
      <text>
        <r>
          <rPr>
            <sz val="9"/>
            <color indexed="81"/>
            <rFont val="Tahoma"/>
            <family val="2"/>
          </rPr>
          <t>Considers all four corner springs acting in parallel. I.e. pure heave/ ride movement of the body</t>
        </r>
      </text>
    </comment>
    <comment ref="H12" authorId="0" shapeId="0" xr:uid="{00000000-0006-0000-0300-000002000000}">
      <text>
        <r>
          <rPr>
            <sz val="9"/>
            <color indexed="81"/>
            <rFont val="Tahoma"/>
            <family val="2"/>
          </rPr>
          <t>Heave values are shown as the net effect of both sides combined.
Divide by 2 to get per corner</t>
        </r>
      </text>
    </comment>
  </commentList>
</comments>
</file>

<file path=xl/sharedStrings.xml><?xml version="1.0" encoding="utf-8"?>
<sst xmlns="http://schemas.openxmlformats.org/spreadsheetml/2006/main" count="609" uniqueCount="257">
  <si>
    <t>Total mass</t>
  </si>
  <si>
    <t>Total mass CG height</t>
  </si>
  <si>
    <t>Front spring motion ratio</t>
  </si>
  <si>
    <t>Rear spring motion ratio</t>
  </si>
  <si>
    <t>Front anti roll bar motion ratio</t>
  </si>
  <si>
    <t>Rear anti roll bar motion ratio</t>
  </si>
  <si>
    <t>M.R.</t>
  </si>
  <si>
    <t>Wheel base</t>
  </si>
  <si>
    <t>Front track</t>
  </si>
  <si>
    <t>Rear track</t>
  </si>
  <si>
    <t>Dim.</t>
  </si>
  <si>
    <t>mm</t>
  </si>
  <si>
    <t>-</t>
  </si>
  <si>
    <t>Hz</t>
  </si>
  <si>
    <t>X</t>
  </si>
  <si>
    <t>Y</t>
  </si>
  <si>
    <t>Z</t>
  </si>
  <si>
    <t>Mass and Inertia</t>
  </si>
  <si>
    <t>Suspended mass roll stiffness</t>
  </si>
  <si>
    <t>Suspended mass</t>
  </si>
  <si>
    <t>Front non suspended mass CG height</t>
  </si>
  <si>
    <t>Rear non suspended mass CG height</t>
  </si>
  <si>
    <t>Additional values</t>
  </si>
  <si>
    <t>N/mm</t>
  </si>
  <si>
    <t>Front spring stiffness</t>
  </si>
  <si>
    <t>Total Mass distribution</t>
  </si>
  <si>
    <t>Roll moment</t>
  </si>
  <si>
    <t>N.m</t>
  </si>
  <si>
    <t>°</t>
  </si>
  <si>
    <t>N.m/°</t>
  </si>
  <si>
    <t>Total</t>
  </si>
  <si>
    <t>Front ARB</t>
  </si>
  <si>
    <t>Rear ARB</t>
  </si>
  <si>
    <t>Roll angle due to lat G</t>
  </si>
  <si>
    <t>Roll</t>
  </si>
  <si>
    <t>°/g</t>
  </si>
  <si>
    <r>
      <t>Suspended mass roll inertia (ref SM CG) - I</t>
    </r>
    <r>
      <rPr>
        <vertAlign val="subscript"/>
        <sz val="11"/>
        <color theme="1"/>
        <rFont val="Calibri"/>
        <family val="2"/>
        <scheme val="minor"/>
      </rPr>
      <t>xx</t>
    </r>
  </si>
  <si>
    <r>
      <t>Suspended mass inertia in roll - I</t>
    </r>
    <r>
      <rPr>
        <vertAlign val="subscript"/>
        <sz val="11"/>
        <color theme="1"/>
        <rFont val="Calibri"/>
        <family val="2"/>
        <scheme val="minor"/>
      </rPr>
      <t>roll</t>
    </r>
  </si>
  <si>
    <t>Suspended mass CG coordinates</t>
  </si>
  <si>
    <t>kg</t>
  </si>
  <si>
    <t>kg.m²</t>
  </si>
  <si>
    <t>G</t>
  </si>
  <si>
    <t>Lateral</t>
  </si>
  <si>
    <t>Front</t>
  </si>
  <si>
    <t>Rear</t>
  </si>
  <si>
    <t>Rear spring stiffness</t>
  </si>
  <si>
    <t>Anti-roll moment total</t>
  </si>
  <si>
    <t>A-R moment coming from</t>
  </si>
  <si>
    <t>Front ARB stiffness</t>
  </si>
  <si>
    <t>Rear ARB stiffness</t>
  </si>
  <si>
    <t>Front tire stiffness</t>
  </si>
  <si>
    <t>Spring ARB Tire</t>
  </si>
  <si>
    <t>% Fr</t>
  </si>
  <si>
    <t>M.N.</t>
  </si>
  <si>
    <t>Total W.T.</t>
  </si>
  <si>
    <t>NSM - W.T.</t>
  </si>
  <si>
    <t>°Roll</t>
  </si>
  <si>
    <t>Roll angle</t>
  </si>
  <si>
    <t>Rear tire stiffness</t>
  </si>
  <si>
    <t>Front non suspended mass (per wheel)</t>
  </si>
  <si>
    <t>Rear non suspended mass (per wheel)</t>
  </si>
  <si>
    <t>Front wheel rate</t>
  </si>
  <si>
    <t>Rear wheel rate</t>
  </si>
  <si>
    <t>Front springs</t>
  </si>
  <si>
    <t>Rear springs</t>
  </si>
  <si>
    <t>Front Tires</t>
  </si>
  <si>
    <t>Rear Tires</t>
  </si>
  <si>
    <t>kg/kg</t>
  </si>
  <si>
    <t>El. W.T.</t>
  </si>
  <si>
    <t>Geo. W.T.</t>
  </si>
  <si>
    <t>mm/mm</t>
  </si>
  <si>
    <t>N.m/N.m</t>
  </si>
  <si>
    <t>A-R in Series with tires</t>
  </si>
  <si>
    <t>Front Axle</t>
  </si>
  <si>
    <t>Rear Axle</t>
  </si>
  <si>
    <t>Down Force Coefficient</t>
  </si>
  <si>
    <t>Air Density</t>
  </si>
  <si>
    <t>Frontal Area</t>
  </si>
  <si>
    <t>Speed</t>
  </si>
  <si>
    <t>km/h</t>
  </si>
  <si>
    <t>Aero</t>
  </si>
  <si>
    <t>Down Force Distribution</t>
  </si>
  <si>
    <t>Kg</t>
  </si>
  <si>
    <t>Total Down Force</t>
  </si>
  <si>
    <t>Roll Gradient</t>
  </si>
  <si>
    <t>Anti-roll stiffness total</t>
  </si>
  <si>
    <t>A-R stiffness coming from</t>
  </si>
  <si>
    <t>Suspended mass pitch inertia (ref SM CG) - I</t>
  </si>
  <si>
    <t>Pitch Center coordinates</t>
  </si>
  <si>
    <t>Distance between SM CG and Pitch Center</t>
  </si>
  <si>
    <t>Nm/deg</t>
  </si>
  <si>
    <r>
      <t>Suspended mass inertia in pitch - I</t>
    </r>
    <r>
      <rPr>
        <i/>
        <sz val="8"/>
        <color theme="1"/>
        <rFont val="Calibri"/>
        <family val="2"/>
        <scheme val="minor"/>
      </rPr>
      <t>pitch</t>
    </r>
  </si>
  <si>
    <r>
      <t>Pitch Stiffness - K</t>
    </r>
    <r>
      <rPr>
        <i/>
        <sz val="8"/>
        <color theme="1"/>
        <rFont val="Calibri"/>
        <family val="2"/>
        <scheme val="minor"/>
      </rPr>
      <t>pitch</t>
    </r>
  </si>
  <si>
    <t>Weight transfer</t>
  </si>
  <si>
    <t>Non suspended mass weight distribution</t>
  </si>
  <si>
    <t>Suspended mass weight distribution</t>
  </si>
  <si>
    <t>Long G</t>
  </si>
  <si>
    <t>Longitudinal</t>
  </si>
  <si>
    <t>g_earth</t>
  </si>
  <si>
    <t>m/s^2</t>
  </si>
  <si>
    <t>Front Wheel Vertical Displacement</t>
  </si>
  <si>
    <t>Rear Wheel Vertical Displacement</t>
  </si>
  <si>
    <t>Front Damper Displacement</t>
  </si>
  <si>
    <t>Rear Damper Displacement</t>
  </si>
  <si>
    <t>Dynamic Load (N)</t>
  </si>
  <si>
    <t>Pitch Moment</t>
  </si>
  <si>
    <t>N-m</t>
  </si>
  <si>
    <t>Pitch Angle</t>
  </si>
  <si>
    <t>deg</t>
  </si>
  <si>
    <t>Front Damper</t>
  </si>
  <si>
    <t>N</t>
  </si>
  <si>
    <t>Rear Damper</t>
  </si>
  <si>
    <t>Front Wheel</t>
  </si>
  <si>
    <t>Rear Wheel</t>
  </si>
  <si>
    <t>Rear Damper Force</t>
  </si>
  <si>
    <t>Front Damper Force</t>
  </si>
  <si>
    <t>Damper</t>
  </si>
  <si>
    <t>Front wheel rate from spring</t>
  </si>
  <si>
    <t>Rear wheel rate from spring</t>
  </si>
  <si>
    <t>Front wheel rate from ARB</t>
  </si>
  <si>
    <t>Rear wheel rate from ARB</t>
  </si>
  <si>
    <t>Front ride rate with tire</t>
  </si>
  <si>
    <t>Rear ride rate with tire</t>
  </si>
  <si>
    <t>Front ride rate without tire</t>
  </si>
  <si>
    <t>Rear ride rate without tire</t>
  </si>
  <si>
    <t>Front wheel hop rate</t>
  </si>
  <si>
    <t>Rear wheel hop rate</t>
  </si>
  <si>
    <t>Overall ride rate</t>
  </si>
  <si>
    <t>Total vehicle mass</t>
  </si>
  <si>
    <t>Ride natural frequency</t>
  </si>
  <si>
    <t>Heave</t>
  </si>
  <si>
    <t>Front heave natural frequency</t>
  </si>
  <si>
    <t>Rear heave natural frequency</t>
  </si>
  <si>
    <t>Front heave rate</t>
  </si>
  <si>
    <t>Rear heave rate</t>
  </si>
  <si>
    <t>Front heave mass</t>
  </si>
  <si>
    <t>Rear heave mass</t>
  </si>
  <si>
    <t>Ns/mm</t>
  </si>
  <si>
    <t>Front heave critical damping</t>
  </si>
  <si>
    <t>Rear heave critical damping</t>
  </si>
  <si>
    <t>Front heave critical damping per wheel</t>
  </si>
  <si>
    <t>Rear heave critical damping per wheel</t>
  </si>
  <si>
    <t>Pitch</t>
  </si>
  <si>
    <t>Ride total critical damping</t>
  </si>
  <si>
    <t>Actual ride damping</t>
  </si>
  <si>
    <t>Front damping at wheel</t>
  </si>
  <si>
    <t>Rear damping at wheel</t>
  </si>
  <si>
    <t>Actual overall damping ratio</t>
  </si>
  <si>
    <t>Actual front damping ratio</t>
  </si>
  <si>
    <t>Actual rear damping ratio</t>
  </si>
  <si>
    <t>Actual front heave damping</t>
  </si>
  <si>
    <t>Actual rear heave damping</t>
  </si>
  <si>
    <t>Actual front heave damping ratio</t>
  </si>
  <si>
    <t>Actual rear heave damping ratio</t>
  </si>
  <si>
    <t>Front roll rate without tire</t>
  </si>
  <si>
    <t>Rear roll rate without tire</t>
  </si>
  <si>
    <t>Front roll rate with tire</t>
  </si>
  <si>
    <t>Rear roll rate with tire</t>
  </si>
  <si>
    <t>Front roll damping</t>
  </si>
  <si>
    <t>Rear roll damping</t>
  </si>
  <si>
    <t>Nms/deg</t>
  </si>
  <si>
    <t>Total roll rate</t>
  </si>
  <si>
    <t>Roll inertia</t>
  </si>
  <si>
    <t>Roll natural frequency</t>
  </si>
  <si>
    <t>Roll critical damping</t>
  </si>
  <si>
    <t>Actual roll damping</t>
  </si>
  <si>
    <t>Actual roll damping ratio</t>
  </si>
  <si>
    <t>Total pitch rate</t>
  </si>
  <si>
    <t>Pitch natural frequency</t>
  </si>
  <si>
    <t>Pitch inertia</t>
  </si>
  <si>
    <t>Pitch critical damping</t>
  </si>
  <si>
    <t>Actual pitch damping ratio</t>
  </si>
  <si>
    <t>Actual pitch damping</t>
  </si>
  <si>
    <t>Front pitch rate without tire</t>
  </si>
  <si>
    <t>Rear pitch rate without tire</t>
  </si>
  <si>
    <t>Front pitch rate with tire</t>
  </si>
  <si>
    <t>Rear pitch rate with tire</t>
  </si>
  <si>
    <t>Front wheel hop natural freq</t>
  </si>
  <si>
    <t>Rear wheel hop natural freq</t>
  </si>
  <si>
    <t>Front unsprung mass</t>
  </si>
  <si>
    <t>Rear unsprung mass</t>
  </si>
  <si>
    <t>Front wheel hop critical damping</t>
  </si>
  <si>
    <t>Rear wheel hop critical damping</t>
  </si>
  <si>
    <t>Actual front wheel hop damping</t>
  </si>
  <si>
    <t>Actual rear wheel hop damping</t>
  </si>
  <si>
    <t>Damping</t>
  </si>
  <si>
    <t>Front pitch damping</t>
  </si>
  <si>
    <t>Rear pitch damping</t>
  </si>
  <si>
    <t>Total ride rate</t>
  </si>
  <si>
    <t>Total sprung mass</t>
  </si>
  <si>
    <t>Damping Matrix</t>
  </si>
  <si>
    <t>Critically Damped Mode</t>
  </si>
  <si>
    <t>Ride</t>
  </si>
  <si>
    <t>Front Heave</t>
  </si>
  <si>
    <t>Rear Heave</t>
  </si>
  <si>
    <t>Front Wheel Hop</t>
  </si>
  <si>
    <t>Rear Wheel Hop</t>
  </si>
  <si>
    <t xml:space="preserve">Roll </t>
  </si>
  <si>
    <t>Actual Damping</t>
  </si>
  <si>
    <t>Front Damping</t>
  </si>
  <si>
    <t>Rear Damping</t>
  </si>
  <si>
    <t>Per Wheel</t>
  </si>
  <si>
    <t>Per end</t>
  </si>
  <si>
    <t>Roll Damping</t>
  </si>
  <si>
    <t>Pitch Damping</t>
  </si>
  <si>
    <t>Unsprung Vibration</t>
  </si>
  <si>
    <t>Rear SM Damping ratio @wheel</t>
  </si>
  <si>
    <t>Roll damping distribution</t>
  </si>
  <si>
    <t>Front/rear</t>
  </si>
  <si>
    <t>Front damping ratio of heave</t>
  </si>
  <si>
    <t>Rear damping ratio of heave</t>
  </si>
  <si>
    <t>Front SM Damping ratio @wheel</t>
  </si>
  <si>
    <t xml:space="preserve"> </t>
  </si>
  <si>
    <t>RESULTS SUMMARY</t>
  </si>
  <si>
    <t>INPUTS</t>
  </si>
  <si>
    <t>RESULTS DETAILS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</si>
  <si>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magic number</t>
    </r>
  </si>
  <si>
    <r>
      <t>2</t>
    </r>
    <r>
      <rPr>
        <vertAlign val="superscript"/>
        <sz val="11"/>
        <color theme="1"/>
        <rFont val="Calibri"/>
        <family val="2"/>
        <scheme val="minor"/>
      </rPr>
      <t xml:space="preserve">nd </t>
    </r>
    <r>
      <rPr>
        <sz val="11"/>
        <color theme="1"/>
        <rFont val="Calibri"/>
        <family val="2"/>
        <scheme val="minor"/>
      </rPr>
      <t>magic number</t>
    </r>
  </si>
  <si>
    <r>
      <t>3</t>
    </r>
    <r>
      <rPr>
        <vertAlign val="superscript"/>
        <sz val="11"/>
        <color theme="1"/>
        <rFont val="Calibri"/>
        <family val="2"/>
        <scheme val="minor"/>
      </rPr>
      <t xml:space="preserve">rd </t>
    </r>
    <r>
      <rPr>
        <sz val="11"/>
        <color theme="1"/>
        <rFont val="Calibri"/>
        <family val="2"/>
        <scheme val="minor"/>
      </rPr>
      <t>magic number</t>
    </r>
  </si>
  <si>
    <r>
      <rPr>
        <b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 xml:space="preserve"> Distance from SM CG to </t>
    </r>
    <r>
      <rPr>
        <b/>
        <sz val="11"/>
        <color theme="1"/>
        <rFont val="Calibri"/>
        <family val="2"/>
        <scheme val="minor"/>
      </rPr>
      <t>front</t>
    </r>
    <r>
      <rPr>
        <sz val="11"/>
        <color theme="1"/>
        <rFont val="Calibri"/>
        <family val="2"/>
        <scheme val="minor"/>
      </rPr>
      <t xml:space="preserve"> roll axis </t>
    </r>
  </si>
  <si>
    <r>
      <rPr>
        <b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 xml:space="preserve"> Distance from SM CG to </t>
    </r>
    <r>
      <rPr>
        <b/>
        <sz val="11"/>
        <color theme="1"/>
        <rFont val="Calibri"/>
        <family val="2"/>
        <scheme val="minor"/>
      </rPr>
      <t>rear</t>
    </r>
    <r>
      <rPr>
        <sz val="11"/>
        <color theme="1"/>
        <rFont val="Calibri"/>
        <family val="2"/>
        <scheme val="minor"/>
      </rPr>
      <t xml:space="preserve"> roll axis </t>
    </r>
  </si>
  <si>
    <r>
      <rPr>
        <b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 xml:space="preserve"> Distance from SM CG to roll axis </t>
    </r>
    <r>
      <rPr>
        <b/>
        <sz val="11"/>
        <color theme="1"/>
        <rFont val="Calibri"/>
        <family val="2"/>
        <scheme val="minor"/>
      </rPr>
      <t>@ SM CG</t>
    </r>
  </si>
  <si>
    <r>
      <rPr>
        <b/>
        <sz val="11"/>
        <color theme="1"/>
        <rFont val="Calibri"/>
        <family val="2"/>
        <scheme val="minor"/>
      </rPr>
      <t xml:space="preserve">Front </t>
    </r>
    <r>
      <rPr>
        <sz val="11"/>
        <color theme="1"/>
        <rFont val="Calibri"/>
        <family val="2"/>
        <scheme val="minor"/>
      </rPr>
      <t>roll center height</t>
    </r>
  </si>
  <si>
    <r>
      <rPr>
        <b/>
        <sz val="11"/>
        <color theme="1"/>
        <rFont val="Calibri"/>
        <family val="2"/>
        <scheme val="minor"/>
      </rPr>
      <t xml:space="preserve">Rear </t>
    </r>
    <r>
      <rPr>
        <sz val="11"/>
        <color theme="1"/>
        <rFont val="Calibri"/>
        <family val="2"/>
        <scheme val="minor"/>
      </rPr>
      <t>roll center height</t>
    </r>
  </si>
  <si>
    <r>
      <t xml:space="preserve">NO </t>
    </r>
    <r>
      <rPr>
        <b/>
        <sz val="14"/>
        <color theme="1" tint="0.34998626667073579"/>
        <rFont val="Calibri"/>
        <family val="2"/>
        <scheme val="minor"/>
      </rPr>
      <t>TIRE COUPLING</t>
    </r>
  </si>
  <si>
    <t>TIRE COUPLING</t>
  </si>
  <si>
    <r>
      <t xml:space="preserve">NO </t>
    </r>
    <r>
      <rPr>
        <b/>
        <sz val="12"/>
        <color theme="1" tint="0.34998626667073579"/>
        <rFont val="Calibri"/>
        <family val="2"/>
        <scheme val="minor"/>
      </rPr>
      <t>TIRE COUPLING</t>
    </r>
  </si>
  <si>
    <t>Dynamic Load (kg)</t>
  </si>
  <si>
    <t>CASE TO SIMULATE</t>
  </si>
  <si>
    <t>ERROR MESSAGE BOX</t>
  </si>
  <si>
    <r>
      <t>kg/m</t>
    </r>
    <r>
      <rPr>
        <vertAlign val="superscript"/>
        <sz val="11"/>
        <color theme="0" tint="-0.499984740745262"/>
        <rFont val="Calibri"/>
        <family val="2"/>
        <scheme val="minor"/>
      </rPr>
      <t>3</t>
    </r>
  </si>
  <si>
    <r>
      <t>m</t>
    </r>
    <r>
      <rPr>
        <vertAlign val="superscript"/>
        <sz val="11"/>
        <color theme="0" tint="-0.499984740745262"/>
        <rFont val="Calibri"/>
        <family val="2"/>
        <scheme val="minor"/>
      </rPr>
      <t>2</t>
    </r>
  </si>
  <si>
    <t>NO TIRE COUPLING</t>
  </si>
  <si>
    <t>Positive Compression</t>
  </si>
  <si>
    <t>NOTE: Braking G's are positive</t>
  </si>
  <si>
    <t>WEIGHT TRANSFER</t>
  </si>
  <si>
    <t>DYNAMIC DISPLACEMENTS</t>
  </si>
  <si>
    <t>DELTA DISPLACEMENTS</t>
  </si>
  <si>
    <t>COILOVER FORCES</t>
  </si>
  <si>
    <t>PITCH MOMENT AND ANGLE</t>
  </si>
  <si>
    <t>STATIC DISPLACEMENTS</t>
  </si>
  <si>
    <t>STATIC COILOEVER FORCES</t>
  </si>
  <si>
    <t>LATERAL G</t>
  </si>
  <si>
    <t>STIFFNESS AND DAMPING CONVERSIONS</t>
  </si>
  <si>
    <t>DAMPING CALCULATIONS WITH TIRE COUPLING</t>
  </si>
  <si>
    <r>
      <t xml:space="preserve">DAMPING CALCULATIONS </t>
    </r>
    <r>
      <rPr>
        <b/>
        <sz val="14"/>
        <color rgb="FFFF0000"/>
        <rFont val="Calibri"/>
        <family val="2"/>
        <scheme val="minor"/>
      </rPr>
      <t>NO</t>
    </r>
    <r>
      <rPr>
        <b/>
        <sz val="14"/>
        <color theme="1" tint="0.34998626667073579"/>
        <rFont val="Calibri"/>
        <family val="2"/>
        <scheme val="minor"/>
      </rPr>
      <t xml:space="preserve"> TIRE COUPLING</t>
    </r>
  </si>
  <si>
    <t>TRANSIENT VEHICLE HANDLING</t>
  </si>
  <si>
    <t>INPUT IDEAL DAMPING RATIO</t>
  </si>
  <si>
    <t>DAMPING RATIO</t>
  </si>
  <si>
    <t>Without Tire Coupling</t>
  </si>
  <si>
    <t>With Tire Coupling</t>
  </si>
  <si>
    <t>Front wheel rate (in series with tire)</t>
  </si>
  <si>
    <t>Rear wheel rate (in series with tire)</t>
  </si>
  <si>
    <t>1) Inputs are in blue cells. Intermediate calculations and results in grey cells</t>
  </si>
  <si>
    <t>N.m/deg</t>
  </si>
  <si>
    <t>3) Vertical load (Fz) on each tire shown according to OptimumG color convention</t>
  </si>
  <si>
    <t>2) ARB Stiffness can be defined as N/mm or N.m/deg by clicking on the unit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</si>
</sst>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8"/>
      <color theme="1" tint="0.34998626667073579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vertAlign val="superscript"/>
      <sz val="11"/>
      <color theme="0" tint="-0.49998474074526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00CC5C"/>
        <bgColor indexed="64"/>
      </patternFill>
    </fill>
    <fill>
      <patternFill patternType="solid">
        <fgColor rgb="FF007FDE"/>
        <bgColor indexed="64"/>
      </patternFill>
    </fill>
    <fill>
      <patternFill patternType="solid">
        <fgColor rgb="FFFFC409"/>
        <bgColor indexed="64"/>
      </patternFill>
    </fill>
    <fill>
      <patternFill patternType="solid">
        <fgColor theme="1" tint="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xfId="0"/>
    <xf numFmtId="0" fontId="1" fillId="5" borderId="0" xfId="0" applyFont="1" applyFill="1" applyAlignment="1">
      <alignment vertical="center" textRotation="90"/>
    </xf>
    <xf numFmtId="166" fontId="0" fillId="5" borderId="0" xfId="0" applyNumberFormat="1" applyFill="1" applyAlignment="1">
      <alignment vertical="center"/>
    </xf>
    <xf numFmtId="0" fontId="11" fillId="5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 textRotation="90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164" fontId="0" fillId="5" borderId="19" xfId="0" applyNumberFormat="1" applyFill="1" applyBorder="1" applyAlignment="1">
      <alignment vertical="center"/>
    </xf>
    <xf numFmtId="0" fontId="0" fillId="5" borderId="29" xfId="0" applyFill="1" applyBorder="1" applyAlignment="1">
      <alignment vertical="center"/>
    </xf>
    <xf numFmtId="0" fontId="0" fillId="5" borderId="36" xfId="0" applyFill="1" applyBorder="1" applyAlignment="1">
      <alignment vertical="center"/>
    </xf>
    <xf numFmtId="0" fontId="0" fillId="5" borderId="32" xfId="0" applyFill="1" applyBorder="1" applyAlignment="1">
      <alignment vertical="center"/>
    </xf>
    <xf numFmtId="0" fontId="0" fillId="5" borderId="38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2" fontId="0" fillId="5" borderId="6" xfId="0" applyNumberFormat="1" applyFill="1" applyBorder="1" applyAlignment="1">
      <alignment vertical="center"/>
    </xf>
    <xf numFmtId="0" fontId="0" fillId="5" borderId="27" xfId="0" applyFill="1" applyBorder="1" applyAlignment="1">
      <alignment vertical="center"/>
    </xf>
    <xf numFmtId="0" fontId="0" fillId="5" borderId="28" xfId="0" applyFill="1" applyBorder="1" applyAlignment="1">
      <alignment vertical="center"/>
    </xf>
    <xf numFmtId="2" fontId="0" fillId="5" borderId="19" xfId="0" applyNumberFormat="1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4" borderId="0" xfId="0" applyFill="1"/>
    <xf numFmtId="164" fontId="4" fillId="5" borderId="1" xfId="0" applyNumberFormat="1" applyFont="1" applyFill="1" applyBorder="1" applyAlignment="1">
      <alignment vertical="center"/>
    </xf>
    <xf numFmtId="164" fontId="4" fillId="5" borderId="15" xfId="0" applyNumberFormat="1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0" fontId="11" fillId="5" borderId="44" xfId="0" applyFont="1" applyFill="1" applyBorder="1" applyAlignment="1">
      <alignment vertical="center"/>
    </xf>
    <xf numFmtId="0" fontId="11" fillId="5" borderId="45" xfId="0" applyFont="1" applyFill="1" applyBorder="1" applyAlignment="1">
      <alignment vertical="center"/>
    </xf>
    <xf numFmtId="0" fontId="11" fillId="5" borderId="46" xfId="0" applyFont="1" applyFill="1" applyBorder="1" applyAlignment="1">
      <alignment vertical="center"/>
    </xf>
    <xf numFmtId="0" fontId="11" fillId="5" borderId="27" xfId="0" applyFont="1" applyFill="1" applyBorder="1" applyAlignment="1">
      <alignment vertical="center"/>
    </xf>
    <xf numFmtId="0" fontId="11" fillId="5" borderId="28" xfId="0" applyFont="1" applyFill="1" applyBorder="1" applyAlignment="1">
      <alignment vertical="center"/>
    </xf>
    <xf numFmtId="0" fontId="4" fillId="5" borderId="35" xfId="0" applyFont="1" applyFill="1" applyBorder="1" applyAlignment="1">
      <alignment vertical="center"/>
    </xf>
    <xf numFmtId="0" fontId="4" fillId="5" borderId="30" xfId="0" applyFont="1" applyFill="1" applyBorder="1" applyAlignment="1">
      <alignment vertical="center"/>
    </xf>
    <xf numFmtId="0" fontId="4" fillId="5" borderId="31" xfId="0" applyFon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64" fontId="0" fillId="5" borderId="3" xfId="0" applyNumberFormat="1" applyFill="1" applyBorder="1" applyAlignment="1">
      <alignment vertical="center"/>
    </xf>
    <xf numFmtId="164" fontId="4" fillId="5" borderId="2" xfId="0" applyNumberFormat="1" applyFont="1" applyFill="1" applyBorder="1" applyAlignment="1">
      <alignment vertical="center"/>
    </xf>
    <xf numFmtId="164" fontId="4" fillId="5" borderId="9" xfId="0" applyNumberFormat="1" applyFont="1" applyFill="1" applyBorder="1" applyAlignment="1">
      <alignment vertical="center"/>
    </xf>
    <xf numFmtId="164" fontId="0" fillId="5" borderId="39" xfId="0" applyNumberFormat="1" applyFill="1" applyBorder="1" applyAlignment="1">
      <alignment vertical="center"/>
    </xf>
    <xf numFmtId="164" fontId="0" fillId="5" borderId="28" xfId="0" applyNumberFormat="1" applyFill="1" applyBorder="1" applyAlignment="1">
      <alignment vertical="center"/>
    </xf>
    <xf numFmtId="164" fontId="0" fillId="5" borderId="0" xfId="0" applyNumberFormat="1" applyFill="1" applyAlignment="1">
      <alignment vertical="center"/>
    </xf>
    <xf numFmtId="164" fontId="0" fillId="5" borderId="0" xfId="0" applyNumberForma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 textRotation="90"/>
    </xf>
    <xf numFmtId="0" fontId="11" fillId="4" borderId="0" xfId="0" applyFont="1" applyFill="1" applyAlignment="1">
      <alignment vertical="center"/>
    </xf>
    <xf numFmtId="164" fontId="0" fillId="8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0" fillId="4" borderId="0" xfId="0" applyFill="1" applyAlignment="1">
      <alignment vertical="center" textRotation="90"/>
    </xf>
    <xf numFmtId="0" fontId="1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2" fontId="0" fillId="2" borderId="1" xfId="0" applyNumberFormat="1" applyFill="1" applyBorder="1" applyAlignment="1">
      <alignment horizontal="right" vertical="center"/>
    </xf>
    <xf numFmtId="2" fontId="0" fillId="2" borderId="1" xfId="0" applyNumberFormat="1" applyFill="1" applyBorder="1" applyAlignment="1">
      <alignment vertical="center"/>
    </xf>
    <xf numFmtId="0" fontId="0" fillId="4" borderId="0" xfId="0" applyFill="1" applyAlignment="1">
      <alignment horizontal="centerContinuous"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20" xfId="0" applyFont="1" applyFill="1" applyBorder="1" applyAlignment="1">
      <alignment horizontal="center" vertical="center"/>
    </xf>
    <xf numFmtId="0" fontId="17" fillId="5" borderId="37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  <xf numFmtId="0" fontId="18" fillId="5" borderId="47" xfId="0" applyFont="1" applyFill="1" applyBorder="1" applyAlignment="1">
      <alignment horizontal="center" vertical="center"/>
    </xf>
    <xf numFmtId="164" fontId="17" fillId="5" borderId="15" xfId="0" applyNumberFormat="1" applyFont="1" applyFill="1" applyBorder="1" applyAlignment="1">
      <alignment horizontal="center" vertical="center"/>
    </xf>
    <xf numFmtId="164" fontId="20" fillId="5" borderId="15" xfId="0" applyNumberFormat="1" applyFont="1" applyFill="1" applyBorder="1" applyAlignment="1">
      <alignment vertical="center"/>
    </xf>
    <xf numFmtId="164" fontId="17" fillId="5" borderId="20" xfId="0" applyNumberFormat="1" applyFont="1" applyFill="1" applyBorder="1" applyAlignment="1">
      <alignment horizontal="center" vertical="center"/>
    </xf>
    <xf numFmtId="164" fontId="20" fillId="5" borderId="17" xfId="0" applyNumberFormat="1" applyFont="1" applyFill="1" applyBorder="1" applyAlignment="1">
      <alignment vertical="center"/>
    </xf>
    <xf numFmtId="0" fontId="0" fillId="5" borderId="46" xfId="0" applyFill="1" applyBorder="1" applyAlignment="1">
      <alignment vertical="center"/>
    </xf>
    <xf numFmtId="164" fontId="0" fillId="5" borderId="48" xfId="0" applyNumberFormat="1" applyFill="1" applyBorder="1" applyAlignment="1">
      <alignment horizontal="center" vertical="center"/>
    </xf>
    <xf numFmtId="0" fontId="0" fillId="5" borderId="48" xfId="0" applyFill="1" applyBorder="1" applyAlignment="1">
      <alignment vertical="center"/>
    </xf>
    <xf numFmtId="0" fontId="0" fillId="5" borderId="56" xfId="0" applyFill="1" applyBorder="1" applyAlignment="1">
      <alignment vertical="center"/>
    </xf>
    <xf numFmtId="0" fontId="1" fillId="5" borderId="56" xfId="0" applyFont="1" applyFill="1" applyBorder="1" applyAlignment="1">
      <alignment vertical="center" textRotation="90"/>
    </xf>
    <xf numFmtId="164" fontId="0" fillId="5" borderId="56" xfId="0" applyNumberFormat="1" applyFill="1" applyBorder="1" applyAlignment="1">
      <alignment vertical="center"/>
    </xf>
    <xf numFmtId="2" fontId="0" fillId="5" borderId="56" xfId="0" applyNumberFormat="1" applyFill="1" applyBorder="1" applyAlignment="1">
      <alignment vertical="center"/>
    </xf>
    <xf numFmtId="0" fontId="0" fillId="5" borderId="53" xfId="0" applyFill="1" applyBorder="1" applyAlignment="1">
      <alignment vertical="center"/>
    </xf>
    <xf numFmtId="2" fontId="0" fillId="2" borderId="12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0" fillId="2" borderId="6" xfId="0" applyNumberFormat="1" applyFill="1" applyBorder="1" applyAlignment="1">
      <alignment vertical="center"/>
    </xf>
    <xf numFmtId="164" fontId="0" fillId="2" borderId="19" xfId="0" applyNumberFormat="1" applyFill="1" applyBorder="1" applyAlignment="1">
      <alignment vertical="center"/>
    </xf>
    <xf numFmtId="165" fontId="0" fillId="2" borderId="12" xfId="0" applyNumberFormat="1" applyFill="1" applyBorder="1" applyAlignment="1">
      <alignment vertical="center"/>
    </xf>
    <xf numFmtId="165" fontId="0" fillId="2" borderId="1" xfId="0" applyNumberFormat="1" applyFill="1" applyBorder="1" applyAlignment="1">
      <alignment vertical="center"/>
    </xf>
    <xf numFmtId="1" fontId="0" fillId="2" borderId="1" xfId="0" applyNumberFormat="1" applyFill="1" applyBorder="1" applyAlignment="1">
      <alignment horizontal="right" vertical="center"/>
    </xf>
    <xf numFmtId="164" fontId="0" fillId="2" borderId="4" xfId="0" applyNumberFormat="1" applyFill="1" applyBorder="1" applyAlignment="1">
      <alignment horizontal="right" vertical="center"/>
    </xf>
    <xf numFmtId="2" fontId="11" fillId="2" borderId="4" xfId="0" applyNumberFormat="1" applyFont="1" applyFill="1" applyBorder="1" applyAlignment="1">
      <alignment vertical="center"/>
    </xf>
    <xf numFmtId="2" fontId="11" fillId="2" borderId="5" xfId="0" applyNumberFormat="1" applyFont="1" applyFill="1" applyBorder="1" applyAlignment="1">
      <alignment vertical="center"/>
    </xf>
    <xf numFmtId="2" fontId="11" fillId="2" borderId="19" xfId="0" applyNumberFormat="1" applyFont="1" applyFill="1" applyBorder="1" applyAlignment="1">
      <alignment vertical="center"/>
    </xf>
    <xf numFmtId="164" fontId="0" fillId="2" borderId="4" xfId="0" applyNumberFormat="1" applyFill="1" applyBorder="1" applyAlignment="1">
      <alignment vertical="center"/>
    </xf>
    <xf numFmtId="164" fontId="0" fillId="2" borderId="12" xfId="0" applyNumberFormat="1" applyFill="1" applyBorder="1" applyAlignment="1">
      <alignment vertical="center"/>
    </xf>
    <xf numFmtId="0" fontId="0" fillId="4" borderId="0" xfId="0" applyFill="1" applyAlignment="1" applyProtection="1">
      <alignment horizontal="center" vertical="center"/>
      <protection locked="0"/>
    </xf>
    <xf numFmtId="0" fontId="0" fillId="5" borderId="46" xfId="0" applyFill="1" applyBorder="1" applyAlignment="1">
      <alignment vertical="center" textRotation="90"/>
    </xf>
    <xf numFmtId="0" fontId="0" fillId="5" borderId="0" xfId="0" applyFill="1" applyAlignment="1">
      <alignment horizontal="left" vertical="center"/>
    </xf>
    <xf numFmtId="2" fontId="17" fillId="5" borderId="20" xfId="0" applyNumberFormat="1" applyFont="1" applyFill="1" applyBorder="1" applyAlignment="1">
      <alignment horizontal="center" vertical="center"/>
    </xf>
    <xf numFmtId="2" fontId="0" fillId="2" borderId="19" xfId="0" applyNumberFormat="1" applyFill="1" applyBorder="1" applyAlignment="1">
      <alignment vertical="center"/>
    </xf>
    <xf numFmtId="0" fontId="1" fillId="5" borderId="46" xfId="0" applyFont="1" applyFill="1" applyBorder="1" applyAlignment="1">
      <alignment vertical="center" textRotation="90"/>
    </xf>
    <xf numFmtId="0" fontId="11" fillId="5" borderId="48" xfId="0" applyFont="1" applyFill="1" applyBorder="1" applyAlignment="1">
      <alignment vertical="center"/>
    </xf>
    <xf numFmtId="0" fontId="0" fillId="5" borderId="52" xfId="0" applyFill="1" applyBorder="1" applyAlignment="1">
      <alignment vertical="center"/>
    </xf>
    <xf numFmtId="0" fontId="0" fillId="4" borderId="46" xfId="0" applyFill="1" applyBorder="1" applyAlignment="1">
      <alignment vertical="center" textRotation="90"/>
    </xf>
    <xf numFmtId="0" fontId="0" fillId="4" borderId="48" xfId="0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0" xfId="0" applyFill="1" applyAlignment="1">
      <alignment vertical="center" textRotation="90"/>
    </xf>
    <xf numFmtId="2" fontId="0" fillId="12" borderId="0" xfId="0" applyNumberFormat="1" applyFill="1" applyAlignment="1">
      <alignment vertical="center"/>
    </xf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1" fillId="12" borderId="0" xfId="0" applyFont="1" applyFill="1" applyAlignment="1">
      <alignment vertical="center" textRotation="90"/>
    </xf>
    <xf numFmtId="164" fontId="4" fillId="12" borderId="0" xfId="0" applyNumberFormat="1" applyFont="1" applyFill="1" applyAlignment="1">
      <alignment vertical="center"/>
    </xf>
    <xf numFmtId="164" fontId="0" fillId="12" borderId="0" xfId="0" applyNumberFormat="1" applyFill="1" applyAlignment="1">
      <alignment vertical="center"/>
    </xf>
    <xf numFmtId="164" fontId="0" fillId="12" borderId="0" xfId="0" applyNumberFormat="1" applyFill="1" applyAlignment="1">
      <alignment horizontal="center" vertical="center"/>
    </xf>
    <xf numFmtId="2" fontId="0" fillId="12" borderId="0" xfId="0" applyNumberFormat="1" applyFill="1" applyAlignment="1">
      <alignment horizontal="right" vertical="center"/>
    </xf>
    <xf numFmtId="2" fontId="10" fillId="12" borderId="0" xfId="0" applyNumberFormat="1" applyFont="1" applyFill="1" applyAlignment="1">
      <alignment vertical="center"/>
    </xf>
    <xf numFmtId="166" fontId="0" fillId="12" borderId="0" xfId="0" applyNumberFormat="1" applyFill="1" applyAlignment="1">
      <alignment vertical="center"/>
    </xf>
    <xf numFmtId="0" fontId="0" fillId="5" borderId="0" xfId="0" applyFill="1"/>
    <xf numFmtId="0" fontId="1" fillId="4" borderId="0" xfId="0" applyFont="1" applyFill="1"/>
    <xf numFmtId="0" fontId="0" fillId="12" borderId="0" xfId="0" applyFill="1"/>
    <xf numFmtId="0" fontId="2" fillId="4" borderId="0" xfId="0" applyFont="1" applyFill="1"/>
    <xf numFmtId="0" fontId="8" fillId="4" borderId="0" xfId="0" applyFont="1" applyFill="1" applyAlignment="1">
      <alignment vertical="center"/>
    </xf>
    <xf numFmtId="0" fontId="1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46" xfId="0" applyFill="1" applyBorder="1"/>
    <xf numFmtId="0" fontId="0" fillId="5" borderId="48" xfId="0" applyFill="1" applyBorder="1"/>
    <xf numFmtId="0" fontId="16" fillId="5" borderId="48" xfId="0" applyFont="1" applyFill="1" applyBorder="1" applyAlignment="1">
      <alignment horizontal="center"/>
    </xf>
    <xf numFmtId="0" fontId="1" fillId="5" borderId="0" xfId="0" applyFont="1" applyFill="1"/>
    <xf numFmtId="0" fontId="1" fillId="5" borderId="48" xfId="0" applyFont="1" applyFill="1" applyBorder="1"/>
    <xf numFmtId="0" fontId="0" fillId="5" borderId="52" xfId="0" applyFill="1" applyBorder="1"/>
    <xf numFmtId="0" fontId="0" fillId="5" borderId="56" xfId="0" applyFill="1" applyBorder="1"/>
    <xf numFmtId="0" fontId="0" fillId="5" borderId="53" xfId="0" applyFill="1" applyBorder="1"/>
    <xf numFmtId="164" fontId="23" fillId="5" borderId="15" xfId="0" applyNumberFormat="1" applyFont="1" applyFill="1" applyBorder="1" applyAlignment="1">
      <alignment horizontal="center"/>
    </xf>
    <xf numFmtId="0" fontId="0" fillId="4" borderId="46" xfId="0" applyFill="1" applyBorder="1"/>
    <xf numFmtId="0" fontId="0" fillId="4" borderId="48" xfId="0" applyFill="1" applyBorder="1"/>
    <xf numFmtId="0" fontId="23" fillId="5" borderId="15" xfId="0" applyFont="1" applyFill="1" applyBorder="1" applyAlignment="1">
      <alignment horizontal="center"/>
    </xf>
    <xf numFmtId="0" fontId="23" fillId="5" borderId="15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/>
    </xf>
    <xf numFmtId="0" fontId="11" fillId="4" borderId="52" xfId="0" applyFont="1" applyFill="1" applyBorder="1"/>
    <xf numFmtId="0" fontId="0" fillId="4" borderId="56" xfId="0" applyFill="1" applyBorder="1"/>
    <xf numFmtId="0" fontId="0" fillId="4" borderId="53" xfId="0" applyFill="1" applyBorder="1"/>
    <xf numFmtId="2" fontId="0" fillId="4" borderId="0" xfId="0" applyNumberFormat="1" applyFill="1"/>
    <xf numFmtId="0" fontId="1" fillId="4" borderId="0" xfId="0" applyFont="1" applyFill="1" applyAlignment="1">
      <alignment horizontal="center" vertical="center" textRotation="90" wrapText="1"/>
    </xf>
    <xf numFmtId="0" fontId="24" fillId="5" borderId="15" xfId="0" applyFont="1" applyFill="1" applyBorder="1" applyAlignment="1">
      <alignment horizontal="center" vertical="center"/>
    </xf>
    <xf numFmtId="0" fontId="0" fillId="5" borderId="19" xfId="0" applyFill="1" applyBorder="1"/>
    <xf numFmtId="0" fontId="0" fillId="5" borderId="12" xfId="0" applyFill="1" applyBorder="1"/>
    <xf numFmtId="0" fontId="24" fillId="5" borderId="13" xfId="0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/>
    </xf>
    <xf numFmtId="2" fontId="0" fillId="12" borderId="0" xfId="0" applyNumberFormat="1" applyFill="1"/>
    <xf numFmtId="2" fontId="1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/>
    </xf>
    <xf numFmtId="2" fontId="0" fillId="4" borderId="19" xfId="0" applyNumberFormat="1" applyFill="1" applyBorder="1" applyAlignment="1">
      <alignment horizontal="center"/>
    </xf>
    <xf numFmtId="2" fontId="1" fillId="4" borderId="20" xfId="0" applyNumberFormat="1" applyFont="1" applyFill="1" applyBorder="1" applyAlignment="1">
      <alignment horizontal="center"/>
    </xf>
    <xf numFmtId="0" fontId="0" fillId="4" borderId="46" xfId="0" applyFill="1" applyBorder="1" applyAlignment="1">
      <alignment vertical="center"/>
    </xf>
    <xf numFmtId="164" fontId="0" fillId="4" borderId="0" xfId="0" applyNumberFormat="1" applyFill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2" fontId="0" fillId="3" borderId="1" xfId="0" applyNumberFormat="1" applyFill="1" applyBorder="1" applyAlignment="1" applyProtection="1">
      <alignment vertical="center"/>
      <protection locked="0"/>
    </xf>
    <xf numFmtId="1" fontId="0" fillId="3" borderId="1" xfId="0" applyNumberFormat="1" applyFill="1" applyBorder="1" applyAlignment="1" applyProtection="1">
      <alignment vertical="center"/>
      <protection locked="0"/>
    </xf>
    <xf numFmtId="2" fontId="0" fillId="3" borderId="1" xfId="0" applyNumberFormat="1" applyFill="1" applyBorder="1" applyAlignment="1">
      <alignment horizontal="right" vertical="center"/>
    </xf>
    <xf numFmtId="2" fontId="11" fillId="3" borderId="1" xfId="0" applyNumberFormat="1" applyFont="1" applyFill="1" applyBorder="1" applyAlignment="1">
      <alignment horizontal="right" vertical="center"/>
    </xf>
    <xf numFmtId="165" fontId="0" fillId="3" borderId="1" xfId="0" applyNumberFormat="1" applyFill="1" applyBorder="1" applyAlignment="1" applyProtection="1">
      <alignment vertical="center"/>
      <protection locked="0"/>
    </xf>
    <xf numFmtId="2" fontId="0" fillId="3" borderId="19" xfId="0" applyNumberFormat="1" applyFill="1" applyBorder="1" applyAlignment="1">
      <alignment horizontal="right" vertical="center"/>
    </xf>
    <xf numFmtId="2" fontId="1" fillId="3" borderId="58" xfId="0" applyNumberFormat="1" applyFont="1" applyFill="1" applyBorder="1" applyAlignment="1">
      <alignment horizontal="center"/>
    </xf>
    <xf numFmtId="2" fontId="0" fillId="3" borderId="6" xfId="0" applyNumberFormat="1" applyFill="1" applyBorder="1" applyAlignment="1" applyProtection="1">
      <alignment vertical="center"/>
      <protection locked="0"/>
    </xf>
    <xf numFmtId="0" fontId="0" fillId="3" borderId="12" xfId="0" applyFill="1" applyBorder="1" applyAlignment="1" applyProtection="1">
      <alignment vertical="center"/>
      <protection locked="0"/>
    </xf>
    <xf numFmtId="0" fontId="0" fillId="3" borderId="19" xfId="0" applyFill="1" applyBorder="1" applyAlignment="1" applyProtection="1">
      <alignment vertical="center"/>
      <protection locked="0"/>
    </xf>
    <xf numFmtId="2" fontId="0" fillId="3" borderId="12" xfId="0" applyNumberFormat="1" applyFill="1" applyBorder="1" applyAlignment="1" applyProtection="1">
      <alignment vertical="center"/>
      <protection locked="0"/>
    </xf>
    <xf numFmtId="2" fontId="0" fillId="3" borderId="19" xfId="0" applyNumberFormat="1" applyFill="1" applyBorder="1" applyAlignment="1" applyProtection="1">
      <alignment vertical="center"/>
      <protection locked="0"/>
    </xf>
    <xf numFmtId="165" fontId="0" fillId="3" borderId="12" xfId="0" applyNumberFormat="1" applyFill="1" applyBorder="1" applyAlignment="1" applyProtection="1">
      <alignment vertical="center"/>
      <protection locked="0"/>
    </xf>
    <xf numFmtId="165" fontId="0" fillId="3" borderId="19" xfId="0" applyNumberFormat="1" applyFill="1" applyBorder="1" applyAlignment="1" applyProtection="1">
      <alignment vertical="center"/>
      <protection locked="0"/>
    </xf>
    <xf numFmtId="2" fontId="0" fillId="3" borderId="4" xfId="0" applyNumberFormat="1" applyFill="1" applyBorder="1" applyAlignment="1" applyProtection="1">
      <alignment vertical="center"/>
      <protection locked="0"/>
    </xf>
    <xf numFmtId="0" fontId="11" fillId="3" borderId="35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2" fontId="0" fillId="2" borderId="4" xfId="0" applyNumberFormat="1" applyFill="1" applyBorder="1" applyAlignment="1">
      <alignment vertical="center"/>
    </xf>
    <xf numFmtId="0" fontId="11" fillId="5" borderId="12" xfId="0" applyFont="1" applyFill="1" applyBorder="1" applyAlignment="1">
      <alignment horizontal="left" vertical="center"/>
    </xf>
    <xf numFmtId="2" fontId="11" fillId="3" borderId="12" xfId="0" applyNumberFormat="1" applyFont="1" applyFill="1" applyBorder="1" applyAlignment="1">
      <alignment horizontal="right" vertical="center"/>
    </xf>
    <xf numFmtId="0" fontId="11" fillId="5" borderId="19" xfId="0" applyFont="1" applyFill="1" applyBorder="1" applyAlignment="1">
      <alignment horizontal="left" vertical="center"/>
    </xf>
    <xf numFmtId="2" fontId="11" fillId="3" borderId="19" xfId="0" applyNumberFormat="1" applyFont="1" applyFill="1" applyBorder="1" applyAlignment="1">
      <alignment horizontal="right" vertical="center"/>
    </xf>
    <xf numFmtId="0" fontId="0" fillId="5" borderId="12" xfId="0" applyFill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2" fontId="0" fillId="7" borderId="1" xfId="0" applyNumberForma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36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1" fillId="5" borderId="16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26" fillId="5" borderId="29" xfId="0" applyFont="1" applyFill="1" applyBorder="1" applyAlignment="1">
      <alignment horizontal="left" vertical="center"/>
    </xf>
    <xf numFmtId="0" fontId="26" fillId="5" borderId="36" xfId="0" applyFont="1" applyFill="1" applyBorder="1" applyAlignment="1">
      <alignment horizontal="left" vertical="center"/>
    </xf>
    <xf numFmtId="0" fontId="26" fillId="5" borderId="27" xfId="0" applyFont="1" applyFill="1" applyBorder="1" applyAlignment="1">
      <alignment horizontal="left" vertical="center"/>
    </xf>
    <xf numFmtId="0" fontId="26" fillId="5" borderId="28" xfId="0" applyFont="1" applyFill="1" applyBorder="1" applyAlignment="1">
      <alignment horizontal="left" vertical="center"/>
    </xf>
    <xf numFmtId="0" fontId="17" fillId="5" borderId="59" xfId="0" applyFont="1" applyFill="1" applyBorder="1" applyAlignment="1" applyProtection="1">
      <alignment horizontal="center" vertical="center"/>
      <protection locked="0"/>
    </xf>
    <xf numFmtId="0" fontId="17" fillId="5" borderId="57" xfId="0" applyFont="1" applyFill="1" applyBorder="1" applyAlignment="1" applyProtection="1">
      <alignment horizontal="center" vertical="center"/>
      <protection locked="0"/>
    </xf>
    <xf numFmtId="0" fontId="1" fillId="5" borderId="1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left" vertical="center"/>
    </xf>
    <xf numFmtId="0" fontId="17" fillId="5" borderId="37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51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8" fillId="5" borderId="56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4" fillId="6" borderId="29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/>
    </xf>
    <xf numFmtId="0" fontId="0" fillId="5" borderId="35" xfId="0" applyFill="1" applyBorder="1" applyAlignment="1">
      <alignment horizontal="left" vertical="center"/>
    </xf>
    <xf numFmtId="0" fontId="17" fillId="5" borderId="57" xfId="0" applyFont="1" applyFill="1" applyBorder="1" applyAlignment="1">
      <alignment horizontal="center" vertical="center"/>
    </xf>
    <xf numFmtId="0" fontId="0" fillId="5" borderId="39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14" fillId="6" borderId="16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 applyProtection="1">
      <alignment horizontal="center" vertical="center"/>
      <protection locked="0"/>
    </xf>
    <xf numFmtId="2" fontId="1" fillId="3" borderId="3" xfId="0" applyNumberFormat="1" applyFont="1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>
      <alignment horizontal="left" vertical="center"/>
    </xf>
    <xf numFmtId="0" fontId="1" fillId="5" borderId="26" xfId="0" applyFont="1" applyFill="1" applyBorder="1" applyAlignment="1">
      <alignment horizontal="center" vertical="center" textRotation="90"/>
    </xf>
    <xf numFmtId="0" fontId="1" fillId="5" borderId="33" xfId="0" applyFont="1" applyFill="1" applyBorder="1" applyAlignment="1">
      <alignment horizontal="center" vertical="center" textRotation="90"/>
    </xf>
    <xf numFmtId="0" fontId="1" fillId="5" borderId="34" xfId="0" applyFont="1" applyFill="1" applyBorder="1" applyAlignment="1">
      <alignment horizontal="center" vertical="center" textRotation="90"/>
    </xf>
    <xf numFmtId="0" fontId="1" fillId="5" borderId="46" xfId="0" applyFont="1" applyFill="1" applyBorder="1" applyAlignment="1">
      <alignment horizontal="center" vertical="center" textRotation="90"/>
    </xf>
    <xf numFmtId="0" fontId="0" fillId="5" borderId="27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18" fillId="5" borderId="59" xfId="0" applyFont="1" applyFill="1" applyBorder="1" applyAlignment="1">
      <alignment horizontal="center" vertical="center"/>
    </xf>
    <xf numFmtId="0" fontId="18" fillId="5" borderId="57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60" xfId="0" applyFont="1" applyFill="1" applyBorder="1" applyAlignment="1">
      <alignment horizontal="center" vertical="center"/>
    </xf>
    <xf numFmtId="0" fontId="13" fillId="6" borderId="5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center" vertical="center" textRotation="90"/>
    </xf>
    <xf numFmtId="0" fontId="1" fillId="5" borderId="14" xfId="0" applyFont="1" applyFill="1" applyBorder="1" applyAlignment="1">
      <alignment horizontal="center" vertical="center" textRotation="90"/>
    </xf>
    <xf numFmtId="0" fontId="1" fillId="5" borderId="18" xfId="0" applyFont="1" applyFill="1" applyBorder="1" applyAlignment="1">
      <alignment horizontal="center" vertical="center" textRotation="90"/>
    </xf>
    <xf numFmtId="0" fontId="26" fillId="5" borderId="26" xfId="0" applyFont="1" applyFill="1" applyBorder="1" applyAlignment="1">
      <alignment horizontal="left" vertical="center"/>
    </xf>
    <xf numFmtId="0" fontId="26" fillId="5" borderId="33" xfId="0" applyFont="1" applyFill="1" applyBorder="1" applyAlignment="1">
      <alignment horizontal="left" vertical="center"/>
    </xf>
    <xf numFmtId="0" fontId="26" fillId="5" borderId="34" xfId="0" applyFont="1" applyFill="1" applyBorder="1" applyAlignment="1">
      <alignment horizontal="left" vertical="center"/>
    </xf>
    <xf numFmtId="0" fontId="1" fillId="5" borderId="52" xfId="0" applyFont="1" applyFill="1" applyBorder="1" applyAlignment="1">
      <alignment horizontal="center" vertical="center" textRotation="90"/>
    </xf>
    <xf numFmtId="0" fontId="18" fillId="5" borderId="4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 textRotation="90"/>
    </xf>
    <xf numFmtId="0" fontId="0" fillId="12" borderId="0" xfId="0" applyFill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 textRotation="90"/>
    </xf>
    <xf numFmtId="0" fontId="1" fillId="5" borderId="21" xfId="0" applyFont="1" applyFill="1" applyBorder="1" applyAlignment="1">
      <alignment horizontal="center" vertical="center" textRotation="90"/>
    </xf>
    <xf numFmtId="0" fontId="14" fillId="5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5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23" fillId="5" borderId="37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15" xfId="0" applyFont="1" applyFill="1" applyBorder="1" applyAlignment="1">
      <alignment horizontal="center"/>
    </xf>
    <xf numFmtId="0" fontId="0" fillId="5" borderId="14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23" fillId="5" borderId="15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left"/>
    </xf>
    <xf numFmtId="0" fontId="8" fillId="5" borderId="1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21" fillId="5" borderId="14" xfId="0" applyNumberFormat="1" applyFont="1" applyFill="1" applyBorder="1" applyAlignment="1">
      <alignment horizontal="center" vertical="center" textRotation="90" wrapText="1"/>
    </xf>
    <xf numFmtId="49" fontId="22" fillId="5" borderId="14" xfId="0" applyNumberFormat="1" applyFont="1" applyFill="1" applyBorder="1" applyAlignment="1">
      <alignment horizontal="center" vertical="center" textRotation="90" wrapText="1"/>
    </xf>
    <xf numFmtId="164" fontId="4" fillId="5" borderId="1" xfId="0" applyNumberFormat="1" applyFont="1" applyFill="1" applyBorder="1" applyAlignment="1">
      <alignment horizontal="center"/>
    </xf>
    <xf numFmtId="164" fontId="4" fillId="5" borderId="15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3" fillId="5" borderId="20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2" fontId="1" fillId="3" borderId="1" xfId="0" applyNumberFormat="1" applyFont="1" applyFill="1" applyBorder="1" applyAlignment="1" applyProtection="1">
      <alignment horizontal="center" vertical="center"/>
      <protection locked="0"/>
    </xf>
    <xf numFmtId="0" fontId="24" fillId="5" borderId="15" xfId="0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/>
    </xf>
    <xf numFmtId="0" fontId="23" fillId="5" borderId="59" xfId="0" applyFont="1" applyFill="1" applyBorder="1" applyAlignment="1">
      <alignment horizontal="center"/>
    </xf>
    <xf numFmtId="0" fontId="23" fillId="5" borderId="22" xfId="0" applyFont="1" applyFill="1" applyBorder="1" applyAlignment="1">
      <alignment horizontal="center"/>
    </xf>
    <xf numFmtId="0" fontId="14" fillId="6" borderId="40" xfId="0" applyFont="1" applyFill="1" applyBorder="1" applyAlignment="1">
      <alignment horizontal="center"/>
    </xf>
    <xf numFmtId="0" fontId="14" fillId="6" borderId="41" xfId="0" applyFont="1" applyFill="1" applyBorder="1" applyAlignment="1">
      <alignment horizontal="center"/>
    </xf>
    <xf numFmtId="0" fontId="14" fillId="6" borderId="42" xfId="0" applyFont="1" applyFill="1" applyBorder="1" applyAlignment="1">
      <alignment horizontal="center"/>
    </xf>
    <xf numFmtId="0" fontId="0" fillId="5" borderId="12" xfId="0" applyFill="1" applyBorder="1" applyAlignment="1">
      <alignment horizontal="left"/>
    </xf>
    <xf numFmtId="0" fontId="24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 textRotation="90" wrapText="1"/>
    </xf>
    <xf numFmtId="0" fontId="1" fillId="5" borderId="18" xfId="0" applyFont="1" applyFill="1" applyBorder="1" applyAlignment="1">
      <alignment horizontal="center" vertical="center" textRotation="90" wrapText="1"/>
    </xf>
    <xf numFmtId="0" fontId="0" fillId="5" borderId="19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/>
    </xf>
    <xf numFmtId="0" fontId="14" fillId="6" borderId="60" xfId="0" applyFont="1" applyFill="1" applyBorder="1" applyAlignment="1">
      <alignment horizontal="center"/>
    </xf>
    <xf numFmtId="0" fontId="14" fillId="6" borderId="59" xfId="0" applyFont="1" applyFill="1" applyBorder="1" applyAlignment="1">
      <alignment horizontal="center"/>
    </xf>
    <xf numFmtId="0" fontId="25" fillId="5" borderId="23" xfId="0" applyFont="1" applyFill="1" applyBorder="1" applyAlignment="1">
      <alignment horizontal="center" vertical="center"/>
    </xf>
    <xf numFmtId="0" fontId="25" fillId="5" borderId="25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9900"/>
      <color rgb="FFFFC409"/>
      <color rgb="FF007FDE"/>
      <color rgb="FF00CC5C"/>
      <color rgb="FFFF4747"/>
      <color rgb="FFE4EEF8"/>
      <color rgb="FFD7E5F5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561860</xdr:colOff>
      <xdr:row>0</xdr:row>
      <xdr:rowOff>63677</xdr:rowOff>
    </xdr:from>
    <xdr:to>
      <xdr:col>15</xdr:col>
      <xdr:colOff>515135</xdr:colOff>
      <xdr:row>2</xdr:row>
      <xdr:rowOff>126551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03F3F3-EC16-4A1A-A673-1D5E02CF9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6817" y="63677"/>
          <a:ext cx="1792014" cy="443874"/>
        </a:xfrm>
        <a:prstGeom prst="rect">
          <a:avLst/>
        </a:prstGeom>
      </xdr:spPr>
    </xdr:pic>
    <xdr:clientData/>
  </xdr:twoCellAnchor>
  <xdr:twoCellAnchor editAs="oneCell">
    <xdr:from>
      <xdr:col>8</xdr:col>
      <xdr:colOff>54733</xdr:colOff>
      <xdr:row>4</xdr:row>
      <xdr:rowOff>25824</xdr:rowOff>
    </xdr:from>
    <xdr:to>
      <xdr:col>10</xdr:col>
      <xdr:colOff>233328</xdr:colOff>
      <xdr:row>7</xdr:row>
      <xdr:rowOff>37730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0417F90-2836-4B75-AFEB-97F6D6BBE3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55" t="12230" r="1363" b="11198"/>
        <a:stretch/>
      </xdr:blipFill>
      <xdr:spPr>
        <a:xfrm>
          <a:off x="4912483" y="787824"/>
          <a:ext cx="1393033" cy="583406"/>
        </a:xfrm>
        <a:prstGeom prst="rect">
          <a:avLst/>
        </a:prstGeom>
      </xdr:spPr>
    </xdr:pic>
    <xdr:clientData/>
  </xdr:twoCellAnchor>
  <xdr:twoCellAnchor editAs="oneCell">
    <xdr:from>
      <xdr:col>8</xdr:col>
      <xdr:colOff>49695</xdr:colOff>
      <xdr:row>13</xdr:row>
      <xdr:rowOff>154264</xdr:rowOff>
    </xdr:from>
    <xdr:to>
      <xdr:col>11</xdr:col>
      <xdr:colOff>401432</xdr:colOff>
      <xdr:row>17</xdr:row>
      <xdr:rowOff>58931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FCFAA4-9471-42D2-A721-82EA0D25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7445" y="2630764"/>
          <a:ext cx="2173393" cy="6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59073</xdr:colOff>
      <xdr:row>8</xdr:row>
      <xdr:rowOff>75767</xdr:rowOff>
    </xdr:from>
    <xdr:to>
      <xdr:col>15</xdr:col>
      <xdr:colOff>249572</xdr:colOff>
      <xdr:row>12</xdr:row>
      <xdr:rowOff>97218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953C5F1-869A-47F3-9E79-E057B087F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45" t="2587"/>
        <a:stretch/>
      </xdr:blipFill>
      <xdr:spPr>
        <a:xfrm>
          <a:off x="4916823" y="1599767"/>
          <a:ext cx="4441030" cy="783451"/>
        </a:xfrm>
        <a:prstGeom prst="rect">
          <a:avLst/>
        </a:prstGeom>
      </xdr:spPr>
    </xdr:pic>
    <xdr:clientData/>
  </xdr:twoCellAnchor>
  <xdr:twoCellAnchor editAs="oneCell">
    <xdr:from>
      <xdr:col>6</xdr:col>
      <xdr:colOff>247261</xdr:colOff>
      <xdr:row>18</xdr:row>
      <xdr:rowOff>49565</xdr:rowOff>
    </xdr:from>
    <xdr:to>
      <xdr:col>15</xdr:col>
      <xdr:colOff>421737</xdr:colOff>
      <xdr:row>36</xdr:row>
      <xdr:rowOff>40517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E618C69-4A08-4E2F-9C2D-829BC4377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7967" y="3478565"/>
          <a:ext cx="5620535" cy="3419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369794</xdr:colOff>
      <xdr:row>0</xdr:row>
      <xdr:rowOff>58831</xdr:rowOff>
    </xdr:from>
    <xdr:to>
      <xdr:col>24</xdr:col>
      <xdr:colOff>558116</xdr:colOff>
      <xdr:row>2</xdr:row>
      <xdr:rowOff>155820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C675CE-6A81-48C7-A3C6-F278F80BD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81294" y="58831"/>
          <a:ext cx="1925234" cy="477989"/>
        </a:xfrm>
        <a:prstGeom prst="rect">
          <a:avLst/>
        </a:prstGeom>
      </xdr:spPr>
    </xdr:pic>
    <xdr:clientData/>
  </xdr:twoCellAnchor>
  <xdr:twoCellAnchor>
    <xdr:from>
      <xdr:col>8</xdr:col>
      <xdr:colOff>230234</xdr:colOff>
      <xdr:row>38</xdr:row>
      <xdr:rowOff>123828</xdr:rowOff>
    </xdr:from>
    <xdr:to>
      <xdr:col>9</xdr:col>
      <xdr:colOff>832456</xdr:colOff>
      <xdr:row>54</xdr:row>
      <xdr:rowOff>104779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6701342" y="7493429"/>
          <a:ext cx="1726566" cy="3417807"/>
          <a:chOff x="6259559" y="7496178"/>
          <a:chExt cx="1649972" cy="343852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5400000">
            <a:off x="5365282" y="8390455"/>
            <a:ext cx="3438526" cy="1649972"/>
          </a:xfrm>
          <a:prstGeom prst="rect">
            <a:avLst/>
          </a:prstGeom>
        </xdr:spPr>
      </xdr:pic>
      <xdr:sp macro="" textlink="">
        <xdr:nvSpPr>
          <xdr:cNvPr id="8" name="Rounded Rectangle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6334124" y="8067675"/>
            <a:ext cx="333375" cy="533400"/>
          </a:xfrm>
          <a:prstGeom prst="roundRect">
            <a:avLst/>
          </a:prstGeom>
          <a:solidFill>
            <a:srgbClr val="FF00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ounded Rectangle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7515224" y="8067675"/>
            <a:ext cx="333375" cy="533400"/>
          </a:xfrm>
          <a:prstGeom prst="roundRect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ounded Rectangl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6343651" y="10029824"/>
            <a:ext cx="371474" cy="561975"/>
          </a:xfrm>
          <a:prstGeom prst="roundRect">
            <a:avLst/>
          </a:prstGeom>
          <a:solidFill>
            <a:srgbClr val="0070C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ounded Rectangle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7467601" y="10029824"/>
            <a:ext cx="371474" cy="561975"/>
          </a:xfrm>
          <a:prstGeom prst="roundRect">
            <a:avLst/>
          </a:prstGeom>
          <a:solidFill>
            <a:srgbClr val="FFC0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69083</xdr:colOff>
      <xdr:row>13</xdr:row>
      <xdr:rowOff>122574</xdr:rowOff>
    </xdr:from>
    <xdr:to>
      <xdr:col>9</xdr:col>
      <xdr:colOff>1018736</xdr:colOff>
      <xdr:row>32</xdr:row>
      <xdr:rowOff>24909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256059-9FD9-41CD-A483-7074F60B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8518" y="2723313"/>
          <a:ext cx="2092653" cy="3728900"/>
        </a:xfrm>
        <a:prstGeom prst="rect">
          <a:avLst/>
        </a:prstGeom>
      </xdr:spPr>
    </xdr:pic>
    <xdr:clientData/>
  </xdr:twoCellAnchor>
  <xdr:twoCellAnchor editAs="oneCell">
    <xdr:from>
      <xdr:col>26</xdr:col>
      <xdr:colOff>349970</xdr:colOff>
      <xdr:row>0</xdr:row>
      <xdr:rowOff>69820</xdr:rowOff>
    </xdr:from>
    <xdr:to>
      <xdr:col>29</xdr:col>
      <xdr:colOff>423238</xdr:colOff>
      <xdr:row>2</xdr:row>
      <xdr:rowOff>159579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9E91E2-886F-4231-B4AC-88B616C0F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14705" y="69820"/>
          <a:ext cx="1888621" cy="4707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1060174</xdr:colOff>
      <xdr:row>0</xdr:row>
      <xdr:rowOff>24848</xdr:rowOff>
    </xdr:from>
    <xdr:to>
      <xdr:col>18</xdr:col>
      <xdr:colOff>526132</xdr:colOff>
      <xdr:row>2</xdr:row>
      <xdr:rowOff>158592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0B01D0-8E17-473F-8E80-D465D73D1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3913" y="24848"/>
          <a:ext cx="2074980" cy="5147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105103</xdr:colOff>
      <xdr:row>0</xdr:row>
      <xdr:rowOff>88483</xdr:rowOff>
    </xdr:from>
    <xdr:to>
      <xdr:col>14</xdr:col>
      <xdr:colOff>516052</xdr:colOff>
      <xdr:row>3</xdr:row>
      <xdr:rowOff>73579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423749-E5CC-4894-A815-540A509F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6172" y="88483"/>
          <a:ext cx="2243690" cy="556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0" tint="-0.499984740745262"/>
  </sheetPr>
  <dimension ref="A1:P38"/>
  <sheetViews>
    <sheetView topLeftCell="A3" zoomScale="97" zoomScaleNormal="115" workbookViewId="0">
      <selection activeCell="E29" sqref="E29"/>
    </sheetView>
  </sheetViews>
  <sheetFormatPr defaultColWidth="9.1328125" defaultRowHeight="14.25" x14ac:dyDescent="0.45"/>
  <cols>
    <col min="1" max="16384" width="9.1328125" style="125"/>
  </cols>
  <sheetData>
    <row r="1" spans="1:16" x14ac:dyDescent="0.45">
      <c r="A1" s="287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</row>
    <row r="2" spans="1:16" x14ac:dyDescent="0.45">
      <c r="A2" s="289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</row>
    <row r="3" spans="1:16" x14ac:dyDescent="0.45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</row>
    <row r="4" spans="1:16" x14ac:dyDescent="0.4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x14ac:dyDescent="0.4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x14ac:dyDescent="0.45">
      <c r="A6" s="124" t="s">
        <v>253</v>
      </c>
      <c r="B6" s="124"/>
      <c r="C6" s="124"/>
      <c r="D6" s="124"/>
      <c r="E6" s="124"/>
      <c r="F6" s="124"/>
      <c r="G6" s="124"/>
      <c r="H6" s="124"/>
      <c r="I6" s="29"/>
      <c r="J6" s="29"/>
      <c r="K6" s="29"/>
      <c r="L6" s="29"/>
      <c r="M6" s="29"/>
      <c r="N6" s="29"/>
      <c r="O6" s="29"/>
      <c r="P6" s="29"/>
    </row>
    <row r="7" spans="1:16" x14ac:dyDescent="0.4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x14ac:dyDescent="0.4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 x14ac:dyDescent="0.4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x14ac:dyDescent="0.45">
      <c r="A10" s="29"/>
      <c r="B10" s="124"/>
      <c r="C10" s="124"/>
      <c r="D10" s="124"/>
      <c r="E10" s="124"/>
      <c r="F10" s="124"/>
      <c r="G10" s="124"/>
      <c r="H10" s="124"/>
      <c r="I10" s="29"/>
      <c r="J10" s="29"/>
      <c r="K10" s="29"/>
      <c r="L10" s="29"/>
      <c r="M10" s="29"/>
      <c r="N10" s="29"/>
      <c r="O10" s="29"/>
      <c r="P10" s="29"/>
    </row>
    <row r="11" spans="1:16" x14ac:dyDescent="0.45">
      <c r="A11" s="124" t="s">
        <v>256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 x14ac:dyDescent="0.4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x14ac:dyDescent="0.4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x14ac:dyDescent="0.4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 x14ac:dyDescent="0.4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spans="1:16" x14ac:dyDescent="0.45">
      <c r="A16" s="124" t="s">
        <v>255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4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 x14ac:dyDescent="0.4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4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spans="1:16" x14ac:dyDescent="0.4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4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spans="1:16" x14ac:dyDescent="0.4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4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spans="1:16" x14ac:dyDescent="0.4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4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1:16" x14ac:dyDescent="0.4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1:16" x14ac:dyDescent="0.4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4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spans="1:16" x14ac:dyDescent="0.4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4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  <row r="31" spans="1:16" x14ac:dyDescent="0.4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 spans="1:16" x14ac:dyDescent="0.4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spans="1:16" x14ac:dyDescent="0.4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16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1:16" x14ac:dyDescent="0.4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16" x14ac:dyDescent="0.4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spans="1:16" x14ac:dyDescent="0.4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16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</row>
  </sheetData>
  <mergeCells count="1">
    <mergeCell ref="A1:P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3" tint="0.59999389629810485"/>
  </sheetPr>
  <dimension ref="A1:Y146"/>
  <sheetViews>
    <sheetView tabSelected="1" topLeftCell="A36" zoomScale="97" zoomScaleNormal="100" workbookViewId="0">
      <selection activeCell="E36" sqref="E36"/>
    </sheetView>
  </sheetViews>
  <sheetFormatPr defaultColWidth="9.1328125" defaultRowHeight="14.25" x14ac:dyDescent="0.45"/>
  <cols>
    <col min="1" max="1" width="2.73046875" style="111" customWidth="1"/>
    <col min="2" max="2" width="3.59765625" style="112" customWidth="1"/>
    <col min="3" max="3" width="38.1328125" style="111" customWidth="1"/>
    <col min="4" max="4" width="6.59765625" style="111" customWidth="1"/>
    <col min="5" max="5" width="11.73046875" style="111" bestFit="1" customWidth="1"/>
    <col min="6" max="6" width="9.265625" style="111" customWidth="1"/>
    <col min="7" max="7" width="8.73046875" style="111" customWidth="1"/>
    <col min="8" max="8" width="9.73046875" style="111" customWidth="1"/>
    <col min="9" max="10" width="15.73046875" style="111" customWidth="1"/>
    <col min="11" max="11" width="9.73046875" style="111" customWidth="1"/>
    <col min="12" max="12" width="12.265625" style="111" bestFit="1" customWidth="1"/>
    <col min="13" max="13" width="8.73046875" style="111" customWidth="1"/>
    <col min="14" max="14" width="30.86328125" style="111" customWidth="1"/>
    <col min="15" max="15" width="13.3984375" style="111" customWidth="1"/>
    <col min="16" max="16" width="9" style="111" customWidth="1"/>
    <col min="17" max="17" width="9.265625" style="111" customWidth="1"/>
    <col min="18" max="19" width="3.73046875" style="111" customWidth="1"/>
    <col min="20" max="20" width="14.265625" style="111" customWidth="1"/>
    <col min="21" max="21" width="9.3984375" style="111" customWidth="1"/>
    <col min="22" max="22" width="7.59765625" style="111" customWidth="1"/>
    <col min="23" max="23" width="5.265625" style="111" customWidth="1"/>
    <col min="24" max="24" width="3.86328125" style="111" customWidth="1"/>
    <col min="25" max="16384" width="9.1328125" style="111"/>
  </cols>
  <sheetData>
    <row r="1" spans="1:25" x14ac:dyDescent="0.45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</row>
    <row r="2" spans="1:25" x14ac:dyDescent="0.45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</row>
    <row r="3" spans="1:25" x14ac:dyDescent="0.45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</row>
    <row r="4" spans="1:25" ht="14.65" thickBot="1" x14ac:dyDescent="0.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8.75" customHeight="1" thickBot="1" x14ac:dyDescent="0.5">
      <c r="A5" s="49"/>
      <c r="B5" s="245" t="s">
        <v>214</v>
      </c>
      <c r="C5" s="246"/>
      <c r="D5" s="246"/>
      <c r="E5" s="246"/>
      <c r="F5" s="247"/>
      <c r="G5" s="57"/>
      <c r="H5" s="200" t="s">
        <v>213</v>
      </c>
      <c r="I5" s="201"/>
      <c r="J5" s="201"/>
      <c r="K5" s="201"/>
      <c r="L5" s="202"/>
      <c r="M5" s="57"/>
      <c r="N5" s="200" t="s">
        <v>215</v>
      </c>
      <c r="O5" s="201"/>
      <c r="P5" s="201"/>
      <c r="Q5" s="201"/>
      <c r="R5" s="201"/>
      <c r="S5" s="201"/>
      <c r="T5" s="201"/>
      <c r="U5" s="201"/>
      <c r="V5" s="201"/>
      <c r="W5" s="202"/>
      <c r="X5" s="67"/>
      <c r="Y5" s="49"/>
    </row>
    <row r="6" spans="1:25" ht="15" customHeight="1" x14ac:dyDescent="0.45">
      <c r="A6" s="49"/>
      <c r="B6" s="254" t="s">
        <v>10</v>
      </c>
      <c r="C6" s="209" t="s">
        <v>7</v>
      </c>
      <c r="D6" s="209"/>
      <c r="E6" s="173">
        <v>1545</v>
      </c>
      <c r="F6" s="226" t="s">
        <v>11</v>
      </c>
      <c r="G6" s="58"/>
      <c r="H6" s="279" t="s">
        <v>34</v>
      </c>
      <c r="I6" s="5" t="s">
        <v>18</v>
      </c>
      <c r="J6" s="6"/>
      <c r="K6" s="64">
        <f>(E17*9.81*1*P27/1000)/P14</f>
        <v>0.3059615734051091</v>
      </c>
      <c r="L6" s="69" t="s">
        <v>35</v>
      </c>
      <c r="M6" s="58"/>
      <c r="N6" s="80"/>
      <c r="O6" s="27"/>
      <c r="P6" s="27"/>
      <c r="Q6" s="27"/>
      <c r="R6" s="27"/>
      <c r="S6" s="27"/>
      <c r="T6" s="27"/>
      <c r="U6" s="27"/>
      <c r="V6" s="27"/>
      <c r="W6" s="82"/>
      <c r="X6" s="49"/>
      <c r="Y6" s="49"/>
    </row>
    <row r="7" spans="1:25" ht="15" customHeight="1" thickBot="1" x14ac:dyDescent="0.5">
      <c r="A7" s="49"/>
      <c r="B7" s="255"/>
      <c r="C7" s="210" t="s">
        <v>8</v>
      </c>
      <c r="D7" s="210"/>
      <c r="E7" s="164">
        <v>1248</v>
      </c>
      <c r="F7" s="213"/>
      <c r="G7" s="58"/>
      <c r="H7" s="280"/>
      <c r="I7" s="236" t="s">
        <v>57</v>
      </c>
      <c r="J7" s="197"/>
      <c r="K7" s="64">
        <f>K6*D51</f>
        <v>0.48953851744817456</v>
      </c>
      <c r="L7" s="69" t="s">
        <v>56</v>
      </c>
      <c r="M7" s="58"/>
      <c r="N7" s="80"/>
      <c r="O7" s="27"/>
      <c r="P7" s="27"/>
      <c r="Q7" s="27"/>
      <c r="R7" s="27"/>
      <c r="S7" s="27"/>
      <c r="T7" s="27"/>
      <c r="U7" s="27"/>
      <c r="V7" s="27"/>
      <c r="W7" s="82"/>
      <c r="X7" s="49"/>
      <c r="Y7" s="49"/>
    </row>
    <row r="8" spans="1:25" ht="15" customHeight="1" thickBot="1" x14ac:dyDescent="0.5">
      <c r="A8" s="49"/>
      <c r="B8" s="256"/>
      <c r="C8" s="211" t="s">
        <v>9</v>
      </c>
      <c r="D8" s="211"/>
      <c r="E8" s="174">
        <v>1200</v>
      </c>
      <c r="F8" s="228"/>
      <c r="G8" s="58"/>
      <c r="H8" s="279" t="s">
        <v>116</v>
      </c>
      <c r="I8" s="236" t="s">
        <v>115</v>
      </c>
      <c r="J8" s="197"/>
      <c r="K8" s="64">
        <f>(((V19/2)+(SM*SM_WD/100)/2))*g_earth*SpringMR_Fr</f>
        <v>642.15641996996862</v>
      </c>
      <c r="L8" s="212" t="s">
        <v>110</v>
      </c>
      <c r="M8" s="49"/>
      <c r="N8" s="266" t="s">
        <v>224</v>
      </c>
      <c r="O8" s="267"/>
      <c r="P8" s="267"/>
      <c r="Q8" s="267"/>
      <c r="R8" s="267"/>
      <c r="S8" s="267"/>
      <c r="T8" s="267"/>
      <c r="U8" s="267"/>
      <c r="V8" s="267"/>
      <c r="W8" s="268"/>
      <c r="X8" s="49"/>
      <c r="Y8" s="49"/>
    </row>
    <row r="9" spans="1:25" ht="15" customHeight="1" thickBot="1" x14ac:dyDescent="0.5">
      <c r="A9" s="49"/>
      <c r="B9" s="237" t="s">
        <v>17</v>
      </c>
      <c r="C9" s="209" t="s">
        <v>0</v>
      </c>
      <c r="D9" s="209"/>
      <c r="E9" s="175">
        <v>260</v>
      </c>
      <c r="F9" s="68" t="s">
        <v>39</v>
      </c>
      <c r="G9" s="58"/>
      <c r="H9" s="238"/>
      <c r="I9" s="236" t="s">
        <v>114</v>
      </c>
      <c r="J9" s="197"/>
      <c r="K9" s="64">
        <f>(((V21/2)+(SM*(100-SM_WD)/100)/2)*g_earth)*SpringMR_Rr</f>
        <v>634.01039267957788</v>
      </c>
      <c r="L9" s="214"/>
      <c r="M9" s="49"/>
      <c r="N9" s="270" t="s">
        <v>34</v>
      </c>
      <c r="O9" s="271"/>
      <c r="P9" s="271"/>
      <c r="Q9" s="272"/>
      <c r="R9" s="27"/>
      <c r="S9" s="270" t="s">
        <v>93</v>
      </c>
      <c r="T9" s="271"/>
      <c r="U9" s="271"/>
      <c r="V9" s="271"/>
      <c r="W9" s="272"/>
      <c r="X9" s="49"/>
      <c r="Y9" s="49"/>
    </row>
    <row r="10" spans="1:25" ht="15" customHeight="1" x14ac:dyDescent="0.45">
      <c r="A10" s="49"/>
      <c r="B10" s="238"/>
      <c r="C10" s="210" t="s">
        <v>25</v>
      </c>
      <c r="D10" s="210"/>
      <c r="E10" s="165">
        <v>52</v>
      </c>
      <c r="F10" s="69" t="s">
        <v>52</v>
      </c>
      <c r="G10" s="58"/>
      <c r="H10" s="238"/>
      <c r="I10" s="236" t="s">
        <v>102</v>
      </c>
      <c r="J10" s="197"/>
      <c r="K10" s="64">
        <f>K8/SpringStiffness_Fr</f>
        <v>14.669478468759992</v>
      </c>
      <c r="L10" s="212" t="s">
        <v>11</v>
      </c>
      <c r="M10" s="49"/>
      <c r="N10" s="194" t="s">
        <v>33</v>
      </c>
      <c r="O10" s="195"/>
      <c r="P10" s="88">
        <f>P11/P14</f>
        <v>0.48953851744817467</v>
      </c>
      <c r="Q10" s="68" t="s">
        <v>28</v>
      </c>
      <c r="R10" s="27"/>
      <c r="S10" s="237" t="s">
        <v>54</v>
      </c>
      <c r="T10" s="30" t="s">
        <v>43</v>
      </c>
      <c r="U10" s="30"/>
      <c r="V10" s="30"/>
      <c r="W10" s="31"/>
      <c r="X10" s="49"/>
      <c r="Y10" s="49"/>
    </row>
    <row r="11" spans="1:25" ht="15" customHeight="1" x14ac:dyDescent="0.45">
      <c r="A11" s="49"/>
      <c r="B11" s="238"/>
      <c r="C11" s="210" t="s">
        <v>59</v>
      </c>
      <c r="D11" s="210"/>
      <c r="E11" s="165">
        <v>8</v>
      </c>
      <c r="F11" s="69" t="s">
        <v>39</v>
      </c>
      <c r="G11" s="58"/>
      <c r="H11" s="280"/>
      <c r="I11" s="236" t="s">
        <v>103</v>
      </c>
      <c r="J11" s="197"/>
      <c r="K11" s="64">
        <f>K9/SpringStiffness_Rr</f>
        <v>16.09285967661441</v>
      </c>
      <c r="L11" s="214"/>
      <c r="M11" s="49"/>
      <c r="N11" s="196" t="s">
        <v>26</v>
      </c>
      <c r="O11" s="197"/>
      <c r="P11" s="89">
        <f>E17*9.81*D51*P27/1000</f>
        <v>627.23727360000009</v>
      </c>
      <c r="Q11" s="69" t="s">
        <v>27</v>
      </c>
      <c r="R11" s="27"/>
      <c r="S11" s="238"/>
      <c r="T11" s="12" t="s">
        <v>42</v>
      </c>
      <c r="U11" s="12"/>
      <c r="V11" s="89">
        <f>V15+V19+V23</f>
        <v>44.161016611804463</v>
      </c>
      <c r="W11" s="76" t="s">
        <v>39</v>
      </c>
      <c r="X11" s="49"/>
      <c r="Y11" s="49"/>
    </row>
    <row r="12" spans="1:25" ht="15" customHeight="1" x14ac:dyDescent="0.45">
      <c r="A12" s="49"/>
      <c r="B12" s="238"/>
      <c r="C12" s="210" t="s">
        <v>60</v>
      </c>
      <c r="D12" s="210"/>
      <c r="E12" s="165">
        <v>8</v>
      </c>
      <c r="F12" s="69" t="s">
        <v>39</v>
      </c>
      <c r="G12" s="58"/>
      <c r="H12" s="279" t="s">
        <v>53</v>
      </c>
      <c r="I12" s="236" t="s">
        <v>216</v>
      </c>
      <c r="J12" s="197"/>
      <c r="K12" s="64">
        <f>(P15+P18)/P14*100</f>
        <v>61.356885002621219</v>
      </c>
      <c r="L12" s="212" t="s">
        <v>71</v>
      </c>
      <c r="M12" s="49"/>
      <c r="N12" s="196" t="s">
        <v>84</v>
      </c>
      <c r="O12" s="197"/>
      <c r="P12" s="64">
        <f>P10/LatAccel</f>
        <v>0.30596157340510916</v>
      </c>
      <c r="Q12" s="70" t="s">
        <v>35</v>
      </c>
      <c r="R12" s="27"/>
      <c r="S12" s="238"/>
      <c r="T12" s="30" t="s">
        <v>44</v>
      </c>
      <c r="U12" s="30"/>
      <c r="V12" s="30"/>
      <c r="W12" s="77"/>
      <c r="X12" s="49"/>
      <c r="Y12" s="49"/>
    </row>
    <row r="13" spans="1:25" ht="15" customHeight="1" x14ac:dyDescent="0.45">
      <c r="A13" s="49"/>
      <c r="B13" s="238"/>
      <c r="C13" s="210" t="s">
        <v>94</v>
      </c>
      <c r="D13" s="210"/>
      <c r="E13" s="64">
        <f>E11/(E12+E11)*100</f>
        <v>50</v>
      </c>
      <c r="F13" s="69" t="s">
        <v>52</v>
      </c>
      <c r="G13" s="58"/>
      <c r="H13" s="238"/>
      <c r="I13" s="236" t="s">
        <v>217</v>
      </c>
      <c r="J13" s="197"/>
      <c r="K13" s="189"/>
      <c r="L13" s="213"/>
      <c r="M13" s="49"/>
      <c r="N13" s="191"/>
      <c r="O13" s="192"/>
      <c r="P13" s="192"/>
      <c r="Q13" s="193"/>
      <c r="R13" s="27"/>
      <c r="S13" s="280"/>
      <c r="T13" s="12" t="s">
        <v>42</v>
      </c>
      <c r="U13" s="12"/>
      <c r="V13" s="89">
        <f>V17+V21+V25</f>
        <v>34.499209390390035</v>
      </c>
      <c r="W13" s="76" t="s">
        <v>39</v>
      </c>
      <c r="X13" s="49"/>
      <c r="Y13" s="49"/>
    </row>
    <row r="14" spans="1:25" ht="15" customHeight="1" x14ac:dyDescent="0.45">
      <c r="A14" s="49"/>
      <c r="B14" s="238"/>
      <c r="C14" s="210" t="s">
        <v>1</v>
      </c>
      <c r="D14" s="210"/>
      <c r="E14" s="166">
        <v>232</v>
      </c>
      <c r="F14" s="212" t="s">
        <v>11</v>
      </c>
      <c r="G14" s="58"/>
      <c r="H14" s="238"/>
      <c r="I14" s="236" t="s">
        <v>218</v>
      </c>
      <c r="J14" s="197"/>
      <c r="K14" s="64">
        <f>P50/P52*100</f>
        <v>58.633523036633527</v>
      </c>
      <c r="L14" s="214"/>
      <c r="M14" s="49"/>
      <c r="N14" s="198" t="s">
        <v>85</v>
      </c>
      <c r="O14" s="199"/>
      <c r="P14" s="90">
        <f>P17+P20</f>
        <v>1281.2827821385945</v>
      </c>
      <c r="Q14" s="70" t="s">
        <v>29</v>
      </c>
      <c r="R14" s="27"/>
      <c r="S14" s="279" t="s">
        <v>55</v>
      </c>
      <c r="T14" s="30" t="s">
        <v>43</v>
      </c>
      <c r="U14" s="30"/>
      <c r="V14" s="30"/>
      <c r="W14" s="77"/>
      <c r="X14" s="49"/>
      <c r="Y14" s="49"/>
    </row>
    <row r="15" spans="1:25" ht="15" customHeight="1" x14ac:dyDescent="0.45">
      <c r="A15" s="49"/>
      <c r="B15" s="238"/>
      <c r="C15" s="210" t="s">
        <v>20</v>
      </c>
      <c r="D15" s="210"/>
      <c r="E15" s="166">
        <v>203.2</v>
      </c>
      <c r="F15" s="213"/>
      <c r="G15" s="58"/>
      <c r="H15" s="238"/>
      <c r="I15" s="236" t="s">
        <v>216</v>
      </c>
      <c r="J15" s="197"/>
      <c r="K15" s="64">
        <f>V19/(V19+V21)*100</f>
        <v>60.422913169782589</v>
      </c>
      <c r="L15" s="212" t="s">
        <v>67</v>
      </c>
      <c r="M15" s="65"/>
      <c r="N15" s="11" t="s">
        <v>86</v>
      </c>
      <c r="O15" s="7" t="s">
        <v>63</v>
      </c>
      <c r="P15" s="89">
        <f>((FrontTrack/1000)^2*TAN(RADIANS(1))*(FrontWheelRate_NoTire*1000))/2</f>
        <v>786.15520319516315</v>
      </c>
      <c r="Q15" s="69" t="s">
        <v>29</v>
      </c>
      <c r="R15" s="27"/>
      <c r="S15" s="238"/>
      <c r="T15" s="12" t="s">
        <v>42</v>
      </c>
      <c r="U15" s="12"/>
      <c r="V15" s="89">
        <f>NSM_Fr*2*LatAccel*NSMCG_Fr/FrontTrack</f>
        <v>4.1682051282051287</v>
      </c>
      <c r="W15" s="76" t="s">
        <v>39</v>
      </c>
      <c r="X15" s="49"/>
      <c r="Y15" s="49"/>
    </row>
    <row r="16" spans="1:25" ht="15" customHeight="1" x14ac:dyDescent="0.45">
      <c r="A16" s="49"/>
      <c r="B16" s="238"/>
      <c r="C16" s="210" t="s">
        <v>21</v>
      </c>
      <c r="D16" s="210"/>
      <c r="E16" s="166">
        <v>203.2</v>
      </c>
      <c r="F16" s="214"/>
      <c r="G16" s="58"/>
      <c r="H16" s="238"/>
      <c r="I16" s="236" t="s">
        <v>217</v>
      </c>
      <c r="J16" s="197"/>
      <c r="K16" s="64">
        <f>(V15+V19+V23)/(V11+V13)*100</f>
        <v>56.141481986807975</v>
      </c>
      <c r="L16" s="213"/>
      <c r="M16" s="65"/>
      <c r="N16" s="284"/>
      <c r="O16" s="7" t="s">
        <v>64</v>
      </c>
      <c r="P16" s="89">
        <f>((RearTrack/1000)^2*TAN(RADIANS(1))*RearWheelRate_NoTire*1000)/2</f>
        <v>495.12757894343144</v>
      </c>
      <c r="Q16" s="69" t="s">
        <v>29</v>
      </c>
      <c r="R16" s="27"/>
      <c r="S16" s="238"/>
      <c r="T16" s="30" t="s">
        <v>44</v>
      </c>
      <c r="U16" s="30"/>
      <c r="V16" s="30"/>
      <c r="W16" s="77"/>
      <c r="X16" s="49"/>
      <c r="Y16" s="49"/>
    </row>
    <row r="17" spans="1:25" ht="15" customHeight="1" thickBot="1" x14ac:dyDescent="0.5">
      <c r="A17" s="49"/>
      <c r="B17" s="238"/>
      <c r="C17" s="210" t="s">
        <v>19</v>
      </c>
      <c r="D17" s="210"/>
      <c r="E17" s="64">
        <f>E9-2*E11-2*E12</f>
        <v>228</v>
      </c>
      <c r="F17" s="69" t="s">
        <v>39</v>
      </c>
      <c r="G17" s="58"/>
      <c r="H17" s="239"/>
      <c r="I17" s="229" t="s">
        <v>218</v>
      </c>
      <c r="J17" s="230"/>
      <c r="K17" s="105">
        <f>(V41+V45+V49)/(V37+V39)*100</f>
        <v>54.32916026257957</v>
      </c>
      <c r="L17" s="228"/>
      <c r="M17" s="65"/>
      <c r="N17" s="285"/>
      <c r="O17" s="7" t="s">
        <v>30</v>
      </c>
      <c r="P17" s="89">
        <f>P15+P16</f>
        <v>1281.2827821385945</v>
      </c>
      <c r="Q17" s="69" t="s">
        <v>29</v>
      </c>
      <c r="R17" s="27"/>
      <c r="S17" s="280"/>
      <c r="T17" s="12" t="s">
        <v>42</v>
      </c>
      <c r="U17" s="12"/>
      <c r="V17" s="89">
        <f>NSM_Rr*2*LatAccel*NSMCG_Rr/RearTrack</f>
        <v>4.3349333333333337</v>
      </c>
      <c r="W17" s="76" t="s">
        <v>39</v>
      </c>
      <c r="X17" s="49"/>
      <c r="Y17" s="49"/>
    </row>
    <row r="18" spans="1:25" ht="15" customHeight="1" thickBot="1" x14ac:dyDescent="0.5">
      <c r="A18" s="49"/>
      <c r="B18" s="238"/>
      <c r="C18" s="249" t="s">
        <v>95</v>
      </c>
      <c r="D18" s="250"/>
      <c r="E18" s="182">
        <f>(E9*E10/100-E11*2)/E17*100</f>
        <v>52.280701754385959</v>
      </c>
      <c r="F18" s="72" t="s">
        <v>52</v>
      </c>
      <c r="G18" s="58"/>
      <c r="H18" s="49"/>
      <c r="I18" s="49"/>
      <c r="J18" s="49"/>
      <c r="K18" s="49"/>
      <c r="L18" s="49"/>
      <c r="M18" s="49"/>
      <c r="N18" s="11" t="s">
        <v>86</v>
      </c>
      <c r="O18" s="7" t="s">
        <v>31</v>
      </c>
      <c r="P18" s="89">
        <f>IF(F31="N.m/deg",ARBStiffness_Fr/ARBMR_Fr^2,(ARBStiffness_Fr*1000*(FrontTrack/1000)^2*TAN(RADIANS(1)))/ARBMR_Fr^2)</f>
        <v>0</v>
      </c>
      <c r="Q18" s="69" t="s">
        <v>29</v>
      </c>
      <c r="R18" s="27"/>
      <c r="S18" s="279" t="s">
        <v>68</v>
      </c>
      <c r="T18" s="30" t="s">
        <v>43</v>
      </c>
      <c r="U18" s="30"/>
      <c r="V18" s="30"/>
      <c r="W18" s="77"/>
      <c r="X18" s="49"/>
      <c r="Y18" s="49"/>
    </row>
    <row r="19" spans="1:25" ht="15" customHeight="1" x14ac:dyDescent="0.45">
      <c r="A19" s="49"/>
      <c r="B19" s="240"/>
      <c r="C19" s="251" t="s">
        <v>38</v>
      </c>
      <c r="D19" s="187" t="s">
        <v>14</v>
      </c>
      <c r="E19" s="88">
        <f>(100-E18)/100*E6</f>
        <v>737.26315789473688</v>
      </c>
      <c r="F19" s="226" t="s">
        <v>11</v>
      </c>
      <c r="G19" s="58"/>
      <c r="H19" s="276" t="s">
        <v>226</v>
      </c>
      <c r="I19" s="277"/>
      <c r="J19" s="277"/>
      <c r="K19" s="278"/>
      <c r="L19" s="59"/>
      <c r="M19" s="59"/>
      <c r="N19" s="284"/>
      <c r="O19" s="7" t="s">
        <v>32</v>
      </c>
      <c r="P19" s="89">
        <f>IF(F31="N.m/deg",ARBStiffness_Rr/ARBMR_Rr^2,(ARBStiffness_Rr*1000*(RearTrack/1000)^2*TAN(RADIANS(1)))/ARBMR_Rr^2)</f>
        <v>0</v>
      </c>
      <c r="Q19" s="69" t="s">
        <v>29</v>
      </c>
      <c r="R19" s="27"/>
      <c r="S19" s="238"/>
      <c r="T19" s="12" t="s">
        <v>42</v>
      </c>
      <c r="U19" s="12"/>
      <c r="V19" s="89">
        <f>(SM*LatAccel*DeltaZ*(AR_FrontSpring+AR_FrontARB)/AR_Total)/FrontTrack</f>
        <v>31.434862765650614</v>
      </c>
      <c r="W19" s="76" t="s">
        <v>39</v>
      </c>
      <c r="X19" s="49"/>
      <c r="Y19" s="49"/>
    </row>
    <row r="20" spans="1:25" ht="15" customHeight="1" thickBot="1" x14ac:dyDescent="0.5">
      <c r="A20" s="49"/>
      <c r="B20" s="240"/>
      <c r="C20" s="252"/>
      <c r="D20" s="28" t="s">
        <v>15</v>
      </c>
      <c r="E20" s="167">
        <v>0</v>
      </c>
      <c r="F20" s="213"/>
      <c r="G20" s="58"/>
      <c r="H20" s="80"/>
      <c r="I20" s="27"/>
      <c r="J20" s="27"/>
      <c r="K20" s="82"/>
      <c r="L20" s="51"/>
      <c r="M20" s="51"/>
      <c r="N20" s="286"/>
      <c r="O20" s="15" t="s">
        <v>30</v>
      </c>
      <c r="P20" s="91">
        <f>P18+P19</f>
        <v>0</v>
      </c>
      <c r="Q20" s="71" t="s">
        <v>29</v>
      </c>
      <c r="R20" s="27"/>
      <c r="S20" s="238"/>
      <c r="T20" s="30" t="s">
        <v>44</v>
      </c>
      <c r="U20" s="30"/>
      <c r="V20" s="30"/>
      <c r="W20" s="77"/>
      <c r="X20" s="49"/>
      <c r="Y20" s="49"/>
    </row>
    <row r="21" spans="1:25" ht="15" customHeight="1" thickBot="1" x14ac:dyDescent="0.5">
      <c r="A21" s="49"/>
      <c r="B21" s="240"/>
      <c r="C21" s="253"/>
      <c r="D21" s="188" t="s">
        <v>16</v>
      </c>
      <c r="E21" s="105">
        <f>(E9*E14-(2*E11*E15+2*E12*E16))/E17</f>
        <v>236.04210526315788</v>
      </c>
      <c r="F21" s="228"/>
      <c r="G21" s="58"/>
      <c r="H21" s="80"/>
      <c r="I21" s="264" t="s">
        <v>227</v>
      </c>
      <c r="J21" s="265"/>
      <c r="K21" s="82"/>
      <c r="L21" s="51"/>
      <c r="M21" s="51"/>
      <c r="N21" s="80"/>
      <c r="O21" s="27"/>
      <c r="P21" s="27"/>
      <c r="Q21" s="27"/>
      <c r="R21" s="27"/>
      <c r="S21" s="280"/>
      <c r="T21" s="12" t="s">
        <v>42</v>
      </c>
      <c r="U21" s="12"/>
      <c r="V21" s="89">
        <f>(SM*LatAccel*DeltaZ*(AR_RearSpring+AR_RearARB)/AR_Total)/RearTrack</f>
        <v>20.589876057056699</v>
      </c>
      <c r="W21" s="76" t="s">
        <v>39</v>
      </c>
      <c r="X21" s="49"/>
      <c r="Y21" s="49"/>
    </row>
    <row r="22" spans="1:25" ht="15" customHeight="1" thickBot="1" x14ac:dyDescent="0.5">
      <c r="A22" s="49"/>
      <c r="B22" s="240"/>
      <c r="C22" s="257" t="s">
        <v>88</v>
      </c>
      <c r="D22" s="183" t="s">
        <v>14</v>
      </c>
      <c r="E22" s="184">
        <v>532.57600000000002</v>
      </c>
      <c r="F22" s="243" t="s">
        <v>11</v>
      </c>
      <c r="G22" s="59"/>
      <c r="H22" s="80"/>
      <c r="I22" s="52">
        <f>TotalMass*WD/100*0.5+DF*DF_Dist/100/2-V11</f>
        <v>28.746294464801032</v>
      </c>
      <c r="J22" s="53">
        <f>TotalMass*WD/100*0.5+DF*DF_Dist/100/2+V11</f>
        <v>117.06832768840997</v>
      </c>
      <c r="K22" s="82"/>
      <c r="L22" s="66"/>
      <c r="M22" s="66"/>
      <c r="N22" s="270" t="s">
        <v>22</v>
      </c>
      <c r="O22" s="271"/>
      <c r="P22" s="271"/>
      <c r="Q22" s="272"/>
      <c r="R22" s="27"/>
      <c r="S22" s="279" t="s">
        <v>69</v>
      </c>
      <c r="T22" s="30" t="s">
        <v>43</v>
      </c>
      <c r="U22" s="30"/>
      <c r="V22" s="30"/>
      <c r="W22" s="77"/>
      <c r="X22" s="49"/>
      <c r="Y22" s="49"/>
    </row>
    <row r="23" spans="1:25" ht="15" customHeight="1" x14ac:dyDescent="0.45">
      <c r="A23" s="49"/>
      <c r="B23" s="240"/>
      <c r="C23" s="258"/>
      <c r="D23" s="3" t="s">
        <v>15</v>
      </c>
      <c r="E23" s="168">
        <v>0</v>
      </c>
      <c r="F23" s="261"/>
      <c r="G23" s="59"/>
      <c r="H23" s="106"/>
      <c r="I23" s="54">
        <f>TotalMass*(100-WD)/100*0.5+DF*(100-DF_Dist)/100/2-V13</f>
        <v>34.131112308233824</v>
      </c>
      <c r="J23" s="55">
        <f>TotalMass*(100-WD)/100*0.5+DF*(100-DF_Dist)/100/2+V13</f>
        <v>103.12953108901389</v>
      </c>
      <c r="K23" s="107"/>
      <c r="L23" s="51"/>
      <c r="M23" s="51"/>
      <c r="N23" s="17" t="s">
        <v>61</v>
      </c>
      <c r="O23" s="18"/>
      <c r="P23" s="92">
        <f>E27/E35^2</f>
        <v>57.834588452899986</v>
      </c>
      <c r="Q23" s="68" t="s">
        <v>23</v>
      </c>
      <c r="R23" s="27"/>
      <c r="S23" s="238"/>
      <c r="T23" s="12" t="s">
        <v>42</v>
      </c>
      <c r="U23" s="12"/>
      <c r="V23" s="89">
        <f>SM*(SM_WD/100)*LatAccel*RC_Fr/FrontTrack</f>
        <v>8.557948717948717</v>
      </c>
      <c r="W23" s="76" t="s">
        <v>39</v>
      </c>
      <c r="X23" s="49"/>
      <c r="Y23" s="49"/>
    </row>
    <row r="24" spans="1:25" ht="15" customHeight="1" thickBot="1" x14ac:dyDescent="0.5">
      <c r="A24" s="49"/>
      <c r="B24" s="240"/>
      <c r="C24" s="259"/>
      <c r="D24" s="185" t="s">
        <v>16</v>
      </c>
      <c r="E24" s="186">
        <v>29.632000000000001</v>
      </c>
      <c r="F24" s="244"/>
      <c r="G24" s="59"/>
      <c r="H24" s="80"/>
      <c r="I24" s="27"/>
      <c r="J24" s="32"/>
      <c r="K24" s="107"/>
      <c r="L24" s="51"/>
      <c r="M24" s="51"/>
      <c r="N24" s="196" t="s">
        <v>62</v>
      </c>
      <c r="O24" s="197"/>
      <c r="P24" s="93">
        <f>E28/E36^2</f>
        <v>39.396999999999998</v>
      </c>
      <c r="Q24" s="69" t="s">
        <v>23</v>
      </c>
      <c r="R24" s="27"/>
      <c r="S24" s="238"/>
      <c r="T24" s="30" t="s">
        <v>44</v>
      </c>
      <c r="U24" s="30"/>
      <c r="V24" s="30"/>
      <c r="W24" s="77"/>
      <c r="X24" s="49"/>
      <c r="Y24" s="49"/>
    </row>
    <row r="25" spans="1:25" ht="15" customHeight="1" thickBot="1" x14ac:dyDescent="0.5">
      <c r="A25" s="49"/>
      <c r="B25" s="238"/>
      <c r="C25" s="242" t="s">
        <v>36</v>
      </c>
      <c r="D25" s="242"/>
      <c r="E25" s="172">
        <v>200</v>
      </c>
      <c r="F25" s="70" t="s">
        <v>40</v>
      </c>
      <c r="G25" s="58"/>
      <c r="H25" s="80"/>
      <c r="I25" s="269" t="s">
        <v>104</v>
      </c>
      <c r="J25" s="269"/>
      <c r="K25" s="82"/>
      <c r="L25" s="51"/>
      <c r="M25" s="51"/>
      <c r="N25" s="11" t="s">
        <v>219</v>
      </c>
      <c r="O25" s="7"/>
      <c r="P25" s="94">
        <f>E21-E39</f>
        <v>180.04210526315788</v>
      </c>
      <c r="Q25" s="69" t="s">
        <v>11</v>
      </c>
      <c r="R25" s="27"/>
      <c r="S25" s="239"/>
      <c r="T25" s="16" t="s">
        <v>42</v>
      </c>
      <c r="U25" s="16"/>
      <c r="V25" s="91">
        <f>(SM*(100-SM_WD)/100)*LatAccel*RC_Rr/RearTrack</f>
        <v>9.5744000000000025</v>
      </c>
      <c r="W25" s="78" t="s">
        <v>39</v>
      </c>
      <c r="X25" s="49"/>
      <c r="Y25" s="49"/>
    </row>
    <row r="26" spans="1:25" ht="15" customHeight="1" thickBot="1" x14ac:dyDescent="0.5">
      <c r="A26" s="49"/>
      <c r="B26" s="239"/>
      <c r="C26" s="229" t="s">
        <v>87</v>
      </c>
      <c r="D26" s="230"/>
      <c r="E26" s="176">
        <v>1250</v>
      </c>
      <c r="F26" s="71" t="s">
        <v>40</v>
      </c>
      <c r="G26" s="58"/>
      <c r="H26" s="80"/>
      <c r="I26" s="52">
        <f>9.81*(TotalMass*WD/100*0.5+DF*DF_Dist/100/2-V11)</f>
        <v>282.00114869969815</v>
      </c>
      <c r="J26" s="53">
        <f>9.81*(TotalMass*WD/100*0.5+DF*DF_Dist/100/2+V11)</f>
        <v>1148.4402946233017</v>
      </c>
      <c r="K26" s="82"/>
      <c r="L26" s="51"/>
      <c r="M26" s="51"/>
      <c r="N26" s="13" t="s">
        <v>220</v>
      </c>
      <c r="O26" s="6"/>
      <c r="P26" s="94">
        <f>E21-E40</f>
        <v>170.04210526315788</v>
      </c>
      <c r="Q26" s="69" t="s">
        <v>11</v>
      </c>
      <c r="R26" s="27"/>
      <c r="S26" s="4"/>
      <c r="T26" s="48"/>
      <c r="U26" s="48"/>
      <c r="V26" s="47"/>
      <c r="W26" s="81"/>
      <c r="X26" s="49"/>
      <c r="Y26" s="49"/>
    </row>
    <row r="27" spans="1:25" ht="15" customHeight="1" x14ac:dyDescent="0.45">
      <c r="A27" s="49"/>
      <c r="B27" s="237" t="s">
        <v>51</v>
      </c>
      <c r="C27" s="209" t="s">
        <v>24</v>
      </c>
      <c r="D27" s="209"/>
      <c r="E27" s="175">
        <v>43.774999999999999</v>
      </c>
      <c r="F27" s="226" t="s">
        <v>23</v>
      </c>
      <c r="G27" s="58"/>
      <c r="H27" s="80"/>
      <c r="I27" s="54">
        <f>9.81*(TotalMass*(100-WD)/100*0.5+DF*(100-DF_Dist)/100/2-V13)</f>
        <v>334.82621174377385</v>
      </c>
      <c r="J27" s="55">
        <f>9.81*(TotalMass*(100-WD)/100*0.5+DF*(100-DF_Dist)/100/2+V13)</f>
        <v>1011.7006999832264</v>
      </c>
      <c r="K27" s="82"/>
      <c r="L27" s="51"/>
      <c r="M27" s="51"/>
      <c r="N27" s="13" t="s">
        <v>221</v>
      </c>
      <c r="O27" s="6"/>
      <c r="P27" s="63">
        <f>E21-(((E40-E39)/E6*((100-E18)/100*E6))+E39)</f>
        <v>175.27017543859648</v>
      </c>
      <c r="Q27" s="69" t="s">
        <v>11</v>
      </c>
      <c r="R27" s="27"/>
      <c r="S27" s="4"/>
      <c r="T27" s="48"/>
      <c r="U27" s="48"/>
      <c r="V27" s="47"/>
      <c r="W27" s="81"/>
      <c r="X27" s="49"/>
      <c r="Y27" s="49"/>
    </row>
    <row r="28" spans="1:25" ht="15" customHeight="1" thickBot="1" x14ac:dyDescent="0.5">
      <c r="A28" s="49"/>
      <c r="B28" s="238"/>
      <c r="C28" s="248" t="s">
        <v>45</v>
      </c>
      <c r="D28" s="248"/>
      <c r="E28" s="179">
        <v>39.396999999999998</v>
      </c>
      <c r="F28" s="213"/>
      <c r="G28" s="58"/>
      <c r="H28" s="108"/>
      <c r="I28" s="83"/>
      <c r="J28" s="83"/>
      <c r="K28" s="87"/>
      <c r="L28" s="51"/>
      <c r="M28" s="51"/>
      <c r="N28" s="19" t="s">
        <v>37</v>
      </c>
      <c r="O28" s="8"/>
      <c r="P28" s="95">
        <f>E25+E17*(P27/1000)^2</f>
        <v>207.00407664280701</v>
      </c>
      <c r="Q28" s="72" t="s">
        <v>40</v>
      </c>
      <c r="R28" s="27"/>
      <c r="S28" s="4"/>
      <c r="T28" s="48"/>
      <c r="U28" s="48"/>
      <c r="V28" s="47"/>
      <c r="W28" s="81"/>
      <c r="X28" s="49"/>
      <c r="Y28" s="49"/>
    </row>
    <row r="29" spans="1:25" ht="15" customHeight="1" thickBot="1" x14ac:dyDescent="0.5">
      <c r="A29" s="49"/>
      <c r="B29" s="240"/>
      <c r="C29" s="203" t="s">
        <v>211</v>
      </c>
      <c r="D29" s="204"/>
      <c r="E29" s="180">
        <v>0.7</v>
      </c>
      <c r="F29" s="243"/>
      <c r="G29" s="59"/>
      <c r="H29" s="49"/>
      <c r="I29" s="49"/>
      <c r="J29" s="49"/>
      <c r="K29" s="49"/>
      <c r="L29" s="51"/>
      <c r="M29" s="51"/>
      <c r="N29" s="33" t="s">
        <v>89</v>
      </c>
      <c r="O29" s="34"/>
      <c r="P29" s="96">
        <f>SQRT((E19-ABS(E22))^2+(SMCGHeight-E24)^2)</f>
        <v>290.6922155162963</v>
      </c>
      <c r="Q29" s="73" t="s">
        <v>11</v>
      </c>
      <c r="R29" s="27"/>
      <c r="S29" s="1"/>
      <c r="T29" s="27"/>
      <c r="U29" s="27"/>
      <c r="V29" s="47"/>
      <c r="W29" s="82"/>
      <c r="X29" s="49"/>
      <c r="Y29" s="49"/>
    </row>
    <row r="30" spans="1:25" ht="18.75" customHeight="1" thickBot="1" x14ac:dyDescent="0.5">
      <c r="A30" s="49"/>
      <c r="B30" s="240"/>
      <c r="C30" s="205" t="s">
        <v>206</v>
      </c>
      <c r="D30" s="206"/>
      <c r="E30" s="181">
        <v>0.7</v>
      </c>
      <c r="F30" s="244"/>
      <c r="G30" s="59"/>
      <c r="H30" s="273" t="s">
        <v>225</v>
      </c>
      <c r="I30" s="274"/>
      <c r="J30" s="274"/>
      <c r="K30" s="275"/>
      <c r="L30" s="51"/>
      <c r="M30" s="51"/>
      <c r="N30" s="35" t="s">
        <v>91</v>
      </c>
      <c r="O30" s="32"/>
      <c r="P30" s="97">
        <f>E26+(SM*(P29/1000)^2)</f>
        <v>1269.2664478288841</v>
      </c>
      <c r="Q30" s="74" t="s">
        <v>40</v>
      </c>
      <c r="R30" s="27"/>
      <c r="S30" s="1"/>
      <c r="T30" s="27"/>
      <c r="U30" s="27"/>
      <c r="V30" s="27"/>
      <c r="W30" s="82"/>
      <c r="X30" s="49"/>
      <c r="Y30" s="49"/>
    </row>
    <row r="31" spans="1:25" ht="17.25" customHeight="1" thickBot="1" x14ac:dyDescent="0.5">
      <c r="A31" s="49"/>
      <c r="B31" s="240"/>
      <c r="C31" s="194" t="s">
        <v>48</v>
      </c>
      <c r="D31" s="195"/>
      <c r="E31" s="175">
        <v>0</v>
      </c>
      <c r="F31" s="207" t="s">
        <v>23</v>
      </c>
      <c r="G31" s="101"/>
      <c r="H31" s="80"/>
      <c r="I31" s="27"/>
      <c r="J31" s="27"/>
      <c r="K31" s="82"/>
      <c r="L31" s="51"/>
      <c r="M31" s="51"/>
      <c r="N31" s="36" t="s">
        <v>92</v>
      </c>
      <c r="O31" s="37"/>
      <c r="P31" s="98">
        <f>((ABS(PCx)/1000)^2*(2*FrontWheelRate_NoTire*1000)+((Wheelbase-ABS(PCx))/1000)^2*(2*RearWheelRate_NoTire*1000))*PI()/180</f>
        <v>1982.2073730642137</v>
      </c>
      <c r="Q31" s="75" t="s">
        <v>90</v>
      </c>
      <c r="R31" s="83"/>
      <c r="S31" s="84"/>
      <c r="T31" s="85"/>
      <c r="U31" s="86"/>
      <c r="V31" s="83"/>
      <c r="W31" s="87"/>
      <c r="X31" s="49"/>
      <c r="Y31" s="49"/>
    </row>
    <row r="32" spans="1:25" ht="15" customHeight="1" thickBot="1" x14ac:dyDescent="0.5">
      <c r="A32" s="49"/>
      <c r="B32" s="240"/>
      <c r="C32" s="241" t="s">
        <v>49</v>
      </c>
      <c r="D32" s="230"/>
      <c r="E32" s="176">
        <v>0</v>
      </c>
      <c r="F32" s="208"/>
      <c r="G32" s="101"/>
      <c r="H32" s="80"/>
      <c r="I32" s="264" t="s">
        <v>227</v>
      </c>
      <c r="J32" s="265"/>
      <c r="K32" s="82"/>
      <c r="L32" s="51"/>
      <c r="M32" s="51"/>
      <c r="N32" s="162"/>
      <c r="O32" s="49"/>
      <c r="P32" s="49"/>
      <c r="Q32" s="49"/>
      <c r="R32" s="49"/>
      <c r="S32" s="50"/>
      <c r="T32" s="163"/>
      <c r="U32" s="49"/>
      <c r="V32" s="49"/>
      <c r="W32" s="110"/>
      <c r="X32" s="49"/>
      <c r="Y32" s="49"/>
    </row>
    <row r="33" spans="1:25" ht="15" customHeight="1" thickBot="1" x14ac:dyDescent="0.5">
      <c r="A33" s="49"/>
      <c r="B33" s="240"/>
      <c r="C33" s="194" t="s">
        <v>50</v>
      </c>
      <c r="D33" s="195"/>
      <c r="E33" s="175">
        <v>114</v>
      </c>
      <c r="F33" s="226" t="s">
        <v>23</v>
      </c>
      <c r="G33" s="58"/>
      <c r="H33" s="80"/>
      <c r="I33" s="52">
        <f>TotalMass*WD/100*0.5+DF*DF_Dist/100/2-V37</f>
        <v>30.141549612749927</v>
      </c>
      <c r="J33" s="53">
        <f>TotalMass*WD/100*0.5+DF*DF_Dist/100/2+V37</f>
        <v>115.67307254046106</v>
      </c>
      <c r="K33" s="82"/>
      <c r="L33" s="51"/>
      <c r="M33" s="51"/>
      <c r="N33" s="162"/>
      <c r="O33" s="49"/>
      <c r="P33" s="49"/>
      <c r="Q33" s="49"/>
      <c r="R33" s="49"/>
      <c r="S33" s="50"/>
      <c r="T33" s="163"/>
      <c r="U33" s="49"/>
      <c r="V33" s="49"/>
      <c r="W33" s="110"/>
      <c r="X33" s="49"/>
      <c r="Y33" s="49"/>
    </row>
    <row r="34" spans="1:25" ht="15" customHeight="1" thickBot="1" x14ac:dyDescent="0.5">
      <c r="A34" s="49"/>
      <c r="B34" s="260"/>
      <c r="C34" s="241" t="s">
        <v>58</v>
      </c>
      <c r="D34" s="230"/>
      <c r="E34" s="175">
        <v>114</v>
      </c>
      <c r="F34" s="228"/>
      <c r="G34" s="58"/>
      <c r="H34" s="80"/>
      <c r="I34" s="54">
        <f>TotalMass*(100-WD)/100*0.5+DF*(100-DF_Dist)/100/2-V39</f>
        <v>32.680046954366986</v>
      </c>
      <c r="J34" s="55">
        <f>TotalMass*(100-WD)/100*0.5+DF*(100-DF_Dist)/100/2+V39</f>
        <v>104.58059644288073</v>
      </c>
      <c r="K34" s="107"/>
      <c r="L34" s="51"/>
      <c r="M34" s="51"/>
      <c r="N34" s="281" t="s">
        <v>225</v>
      </c>
      <c r="O34" s="282"/>
      <c r="P34" s="282"/>
      <c r="Q34" s="282"/>
      <c r="R34" s="282"/>
      <c r="S34" s="282"/>
      <c r="T34" s="282"/>
      <c r="U34" s="282"/>
      <c r="V34" s="282"/>
      <c r="W34" s="283"/>
      <c r="X34" s="49"/>
      <c r="Y34" s="49"/>
    </row>
    <row r="35" spans="1:25" ht="15" customHeight="1" thickBot="1" x14ac:dyDescent="0.5">
      <c r="A35" s="49"/>
      <c r="B35" s="237" t="s">
        <v>6</v>
      </c>
      <c r="C35" s="227" t="s">
        <v>2</v>
      </c>
      <c r="D35" s="195"/>
      <c r="E35" s="177">
        <v>0.87</v>
      </c>
      <c r="F35" s="226" t="s">
        <v>70</v>
      </c>
      <c r="G35" s="58"/>
      <c r="H35" s="80"/>
      <c r="I35" s="32"/>
      <c r="J35" s="32"/>
      <c r="K35" s="107"/>
      <c r="L35" s="51"/>
      <c r="M35" s="51"/>
      <c r="N35" s="270" t="s">
        <v>34</v>
      </c>
      <c r="O35" s="271"/>
      <c r="P35" s="271"/>
      <c r="Q35" s="272"/>
      <c r="R35" s="27"/>
      <c r="S35" s="270" t="s">
        <v>93</v>
      </c>
      <c r="T35" s="271"/>
      <c r="U35" s="271"/>
      <c r="V35" s="271"/>
      <c r="W35" s="272"/>
      <c r="X35" s="49"/>
      <c r="Y35" s="49"/>
    </row>
    <row r="36" spans="1:25" ht="15" customHeight="1" x14ac:dyDescent="0.45">
      <c r="A36" s="49"/>
      <c r="B36" s="238"/>
      <c r="C36" s="236" t="s">
        <v>3</v>
      </c>
      <c r="D36" s="197"/>
      <c r="E36" s="169">
        <v>1</v>
      </c>
      <c r="F36" s="214"/>
      <c r="G36" s="58"/>
      <c r="H36" s="80"/>
      <c r="I36" s="264" t="s">
        <v>104</v>
      </c>
      <c r="J36" s="265"/>
      <c r="K36" s="107"/>
      <c r="L36" s="51"/>
      <c r="M36" s="51"/>
      <c r="N36" s="194" t="s">
        <v>33</v>
      </c>
      <c r="O36" s="195"/>
      <c r="P36" s="88">
        <f>(P37/P40)</f>
        <v>0.70513990187647402</v>
      </c>
      <c r="Q36" s="68" t="s">
        <v>28</v>
      </c>
      <c r="R36" s="27"/>
      <c r="S36" s="237" t="s">
        <v>54</v>
      </c>
      <c r="T36" s="38" t="s">
        <v>43</v>
      </c>
      <c r="U36" s="39"/>
      <c r="V36" s="39"/>
      <c r="W36" s="40"/>
      <c r="X36" s="49"/>
      <c r="Y36" s="49"/>
    </row>
    <row r="37" spans="1:25" ht="15" customHeight="1" x14ac:dyDescent="0.45">
      <c r="A37" s="49"/>
      <c r="B37" s="238"/>
      <c r="C37" s="236" t="s">
        <v>4</v>
      </c>
      <c r="D37" s="197"/>
      <c r="E37" s="169">
        <v>1</v>
      </c>
      <c r="F37" s="212" t="str">
        <f>IF(F31="N.m/deg","deg/deg","mm/mm")</f>
        <v>mm/mm</v>
      </c>
      <c r="G37" s="58"/>
      <c r="H37" s="80"/>
      <c r="I37" s="52">
        <f>9.81*(TotalMass*WD/100*0.5+DF*DF_Dist/100/2-V37)</f>
        <v>295.68860170107678</v>
      </c>
      <c r="J37" s="53">
        <f>9.81*(TotalMass*WD/100*0.5+DF*DF_Dist/100/2+V37)</f>
        <v>1134.7528416219232</v>
      </c>
      <c r="K37" s="107"/>
      <c r="L37" s="51"/>
      <c r="M37" s="51"/>
      <c r="N37" s="13" t="s">
        <v>26</v>
      </c>
      <c r="O37" s="6"/>
      <c r="P37" s="89">
        <f>E17*9.81*D51*P27/1000</f>
        <v>627.23727360000009</v>
      </c>
      <c r="Q37" s="72" t="s">
        <v>27</v>
      </c>
      <c r="R37" s="27"/>
      <c r="S37" s="238"/>
      <c r="T37" s="41" t="s">
        <v>42</v>
      </c>
      <c r="U37" s="42"/>
      <c r="V37" s="89">
        <f>V41+V45+V49</f>
        <v>42.765761463855569</v>
      </c>
      <c r="W37" s="76" t="s">
        <v>39</v>
      </c>
      <c r="X37" s="49"/>
      <c r="Y37" s="49"/>
    </row>
    <row r="38" spans="1:25" ht="15" customHeight="1" thickBot="1" x14ac:dyDescent="0.5">
      <c r="A38" s="49"/>
      <c r="B38" s="239"/>
      <c r="C38" s="229" t="s">
        <v>5</v>
      </c>
      <c r="D38" s="230"/>
      <c r="E38" s="178">
        <v>1</v>
      </c>
      <c r="F38" s="228"/>
      <c r="G38" s="58"/>
      <c r="H38" s="80"/>
      <c r="I38" s="54">
        <f>9.81*(TotalMass*(100-WD)/100*0.5+DF*(100-DF_Dist)/100/2-V39)</f>
        <v>320.59126062234014</v>
      </c>
      <c r="J38" s="55">
        <f>9.81*(TotalMass*(100-WD)/100*0.5+DF*(100-DF_Dist)/100/2+V39)</f>
        <v>1025.9356511046601</v>
      </c>
      <c r="K38" s="107"/>
      <c r="L38" s="51"/>
      <c r="M38" s="51"/>
      <c r="N38" s="13" t="s">
        <v>84</v>
      </c>
      <c r="O38" s="6"/>
      <c r="P38" s="64">
        <f>P36/LatAccel</f>
        <v>0.44071243867279625</v>
      </c>
      <c r="Q38" s="69" t="s">
        <v>35</v>
      </c>
      <c r="R38" s="27"/>
      <c r="S38" s="238"/>
      <c r="T38" s="43" t="s">
        <v>44</v>
      </c>
      <c r="U38" s="44"/>
      <c r="V38" s="44"/>
      <c r="W38" s="79"/>
      <c r="X38" s="49"/>
      <c r="Y38" s="49"/>
    </row>
    <row r="39" spans="1:25" x14ac:dyDescent="0.45">
      <c r="A39" s="49"/>
      <c r="B39" s="237" t="s">
        <v>34</v>
      </c>
      <c r="C39" s="227" t="s">
        <v>222</v>
      </c>
      <c r="D39" s="195"/>
      <c r="E39" s="175">
        <v>56</v>
      </c>
      <c r="F39" s="226" t="s">
        <v>11</v>
      </c>
      <c r="G39" s="58"/>
      <c r="H39" s="80"/>
      <c r="I39" s="27"/>
      <c r="J39" s="27"/>
      <c r="K39" s="82"/>
      <c r="L39" s="51"/>
      <c r="M39" s="51"/>
      <c r="N39" s="191"/>
      <c r="O39" s="192"/>
      <c r="P39" s="192"/>
      <c r="Q39" s="193"/>
      <c r="R39" s="27"/>
      <c r="S39" s="280"/>
      <c r="T39" s="41" t="s">
        <v>42</v>
      </c>
      <c r="U39" s="42"/>
      <c r="V39" s="89">
        <f>V43+V47+V51</f>
        <v>35.950274744256873</v>
      </c>
      <c r="W39" s="76" t="s">
        <v>39</v>
      </c>
      <c r="X39" s="49"/>
      <c r="Y39" s="49"/>
    </row>
    <row r="40" spans="1:25" ht="15.75" customHeight="1" thickBot="1" x14ac:dyDescent="0.5">
      <c r="A40" s="49"/>
      <c r="B40" s="239"/>
      <c r="C40" s="229" t="s">
        <v>223</v>
      </c>
      <c r="D40" s="230"/>
      <c r="E40" s="176">
        <v>66</v>
      </c>
      <c r="F40" s="228"/>
      <c r="G40" s="58"/>
      <c r="H40" s="80"/>
      <c r="I40" s="27"/>
      <c r="J40" s="27"/>
      <c r="K40" s="82"/>
      <c r="L40" s="51"/>
      <c r="M40" s="51"/>
      <c r="N40" s="198" t="s">
        <v>46</v>
      </c>
      <c r="O40" s="199"/>
      <c r="P40" s="89">
        <f>P52</f>
        <v>889.52174161586322</v>
      </c>
      <c r="Q40" s="69" t="s">
        <v>29</v>
      </c>
      <c r="R40" s="27"/>
      <c r="S40" s="279" t="s">
        <v>55</v>
      </c>
      <c r="T40" s="43" t="s">
        <v>43</v>
      </c>
      <c r="U40" s="44"/>
      <c r="V40" s="44"/>
      <c r="W40" s="79"/>
      <c r="X40" s="49"/>
      <c r="Y40" s="49"/>
    </row>
    <row r="41" spans="1:25" ht="23.25" customHeight="1" thickBot="1" x14ac:dyDescent="0.5">
      <c r="A41" s="49"/>
      <c r="B41" s="102"/>
      <c r="C41" s="103"/>
      <c r="D41" s="103"/>
      <c r="E41" s="27"/>
      <c r="F41" s="82"/>
      <c r="G41" s="49"/>
      <c r="H41" s="80"/>
      <c r="I41" s="27"/>
      <c r="J41" s="27"/>
      <c r="K41" s="82"/>
      <c r="L41" s="51"/>
      <c r="M41" s="51"/>
      <c r="N41" s="11" t="s">
        <v>47</v>
      </c>
      <c r="O41" s="7" t="s">
        <v>63</v>
      </c>
      <c r="P41" s="89">
        <f>((FrontTrack/1000)^2*TAN(RADIANS(1))*(FrontWheelRate_NoTire*1000))/2</f>
        <v>786.15520319516315</v>
      </c>
      <c r="Q41" s="69" t="s">
        <v>29</v>
      </c>
      <c r="R41" s="27"/>
      <c r="S41" s="238"/>
      <c r="T41" s="41" t="s">
        <v>42</v>
      </c>
      <c r="U41" s="42"/>
      <c r="V41" s="89">
        <f>NSM_Fr*2*LatAccel*NSMCG_Fr/FrontTrack</f>
        <v>4.1682051282051287</v>
      </c>
      <c r="W41" s="76" t="s">
        <v>39</v>
      </c>
      <c r="X41" s="49"/>
      <c r="Y41" s="49"/>
    </row>
    <row r="42" spans="1:25" ht="15.75" x14ac:dyDescent="0.45">
      <c r="A42" s="49"/>
      <c r="B42" s="237" t="s">
        <v>80</v>
      </c>
      <c r="C42" s="227" t="s">
        <v>75</v>
      </c>
      <c r="D42" s="195"/>
      <c r="E42" s="173">
        <v>2.7</v>
      </c>
      <c r="F42" s="68" t="s">
        <v>12</v>
      </c>
      <c r="G42" s="58"/>
      <c r="H42" s="80"/>
      <c r="I42" s="32"/>
      <c r="J42" s="32"/>
      <c r="K42" s="107"/>
      <c r="L42" s="51"/>
      <c r="M42" s="51"/>
      <c r="N42" s="11"/>
      <c r="O42" s="7" t="s">
        <v>64</v>
      </c>
      <c r="P42" s="89">
        <f>((RearTrack/1000)^2*TAN(RADIANS(1))*RearWheelRate_NoTire*1000)/2</f>
        <v>495.12757894343144</v>
      </c>
      <c r="Q42" s="69" t="s">
        <v>29</v>
      </c>
      <c r="R42" s="27"/>
      <c r="S42" s="238"/>
      <c r="T42" s="43" t="s">
        <v>44</v>
      </c>
      <c r="U42" s="44"/>
      <c r="V42" s="44"/>
      <c r="W42" s="79"/>
      <c r="X42" s="49"/>
      <c r="Y42" s="49"/>
    </row>
    <row r="43" spans="1:25" ht="15" customHeight="1" x14ac:dyDescent="0.45">
      <c r="A43" s="49"/>
      <c r="B43" s="238"/>
      <c r="C43" s="236" t="s">
        <v>81</v>
      </c>
      <c r="D43" s="197"/>
      <c r="E43" s="164">
        <v>46</v>
      </c>
      <c r="F43" s="69" t="s">
        <v>52</v>
      </c>
      <c r="G43" s="58"/>
      <c r="H43" s="80"/>
      <c r="I43" s="32"/>
      <c r="J43" s="32"/>
      <c r="K43" s="107"/>
      <c r="L43" s="51"/>
      <c r="M43" s="51"/>
      <c r="N43" s="11"/>
      <c r="O43" s="7" t="s">
        <v>30</v>
      </c>
      <c r="P43" s="89">
        <f>P41+P42</f>
        <v>1281.2827821385945</v>
      </c>
      <c r="Q43" s="69" t="s">
        <v>29</v>
      </c>
      <c r="R43" s="27"/>
      <c r="S43" s="280"/>
      <c r="T43" s="41" t="s">
        <v>42</v>
      </c>
      <c r="U43" s="42"/>
      <c r="V43" s="89">
        <f>NSM_Rr*2*LatAccel*NSMCG_Rr/RearTrack</f>
        <v>4.3349333333333337</v>
      </c>
      <c r="W43" s="76" t="s">
        <v>39</v>
      </c>
      <c r="X43" s="49"/>
      <c r="Y43" s="49"/>
    </row>
    <row r="44" spans="1:25" ht="27.75" customHeight="1" x14ac:dyDescent="0.45">
      <c r="A44" s="49"/>
      <c r="B44" s="238"/>
      <c r="C44" s="236" t="s">
        <v>76</v>
      </c>
      <c r="D44" s="197"/>
      <c r="E44" s="164">
        <v>1.2255</v>
      </c>
      <c r="F44" s="69" t="s">
        <v>230</v>
      </c>
      <c r="G44" s="58"/>
      <c r="H44" s="80"/>
      <c r="I44" s="32"/>
      <c r="J44" s="32"/>
      <c r="K44" s="107"/>
      <c r="L44" s="51"/>
      <c r="M44" s="51"/>
      <c r="N44" s="11" t="s">
        <v>47</v>
      </c>
      <c r="O44" s="7" t="s">
        <v>31</v>
      </c>
      <c r="P44" s="89">
        <f>IF(F31="N.m/deg",ARBStiffness_Fr/ARBMR_Fr^2,(ARBStiffness_Fr*1000*(FrontTrack/1000)^2*TAN(RADIANS(1)))/ARBMR_Fr^2)</f>
        <v>0</v>
      </c>
      <c r="Q44" s="69" t="s">
        <v>29</v>
      </c>
      <c r="R44" s="27"/>
      <c r="S44" s="279" t="s">
        <v>68</v>
      </c>
      <c r="T44" s="43" t="s">
        <v>43</v>
      </c>
      <c r="U44" s="44"/>
      <c r="V44" s="44"/>
      <c r="W44" s="79"/>
      <c r="X44" s="49"/>
      <c r="Y44" s="49"/>
    </row>
    <row r="45" spans="1:25" ht="15" customHeight="1" x14ac:dyDescent="0.45">
      <c r="A45" s="49"/>
      <c r="B45" s="238"/>
      <c r="C45" s="236" t="s">
        <v>77</v>
      </c>
      <c r="D45" s="197"/>
      <c r="E45" s="164">
        <v>1.85</v>
      </c>
      <c r="F45" s="69" t="s">
        <v>231</v>
      </c>
      <c r="G45" s="58"/>
      <c r="H45" s="80"/>
      <c r="I45" s="32"/>
      <c r="J45" s="32"/>
      <c r="K45" s="107"/>
      <c r="L45" s="51"/>
      <c r="M45" s="51"/>
      <c r="N45" s="11"/>
      <c r="O45" s="7" t="s">
        <v>32</v>
      </c>
      <c r="P45" s="89">
        <f>IF(F31="N.m/deg",ARBStiffness_Rr/ARBMR_Rr^2,(ARBStiffness_Rr*1000*(RearTrack/1000)^2*TAN(RADIANS(1)))/ARBMR_Rr^2)</f>
        <v>0</v>
      </c>
      <c r="Q45" s="69" t="s">
        <v>29</v>
      </c>
      <c r="R45" s="27"/>
      <c r="S45" s="238"/>
      <c r="T45" s="41" t="s">
        <v>42</v>
      </c>
      <c r="U45" s="42"/>
      <c r="V45" s="89">
        <f>(SM*LatAccel*DeltaZ*(AR_FrontAxleAndTire/ARTotal_Tire))/FrontTrack</f>
        <v>30.039607617701723</v>
      </c>
      <c r="W45" s="76" t="s">
        <v>39</v>
      </c>
      <c r="X45" s="49"/>
      <c r="Y45" s="49"/>
    </row>
    <row r="46" spans="1:25" ht="15" customHeight="1" x14ac:dyDescent="0.45">
      <c r="A46" s="49"/>
      <c r="B46" s="238"/>
      <c r="C46" s="236" t="s">
        <v>78</v>
      </c>
      <c r="D46" s="197"/>
      <c r="E46" s="164">
        <v>30.96</v>
      </c>
      <c r="F46" s="69" t="s">
        <v>79</v>
      </c>
      <c r="G46" s="58"/>
      <c r="H46" s="80"/>
      <c r="I46" s="32"/>
      <c r="J46" s="32"/>
      <c r="K46" s="107"/>
      <c r="L46" s="51"/>
      <c r="M46" s="51"/>
      <c r="N46" s="11"/>
      <c r="O46" s="7" t="s">
        <v>30</v>
      </c>
      <c r="P46" s="89">
        <f>P44+P45</f>
        <v>0</v>
      </c>
      <c r="Q46" s="69" t="s">
        <v>29</v>
      </c>
      <c r="R46" s="27"/>
      <c r="S46" s="238"/>
      <c r="T46" s="43" t="s">
        <v>44</v>
      </c>
      <c r="U46" s="44"/>
      <c r="V46" s="44"/>
      <c r="W46" s="79"/>
      <c r="X46" s="49"/>
      <c r="Y46" s="49"/>
    </row>
    <row r="47" spans="1:25" ht="15" customHeight="1" thickBot="1" x14ac:dyDescent="0.5">
      <c r="A47" s="49"/>
      <c r="B47" s="239"/>
      <c r="C47" s="229" t="s">
        <v>83</v>
      </c>
      <c r="D47" s="230"/>
      <c r="E47" s="170">
        <f>0.5*Ro*S*Cz*(Speed/3.6)^2/9.81</f>
        <v>23.07526555045872</v>
      </c>
      <c r="F47" s="104" t="s">
        <v>82</v>
      </c>
      <c r="G47" s="60"/>
      <c r="H47" s="80"/>
      <c r="I47" s="27"/>
      <c r="J47" s="27"/>
      <c r="K47" s="82"/>
      <c r="L47" s="49"/>
      <c r="M47" s="49"/>
      <c r="N47" s="11" t="s">
        <v>47</v>
      </c>
      <c r="O47" s="7" t="s">
        <v>65</v>
      </c>
      <c r="P47" s="89">
        <f>((FrontTrack/1000)^2*TAN(RADIANS(1))*TireStiffness_Fr*1000)/2</f>
        <v>1549.6210064196403</v>
      </c>
      <c r="Q47" s="69" t="s">
        <v>29</v>
      </c>
      <c r="R47" s="27"/>
      <c r="S47" s="280"/>
      <c r="T47" s="41" t="s">
        <v>42</v>
      </c>
      <c r="U47" s="42"/>
      <c r="V47" s="89">
        <f>(SM*LatAccel*DeltaZ*(AR_RearAxleAndTire/ARTotal_Tire))/RearTrack</f>
        <v>22.040941410923537</v>
      </c>
      <c r="W47" s="76" t="s">
        <v>39</v>
      </c>
      <c r="X47" s="49"/>
      <c r="Y47" s="49"/>
    </row>
    <row r="48" spans="1:25" ht="18" customHeight="1" x14ac:dyDescent="0.45">
      <c r="A48" s="49"/>
      <c r="B48" s="56"/>
      <c r="C48" s="49"/>
      <c r="D48" s="49"/>
      <c r="E48" s="49"/>
      <c r="F48" s="49"/>
      <c r="G48" s="49"/>
      <c r="H48" s="80"/>
      <c r="I48" s="27"/>
      <c r="J48" s="27"/>
      <c r="K48" s="82"/>
      <c r="L48" s="49"/>
      <c r="M48" s="49"/>
      <c r="N48" s="11"/>
      <c r="O48" s="7" t="s">
        <v>66</v>
      </c>
      <c r="P48" s="89">
        <f>((RearTrack/1000)^2*TAN(RADIANS(1))*TireStiffness_Rr*1000)/2</f>
        <v>1432.7117293080994</v>
      </c>
      <c r="Q48" s="69" t="s">
        <v>29</v>
      </c>
      <c r="R48" s="27"/>
      <c r="S48" s="279" t="s">
        <v>69</v>
      </c>
      <c r="T48" s="43" t="s">
        <v>43</v>
      </c>
      <c r="U48" s="44"/>
      <c r="V48" s="44"/>
      <c r="W48" s="79"/>
      <c r="X48" s="49"/>
      <c r="Y48" s="49"/>
    </row>
    <row r="49" spans="1:25" ht="15" customHeight="1" thickBot="1" x14ac:dyDescent="0.5">
      <c r="A49" s="49"/>
      <c r="B49" s="56"/>
      <c r="C49" s="49"/>
      <c r="D49" s="49"/>
      <c r="E49" s="49"/>
      <c r="F49" s="49"/>
      <c r="G49" s="49"/>
      <c r="H49" s="80"/>
      <c r="I49" s="27"/>
      <c r="J49" s="27"/>
      <c r="K49" s="82"/>
      <c r="L49" s="49"/>
      <c r="M49" s="49"/>
      <c r="N49" s="19"/>
      <c r="O49" s="8" t="s">
        <v>30</v>
      </c>
      <c r="P49" s="99">
        <f>P47+P48</f>
        <v>2982.3327357277394</v>
      </c>
      <c r="Q49" s="72" t="s">
        <v>29</v>
      </c>
      <c r="R49" s="27"/>
      <c r="S49" s="238"/>
      <c r="T49" s="41" t="s">
        <v>42</v>
      </c>
      <c r="U49" s="42"/>
      <c r="V49" s="89">
        <f>SM*(SM_WD/100)*LatAccel*RC_Fr/FrontTrack</f>
        <v>8.557948717948717</v>
      </c>
      <c r="W49" s="76" t="s">
        <v>39</v>
      </c>
      <c r="X49" s="49"/>
      <c r="Y49" s="49"/>
    </row>
    <row r="50" spans="1:25" ht="18" x14ac:dyDescent="0.45">
      <c r="A50" s="49"/>
      <c r="B50" s="223" t="s">
        <v>228</v>
      </c>
      <c r="C50" s="224"/>
      <c r="D50" s="224"/>
      <c r="E50" s="224"/>
      <c r="F50" s="225"/>
      <c r="G50" s="61"/>
      <c r="H50" s="80"/>
      <c r="I50" s="27"/>
      <c r="J50" s="27"/>
      <c r="K50" s="82"/>
      <c r="L50" s="49"/>
      <c r="M50" s="49"/>
      <c r="N50" s="9" t="s">
        <v>72</v>
      </c>
      <c r="O50" s="10" t="s">
        <v>73</v>
      </c>
      <c r="P50" s="100">
        <f>((P41+P44)*P47)/((P41+P44)+P47)</f>
        <v>521.55793528620097</v>
      </c>
      <c r="Q50" s="68" t="s">
        <v>29</v>
      </c>
      <c r="R50" s="27"/>
      <c r="S50" s="238"/>
      <c r="T50" s="43" t="s">
        <v>44</v>
      </c>
      <c r="U50" s="44"/>
      <c r="V50" s="44"/>
      <c r="W50" s="79"/>
      <c r="X50" s="49"/>
      <c r="Y50" s="49"/>
    </row>
    <row r="51" spans="1:25" ht="14.65" thickBot="1" x14ac:dyDescent="0.5">
      <c r="A51" s="49"/>
      <c r="B51" s="221" t="s">
        <v>242</v>
      </c>
      <c r="C51" s="222"/>
      <c r="D51" s="234">
        <v>1.6</v>
      </c>
      <c r="E51" s="235"/>
      <c r="F51" s="69" t="s">
        <v>41</v>
      </c>
      <c r="G51" s="58"/>
      <c r="H51" s="80"/>
      <c r="I51" s="27"/>
      <c r="J51" s="27"/>
      <c r="K51" s="82"/>
      <c r="L51" s="49"/>
      <c r="M51" s="49"/>
      <c r="N51" s="11"/>
      <c r="O51" s="7" t="s">
        <v>74</v>
      </c>
      <c r="P51" s="89">
        <f>((P42+P45)*P48)/((P42+P45)+P48)</f>
        <v>367.96380632966219</v>
      </c>
      <c r="Q51" s="69" t="s">
        <v>29</v>
      </c>
      <c r="R51" s="27"/>
      <c r="S51" s="239"/>
      <c r="T51" s="45" t="s">
        <v>42</v>
      </c>
      <c r="U51" s="46"/>
      <c r="V51" s="91">
        <f>(SM*(100-SM_WD)/100)*LatAccel*RC_Rr/RearTrack</f>
        <v>9.5744000000000025</v>
      </c>
      <c r="W51" s="78" t="s">
        <v>39</v>
      </c>
      <c r="X51" s="49"/>
      <c r="Y51" s="49"/>
    </row>
    <row r="52" spans="1:25" ht="15.75" customHeight="1" thickBot="1" x14ac:dyDescent="0.5">
      <c r="A52" s="49"/>
      <c r="B52" s="109"/>
      <c r="C52" s="49"/>
      <c r="D52" s="49"/>
      <c r="E52" s="49"/>
      <c r="F52" s="110"/>
      <c r="G52" s="49"/>
      <c r="H52" s="80"/>
      <c r="I52" s="26"/>
      <c r="J52" s="26"/>
      <c r="K52" s="82"/>
      <c r="L52" s="49"/>
      <c r="M52" s="49"/>
      <c r="N52" s="14"/>
      <c r="O52" s="15" t="s">
        <v>30</v>
      </c>
      <c r="P52" s="91">
        <f>P50+P51</f>
        <v>889.52174161586322</v>
      </c>
      <c r="Q52" s="71" t="s">
        <v>29</v>
      </c>
      <c r="R52" s="27"/>
      <c r="S52" s="1"/>
      <c r="T52" s="27"/>
      <c r="U52" s="27"/>
      <c r="V52" s="27"/>
      <c r="W52" s="82"/>
      <c r="X52" s="49"/>
      <c r="Y52" s="49"/>
    </row>
    <row r="53" spans="1:25" ht="15" customHeight="1" thickBot="1" x14ac:dyDescent="0.5">
      <c r="A53" s="49"/>
      <c r="B53" s="231" t="s">
        <v>229</v>
      </c>
      <c r="C53" s="232"/>
      <c r="D53" s="232"/>
      <c r="E53" s="232"/>
      <c r="F53" s="233"/>
      <c r="G53" s="61"/>
      <c r="H53" s="80"/>
      <c r="I53" s="27"/>
      <c r="J53" s="27"/>
      <c r="K53" s="82"/>
      <c r="L53" s="49"/>
      <c r="M53" s="49"/>
      <c r="N53" s="80"/>
      <c r="O53" s="27"/>
      <c r="P53" s="27"/>
      <c r="Q53" s="27"/>
      <c r="R53" s="27"/>
      <c r="S53" s="27"/>
      <c r="T53" s="27"/>
      <c r="U53" s="27"/>
      <c r="V53" s="27"/>
      <c r="W53" s="82"/>
      <c r="X53" s="49"/>
      <c r="Y53" s="49"/>
    </row>
    <row r="54" spans="1:25" ht="16.149999999999999" thickBot="1" x14ac:dyDescent="0.5">
      <c r="A54" s="49"/>
      <c r="B54" s="215" t="str">
        <f>IF(OR(I34&lt;0,I33&lt;0,J33&lt;0,J34&lt;0),"One wheel is is the air! Calculations are false!","")</f>
        <v/>
      </c>
      <c r="C54" s="216"/>
      <c r="D54" s="216"/>
      <c r="E54" s="216"/>
      <c r="F54" s="217"/>
      <c r="G54" s="62"/>
      <c r="H54" s="80"/>
      <c r="I54" s="47"/>
      <c r="J54" s="27"/>
      <c r="K54" s="82"/>
      <c r="L54" s="49"/>
      <c r="M54" s="49"/>
      <c r="N54" s="270" t="s">
        <v>22</v>
      </c>
      <c r="O54" s="271"/>
      <c r="P54" s="271"/>
      <c r="Q54" s="272"/>
      <c r="R54" s="27"/>
      <c r="S54" s="27"/>
      <c r="T54" s="2"/>
      <c r="U54" s="27"/>
      <c r="V54" s="27"/>
      <c r="W54" s="82"/>
      <c r="X54" s="49"/>
      <c r="Y54" s="49"/>
    </row>
    <row r="55" spans="1:25" ht="16.149999999999999" thickBot="1" x14ac:dyDescent="0.5">
      <c r="A55" s="49"/>
      <c r="B55" s="218"/>
      <c r="C55" s="219"/>
      <c r="D55" s="219"/>
      <c r="E55" s="219"/>
      <c r="F55" s="220"/>
      <c r="G55" s="62"/>
      <c r="H55" s="80"/>
      <c r="I55" s="27"/>
      <c r="J55" s="27"/>
      <c r="K55" s="82"/>
      <c r="L55" s="49"/>
      <c r="M55" s="49"/>
      <c r="N55" s="20" t="s">
        <v>251</v>
      </c>
      <c r="O55" s="21"/>
      <c r="P55" s="22">
        <f>((E27/E35^2)*E33)/((E27/E35^2)+E33)</f>
        <v>38.369126629227992</v>
      </c>
      <c r="Q55" s="70" t="s">
        <v>23</v>
      </c>
      <c r="R55" s="27"/>
      <c r="S55" s="27"/>
      <c r="T55" s="27"/>
      <c r="U55" s="27"/>
      <c r="V55" s="27"/>
      <c r="W55" s="82"/>
      <c r="X55" s="49"/>
      <c r="Y55" s="49"/>
    </row>
    <row r="56" spans="1:25" ht="14.65" thickBot="1" x14ac:dyDescent="0.5">
      <c r="A56" s="49"/>
      <c r="B56" s="56"/>
      <c r="C56" s="49"/>
      <c r="D56" s="49"/>
      <c r="E56" s="49"/>
      <c r="F56" s="49"/>
      <c r="G56" s="49"/>
      <c r="H56" s="108"/>
      <c r="I56" s="83"/>
      <c r="J56" s="83"/>
      <c r="K56" s="87"/>
      <c r="L56" s="49"/>
      <c r="M56" s="49"/>
      <c r="N56" s="23" t="s">
        <v>252</v>
      </c>
      <c r="O56" s="24"/>
      <c r="P56" s="25">
        <f>((E28/E36^2)*E34)/((E28/E36^2)+E34)</f>
        <v>29.278656036297971</v>
      </c>
      <c r="Q56" s="71" t="s">
        <v>23</v>
      </c>
      <c r="R56" s="83"/>
      <c r="S56" s="83"/>
      <c r="T56" s="83"/>
      <c r="U56" s="83"/>
      <c r="V56" s="83"/>
      <c r="W56" s="87"/>
      <c r="X56" s="49"/>
      <c r="Y56" s="49"/>
    </row>
    <row r="57" spans="1:25" x14ac:dyDescent="0.45">
      <c r="A57" s="49"/>
      <c r="B57" s="56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5" ht="15.75" customHeight="1" x14ac:dyDescent="0.45">
      <c r="T58" s="118"/>
    </row>
    <row r="59" spans="1:25" ht="15.75" customHeight="1" x14ac:dyDescent="0.45">
      <c r="P59" s="118"/>
    </row>
    <row r="60" spans="1:25" x14ac:dyDescent="0.45">
      <c r="P60" s="118"/>
    </row>
    <row r="65" spans="8:23" x14ac:dyDescent="0.45">
      <c r="H65" s="262"/>
      <c r="K65" s="113"/>
      <c r="L65" s="114"/>
      <c r="M65" s="114"/>
    </row>
    <row r="66" spans="8:23" x14ac:dyDescent="0.45">
      <c r="H66" s="262"/>
      <c r="K66" s="113"/>
      <c r="L66" s="114"/>
      <c r="M66" s="114"/>
    </row>
    <row r="67" spans="8:23" x14ac:dyDescent="0.45">
      <c r="H67" s="262"/>
      <c r="K67" s="113"/>
      <c r="L67" s="114"/>
      <c r="M67" s="114"/>
    </row>
    <row r="68" spans="8:23" ht="18" x14ac:dyDescent="0.45">
      <c r="H68" s="262"/>
      <c r="K68" s="113"/>
      <c r="L68" s="114"/>
      <c r="M68" s="114"/>
      <c r="S68" s="115"/>
      <c r="T68" s="115"/>
      <c r="U68" s="115"/>
      <c r="V68" s="115"/>
      <c r="W68" s="115"/>
    </row>
    <row r="69" spans="8:23" ht="15.75" x14ac:dyDescent="0.45">
      <c r="H69" s="262"/>
      <c r="K69" s="113"/>
      <c r="L69" s="114"/>
      <c r="M69" s="114"/>
      <c r="S69" s="116"/>
      <c r="T69" s="117"/>
      <c r="U69" s="117"/>
      <c r="V69" s="117"/>
      <c r="W69" s="117"/>
    </row>
    <row r="70" spans="8:23" x14ac:dyDescent="0.45">
      <c r="H70" s="262"/>
      <c r="K70" s="113"/>
      <c r="L70" s="114"/>
      <c r="M70" s="114"/>
      <c r="S70" s="116"/>
      <c r="T70" s="118"/>
      <c r="U70" s="118"/>
      <c r="V70" s="118"/>
      <c r="W70" s="119"/>
    </row>
    <row r="71" spans="8:23" ht="15.75" x14ac:dyDescent="0.45">
      <c r="H71" s="262"/>
      <c r="K71" s="113"/>
      <c r="L71" s="114"/>
      <c r="M71" s="114"/>
      <c r="S71" s="116"/>
      <c r="T71" s="117"/>
      <c r="U71" s="117"/>
      <c r="V71" s="117"/>
      <c r="W71" s="117"/>
    </row>
    <row r="72" spans="8:23" x14ac:dyDescent="0.45">
      <c r="H72" s="262"/>
      <c r="I72" s="263"/>
      <c r="J72" s="263"/>
      <c r="K72" s="113"/>
      <c r="L72" s="114"/>
      <c r="M72" s="114"/>
      <c r="S72" s="116"/>
      <c r="T72" s="118"/>
      <c r="U72" s="118"/>
      <c r="V72" s="118"/>
      <c r="W72" s="119"/>
    </row>
    <row r="73" spans="8:23" ht="15.75" x14ac:dyDescent="0.45">
      <c r="H73" s="262"/>
      <c r="I73" s="263"/>
      <c r="J73" s="263"/>
      <c r="K73" s="113"/>
      <c r="L73" s="114"/>
      <c r="M73" s="114"/>
      <c r="P73" s="120"/>
      <c r="Q73" s="114"/>
      <c r="S73" s="116"/>
      <c r="T73" s="117"/>
      <c r="U73" s="117"/>
      <c r="V73" s="117"/>
      <c r="W73" s="117"/>
    </row>
    <row r="74" spans="8:23" ht="15.75" x14ac:dyDescent="0.45">
      <c r="H74" s="262"/>
      <c r="I74" s="263"/>
      <c r="J74" s="263"/>
      <c r="K74" s="113"/>
      <c r="L74" s="114"/>
      <c r="M74" s="114"/>
      <c r="S74" s="116"/>
      <c r="T74" s="117"/>
      <c r="U74" s="117"/>
      <c r="V74" s="117"/>
      <c r="W74" s="117"/>
    </row>
    <row r="75" spans="8:23" ht="15" customHeight="1" x14ac:dyDescent="0.45">
      <c r="H75" s="262"/>
      <c r="I75" s="263"/>
      <c r="J75" s="263"/>
      <c r="K75" s="121"/>
      <c r="L75" s="114"/>
      <c r="M75" s="114"/>
      <c r="S75" s="116"/>
      <c r="T75" s="118"/>
      <c r="U75" s="118"/>
      <c r="V75" s="118"/>
      <c r="W75" s="119"/>
    </row>
    <row r="76" spans="8:23" ht="15.75" x14ac:dyDescent="0.45">
      <c r="H76" s="262"/>
      <c r="I76" s="263"/>
      <c r="J76" s="263"/>
      <c r="K76" s="121"/>
      <c r="L76" s="114"/>
      <c r="M76" s="114"/>
      <c r="S76" s="116"/>
      <c r="T76" s="117"/>
      <c r="U76" s="117"/>
      <c r="V76" s="117"/>
      <c r="W76" s="117"/>
    </row>
    <row r="77" spans="8:23" x14ac:dyDescent="0.45">
      <c r="H77" s="262"/>
      <c r="I77" s="263"/>
      <c r="J77" s="263"/>
      <c r="K77" s="122"/>
      <c r="L77" s="114"/>
      <c r="M77" s="114"/>
      <c r="S77" s="116"/>
      <c r="T77" s="118"/>
      <c r="U77" s="118"/>
      <c r="V77" s="118"/>
      <c r="W77" s="119"/>
    </row>
    <row r="78" spans="8:23" ht="15.75" x14ac:dyDescent="0.45">
      <c r="H78" s="262"/>
      <c r="I78" s="263"/>
      <c r="J78" s="263"/>
      <c r="K78" s="122"/>
      <c r="L78" s="114"/>
      <c r="M78" s="114"/>
      <c r="S78" s="116"/>
      <c r="T78" s="117"/>
      <c r="U78" s="117"/>
      <c r="V78" s="117"/>
      <c r="W78" s="117"/>
    </row>
    <row r="79" spans="8:23" x14ac:dyDescent="0.45">
      <c r="H79" s="262"/>
      <c r="I79" s="263"/>
      <c r="J79" s="263"/>
      <c r="K79" s="113"/>
      <c r="L79" s="114"/>
      <c r="M79" s="114"/>
      <c r="S79" s="116"/>
      <c r="T79" s="118"/>
      <c r="U79" s="118"/>
      <c r="V79" s="118"/>
      <c r="W79" s="119"/>
    </row>
    <row r="80" spans="8:23" ht="15.75" x14ac:dyDescent="0.45">
      <c r="H80" s="262"/>
      <c r="I80" s="263"/>
      <c r="J80" s="263"/>
      <c r="K80" s="113"/>
      <c r="L80" s="114"/>
      <c r="M80" s="114"/>
      <c r="S80" s="116"/>
      <c r="T80" s="117"/>
      <c r="U80" s="117"/>
      <c r="V80" s="117"/>
      <c r="W80" s="117"/>
    </row>
    <row r="81" spans="8:23" x14ac:dyDescent="0.45">
      <c r="H81" s="262"/>
      <c r="I81" s="263"/>
      <c r="J81" s="263"/>
      <c r="K81" s="113"/>
      <c r="L81" s="114"/>
      <c r="M81" s="114"/>
      <c r="S81" s="116"/>
      <c r="T81" s="118"/>
      <c r="U81" s="118"/>
      <c r="V81" s="118"/>
      <c r="W81" s="119"/>
    </row>
    <row r="82" spans="8:23" ht="15.75" x14ac:dyDescent="0.45">
      <c r="H82" s="262"/>
      <c r="K82" s="113"/>
      <c r="L82" s="114"/>
      <c r="M82" s="114"/>
      <c r="S82" s="116"/>
      <c r="T82" s="117"/>
      <c r="U82" s="117"/>
      <c r="V82" s="117"/>
      <c r="W82" s="117"/>
    </row>
    <row r="83" spans="8:23" x14ac:dyDescent="0.45">
      <c r="H83" s="262"/>
      <c r="K83" s="113"/>
      <c r="L83" s="114"/>
      <c r="M83" s="114"/>
      <c r="S83" s="116"/>
      <c r="T83" s="118"/>
      <c r="U83" s="118"/>
      <c r="V83" s="118"/>
      <c r="W83" s="119"/>
    </row>
    <row r="84" spans="8:23" x14ac:dyDescent="0.45">
      <c r="H84" s="262"/>
      <c r="K84" s="113"/>
      <c r="L84" s="114"/>
      <c r="M84" s="114"/>
    </row>
    <row r="85" spans="8:23" x14ac:dyDescent="0.45">
      <c r="H85" s="262"/>
      <c r="K85" s="113"/>
      <c r="L85" s="114"/>
      <c r="M85" s="114"/>
    </row>
    <row r="127" spans="4:4" x14ac:dyDescent="0.45">
      <c r="D127" s="113"/>
    </row>
    <row r="128" spans="4:4" x14ac:dyDescent="0.45">
      <c r="D128" s="113"/>
    </row>
    <row r="145" spans="1:1" x14ac:dyDescent="0.45">
      <c r="A145" s="111" t="s">
        <v>23</v>
      </c>
    </row>
    <row r="146" spans="1:1" x14ac:dyDescent="0.45">
      <c r="A146" s="111" t="s">
        <v>254</v>
      </c>
    </row>
  </sheetData>
  <mergeCells count="127">
    <mergeCell ref="H6:H7"/>
    <mergeCell ref="H8:H11"/>
    <mergeCell ref="H12:H17"/>
    <mergeCell ref="I21:J21"/>
    <mergeCell ref="N54:Q54"/>
    <mergeCell ref="S36:S39"/>
    <mergeCell ref="S40:S43"/>
    <mergeCell ref="S44:S47"/>
    <mergeCell ref="S48:S51"/>
    <mergeCell ref="N34:W34"/>
    <mergeCell ref="N35:Q35"/>
    <mergeCell ref="S35:W35"/>
    <mergeCell ref="S9:W9"/>
    <mergeCell ref="S10:S13"/>
    <mergeCell ref="S14:S17"/>
    <mergeCell ref="S18:S21"/>
    <mergeCell ref="S22:S25"/>
    <mergeCell ref="N16:N17"/>
    <mergeCell ref="N19:N20"/>
    <mergeCell ref="N22:Q22"/>
    <mergeCell ref="I36:J36"/>
    <mergeCell ref="I7:J7"/>
    <mergeCell ref="I8:J8"/>
    <mergeCell ref="I9:J9"/>
    <mergeCell ref="I32:J32"/>
    <mergeCell ref="N8:W8"/>
    <mergeCell ref="I25:J25"/>
    <mergeCell ref="N9:Q9"/>
    <mergeCell ref="N10:O10"/>
    <mergeCell ref="N11:O11"/>
    <mergeCell ref="N12:O12"/>
    <mergeCell ref="N13:Q13"/>
    <mergeCell ref="H65:H66"/>
    <mergeCell ref="I13:J13"/>
    <mergeCell ref="I14:J14"/>
    <mergeCell ref="I15:J15"/>
    <mergeCell ref="I16:J16"/>
    <mergeCell ref="I17:J17"/>
    <mergeCell ref="H30:K30"/>
    <mergeCell ref="H19:K19"/>
    <mergeCell ref="I10:J10"/>
    <mergeCell ref="I11:J11"/>
    <mergeCell ref="I12:J12"/>
    <mergeCell ref="L15:L17"/>
    <mergeCell ref="H67:H79"/>
    <mergeCell ref="I72:J72"/>
    <mergeCell ref="I73:J73"/>
    <mergeCell ref="I74:J74"/>
    <mergeCell ref="I75:J75"/>
    <mergeCell ref="H80:H85"/>
    <mergeCell ref="I76:J76"/>
    <mergeCell ref="I77:J77"/>
    <mergeCell ref="I78:J78"/>
    <mergeCell ref="I79:J79"/>
    <mergeCell ref="I80:J80"/>
    <mergeCell ref="I81:J81"/>
    <mergeCell ref="B9:B26"/>
    <mergeCell ref="C33:D33"/>
    <mergeCell ref="C34:D34"/>
    <mergeCell ref="C25:D25"/>
    <mergeCell ref="C32:D32"/>
    <mergeCell ref="C26:D26"/>
    <mergeCell ref="F29:F30"/>
    <mergeCell ref="B5:F5"/>
    <mergeCell ref="C28:D28"/>
    <mergeCell ref="C27:D27"/>
    <mergeCell ref="C13:D13"/>
    <mergeCell ref="C18:D18"/>
    <mergeCell ref="C19:C21"/>
    <mergeCell ref="B6:B8"/>
    <mergeCell ref="F6:F8"/>
    <mergeCell ref="C22:C24"/>
    <mergeCell ref="C9:D9"/>
    <mergeCell ref="C10:D10"/>
    <mergeCell ref="C17:D17"/>
    <mergeCell ref="B27:B34"/>
    <mergeCell ref="F33:F34"/>
    <mergeCell ref="F19:F21"/>
    <mergeCell ref="F27:F28"/>
    <mergeCell ref="F22:F24"/>
    <mergeCell ref="B54:F55"/>
    <mergeCell ref="B51:C51"/>
    <mergeCell ref="B50:F50"/>
    <mergeCell ref="F35:F36"/>
    <mergeCell ref="C35:D35"/>
    <mergeCell ref="F37:F38"/>
    <mergeCell ref="F39:F40"/>
    <mergeCell ref="C39:D39"/>
    <mergeCell ref="C40:D40"/>
    <mergeCell ref="C42:D42"/>
    <mergeCell ref="B53:F53"/>
    <mergeCell ref="D51:E51"/>
    <mergeCell ref="C43:D43"/>
    <mergeCell ref="C44:D44"/>
    <mergeCell ref="C45:D45"/>
    <mergeCell ref="C46:D46"/>
    <mergeCell ref="C47:D47"/>
    <mergeCell ref="B35:B38"/>
    <mergeCell ref="B39:B40"/>
    <mergeCell ref="B42:B47"/>
    <mergeCell ref="C36:D36"/>
    <mergeCell ref="C37:D37"/>
    <mergeCell ref="C38:D38"/>
    <mergeCell ref="A1:Y3"/>
    <mergeCell ref="N39:Q39"/>
    <mergeCell ref="N36:O36"/>
    <mergeCell ref="N24:O24"/>
    <mergeCell ref="N40:O40"/>
    <mergeCell ref="N14:O14"/>
    <mergeCell ref="N5:W5"/>
    <mergeCell ref="H5:L5"/>
    <mergeCell ref="C31:D31"/>
    <mergeCell ref="C29:D29"/>
    <mergeCell ref="C30:D30"/>
    <mergeCell ref="F31:F32"/>
    <mergeCell ref="C6:D6"/>
    <mergeCell ref="C7:D7"/>
    <mergeCell ref="C8:D8"/>
    <mergeCell ref="F14:F16"/>
    <mergeCell ref="C15:D15"/>
    <mergeCell ref="C11:D11"/>
    <mergeCell ref="C12:D12"/>
    <mergeCell ref="C14:D14"/>
    <mergeCell ref="C16:D16"/>
    <mergeCell ref="L8:L9"/>
    <mergeCell ref="L10:L11"/>
    <mergeCell ref="L12:L14"/>
  </mergeCells>
  <dataValidations count="3">
    <dataValidation type="decimal" allowBlank="1" showInputMessage="1" showErrorMessage="1" error="Pitch center has to be within of car._x000a_Enter Value between 0 and wheelbase of car." sqref="E22" xr:uid="{00000000-0002-0000-0100-000000000000}">
      <formula1>0</formula1>
      <formula2>E6</formula2>
    </dataValidation>
    <dataValidation type="list" allowBlank="1" showInputMessage="1" showErrorMessage="1" sqref="G31" xr:uid="{00000000-0002-0000-0100-000001000000}">
      <formula1>#REF!</formula1>
    </dataValidation>
    <dataValidation type="list" allowBlank="1" showInputMessage="1" showErrorMessage="1" sqref="F31:F32" xr:uid="{00000000-0002-0000-0100-000002000000}">
      <formula1>$A$145:$A$146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0" tint="-0.499984740745262"/>
  </sheetPr>
  <dimension ref="A1:AD45"/>
  <sheetViews>
    <sheetView topLeftCell="A2" zoomScale="119" zoomScaleNormal="58" workbookViewId="0">
      <selection activeCell="E11" sqref="E11"/>
    </sheetView>
  </sheetViews>
  <sheetFormatPr defaultColWidth="9.1328125" defaultRowHeight="14.25" x14ac:dyDescent="0.45"/>
  <cols>
    <col min="1" max="1" width="11" style="125" bestFit="1" customWidth="1"/>
    <col min="2" max="2" width="11" style="125" customWidth="1"/>
    <col min="3" max="3" width="15.59765625" style="125" customWidth="1"/>
    <col min="4" max="4" width="20.265625" style="125" customWidth="1"/>
    <col min="5" max="7" width="9.1328125" style="125"/>
    <col min="8" max="8" width="5.73046875" style="125" customWidth="1"/>
    <col min="9" max="9" width="17.1328125" style="125" customWidth="1"/>
    <col min="10" max="10" width="16.3984375" style="125" customWidth="1"/>
    <col min="11" max="11" width="5.73046875" style="125" customWidth="1"/>
    <col min="12" max="12" width="9.1328125" style="125"/>
    <col min="13" max="13" width="15.265625" style="125" customWidth="1"/>
    <col min="14" max="16384" width="9.1328125" style="125"/>
  </cols>
  <sheetData>
    <row r="1" spans="1:30" x14ac:dyDescent="0.45">
      <c r="A1" s="287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96"/>
    </row>
    <row r="2" spans="1:30" x14ac:dyDescent="0.45">
      <c r="A2" s="289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7"/>
    </row>
    <row r="3" spans="1:30" x14ac:dyDescent="0.45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8"/>
    </row>
    <row r="4" spans="1:30" ht="14.65" thickBot="1" x14ac:dyDescent="0.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30" ht="18" x14ac:dyDescent="0.55000000000000004">
      <c r="A5" s="29"/>
      <c r="B5" s="293" t="s">
        <v>235</v>
      </c>
      <c r="C5" s="294"/>
      <c r="D5" s="294"/>
      <c r="E5" s="294"/>
      <c r="F5" s="295"/>
      <c r="G5" s="29"/>
      <c r="H5" s="293" t="s">
        <v>232</v>
      </c>
      <c r="I5" s="294"/>
      <c r="J5" s="294"/>
      <c r="K5" s="295"/>
      <c r="L5" s="29"/>
      <c r="M5" s="293" t="s">
        <v>240</v>
      </c>
      <c r="N5" s="294"/>
      <c r="O5" s="294"/>
      <c r="P5" s="294"/>
      <c r="Q5" s="295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 ht="15.75" customHeight="1" x14ac:dyDescent="0.5">
      <c r="A6" s="29"/>
      <c r="B6" s="316" t="s">
        <v>54</v>
      </c>
      <c r="C6" s="320"/>
      <c r="D6" s="320"/>
      <c r="E6" s="320"/>
      <c r="F6" s="321"/>
      <c r="G6" s="29"/>
      <c r="H6" s="131"/>
      <c r="I6" s="123"/>
      <c r="J6" s="123"/>
      <c r="K6" s="132"/>
      <c r="L6" s="29"/>
      <c r="M6" s="308" t="s">
        <v>100</v>
      </c>
      <c r="N6" s="309"/>
      <c r="O6" s="309"/>
      <c r="P6" s="64">
        <f>(SM*SM_WD*9.8)/100*0.5/FrontWheelRate_NoTire</f>
        <v>10.099146818960593</v>
      </c>
      <c r="Q6" s="310" t="s">
        <v>11</v>
      </c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</row>
    <row r="7" spans="1:30" ht="15.75" x14ac:dyDescent="0.5">
      <c r="A7" s="29"/>
      <c r="B7" s="316"/>
      <c r="C7" s="322" t="s">
        <v>97</v>
      </c>
      <c r="D7" s="322"/>
      <c r="E7" s="64">
        <f>E9+E11+E13</f>
        <v>39.042071197410998</v>
      </c>
      <c r="F7" s="139" t="s">
        <v>39</v>
      </c>
      <c r="G7" s="29"/>
      <c r="H7" s="131"/>
      <c r="I7" s="264" t="s">
        <v>227</v>
      </c>
      <c r="J7" s="265"/>
      <c r="K7" s="133"/>
      <c r="L7" s="29"/>
      <c r="M7" s="308" t="s">
        <v>101</v>
      </c>
      <c r="N7" s="309"/>
      <c r="O7" s="309"/>
      <c r="P7" s="64">
        <f>(SM*(100-SM_WD)*9.8)/100*0.5/RearWheelRate_NoTire</f>
        <v>13.53199482194076</v>
      </c>
      <c r="Q7" s="310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</row>
    <row r="8" spans="1:30" ht="15.75" customHeight="1" x14ac:dyDescent="0.5">
      <c r="A8" s="29"/>
      <c r="B8" s="316" t="s">
        <v>55</v>
      </c>
      <c r="C8" s="320"/>
      <c r="D8" s="320"/>
      <c r="E8" s="320"/>
      <c r="F8" s="321"/>
      <c r="G8" s="29"/>
      <c r="H8" s="131"/>
      <c r="I8" s="52">
        <f>TotalMass*WD/100*0.5+DF*DF_Dist/100/2+E7/2</f>
        <v>92.428346675310991</v>
      </c>
      <c r="J8" s="53">
        <f>TotalMass*WD/100*0.5+DF*DF_Dist/100/2+E7/2</f>
        <v>92.428346675310991</v>
      </c>
      <c r="K8" s="81"/>
      <c r="L8" s="29"/>
      <c r="M8" s="308" t="s">
        <v>102</v>
      </c>
      <c r="N8" s="309"/>
      <c r="O8" s="309"/>
      <c r="P8" s="64">
        <f>P6/SpringMR_Fr</f>
        <v>11.608214734437464</v>
      </c>
      <c r="Q8" s="310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</row>
    <row r="9" spans="1:30" ht="15.75" customHeight="1" x14ac:dyDescent="0.45">
      <c r="A9" s="29"/>
      <c r="B9" s="316"/>
      <c r="C9" s="322" t="s">
        <v>97</v>
      </c>
      <c r="D9" s="322"/>
      <c r="E9" s="64">
        <f>(NSM_Fr+NSM_Rr)*2*Long_Acc*NSMCG_Fr/Wheelbase</f>
        <v>4.2086731391585754</v>
      </c>
      <c r="F9" s="139" t="s">
        <v>39</v>
      </c>
      <c r="G9" s="29"/>
      <c r="H9" s="131"/>
      <c r="I9" s="54">
        <f>TotalMass*(100-WD)/100*0.5+DF*(100-DF_Dist)/100/2-E7/2</f>
        <v>49.109286099918364</v>
      </c>
      <c r="J9" s="55">
        <f>TotalMass*(100-WD)/100*0.5+DF*(100-DF_Dist)/100/2-E7/2</f>
        <v>49.109286099918364</v>
      </c>
      <c r="K9" s="81"/>
      <c r="L9" s="29"/>
      <c r="M9" s="308" t="s">
        <v>103</v>
      </c>
      <c r="N9" s="309"/>
      <c r="O9" s="309"/>
      <c r="P9" s="64">
        <f>P7/SpringMR_Rr</f>
        <v>13.53199482194076</v>
      </c>
      <c r="Q9" s="310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</row>
    <row r="10" spans="1:30" ht="15.75" customHeight="1" x14ac:dyDescent="0.5">
      <c r="A10" s="29"/>
      <c r="B10" s="316" t="s">
        <v>68</v>
      </c>
      <c r="C10" s="320"/>
      <c r="D10" s="320"/>
      <c r="E10" s="320"/>
      <c r="F10" s="321"/>
      <c r="G10" s="29"/>
      <c r="H10" s="131"/>
      <c r="I10" s="27"/>
      <c r="J10" s="32"/>
      <c r="K10" s="132"/>
      <c r="L10" s="29"/>
      <c r="M10" s="140"/>
      <c r="N10" s="29"/>
      <c r="O10" s="29"/>
      <c r="P10" s="29"/>
      <c r="Q10" s="141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</row>
    <row r="11" spans="1:30" ht="15.75" x14ac:dyDescent="0.5">
      <c r="A11" s="29"/>
      <c r="B11" s="316"/>
      <c r="C11" s="322" t="s">
        <v>97</v>
      </c>
      <c r="D11" s="322"/>
      <c r="E11" s="64">
        <f>(SM*Long_Acc*(SMCGHeight-PCz)/Wheelbase)</f>
        <v>30.460520388349511</v>
      </c>
      <c r="F11" s="139" t="s">
        <v>39</v>
      </c>
      <c r="G11" s="29"/>
      <c r="H11" s="131"/>
      <c r="I11" s="269" t="s">
        <v>104</v>
      </c>
      <c r="J11" s="269"/>
      <c r="K11" s="133"/>
      <c r="L11" s="29"/>
      <c r="M11" s="140"/>
      <c r="N11" s="29"/>
      <c r="O11" s="29"/>
      <c r="P11" s="29"/>
      <c r="Q11" s="141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 ht="15.75" customHeight="1" x14ac:dyDescent="0.55000000000000004">
      <c r="A12" s="29"/>
      <c r="B12" s="316" t="s">
        <v>69</v>
      </c>
      <c r="C12" s="320"/>
      <c r="D12" s="320"/>
      <c r="E12" s="320"/>
      <c r="F12" s="321"/>
      <c r="G12" s="29"/>
      <c r="H12" s="131"/>
      <c r="I12" s="52">
        <f>I8*g_earth</f>
        <v>905.79779741804782</v>
      </c>
      <c r="J12" s="53">
        <f>J8*g_earth</f>
        <v>905.79779741804782</v>
      </c>
      <c r="K12" s="81"/>
      <c r="L12" s="29"/>
      <c r="M12" s="305" t="s">
        <v>241</v>
      </c>
      <c r="N12" s="306"/>
      <c r="O12" s="306"/>
      <c r="P12" s="306"/>
      <c r="Q12" s="307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</row>
    <row r="13" spans="1:30" ht="15.75" customHeight="1" x14ac:dyDescent="0.45">
      <c r="A13" s="29"/>
      <c r="B13" s="316"/>
      <c r="C13" s="322" t="s">
        <v>97</v>
      </c>
      <c r="D13" s="322"/>
      <c r="E13" s="64">
        <f>SM*Long_Acc*PCz/Wheelbase</f>
        <v>4.3728776699029126</v>
      </c>
      <c r="F13" s="139" t="s">
        <v>39</v>
      </c>
      <c r="G13" s="29"/>
      <c r="H13" s="131"/>
      <c r="I13" s="54">
        <f>I9*g_earth</f>
        <v>481.27100377919999</v>
      </c>
      <c r="J13" s="55">
        <f>J9*g_earth</f>
        <v>481.27100377919999</v>
      </c>
      <c r="K13" s="81"/>
      <c r="L13" s="29"/>
      <c r="M13" s="308" t="s">
        <v>109</v>
      </c>
      <c r="N13" s="309"/>
      <c r="O13" s="309"/>
      <c r="P13" s="64">
        <f>SpringStiffness_Fr*'LONGITUDINAL WEIGHT TRANSFER'!P8</f>
        <v>508.14959999999996</v>
      </c>
      <c r="Q13" s="310" t="s">
        <v>110</v>
      </c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</row>
    <row r="14" spans="1:30" ht="14.65" thickBot="1" x14ac:dyDescent="0.5">
      <c r="A14" s="29"/>
      <c r="B14" s="140"/>
      <c r="C14" s="29"/>
      <c r="D14" s="29"/>
      <c r="E14" s="29"/>
      <c r="F14" s="141"/>
      <c r="G14" s="29"/>
      <c r="H14" s="131"/>
      <c r="I14" s="123"/>
      <c r="J14" s="123"/>
      <c r="K14" s="132"/>
      <c r="L14" s="29"/>
      <c r="M14" s="311" t="s">
        <v>111</v>
      </c>
      <c r="N14" s="312"/>
      <c r="O14" s="312"/>
      <c r="P14" s="64">
        <f>SpringStiffness_Rr*P9</f>
        <v>533.12000000000012</v>
      </c>
      <c r="Q14" s="324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 ht="18" x14ac:dyDescent="0.55000000000000004">
      <c r="A15" s="29"/>
      <c r="B15" s="305" t="s">
        <v>236</v>
      </c>
      <c r="C15" s="306"/>
      <c r="D15" s="306"/>
      <c r="E15" s="306"/>
      <c r="F15" s="307"/>
      <c r="G15" s="126"/>
      <c r="H15" s="131"/>
      <c r="I15" s="123"/>
      <c r="J15" s="123"/>
      <c r="K15" s="132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 x14ac:dyDescent="0.45">
      <c r="A16" s="325"/>
      <c r="B16" s="301"/>
      <c r="C16" s="130" t="s">
        <v>100</v>
      </c>
      <c r="D16" s="130"/>
      <c r="E16" s="64">
        <f>E18*SpringMR_Fr</f>
        <v>12.679895708087139</v>
      </c>
      <c r="F16" s="302" t="s">
        <v>11</v>
      </c>
      <c r="G16" s="29"/>
      <c r="H16" s="131"/>
      <c r="I16" s="123"/>
      <c r="J16" s="123"/>
      <c r="K16" s="132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x14ac:dyDescent="0.45">
      <c r="A17" s="325"/>
      <c r="B17" s="301"/>
      <c r="C17" s="130" t="s">
        <v>101</v>
      </c>
      <c r="D17" s="130"/>
      <c r="E17" s="64">
        <f>E19*SpringMR_Rr</f>
        <v>9.7434690483307733</v>
      </c>
      <c r="F17" s="303"/>
      <c r="G17" s="29"/>
      <c r="H17" s="131"/>
      <c r="I17" s="123"/>
      <c r="J17" s="123"/>
      <c r="K17" s="132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x14ac:dyDescent="0.45">
      <c r="A18" s="325"/>
      <c r="B18" s="301"/>
      <c r="C18" s="130" t="s">
        <v>102</v>
      </c>
      <c r="D18" s="130"/>
      <c r="E18" s="64">
        <f>E28/SpringStiffness_Fr</f>
        <v>14.574592767916252</v>
      </c>
      <c r="F18" s="303"/>
      <c r="G18" s="29"/>
      <c r="H18" s="131"/>
      <c r="I18" s="123"/>
      <c r="J18" s="123"/>
      <c r="K18" s="132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x14ac:dyDescent="0.45">
      <c r="A19" s="325"/>
      <c r="B19" s="301"/>
      <c r="C19" s="130" t="s">
        <v>103</v>
      </c>
      <c r="D19" s="130"/>
      <c r="E19" s="64">
        <f>E29/SpringStiffness_Rr</f>
        <v>9.7434690483307733</v>
      </c>
      <c r="F19" s="304"/>
      <c r="G19" s="29"/>
      <c r="H19" s="131"/>
      <c r="I19" s="123"/>
      <c r="J19" s="123"/>
      <c r="K19" s="132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 x14ac:dyDescent="0.45">
      <c r="A20" s="29"/>
      <c r="B20" s="140"/>
      <c r="C20" s="29"/>
      <c r="D20" s="29"/>
      <c r="E20" s="29"/>
      <c r="F20" s="141"/>
      <c r="G20" s="29"/>
      <c r="H20" s="131"/>
      <c r="I20" s="123"/>
      <c r="J20" s="123"/>
      <c r="K20" s="132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ht="18" x14ac:dyDescent="0.55000000000000004">
      <c r="A21" s="29"/>
      <c r="B21" s="305" t="s">
        <v>237</v>
      </c>
      <c r="C21" s="306"/>
      <c r="D21" s="306"/>
      <c r="E21" s="306"/>
      <c r="F21" s="307"/>
      <c r="G21" s="126"/>
      <c r="H21" s="131"/>
      <c r="I21" s="123"/>
      <c r="J21" s="123"/>
      <c r="K21" s="132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 x14ac:dyDescent="0.45">
      <c r="A22" s="29"/>
      <c r="B22" s="318" t="s">
        <v>233</v>
      </c>
      <c r="C22" s="323" t="s">
        <v>112</v>
      </c>
      <c r="D22" s="323"/>
      <c r="E22" s="64">
        <f>E16-P6</f>
        <v>2.5807488891265464</v>
      </c>
      <c r="F22" s="302" t="s">
        <v>11</v>
      </c>
      <c r="G22" s="29"/>
      <c r="H22" s="131"/>
      <c r="I22" s="123"/>
      <c r="J22" s="123"/>
      <c r="K22" s="132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x14ac:dyDescent="0.45">
      <c r="A23" s="29"/>
      <c r="B23" s="319"/>
      <c r="C23" s="323" t="s">
        <v>113</v>
      </c>
      <c r="D23" s="323"/>
      <c r="E23" s="64">
        <f>E17-P7</f>
        <v>-3.7885257736099867</v>
      </c>
      <c r="F23" s="303"/>
      <c r="G23" s="29"/>
      <c r="H23" s="131"/>
      <c r="I23" s="123"/>
      <c r="J23" s="123"/>
      <c r="K23" s="132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 x14ac:dyDescent="0.45">
      <c r="A24" s="29"/>
      <c r="B24" s="319"/>
      <c r="C24" s="323" t="s">
        <v>109</v>
      </c>
      <c r="D24" s="323"/>
      <c r="E24" s="64">
        <f>E18-P8</f>
        <v>2.9663780334787884</v>
      </c>
      <c r="F24" s="303"/>
      <c r="G24" s="29"/>
      <c r="H24" s="131"/>
      <c r="I24" s="123"/>
      <c r="J24" s="123"/>
      <c r="K24" s="132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 x14ac:dyDescent="0.45">
      <c r="A25" s="29"/>
      <c r="B25" s="319"/>
      <c r="C25" s="323" t="s">
        <v>111</v>
      </c>
      <c r="D25" s="323"/>
      <c r="E25" s="64">
        <f>E19-P9</f>
        <v>-3.7885257736099867</v>
      </c>
      <c r="F25" s="304"/>
      <c r="G25" s="29"/>
      <c r="H25" s="131"/>
      <c r="I25" s="123"/>
      <c r="J25" s="123"/>
      <c r="K25" s="132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x14ac:dyDescent="0.45">
      <c r="A26" s="29"/>
      <c r="B26" s="140"/>
      <c r="C26" s="29"/>
      <c r="D26" s="29"/>
      <c r="E26" s="29"/>
      <c r="F26" s="141"/>
      <c r="G26" s="29"/>
      <c r="H26" s="131"/>
      <c r="I26" s="123"/>
      <c r="J26" s="123"/>
      <c r="K26" s="132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 ht="18" x14ac:dyDescent="0.55000000000000004">
      <c r="A27" s="29"/>
      <c r="B27" s="305" t="s">
        <v>238</v>
      </c>
      <c r="C27" s="306"/>
      <c r="D27" s="306"/>
      <c r="E27" s="306"/>
      <c r="F27" s="307"/>
      <c r="G27" s="29"/>
      <c r="H27" s="131"/>
      <c r="I27" s="123"/>
      <c r="J27" s="123"/>
      <c r="K27" s="132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 x14ac:dyDescent="0.45">
      <c r="A28" s="325"/>
      <c r="B28" s="299"/>
      <c r="C28" s="323" t="s">
        <v>109</v>
      </c>
      <c r="D28" s="323"/>
      <c r="E28" s="64">
        <f>P13+((E11/2)*9.8)*SpringMR_Fr</f>
        <v>638.0027984155339</v>
      </c>
      <c r="F28" s="302" t="s">
        <v>110</v>
      </c>
      <c r="G28" s="29"/>
      <c r="H28" s="131"/>
      <c r="I28" s="123"/>
      <c r="J28" s="123"/>
      <c r="K28" s="132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 x14ac:dyDescent="0.45">
      <c r="A29" s="325"/>
      <c r="B29" s="300"/>
      <c r="C29" s="323" t="s">
        <v>111</v>
      </c>
      <c r="D29" s="323"/>
      <c r="E29" s="64">
        <f>P14-((E11/2)*9.8)*SpringMR_Rr</f>
        <v>383.86345009708748</v>
      </c>
      <c r="F29" s="304"/>
      <c r="G29" s="29"/>
      <c r="H29" s="131"/>
      <c r="I29" s="123"/>
      <c r="J29" s="123"/>
      <c r="K29" s="132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 x14ac:dyDescent="0.45">
      <c r="A30" s="29"/>
      <c r="B30" s="140"/>
      <c r="C30" s="29"/>
      <c r="D30" s="29"/>
      <c r="E30" s="29"/>
      <c r="F30" s="141"/>
      <c r="G30" s="29"/>
      <c r="H30" s="131"/>
      <c r="I30" s="123"/>
      <c r="J30" s="134"/>
      <c r="K30" s="135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 ht="18" x14ac:dyDescent="0.55000000000000004">
      <c r="A31" s="29"/>
      <c r="B31" s="305" t="s">
        <v>239</v>
      </c>
      <c r="C31" s="306"/>
      <c r="D31" s="306"/>
      <c r="E31" s="306"/>
      <c r="F31" s="307"/>
      <c r="G31" s="29"/>
      <c r="H31" s="131"/>
      <c r="I31" s="123"/>
      <c r="J31" s="123"/>
      <c r="K31" s="132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 x14ac:dyDescent="0.45">
      <c r="A32" s="325"/>
      <c r="B32" s="299"/>
      <c r="C32" s="323" t="s">
        <v>105</v>
      </c>
      <c r="D32" s="323"/>
      <c r="E32" s="64">
        <f>Long_Acc*g_earth*SM*(SMCGHeight-PCz)/1000</f>
        <v>461.20273919999994</v>
      </c>
      <c r="F32" s="142" t="s">
        <v>106</v>
      </c>
      <c r="G32" s="29"/>
      <c r="H32" s="131"/>
      <c r="I32" s="123"/>
      <c r="J32" s="123"/>
      <c r="K32" s="132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ht="14.65" thickBot="1" x14ac:dyDescent="0.5">
      <c r="A33" s="325"/>
      <c r="B33" s="300"/>
      <c r="C33" s="323" t="s">
        <v>107</v>
      </c>
      <c r="D33" s="323"/>
      <c r="E33" s="64">
        <f>Pitch_Moment/Pitch_Stiffness</f>
        <v>0.23267128629788386</v>
      </c>
      <c r="F33" s="142" t="s">
        <v>108</v>
      </c>
      <c r="G33" s="29"/>
      <c r="H33" s="136"/>
      <c r="I33" s="137"/>
      <c r="J33" s="137"/>
      <c r="K33" s="138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 x14ac:dyDescent="0.45">
      <c r="A34" s="29"/>
      <c r="B34" s="140"/>
      <c r="C34" s="29"/>
      <c r="D34" s="29"/>
      <c r="E34" s="29"/>
      <c r="F34" s="141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 ht="18" x14ac:dyDescent="0.55000000000000004">
      <c r="A35" s="29"/>
      <c r="B35" s="305" t="s">
        <v>228</v>
      </c>
      <c r="C35" s="306"/>
      <c r="D35" s="306"/>
      <c r="E35" s="306"/>
      <c r="F35" s="307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 x14ac:dyDescent="0.45">
      <c r="A36" s="29"/>
      <c r="B36" s="316" t="s">
        <v>96</v>
      </c>
      <c r="C36" s="317"/>
      <c r="D36" s="326">
        <v>1</v>
      </c>
      <c r="E36" s="326"/>
      <c r="F36" s="143" t="s">
        <v>41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 x14ac:dyDescent="0.45">
      <c r="A37" s="29"/>
      <c r="B37" s="140"/>
      <c r="C37" s="29"/>
      <c r="D37" s="29"/>
      <c r="E37" s="29"/>
      <c r="F37" s="141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ht="18" x14ac:dyDescent="0.55000000000000004">
      <c r="A38" s="29"/>
      <c r="B38" s="305" t="s">
        <v>229</v>
      </c>
      <c r="C38" s="306"/>
      <c r="D38" s="306"/>
      <c r="E38" s="306"/>
      <c r="F38" s="307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ht="15" customHeight="1" x14ac:dyDescent="0.45">
      <c r="A39" s="29"/>
      <c r="B39" s="313" t="str">
        <f>IF(OR(I8&lt;0,I9&lt;0,J8&lt;0,J9&lt;0),"One wheel is is the air! Calculations are false!","")</f>
        <v/>
      </c>
      <c r="C39" s="314"/>
      <c r="D39" s="314"/>
      <c r="E39" s="314"/>
      <c r="F39" s="315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ht="15" customHeight="1" x14ac:dyDescent="0.45">
      <c r="A40" s="127"/>
      <c r="B40" s="313"/>
      <c r="C40" s="314"/>
      <c r="D40" s="314"/>
      <c r="E40" s="314"/>
      <c r="F40" s="315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x14ac:dyDescent="0.45">
      <c r="A41" s="29"/>
      <c r="B41" s="140"/>
      <c r="C41" s="29"/>
      <c r="D41" s="29"/>
      <c r="E41" s="29"/>
      <c r="F41" s="141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x14ac:dyDescent="0.45">
      <c r="A42" s="29"/>
      <c r="B42" s="144" t="s">
        <v>98</v>
      </c>
      <c r="C42" s="128">
        <v>9.8000000000000007</v>
      </c>
      <c r="D42" s="128" t="s">
        <v>99</v>
      </c>
      <c r="E42" s="29"/>
      <c r="F42" s="141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x14ac:dyDescent="0.45">
      <c r="A43" s="29"/>
      <c r="B43" s="140" t="s">
        <v>234</v>
      </c>
      <c r="C43" s="29"/>
      <c r="D43" s="29"/>
      <c r="E43" s="29"/>
      <c r="F43" s="141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ht="14.65" thickBot="1" x14ac:dyDescent="0.5">
      <c r="A44" s="29"/>
      <c r="B44" s="145"/>
      <c r="C44" s="146"/>
      <c r="D44" s="146"/>
      <c r="E44" s="146"/>
      <c r="F44" s="147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x14ac:dyDescent="0.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</sheetData>
  <mergeCells count="54">
    <mergeCell ref="D36:E36"/>
    <mergeCell ref="C32:D32"/>
    <mergeCell ref="C33:D33"/>
    <mergeCell ref="A32:A33"/>
    <mergeCell ref="A28:A29"/>
    <mergeCell ref="C29:D29"/>
    <mergeCell ref="C28:D28"/>
    <mergeCell ref="B28:B29"/>
    <mergeCell ref="A16:A19"/>
    <mergeCell ref="C10:F10"/>
    <mergeCell ref="C11:D11"/>
    <mergeCell ref="C23:D23"/>
    <mergeCell ref="C24:D24"/>
    <mergeCell ref="C25:D25"/>
    <mergeCell ref="B8:B9"/>
    <mergeCell ref="C6:F6"/>
    <mergeCell ref="C7:D7"/>
    <mergeCell ref="Q13:Q14"/>
    <mergeCell ref="C22:D22"/>
    <mergeCell ref="C13:D13"/>
    <mergeCell ref="B10:B11"/>
    <mergeCell ref="C12:F12"/>
    <mergeCell ref="B39:F40"/>
    <mergeCell ref="B5:F5"/>
    <mergeCell ref="I7:J7"/>
    <mergeCell ref="I11:J11"/>
    <mergeCell ref="B35:F35"/>
    <mergeCell ref="B38:F38"/>
    <mergeCell ref="B36:C36"/>
    <mergeCell ref="B31:F31"/>
    <mergeCell ref="B21:F21"/>
    <mergeCell ref="B27:F27"/>
    <mergeCell ref="B15:F15"/>
    <mergeCell ref="B22:B25"/>
    <mergeCell ref="B6:B7"/>
    <mergeCell ref="B12:B13"/>
    <mergeCell ref="C8:F8"/>
    <mergeCell ref="C9:D9"/>
    <mergeCell ref="H5:K5"/>
    <mergeCell ref="A1:AD3"/>
    <mergeCell ref="B32:B33"/>
    <mergeCell ref="B16:B19"/>
    <mergeCell ref="F16:F19"/>
    <mergeCell ref="F22:F25"/>
    <mergeCell ref="F28:F29"/>
    <mergeCell ref="M5:Q5"/>
    <mergeCell ref="M12:Q12"/>
    <mergeCell ref="M9:O9"/>
    <mergeCell ref="M8:O8"/>
    <mergeCell ref="M7:O7"/>
    <mergeCell ref="M6:O6"/>
    <mergeCell ref="Q6:Q9"/>
    <mergeCell ref="M14:O14"/>
    <mergeCell ref="M13:O13"/>
  </mergeCells>
  <pageMargins left="0.7" right="0.7" top="0.75" bottom="0.75" header="0.3" footer="0.3"/>
  <pageSetup paperSize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3" tint="0.59999389629810485"/>
  </sheetPr>
  <dimension ref="A1:S51"/>
  <sheetViews>
    <sheetView topLeftCell="A4" zoomScale="126" zoomScaleNormal="235" workbookViewId="0">
      <selection activeCell="K20" sqref="K20"/>
    </sheetView>
  </sheetViews>
  <sheetFormatPr defaultColWidth="9.1328125" defaultRowHeight="14.25" x14ac:dyDescent="0.45"/>
  <cols>
    <col min="1" max="1" width="5.73046875" style="125" customWidth="1"/>
    <col min="2" max="2" width="8.73046875" style="125" customWidth="1"/>
    <col min="3" max="3" width="9.1328125" style="125"/>
    <col min="4" max="4" width="28" style="125" customWidth="1"/>
    <col min="5" max="5" width="14.86328125" style="125" customWidth="1"/>
    <col min="6" max="7" width="9.1328125" style="125"/>
    <col min="8" max="8" width="8.73046875" style="125" customWidth="1"/>
    <col min="9" max="9" width="9.1328125" style="125"/>
    <col min="10" max="10" width="21.265625" style="125" customWidth="1"/>
    <col min="11" max="11" width="9.1328125" style="125"/>
    <col min="12" max="12" width="10.1328125" style="125" customWidth="1"/>
    <col min="13" max="13" width="9.1328125" style="125"/>
    <col min="14" max="14" width="8.73046875" style="125" customWidth="1"/>
    <col min="15" max="15" width="9.1328125" style="125"/>
    <col min="16" max="16" width="20.73046875" style="125" customWidth="1"/>
    <col min="17" max="19" width="9.1328125" style="125"/>
    <col min="20" max="20" width="15" style="125" customWidth="1"/>
    <col min="21" max="21" width="16.1328125" style="125" customWidth="1"/>
    <col min="22" max="22" width="12.86328125" style="125" customWidth="1"/>
    <col min="23" max="23" width="14.265625" style="125" customWidth="1"/>
    <col min="24" max="24" width="13.59765625" style="125" customWidth="1"/>
    <col min="25" max="25" width="9.1328125" style="125"/>
    <col min="26" max="26" width="17.3984375" style="125" customWidth="1"/>
    <col min="27" max="27" width="16.59765625" style="125" customWidth="1"/>
    <col min="28" max="28" width="16.265625" style="125" customWidth="1"/>
    <col min="29" max="29" width="9.1328125" style="125"/>
    <col min="30" max="30" width="17.1328125" style="125" customWidth="1"/>
    <col min="31" max="31" width="9.1328125" style="125"/>
    <col min="32" max="32" width="14.265625" style="125" customWidth="1"/>
    <col min="33" max="33" width="15.3984375" style="125" customWidth="1"/>
    <col min="34" max="34" width="9.1328125" style="125"/>
    <col min="35" max="35" width="15.1328125" style="125" customWidth="1"/>
    <col min="36" max="36" width="14.3984375" style="125" customWidth="1"/>
    <col min="37" max="37" width="9.1328125" style="125"/>
    <col min="38" max="38" width="8.73046875" style="125" customWidth="1"/>
    <col min="39" max="16384" width="9.1328125" style="125"/>
  </cols>
  <sheetData>
    <row r="1" spans="1:19" x14ac:dyDescent="0.45">
      <c r="A1" s="323"/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</row>
    <row r="2" spans="1:19" x14ac:dyDescent="0.45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</row>
    <row r="3" spans="1:19" x14ac:dyDescent="0.45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</row>
    <row r="4" spans="1:19" ht="14.65" thickBot="1" x14ac:dyDescent="0.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1:19" ht="18.399999999999999" thickBot="1" x14ac:dyDescent="0.6">
      <c r="A5" s="29"/>
      <c r="B5" s="331" t="s">
        <v>243</v>
      </c>
      <c r="C5" s="332"/>
      <c r="D5" s="332"/>
      <c r="E5" s="332"/>
      <c r="F5" s="333"/>
      <c r="G5" s="29"/>
      <c r="H5" s="331" t="s">
        <v>245</v>
      </c>
      <c r="I5" s="332"/>
      <c r="J5" s="332"/>
      <c r="K5" s="332"/>
      <c r="L5" s="333"/>
      <c r="M5" s="29"/>
      <c r="N5" s="341" t="s">
        <v>244</v>
      </c>
      <c r="O5" s="342"/>
      <c r="P5" s="342"/>
      <c r="Q5" s="342"/>
      <c r="R5" s="343"/>
      <c r="S5" s="29"/>
    </row>
    <row r="6" spans="1:19" x14ac:dyDescent="0.45">
      <c r="A6" s="29"/>
      <c r="B6" s="254" t="s">
        <v>130</v>
      </c>
      <c r="C6" s="334" t="s">
        <v>117</v>
      </c>
      <c r="D6" s="334"/>
      <c r="E6" s="88">
        <f>SpringStiffness_Fr/SpringMR_Fr^2</f>
        <v>57.834588452899986</v>
      </c>
      <c r="F6" s="335" t="s">
        <v>23</v>
      </c>
      <c r="G6" s="29"/>
      <c r="H6" s="254" t="s">
        <v>127</v>
      </c>
      <c r="I6" s="152" t="s">
        <v>188</v>
      </c>
      <c r="J6" s="152"/>
      <c r="K6" s="88">
        <f>E10*2+E11*2</f>
        <v>194.46317690579997</v>
      </c>
      <c r="L6" s="153" t="s">
        <v>23</v>
      </c>
      <c r="M6" s="29"/>
      <c r="N6" s="254" t="s">
        <v>127</v>
      </c>
      <c r="O6" s="152" t="s">
        <v>188</v>
      </c>
      <c r="P6" s="152"/>
      <c r="Q6" s="88">
        <f>E12*2+E13*2</f>
        <v>135.29556533105193</v>
      </c>
      <c r="R6" s="153" t="s">
        <v>23</v>
      </c>
      <c r="S6" s="29"/>
    </row>
    <row r="7" spans="1:19" x14ac:dyDescent="0.45">
      <c r="A7" s="29"/>
      <c r="B7" s="255"/>
      <c r="C7" s="309" t="s">
        <v>118</v>
      </c>
      <c r="D7" s="309"/>
      <c r="E7" s="64">
        <f>SpringStiffness_Rr/SpringMR_Rr^2</f>
        <v>39.396999999999998</v>
      </c>
      <c r="F7" s="327"/>
      <c r="G7" s="29"/>
      <c r="H7" s="255"/>
      <c r="I7" s="130" t="s">
        <v>189</v>
      </c>
      <c r="J7" s="130"/>
      <c r="K7" s="64">
        <f>SM</f>
        <v>228</v>
      </c>
      <c r="L7" s="150" t="s">
        <v>39</v>
      </c>
      <c r="M7" s="29"/>
      <c r="N7" s="255"/>
      <c r="O7" s="130" t="s">
        <v>128</v>
      </c>
      <c r="P7" s="130"/>
      <c r="Q7" s="64">
        <f>K7</f>
        <v>228</v>
      </c>
      <c r="R7" s="150" t="s">
        <v>39</v>
      </c>
      <c r="S7" s="29"/>
    </row>
    <row r="8" spans="1:19" x14ac:dyDescent="0.45">
      <c r="A8" s="29"/>
      <c r="B8" s="255"/>
      <c r="C8" s="309" t="s">
        <v>50</v>
      </c>
      <c r="D8" s="309"/>
      <c r="E8" s="64">
        <f>TireStiffness_Fr</f>
        <v>114</v>
      </c>
      <c r="F8" s="327" t="s">
        <v>23</v>
      </c>
      <c r="G8" s="29"/>
      <c r="H8" s="255"/>
      <c r="I8" s="130" t="s">
        <v>129</v>
      </c>
      <c r="J8" s="130"/>
      <c r="K8" s="64">
        <f>SQRT((K6*1000)/K7)/(2*PI())</f>
        <v>4.6480564768514885</v>
      </c>
      <c r="L8" s="150" t="s">
        <v>13</v>
      </c>
      <c r="M8" s="29"/>
      <c r="N8" s="255"/>
      <c r="O8" s="130" t="s">
        <v>129</v>
      </c>
      <c r="P8" s="130"/>
      <c r="Q8" s="64">
        <f>SQRT((Q6*1000)/Q7)/(2*PI())</f>
        <v>3.8769882874227206</v>
      </c>
      <c r="R8" s="150" t="s">
        <v>13</v>
      </c>
      <c r="S8" s="29"/>
    </row>
    <row r="9" spans="1:19" ht="15" customHeight="1" x14ac:dyDescent="0.45">
      <c r="A9" s="29"/>
      <c r="B9" s="255"/>
      <c r="C9" s="309" t="s">
        <v>58</v>
      </c>
      <c r="D9" s="309"/>
      <c r="E9" s="64">
        <f>TireStiffness_Rr</f>
        <v>114</v>
      </c>
      <c r="F9" s="327"/>
      <c r="G9" s="29"/>
      <c r="H9" s="255"/>
      <c r="I9" s="130" t="s">
        <v>143</v>
      </c>
      <c r="J9" s="130"/>
      <c r="K9" s="64">
        <f>2*SQRT(K6*1000*K7)/1000</f>
        <v>13.317297674006149</v>
      </c>
      <c r="L9" s="150" t="s">
        <v>137</v>
      </c>
      <c r="M9" s="29"/>
      <c r="N9" s="255"/>
      <c r="O9" s="130" t="s">
        <v>143</v>
      </c>
      <c r="P9" s="130"/>
      <c r="Q9" s="64">
        <f>2*SQRT(Q6*1000*Q7)/1000</f>
        <v>11.108085144700656</v>
      </c>
      <c r="R9" s="150" t="s">
        <v>137</v>
      </c>
      <c r="S9" s="29"/>
    </row>
    <row r="10" spans="1:19" x14ac:dyDescent="0.45">
      <c r="A10" s="29"/>
      <c r="B10" s="255"/>
      <c r="C10" s="309" t="s">
        <v>123</v>
      </c>
      <c r="D10" s="309"/>
      <c r="E10" s="64">
        <f>E6</f>
        <v>57.834588452899986</v>
      </c>
      <c r="F10" s="327" t="s">
        <v>23</v>
      </c>
      <c r="G10" s="29"/>
      <c r="H10" s="255"/>
      <c r="I10" s="130" t="s">
        <v>144</v>
      </c>
      <c r="J10" s="130"/>
      <c r="K10" s="64">
        <f>2*(E34+E35)</f>
        <v>9.2975684795089677</v>
      </c>
      <c r="L10" s="150" t="s">
        <v>137</v>
      </c>
      <c r="M10" s="29"/>
      <c r="N10" s="255"/>
      <c r="O10" s="130" t="s">
        <v>144</v>
      </c>
      <c r="P10" s="130"/>
      <c r="Q10" s="64">
        <f>2*(E34+E35)</f>
        <v>9.2975684795089677</v>
      </c>
      <c r="R10" s="327" t="s">
        <v>137</v>
      </c>
      <c r="S10" s="29"/>
    </row>
    <row r="11" spans="1:19" ht="14.65" thickBot="1" x14ac:dyDescent="0.5">
      <c r="A11" s="29"/>
      <c r="B11" s="255"/>
      <c r="C11" s="309" t="s">
        <v>124</v>
      </c>
      <c r="D11" s="309"/>
      <c r="E11" s="64">
        <f>E7</f>
        <v>39.396999999999998</v>
      </c>
      <c r="F11" s="327"/>
      <c r="G11" s="29"/>
      <c r="H11" s="256"/>
      <c r="I11" s="151" t="s">
        <v>147</v>
      </c>
      <c r="J11" s="151"/>
      <c r="K11" s="105">
        <f>K10/K9</f>
        <v>0.69815729189989983</v>
      </c>
      <c r="L11" s="154"/>
      <c r="M11" s="29"/>
      <c r="N11" s="256"/>
      <c r="O11" s="151" t="s">
        <v>147</v>
      </c>
      <c r="P11" s="151"/>
      <c r="Q11" s="105">
        <f>Q10/Q9</f>
        <v>0.83700911168695602</v>
      </c>
      <c r="R11" s="328"/>
      <c r="S11" s="29"/>
    </row>
    <row r="12" spans="1:19" x14ac:dyDescent="0.45">
      <c r="A12" s="29"/>
      <c r="B12" s="255"/>
      <c r="C12" s="309" t="s">
        <v>121</v>
      </c>
      <c r="D12" s="309"/>
      <c r="E12" s="64">
        <f>1/(1/E6+1/E8)</f>
        <v>38.369126629227992</v>
      </c>
      <c r="F12" s="327" t="s">
        <v>23</v>
      </c>
      <c r="G12" s="29"/>
      <c r="H12" s="254" t="s">
        <v>130</v>
      </c>
      <c r="I12" s="152" t="s">
        <v>133</v>
      </c>
      <c r="J12" s="152"/>
      <c r="K12" s="88">
        <f>E10*2</f>
        <v>115.66917690579997</v>
      </c>
      <c r="L12" s="335" t="s">
        <v>23</v>
      </c>
      <c r="M12" s="29"/>
      <c r="N12" s="254" t="s">
        <v>130</v>
      </c>
      <c r="O12" s="152" t="s">
        <v>133</v>
      </c>
      <c r="P12" s="152"/>
      <c r="Q12" s="88">
        <f>E12*2</f>
        <v>76.738253258455984</v>
      </c>
      <c r="R12" s="335" t="s">
        <v>23</v>
      </c>
      <c r="S12" s="29"/>
    </row>
    <row r="13" spans="1:19" ht="14.65" thickBot="1" x14ac:dyDescent="0.5">
      <c r="A13" s="29"/>
      <c r="B13" s="256"/>
      <c r="C13" s="312" t="s">
        <v>122</v>
      </c>
      <c r="D13" s="312"/>
      <c r="E13" s="105">
        <f>1/(1/E7+1/E9)</f>
        <v>29.278656036297971</v>
      </c>
      <c r="F13" s="328"/>
      <c r="G13" s="29"/>
      <c r="H13" s="255"/>
      <c r="I13" s="130" t="s">
        <v>134</v>
      </c>
      <c r="J13" s="130"/>
      <c r="K13" s="64">
        <f>E11*2</f>
        <v>78.793999999999997</v>
      </c>
      <c r="L13" s="327"/>
      <c r="M13" s="29"/>
      <c r="N13" s="255"/>
      <c r="O13" s="130" t="s">
        <v>134</v>
      </c>
      <c r="P13" s="130"/>
      <c r="Q13" s="64">
        <f>E13*2</f>
        <v>58.557312072595941</v>
      </c>
      <c r="R13" s="327"/>
      <c r="S13" s="29"/>
    </row>
    <row r="14" spans="1:19" x14ac:dyDescent="0.45">
      <c r="A14" s="29"/>
      <c r="B14" s="254" t="s">
        <v>34</v>
      </c>
      <c r="C14" s="334" t="s">
        <v>117</v>
      </c>
      <c r="D14" s="334"/>
      <c r="E14" s="88">
        <f>E6</f>
        <v>57.834588452899986</v>
      </c>
      <c r="F14" s="335" t="s">
        <v>23</v>
      </c>
      <c r="G14" s="29"/>
      <c r="H14" s="255"/>
      <c r="I14" s="130" t="s">
        <v>135</v>
      </c>
      <c r="J14" s="130"/>
      <c r="K14" s="64">
        <f>SM*SM_WD/100</f>
        <v>119.19999999999999</v>
      </c>
      <c r="L14" s="327" t="s">
        <v>39</v>
      </c>
      <c r="M14" s="29"/>
      <c r="N14" s="255"/>
      <c r="O14" s="130" t="s">
        <v>135</v>
      </c>
      <c r="P14" s="130"/>
      <c r="Q14" s="64">
        <f>K14</f>
        <v>119.19999999999999</v>
      </c>
      <c r="R14" s="327" t="s">
        <v>39</v>
      </c>
      <c r="S14" s="29"/>
    </row>
    <row r="15" spans="1:19" x14ac:dyDescent="0.45">
      <c r="A15" s="29"/>
      <c r="B15" s="255"/>
      <c r="C15" s="309" t="s">
        <v>118</v>
      </c>
      <c r="D15" s="309"/>
      <c r="E15" s="64">
        <f>E7</f>
        <v>39.396999999999998</v>
      </c>
      <c r="F15" s="327"/>
      <c r="G15" s="29"/>
      <c r="H15" s="255"/>
      <c r="I15" s="130" t="s">
        <v>136</v>
      </c>
      <c r="J15" s="130"/>
      <c r="K15" s="64">
        <f>SM*(100-SM_WD)/100</f>
        <v>108.80000000000001</v>
      </c>
      <c r="L15" s="327"/>
      <c r="M15" s="29"/>
      <c r="N15" s="255"/>
      <c r="O15" s="130" t="s">
        <v>136</v>
      </c>
      <c r="P15" s="130"/>
      <c r="Q15" s="64">
        <f>K15</f>
        <v>108.80000000000001</v>
      </c>
      <c r="R15" s="327"/>
      <c r="S15" s="29"/>
    </row>
    <row r="16" spans="1:19" x14ac:dyDescent="0.45">
      <c r="A16" s="29"/>
      <c r="B16" s="255"/>
      <c r="C16" s="309" t="s">
        <v>119</v>
      </c>
      <c r="D16" s="309"/>
      <c r="E16" s="64">
        <f>IF('WEIGHT TRANSFER MAIN'!F31="N/mm",ARBStiffness_Fr/ARBMR_Fr^2*2,(ARBStiffness_Fr/ARBMR_Fr^2)*180/PI()*2/(FrontTrack/1000)^2/1000)</f>
        <v>0</v>
      </c>
      <c r="F16" s="327" t="s">
        <v>23</v>
      </c>
      <c r="G16" s="29"/>
      <c r="H16" s="255"/>
      <c r="I16" s="130" t="s">
        <v>131</v>
      </c>
      <c r="J16" s="130"/>
      <c r="K16" s="64">
        <f>SQRT(K12*1000/K14)/(2*PI())</f>
        <v>4.9578208154288701</v>
      </c>
      <c r="L16" s="327" t="s">
        <v>13</v>
      </c>
      <c r="M16" s="29"/>
      <c r="N16" s="255"/>
      <c r="O16" s="130" t="s">
        <v>131</v>
      </c>
      <c r="P16" s="130"/>
      <c r="Q16" s="64">
        <f>SQRT(Q12*1000/Q14)/(2*PI())</f>
        <v>4.0382012478251692</v>
      </c>
      <c r="R16" s="327" t="s">
        <v>13</v>
      </c>
      <c r="S16" s="29"/>
    </row>
    <row r="17" spans="1:19" x14ac:dyDescent="0.45">
      <c r="A17" s="29"/>
      <c r="B17" s="255"/>
      <c r="C17" s="309" t="s">
        <v>120</v>
      </c>
      <c r="D17" s="309"/>
      <c r="E17" s="64">
        <f>IF('WEIGHT TRANSFER MAIN'!F31="N/mm",ARBStiffness_Rr/ARBMR_Rr^2*2,(ARBStiffness_Rr/ARBMR_Rr^2)*180/PI()*2/(RearTrack/1000)^2/1000)</f>
        <v>0</v>
      </c>
      <c r="F17" s="327"/>
      <c r="G17" s="29"/>
      <c r="H17" s="255"/>
      <c r="I17" s="130" t="s">
        <v>132</v>
      </c>
      <c r="J17" s="130"/>
      <c r="K17" s="64">
        <f>SQRT(K13*1000/K15)/(2*PI())</f>
        <v>4.2830412589973745</v>
      </c>
      <c r="L17" s="327"/>
      <c r="M17" s="29"/>
      <c r="N17" s="255"/>
      <c r="O17" s="130" t="s">
        <v>132</v>
      </c>
      <c r="P17" s="130"/>
      <c r="Q17" s="64">
        <f>SQRT(Q13*1000/Q15)/(2*PI())</f>
        <v>3.6922937964240004</v>
      </c>
      <c r="R17" s="327"/>
      <c r="S17" s="29"/>
    </row>
    <row r="18" spans="1:19" x14ac:dyDescent="0.45">
      <c r="A18" s="29"/>
      <c r="B18" s="255"/>
      <c r="C18" s="309" t="s">
        <v>50</v>
      </c>
      <c r="D18" s="309"/>
      <c r="E18" s="64">
        <f>E8</f>
        <v>114</v>
      </c>
      <c r="F18" s="327" t="s">
        <v>23</v>
      </c>
      <c r="G18" s="29"/>
      <c r="H18" s="255"/>
      <c r="I18" s="130" t="s">
        <v>138</v>
      </c>
      <c r="J18" s="130"/>
      <c r="K18" s="64">
        <f>2*SQRT(K12*1000*K14)/1000</f>
        <v>7.4263762057066183</v>
      </c>
      <c r="L18" s="327" t="s">
        <v>137</v>
      </c>
      <c r="M18" s="29"/>
      <c r="N18" s="255"/>
      <c r="O18" s="130" t="s">
        <v>140</v>
      </c>
      <c r="P18" s="130"/>
      <c r="Q18" s="64">
        <f>2*SQRT(Q12*1000*Q14)/1000</f>
        <v>6.0488675926682181</v>
      </c>
      <c r="R18" s="327" t="s">
        <v>137</v>
      </c>
      <c r="S18" s="29"/>
    </row>
    <row r="19" spans="1:19" x14ac:dyDescent="0.45">
      <c r="A19" s="29"/>
      <c r="B19" s="255"/>
      <c r="C19" s="309" t="s">
        <v>58</v>
      </c>
      <c r="D19" s="309"/>
      <c r="E19" s="64">
        <f>E9</f>
        <v>114</v>
      </c>
      <c r="F19" s="327"/>
      <c r="G19" s="29"/>
      <c r="H19" s="255"/>
      <c r="I19" s="130" t="s">
        <v>139</v>
      </c>
      <c r="J19" s="130"/>
      <c r="K19" s="64">
        <f>2*SQRT(K13*1000*K15)/1000</f>
        <v>5.8558644793061942</v>
      </c>
      <c r="L19" s="327"/>
      <c r="M19" s="29"/>
      <c r="N19" s="255"/>
      <c r="O19" s="130" t="s">
        <v>141</v>
      </c>
      <c r="P19" s="130"/>
      <c r="Q19" s="64">
        <f>2*SQRT(Q13*1000*Q15)/1000</f>
        <v>5.0481820702103999</v>
      </c>
      <c r="R19" s="327"/>
      <c r="S19" s="29"/>
    </row>
    <row r="20" spans="1:19" x14ac:dyDescent="0.45">
      <c r="A20" s="29"/>
      <c r="B20" s="255"/>
      <c r="C20" s="309" t="s">
        <v>123</v>
      </c>
      <c r="D20" s="309"/>
      <c r="E20" s="64">
        <f>E14+E16</f>
        <v>57.834588452899986</v>
      </c>
      <c r="F20" s="327" t="s">
        <v>23</v>
      </c>
      <c r="G20" s="29"/>
      <c r="H20" s="255"/>
      <c r="I20" s="130" t="s">
        <v>150</v>
      </c>
      <c r="J20" s="130"/>
      <c r="K20" s="64">
        <f>E34*2</f>
        <v>5.1984633439946322</v>
      </c>
      <c r="L20" s="327" t="s">
        <v>137</v>
      </c>
      <c r="M20" s="29"/>
      <c r="N20" s="255"/>
      <c r="O20" s="130" t="s">
        <v>150</v>
      </c>
      <c r="P20" s="130"/>
      <c r="Q20" s="64">
        <f>K20</f>
        <v>5.1984633439946322</v>
      </c>
      <c r="R20" s="327" t="s">
        <v>137</v>
      </c>
      <c r="S20" s="29"/>
    </row>
    <row r="21" spans="1:19" x14ac:dyDescent="0.45">
      <c r="A21" s="29"/>
      <c r="B21" s="255"/>
      <c r="C21" s="309" t="s">
        <v>124</v>
      </c>
      <c r="D21" s="309"/>
      <c r="E21" s="64">
        <f>E15+E17</f>
        <v>39.396999999999998</v>
      </c>
      <c r="F21" s="327"/>
      <c r="G21" s="29" t="s">
        <v>212</v>
      </c>
      <c r="H21" s="255"/>
      <c r="I21" s="130" t="s">
        <v>151</v>
      </c>
      <c r="J21" s="130"/>
      <c r="K21" s="64">
        <f>E35*2</f>
        <v>4.0991051355143355</v>
      </c>
      <c r="L21" s="327"/>
      <c r="M21" s="29"/>
      <c r="N21" s="255"/>
      <c r="O21" s="130" t="s">
        <v>151</v>
      </c>
      <c r="P21" s="130"/>
      <c r="Q21" s="64">
        <f>K21</f>
        <v>4.0991051355143355</v>
      </c>
      <c r="R21" s="327"/>
      <c r="S21" s="29"/>
    </row>
    <row r="22" spans="1:19" x14ac:dyDescent="0.45">
      <c r="A22" s="29"/>
      <c r="B22" s="255"/>
      <c r="C22" s="309" t="s">
        <v>121</v>
      </c>
      <c r="D22" s="309"/>
      <c r="E22" s="64">
        <f>1/(1/E20+1/E18)</f>
        <v>38.369126629227992</v>
      </c>
      <c r="F22" s="327" t="s">
        <v>23</v>
      </c>
      <c r="G22" s="29"/>
      <c r="H22" s="255"/>
      <c r="I22" s="130" t="s">
        <v>152</v>
      </c>
      <c r="J22" s="130"/>
      <c r="K22" s="64">
        <f>K20/K18</f>
        <v>0.7</v>
      </c>
      <c r="L22" s="327" t="s">
        <v>137</v>
      </c>
      <c r="M22" s="29"/>
      <c r="N22" s="255"/>
      <c r="O22" s="130" t="s">
        <v>152</v>
      </c>
      <c r="P22" s="130"/>
      <c r="Q22" s="64">
        <f>Q20/Q18</f>
        <v>0.85941099955562694</v>
      </c>
      <c r="R22" s="327" t="s">
        <v>137</v>
      </c>
      <c r="S22" s="29"/>
    </row>
    <row r="23" spans="1:19" ht="14.65" thickBot="1" x14ac:dyDescent="0.5">
      <c r="A23" s="29"/>
      <c r="B23" s="255"/>
      <c r="C23" s="309" t="s">
        <v>122</v>
      </c>
      <c r="D23" s="309"/>
      <c r="E23" s="64">
        <f>1/(1/E21+1/E19)</f>
        <v>29.278656036297971</v>
      </c>
      <c r="F23" s="327"/>
      <c r="G23" s="29"/>
      <c r="H23" s="256"/>
      <c r="I23" s="151" t="s">
        <v>153</v>
      </c>
      <c r="J23" s="151"/>
      <c r="K23" s="105">
        <f>K21/K19</f>
        <v>0.7</v>
      </c>
      <c r="L23" s="328"/>
      <c r="M23" s="29"/>
      <c r="N23" s="256"/>
      <c r="O23" s="151" t="s">
        <v>153</v>
      </c>
      <c r="P23" s="151"/>
      <c r="Q23" s="105">
        <f>Q21/Q19</f>
        <v>0.81199629460739553</v>
      </c>
      <c r="R23" s="328"/>
      <c r="S23" s="29"/>
    </row>
    <row r="24" spans="1:19" x14ac:dyDescent="0.45">
      <c r="A24" s="29"/>
      <c r="B24" s="255"/>
      <c r="C24" s="309" t="s">
        <v>154</v>
      </c>
      <c r="D24" s="309"/>
      <c r="E24" s="64">
        <f>(FrontTrack/1000)^2*(E20*1000)/2*PI()/180</f>
        <v>786.07537605084997</v>
      </c>
      <c r="F24" s="327" t="s">
        <v>90</v>
      </c>
      <c r="G24" s="29"/>
      <c r="H24" s="254" t="s">
        <v>34</v>
      </c>
      <c r="I24" s="152" t="s">
        <v>161</v>
      </c>
      <c r="J24" s="152"/>
      <c r="K24" s="88">
        <f>E24+E25</f>
        <v>1281.1526791447584</v>
      </c>
      <c r="L24" s="153" t="s">
        <v>90</v>
      </c>
      <c r="M24" s="29"/>
      <c r="N24" s="254" t="s">
        <v>34</v>
      </c>
      <c r="O24" s="152" t="s">
        <v>161</v>
      </c>
      <c r="P24" s="152"/>
      <c r="Q24" s="88">
        <f>E26+E27</f>
        <v>889.43141850898928</v>
      </c>
      <c r="R24" s="153" t="s">
        <v>90</v>
      </c>
      <c r="S24" s="29"/>
    </row>
    <row r="25" spans="1:19" x14ac:dyDescent="0.45">
      <c r="A25" s="29"/>
      <c r="B25" s="255"/>
      <c r="C25" s="309" t="s">
        <v>155</v>
      </c>
      <c r="D25" s="309"/>
      <c r="E25" s="64">
        <f>(RearTrack/1000)^2*(E21*1000)/2*PI()/180</f>
        <v>495.07730309390837</v>
      </c>
      <c r="F25" s="327"/>
      <c r="G25" s="29"/>
      <c r="H25" s="255"/>
      <c r="I25" s="130" t="s">
        <v>162</v>
      </c>
      <c r="J25" s="130"/>
      <c r="K25" s="64">
        <f>'WEIGHT TRANSFER MAIN'!E25</f>
        <v>200</v>
      </c>
      <c r="L25" s="150" t="s">
        <v>40</v>
      </c>
      <c r="M25" s="29"/>
      <c r="N25" s="255"/>
      <c r="O25" s="130" t="s">
        <v>162</v>
      </c>
      <c r="P25" s="130"/>
      <c r="Q25" s="64">
        <f>K25</f>
        <v>200</v>
      </c>
      <c r="R25" s="150" t="s">
        <v>40</v>
      </c>
      <c r="S25" s="29"/>
    </row>
    <row r="26" spans="1:19" x14ac:dyDescent="0.45">
      <c r="A26" s="29"/>
      <c r="B26" s="255"/>
      <c r="C26" s="309" t="s">
        <v>156</v>
      </c>
      <c r="D26" s="309"/>
      <c r="E26" s="64">
        <f>(FrontTrack/1000)^2*(E22*1000)/2*PI()/180</f>
        <v>521.50497566652462</v>
      </c>
      <c r="F26" s="327" t="s">
        <v>90</v>
      </c>
      <c r="G26" s="29"/>
      <c r="H26" s="255"/>
      <c r="I26" s="130" t="s">
        <v>163</v>
      </c>
      <c r="J26" s="130"/>
      <c r="K26" s="64">
        <f>SQRT(K24*180/PI()/K25)/(2*PI())</f>
        <v>3.0490664871014479</v>
      </c>
      <c r="L26" s="150" t="s">
        <v>13</v>
      </c>
      <c r="M26" s="29"/>
      <c r="N26" s="255"/>
      <c r="O26" s="130" t="s">
        <v>163</v>
      </c>
      <c r="P26" s="130"/>
      <c r="Q26" s="64">
        <f>SQRT(Q24*180/PI()/Q25)/(2*PI())</f>
        <v>2.5405203806509267</v>
      </c>
      <c r="R26" s="150" t="s">
        <v>13</v>
      </c>
      <c r="S26" s="29"/>
    </row>
    <row r="27" spans="1:19" ht="14.65" thickBot="1" x14ac:dyDescent="0.5">
      <c r="A27" s="29"/>
      <c r="B27" s="256"/>
      <c r="C27" s="312" t="s">
        <v>157</v>
      </c>
      <c r="D27" s="312"/>
      <c r="E27" s="105">
        <f>(RearTrack/1000)^2*(E23*1000)/2*PI()/180</f>
        <v>367.92644284246467</v>
      </c>
      <c r="F27" s="328"/>
      <c r="G27" s="29"/>
      <c r="H27" s="255"/>
      <c r="I27" s="130" t="s">
        <v>164</v>
      </c>
      <c r="J27" s="130"/>
      <c r="K27" s="64">
        <f>2*SQRT(K24*180/PI()*K25)*PI()/180</f>
        <v>133.7470223124912</v>
      </c>
      <c r="L27" s="150" t="s">
        <v>160</v>
      </c>
      <c r="M27" s="29"/>
      <c r="N27" s="255"/>
      <c r="O27" s="130" t="s">
        <v>164</v>
      </c>
      <c r="P27" s="130"/>
      <c r="Q27" s="64">
        <f>2*SQRT(Q24*180/PI()*Q25)*PI()/180</f>
        <v>111.43969391079821</v>
      </c>
      <c r="R27" s="150" t="s">
        <v>160</v>
      </c>
      <c r="S27" s="29"/>
    </row>
    <row r="28" spans="1:19" x14ac:dyDescent="0.45">
      <c r="A28" s="29"/>
      <c r="B28" s="254" t="s">
        <v>142</v>
      </c>
      <c r="C28" s="152" t="s">
        <v>173</v>
      </c>
      <c r="D28" s="152"/>
      <c r="E28" s="88">
        <f>((PCx)/1000)^2*(E10*1000)*PI()/180*2</f>
        <v>572.60903427953383</v>
      </c>
      <c r="F28" s="335" t="s">
        <v>90</v>
      </c>
      <c r="G28" s="29"/>
      <c r="H28" s="255"/>
      <c r="I28" s="130" t="s">
        <v>165</v>
      </c>
      <c r="J28" s="130"/>
      <c r="K28" s="64">
        <f>E36+E37</f>
        <v>61.083638996783321</v>
      </c>
      <c r="L28" s="150" t="s">
        <v>160</v>
      </c>
      <c r="M28" s="29"/>
      <c r="N28" s="255"/>
      <c r="O28" s="130" t="s">
        <v>165</v>
      </c>
      <c r="P28" s="130"/>
      <c r="Q28" s="64">
        <f>K28</f>
        <v>61.083638996783321</v>
      </c>
      <c r="R28" s="150" t="s">
        <v>160</v>
      </c>
      <c r="S28" s="29"/>
    </row>
    <row r="29" spans="1:19" ht="14.65" thickBot="1" x14ac:dyDescent="0.5">
      <c r="A29" s="29"/>
      <c r="B29" s="255"/>
      <c r="C29" s="130" t="s">
        <v>174</v>
      </c>
      <c r="D29" s="130"/>
      <c r="E29" s="64">
        <f>((Wheelbase-PCx)/1000)^2*(E11*1000)*PI()/180*2</f>
        <v>1409.59833878468</v>
      </c>
      <c r="F29" s="327"/>
      <c r="G29" s="29"/>
      <c r="H29" s="256"/>
      <c r="I29" s="151" t="s">
        <v>166</v>
      </c>
      <c r="J29" s="151"/>
      <c r="K29" s="105">
        <f>K28/K27</f>
        <v>0.45671027242808726</v>
      </c>
      <c r="L29" s="154"/>
      <c r="M29" s="29"/>
      <c r="N29" s="256"/>
      <c r="O29" s="151" t="s">
        <v>166</v>
      </c>
      <c r="P29" s="151"/>
      <c r="Q29" s="105">
        <f>Q28/Q27</f>
        <v>0.54813179086509034</v>
      </c>
      <c r="R29" s="154"/>
      <c r="S29" s="29"/>
    </row>
    <row r="30" spans="1:19" x14ac:dyDescent="0.45">
      <c r="A30" s="29"/>
      <c r="B30" s="255"/>
      <c r="C30" s="309" t="s">
        <v>175</v>
      </c>
      <c r="D30" s="309"/>
      <c r="E30" s="64">
        <f>((PCx)/1000)^2*(E12*1000)*PI()/180*2</f>
        <v>379.88527511013569</v>
      </c>
      <c r="F30" s="327" t="s">
        <v>90</v>
      </c>
      <c r="G30" s="29"/>
      <c r="H30" s="254" t="s">
        <v>142</v>
      </c>
      <c r="I30" s="152" t="s">
        <v>167</v>
      </c>
      <c r="J30" s="152"/>
      <c r="K30" s="88">
        <f>E28+E29</f>
        <v>1982.2073730642137</v>
      </c>
      <c r="L30" s="153" t="s">
        <v>90</v>
      </c>
      <c r="M30" s="29"/>
      <c r="N30" s="254" t="s">
        <v>142</v>
      </c>
      <c r="O30" s="152" t="s">
        <v>167</v>
      </c>
      <c r="P30" s="152"/>
      <c r="Q30" s="88">
        <f>E30+E31</f>
        <v>1427.4560269596082</v>
      </c>
      <c r="R30" s="153" t="s">
        <v>90</v>
      </c>
      <c r="S30" s="29"/>
    </row>
    <row r="31" spans="1:19" ht="14.65" thickBot="1" x14ac:dyDescent="0.5">
      <c r="A31" s="29"/>
      <c r="B31" s="256"/>
      <c r="C31" s="312" t="s">
        <v>176</v>
      </c>
      <c r="D31" s="312"/>
      <c r="E31" s="105">
        <f>((Wheelbase-PCx)/1000)^2*(E13*1000)*PI()/180*2</f>
        <v>1047.5707518494723</v>
      </c>
      <c r="F31" s="328"/>
      <c r="G31" s="29"/>
      <c r="H31" s="255"/>
      <c r="I31" s="130" t="s">
        <v>169</v>
      </c>
      <c r="J31" s="130"/>
      <c r="K31" s="64">
        <f>'WEIGHT TRANSFER MAIN'!E26</f>
        <v>1250</v>
      </c>
      <c r="L31" s="150" t="s">
        <v>40</v>
      </c>
      <c r="M31" s="29"/>
      <c r="N31" s="255"/>
      <c r="O31" s="130" t="s">
        <v>169</v>
      </c>
      <c r="P31" s="130"/>
      <c r="Q31" s="64">
        <f>K31</f>
        <v>1250</v>
      </c>
      <c r="R31" s="150" t="s">
        <v>40</v>
      </c>
      <c r="S31" s="29"/>
    </row>
    <row r="32" spans="1:19" x14ac:dyDescent="0.45">
      <c r="A32" s="29"/>
      <c r="B32" s="254" t="s">
        <v>185</v>
      </c>
      <c r="C32" s="152" t="s">
        <v>209</v>
      </c>
      <c r="D32" s="152"/>
      <c r="E32" s="88">
        <f>'WEIGHT TRANSFER MAIN'!E29</f>
        <v>0.7</v>
      </c>
      <c r="F32" s="329"/>
      <c r="G32" s="29"/>
      <c r="H32" s="255"/>
      <c r="I32" s="130" t="s">
        <v>168</v>
      </c>
      <c r="J32" s="130"/>
      <c r="K32" s="64">
        <f>SQRT(K30*180/PI()/K31)/(2*PI())</f>
        <v>1.5170538080306866</v>
      </c>
      <c r="L32" s="150" t="s">
        <v>13</v>
      </c>
      <c r="M32" s="29"/>
      <c r="N32" s="255"/>
      <c r="O32" s="130" t="s">
        <v>168</v>
      </c>
      <c r="P32" s="130"/>
      <c r="Q32" s="64">
        <f>SQRT(Q30*180/PI()/Q31)/(2*PI())</f>
        <v>1.2873831206727753</v>
      </c>
      <c r="R32" s="150" t="s">
        <v>13</v>
      </c>
      <c r="S32" s="29"/>
    </row>
    <row r="33" spans="1:19" x14ac:dyDescent="0.45">
      <c r="A33" s="29"/>
      <c r="B33" s="255"/>
      <c r="C33" s="130" t="s">
        <v>210</v>
      </c>
      <c r="D33" s="130"/>
      <c r="E33" s="64">
        <f>'WEIGHT TRANSFER MAIN'!E30</f>
        <v>0.7</v>
      </c>
      <c r="F33" s="330"/>
      <c r="G33" s="29"/>
      <c r="H33" s="255"/>
      <c r="I33" s="130" t="s">
        <v>170</v>
      </c>
      <c r="J33" s="130"/>
      <c r="K33" s="64">
        <f>2*SQRT(K30*180/PI()*K31)*PI()/180</f>
        <v>415.9089150119176</v>
      </c>
      <c r="L33" s="150" t="s">
        <v>160</v>
      </c>
      <c r="M33" s="29"/>
      <c r="N33" s="255"/>
      <c r="O33" s="130" t="s">
        <v>170</v>
      </c>
      <c r="P33" s="130"/>
      <c r="Q33" s="64">
        <f>2*SQRT(Q30*180/PI()*Q31)*PI()/180</f>
        <v>352.94339204667153</v>
      </c>
      <c r="R33" s="150" t="s">
        <v>160</v>
      </c>
      <c r="S33" s="29"/>
    </row>
    <row r="34" spans="1:19" ht="15" customHeight="1" x14ac:dyDescent="0.45">
      <c r="A34" s="29"/>
      <c r="B34" s="255"/>
      <c r="C34" s="309" t="s">
        <v>145</v>
      </c>
      <c r="D34" s="309"/>
      <c r="E34" s="64">
        <f>E32*K18/2</f>
        <v>2.5992316719973161</v>
      </c>
      <c r="F34" s="327" t="s">
        <v>137</v>
      </c>
      <c r="G34" s="29"/>
      <c r="H34" s="255"/>
      <c r="I34" s="130" t="s">
        <v>172</v>
      </c>
      <c r="J34" s="130"/>
      <c r="K34" s="64">
        <f>E38+E39</f>
        <v>99.06610982427847</v>
      </c>
      <c r="L34" s="327" t="s">
        <v>160</v>
      </c>
      <c r="M34" s="29"/>
      <c r="N34" s="255"/>
      <c r="O34" s="130" t="s">
        <v>172</v>
      </c>
      <c r="P34" s="130"/>
      <c r="Q34" s="64">
        <f>K34</f>
        <v>99.06610982427847</v>
      </c>
      <c r="R34" s="150" t="s">
        <v>160</v>
      </c>
      <c r="S34" s="29"/>
    </row>
    <row r="35" spans="1:19" ht="14.65" thickBot="1" x14ac:dyDescent="0.5">
      <c r="A35" s="29"/>
      <c r="B35" s="255"/>
      <c r="C35" s="309" t="s">
        <v>146</v>
      </c>
      <c r="D35" s="309"/>
      <c r="E35" s="64">
        <f>E33*K19/2</f>
        <v>2.0495525677571678</v>
      </c>
      <c r="F35" s="327"/>
      <c r="G35" s="29"/>
      <c r="H35" s="256"/>
      <c r="I35" s="151" t="s">
        <v>171</v>
      </c>
      <c r="J35" s="151"/>
      <c r="K35" s="105">
        <f>K34/K33</f>
        <v>0.23819184020481934</v>
      </c>
      <c r="L35" s="328"/>
      <c r="M35" s="29"/>
      <c r="N35" s="256"/>
      <c r="O35" s="151" t="s">
        <v>171</v>
      </c>
      <c r="P35" s="151"/>
      <c r="Q35" s="105">
        <f>Q34/Q33</f>
        <v>0.28068554917491823</v>
      </c>
      <c r="R35" s="154"/>
      <c r="S35" s="29"/>
    </row>
    <row r="36" spans="1:19" ht="15.75" customHeight="1" thickBot="1" x14ac:dyDescent="0.5">
      <c r="A36" s="29"/>
      <c r="B36" s="255"/>
      <c r="C36" s="309" t="s">
        <v>158</v>
      </c>
      <c r="D36" s="309"/>
      <c r="E36" s="64">
        <f>(E34*1000)*(FrontTrack/1000)^2/2*PI()/180</f>
        <v>35.328201836735268</v>
      </c>
      <c r="F36" s="327" t="s">
        <v>160</v>
      </c>
      <c r="G36" s="29"/>
      <c r="H36" s="29"/>
      <c r="I36" s="29"/>
      <c r="J36" s="29"/>
      <c r="K36" s="29"/>
      <c r="L36" s="29"/>
      <c r="M36" s="29"/>
      <c r="N36" s="254" t="s">
        <v>205</v>
      </c>
      <c r="O36" s="152" t="s">
        <v>125</v>
      </c>
      <c r="P36" s="152"/>
      <c r="Q36" s="88">
        <f>E10+E8</f>
        <v>171.83458845289999</v>
      </c>
      <c r="R36" s="153" t="s">
        <v>23</v>
      </c>
      <c r="S36" s="29"/>
    </row>
    <row r="37" spans="1:19" ht="15.75" customHeight="1" x14ac:dyDescent="0.55000000000000004">
      <c r="A37" s="29"/>
      <c r="B37" s="255"/>
      <c r="C37" s="309" t="s">
        <v>159</v>
      </c>
      <c r="D37" s="309"/>
      <c r="E37" s="64">
        <f>(E35*1000)*(RearTrack/1000)^2/2*PI()/180</f>
        <v>25.755437160048057</v>
      </c>
      <c r="F37" s="327"/>
      <c r="G37" s="29"/>
      <c r="H37" s="293" t="s">
        <v>246</v>
      </c>
      <c r="I37" s="294"/>
      <c r="J37" s="294"/>
      <c r="K37" s="294"/>
      <c r="L37" s="295"/>
      <c r="M37" s="29"/>
      <c r="N37" s="255"/>
      <c r="O37" s="130" t="s">
        <v>126</v>
      </c>
      <c r="P37" s="130"/>
      <c r="Q37" s="64">
        <f>E11+E9</f>
        <v>153.39699999999999</v>
      </c>
      <c r="R37" s="150"/>
      <c r="S37" s="29"/>
    </row>
    <row r="38" spans="1:19" ht="15" customHeight="1" x14ac:dyDescent="0.45">
      <c r="A38" s="29"/>
      <c r="B38" s="255"/>
      <c r="C38" s="309" t="s">
        <v>186</v>
      </c>
      <c r="D38" s="309"/>
      <c r="E38" s="64">
        <f>((PCx)/1000)^2*(E34*1000)*PI()/180*2</f>
        <v>25.734488260139621</v>
      </c>
      <c r="F38" s="327" t="s">
        <v>90</v>
      </c>
      <c r="G38" s="29"/>
      <c r="H38" s="336" t="s">
        <v>34</v>
      </c>
      <c r="I38" s="190" t="s">
        <v>207</v>
      </c>
      <c r="J38" s="190"/>
      <c r="K38" s="339">
        <f>E36/K28</f>
        <v>0.57835784535685009</v>
      </c>
      <c r="L38" s="327" t="s">
        <v>208</v>
      </c>
      <c r="M38" s="29"/>
      <c r="N38" s="255"/>
      <c r="O38" s="130" t="s">
        <v>179</v>
      </c>
      <c r="P38" s="130"/>
      <c r="Q38" s="64">
        <f>NSM_Fr</f>
        <v>8</v>
      </c>
      <c r="R38" s="327" t="s">
        <v>39</v>
      </c>
      <c r="S38" s="29"/>
    </row>
    <row r="39" spans="1:19" ht="14.65" thickBot="1" x14ac:dyDescent="0.5">
      <c r="A39" s="29"/>
      <c r="B39" s="256"/>
      <c r="C39" s="312" t="s">
        <v>187</v>
      </c>
      <c r="D39" s="312"/>
      <c r="E39" s="105">
        <f>((Wheelbase-PCx)/1000)^2*(E35*1000)*PI()/180*2</f>
        <v>73.331621564138857</v>
      </c>
      <c r="F39" s="328"/>
      <c r="G39" s="29"/>
      <c r="H39" s="337"/>
      <c r="I39" s="338"/>
      <c r="J39" s="338"/>
      <c r="K39" s="340"/>
      <c r="L39" s="328"/>
      <c r="M39" s="29"/>
      <c r="N39" s="255"/>
      <c r="O39" s="130" t="s">
        <v>180</v>
      </c>
      <c r="P39" s="130"/>
      <c r="Q39" s="64">
        <f>NSM_Rr</f>
        <v>8</v>
      </c>
      <c r="R39" s="327"/>
      <c r="S39" s="29"/>
    </row>
    <row r="40" spans="1:19" x14ac:dyDescent="0.4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55"/>
      <c r="O40" s="130" t="s">
        <v>177</v>
      </c>
      <c r="P40" s="130"/>
      <c r="Q40" s="64">
        <f>SQRT(Q36*1000/Q38)/(2*PI())</f>
        <v>23.325471520382642</v>
      </c>
      <c r="R40" s="327" t="s">
        <v>13</v>
      </c>
      <c r="S40" s="29"/>
    </row>
    <row r="41" spans="1:19" ht="17.25" customHeight="1" x14ac:dyDescent="0.4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55"/>
      <c r="O41" s="130" t="s">
        <v>178</v>
      </c>
      <c r="P41" s="130"/>
      <c r="Q41" s="64">
        <f>SQRT(Q37*1000/Q39)/(2*PI())</f>
        <v>22.038578112584538</v>
      </c>
      <c r="R41" s="327"/>
      <c r="S41" s="29"/>
    </row>
    <row r="42" spans="1:19" ht="17.25" customHeight="1" x14ac:dyDescent="0.4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55"/>
      <c r="O42" s="130" t="s">
        <v>181</v>
      </c>
      <c r="P42" s="130"/>
      <c r="Q42" s="64">
        <f>2*SQRT(Q36*1000*Q38)/1000</f>
        <v>2.3449321590384655</v>
      </c>
      <c r="R42" s="327" t="s">
        <v>137</v>
      </c>
      <c r="S42" s="29"/>
    </row>
    <row r="43" spans="1:19" x14ac:dyDescent="0.45">
      <c r="A43" s="29"/>
      <c r="B43" s="29"/>
      <c r="C43" s="29"/>
      <c r="D43" s="29"/>
      <c r="E43" s="29"/>
      <c r="F43" s="29"/>
      <c r="G43" s="29"/>
      <c r="H43" s="149"/>
      <c r="I43" s="29"/>
      <c r="J43" s="29"/>
      <c r="K43" s="29"/>
      <c r="L43" s="29"/>
      <c r="M43" s="29"/>
      <c r="N43" s="255"/>
      <c r="O43" s="130" t="s">
        <v>182</v>
      </c>
      <c r="P43" s="130"/>
      <c r="Q43" s="64">
        <f>2*SQRT(Q37*1000*Q39)/1000</f>
        <v>2.2155595230099325</v>
      </c>
      <c r="R43" s="327"/>
      <c r="S43" s="29"/>
    </row>
    <row r="44" spans="1:19" x14ac:dyDescent="0.45">
      <c r="A44" s="29"/>
      <c r="B44" s="29"/>
      <c r="C44" s="29"/>
      <c r="D44" s="29"/>
      <c r="E44" s="29"/>
      <c r="F44" s="29"/>
      <c r="G44" s="29"/>
      <c r="H44" s="149"/>
      <c r="I44" s="29"/>
      <c r="J44" s="29"/>
      <c r="K44" s="29"/>
      <c r="L44" s="29"/>
      <c r="M44" s="29"/>
      <c r="N44" s="255"/>
      <c r="O44" s="130" t="s">
        <v>183</v>
      </c>
      <c r="P44" s="130"/>
      <c r="Q44" s="64">
        <f>E34</f>
        <v>2.5992316719973161</v>
      </c>
      <c r="R44" s="327" t="s">
        <v>137</v>
      </c>
      <c r="S44" s="29"/>
    </row>
    <row r="45" spans="1:19" x14ac:dyDescent="0.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55"/>
      <c r="O45" s="130" t="s">
        <v>184</v>
      </c>
      <c r="P45" s="130"/>
      <c r="Q45" s="64">
        <f>E35</f>
        <v>2.0495525677571678</v>
      </c>
      <c r="R45" s="327"/>
      <c r="S45" s="29"/>
    </row>
    <row r="46" spans="1:19" x14ac:dyDescent="0.4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55"/>
      <c r="O46" s="130" t="s">
        <v>148</v>
      </c>
      <c r="P46" s="130"/>
      <c r="Q46" s="64">
        <f>Q44/Q42</f>
        <v>1.1084464264685276</v>
      </c>
      <c r="R46" s="327" t="s">
        <v>137</v>
      </c>
      <c r="S46" s="29"/>
    </row>
    <row r="47" spans="1:19" ht="14.65" thickBot="1" x14ac:dyDescent="0.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56"/>
      <c r="O47" s="151" t="s">
        <v>149</v>
      </c>
      <c r="P47" s="151"/>
      <c r="Q47" s="105">
        <f>Q45/Q43</f>
        <v>0.92507222057061356</v>
      </c>
      <c r="R47" s="328"/>
      <c r="S47" s="29"/>
    </row>
    <row r="48" spans="1:19" x14ac:dyDescent="0.4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51" spans="5:5" x14ac:dyDescent="0.45">
      <c r="E51" s="155"/>
    </row>
  </sheetData>
  <mergeCells count="88">
    <mergeCell ref="N5:R5"/>
    <mergeCell ref="N6:N11"/>
    <mergeCell ref="N12:N23"/>
    <mergeCell ref="R12:R13"/>
    <mergeCell ref="R14:R15"/>
    <mergeCell ref="R16:R17"/>
    <mergeCell ref="R18:R19"/>
    <mergeCell ref="R20:R21"/>
    <mergeCell ref="R22:R23"/>
    <mergeCell ref="H6:H11"/>
    <mergeCell ref="R38:R39"/>
    <mergeCell ref="R40:R41"/>
    <mergeCell ref="R42:R43"/>
    <mergeCell ref="R44:R45"/>
    <mergeCell ref="N36:N47"/>
    <mergeCell ref="H30:H35"/>
    <mergeCell ref="H37:L37"/>
    <mergeCell ref="H38:H39"/>
    <mergeCell ref="R46:R47"/>
    <mergeCell ref="N24:N29"/>
    <mergeCell ref="N30:N35"/>
    <mergeCell ref="L34:L35"/>
    <mergeCell ref="R10:R11"/>
    <mergeCell ref="I38:J39"/>
    <mergeCell ref="K38:K39"/>
    <mergeCell ref="L12:L13"/>
    <mergeCell ref="L16:L17"/>
    <mergeCell ref="L14:L15"/>
    <mergeCell ref="H12:H23"/>
    <mergeCell ref="H24:H29"/>
    <mergeCell ref="F6:F7"/>
    <mergeCell ref="C13:D13"/>
    <mergeCell ref="C39:D39"/>
    <mergeCell ref="C38:D38"/>
    <mergeCell ref="C37:D37"/>
    <mergeCell ref="C36:D36"/>
    <mergeCell ref="C35:D35"/>
    <mergeCell ref="C34:D34"/>
    <mergeCell ref="C31:D31"/>
    <mergeCell ref="C30:D30"/>
    <mergeCell ref="C16:D16"/>
    <mergeCell ref="C15:D15"/>
    <mergeCell ref="C18:D18"/>
    <mergeCell ref="C17:D17"/>
    <mergeCell ref="C27:D27"/>
    <mergeCell ref="C26:D26"/>
    <mergeCell ref="F12:F13"/>
    <mergeCell ref="F10:F11"/>
    <mergeCell ref="B32:B39"/>
    <mergeCell ref="F14:F15"/>
    <mergeCell ref="F8:F9"/>
    <mergeCell ref="C25:D25"/>
    <mergeCell ref="C24:D24"/>
    <mergeCell ref="C23:D23"/>
    <mergeCell ref="C22:D22"/>
    <mergeCell ref="C21:D21"/>
    <mergeCell ref="C20:D20"/>
    <mergeCell ref="C19:D19"/>
    <mergeCell ref="F26:F27"/>
    <mergeCell ref="F24:F25"/>
    <mergeCell ref="B28:B31"/>
    <mergeCell ref="F38:F39"/>
    <mergeCell ref="F22:F23"/>
    <mergeCell ref="F36:F37"/>
    <mergeCell ref="F34:F35"/>
    <mergeCell ref="F30:F31"/>
    <mergeCell ref="F28:F29"/>
    <mergeCell ref="C9:D9"/>
    <mergeCell ref="C14:D14"/>
    <mergeCell ref="C8:D8"/>
    <mergeCell ref="B6:B13"/>
    <mergeCell ref="B14:B27"/>
    <mergeCell ref="L38:L39"/>
    <mergeCell ref="F32:F33"/>
    <mergeCell ref="B5:F5"/>
    <mergeCell ref="A1:S3"/>
    <mergeCell ref="H5:L5"/>
    <mergeCell ref="L22:L23"/>
    <mergeCell ref="L20:L21"/>
    <mergeCell ref="L18:L19"/>
    <mergeCell ref="C6:D6"/>
    <mergeCell ref="C7:D7"/>
    <mergeCell ref="F16:F17"/>
    <mergeCell ref="F20:F21"/>
    <mergeCell ref="F18:F19"/>
    <mergeCell ref="C12:D12"/>
    <mergeCell ref="C11:D11"/>
    <mergeCell ref="C10:D10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0" tint="-0.499984740745262"/>
  </sheetPr>
  <dimension ref="A1:O75"/>
  <sheetViews>
    <sheetView topLeftCell="A3" zoomScale="130" zoomScaleNormal="130" workbookViewId="0">
      <selection activeCell="I6" sqref="I6"/>
    </sheetView>
  </sheetViews>
  <sheetFormatPr defaultColWidth="9.1328125" defaultRowHeight="14.25" x14ac:dyDescent="0.45"/>
  <cols>
    <col min="1" max="1" width="9.1328125" style="125"/>
    <col min="2" max="2" width="11" style="125" customWidth="1"/>
    <col min="3" max="3" width="17.1328125" style="125" customWidth="1"/>
    <col min="4" max="4" width="10.3984375" style="125" customWidth="1"/>
    <col min="5" max="5" width="13.1328125" style="125" customWidth="1"/>
    <col min="6" max="6" width="12.265625" style="125" customWidth="1"/>
    <col min="7" max="7" width="11.59765625" style="125" customWidth="1"/>
    <col min="8" max="8" width="13.1328125" style="125" customWidth="1"/>
    <col min="9" max="9" width="16" style="125" customWidth="1"/>
    <col min="10" max="10" width="17.1328125" style="125" customWidth="1"/>
    <col min="11" max="16384" width="9.1328125" style="125"/>
  </cols>
  <sheetData>
    <row r="1" spans="1:15" x14ac:dyDescent="0.45">
      <c r="A1" s="287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96"/>
    </row>
    <row r="2" spans="1:15" x14ac:dyDescent="0.45">
      <c r="A2" s="289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7"/>
    </row>
    <row r="3" spans="1:15" x14ac:dyDescent="0.45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7"/>
    </row>
    <row r="4" spans="1:15" x14ac:dyDescent="0.45">
      <c r="A4" s="291"/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8"/>
    </row>
    <row r="5" spans="1:15" ht="14.65" thickBot="1" x14ac:dyDescent="0.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4.65" thickBot="1" x14ac:dyDescent="0.5">
      <c r="A6" s="29"/>
      <c r="B6" s="344" t="s">
        <v>247</v>
      </c>
      <c r="C6" s="345"/>
      <c r="D6" s="171">
        <v>0.7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4.65" thickBot="1" x14ac:dyDescent="0.5">
      <c r="A7" s="29"/>
      <c r="B7" s="29"/>
      <c r="C7" s="29"/>
      <c r="D7" s="29"/>
      <c r="E7" s="29"/>
      <c r="F7" s="148"/>
      <c r="G7" s="29"/>
      <c r="H7" s="29"/>
      <c r="I7" s="29"/>
      <c r="J7" s="29"/>
      <c r="K7" s="29"/>
      <c r="L7" s="29"/>
      <c r="M7" s="29"/>
      <c r="N7" s="29"/>
      <c r="O7" s="29"/>
    </row>
    <row r="8" spans="1:15" x14ac:dyDescent="0.45">
      <c r="A8" s="29"/>
      <c r="B8" s="350" t="s">
        <v>190</v>
      </c>
      <c r="C8" s="348"/>
      <c r="D8" s="346" t="s">
        <v>248</v>
      </c>
      <c r="E8" s="346"/>
      <c r="F8" s="346"/>
      <c r="G8" s="346"/>
      <c r="H8" s="347"/>
      <c r="I8" s="29"/>
      <c r="J8" s="29"/>
      <c r="K8" s="29"/>
      <c r="L8" s="29"/>
      <c r="M8" s="29"/>
      <c r="N8" s="29"/>
      <c r="O8" s="29"/>
    </row>
    <row r="9" spans="1:15" x14ac:dyDescent="0.45">
      <c r="A9" s="29"/>
      <c r="B9" s="316" t="s">
        <v>249</v>
      </c>
      <c r="C9" s="317"/>
      <c r="D9" s="129" t="s">
        <v>192</v>
      </c>
      <c r="E9" s="129" t="s">
        <v>193</v>
      </c>
      <c r="F9" s="129" t="s">
        <v>194</v>
      </c>
      <c r="G9" s="129" t="s">
        <v>34</v>
      </c>
      <c r="H9" s="158" t="s">
        <v>142</v>
      </c>
      <c r="I9" s="29"/>
      <c r="J9" s="29"/>
      <c r="K9" s="29"/>
      <c r="L9" s="29"/>
      <c r="M9" s="29"/>
      <c r="N9" s="29"/>
      <c r="O9" s="29"/>
    </row>
    <row r="10" spans="1:15" x14ac:dyDescent="0.45">
      <c r="A10" s="29"/>
      <c r="B10" s="336" t="s">
        <v>191</v>
      </c>
      <c r="C10" s="130" t="s">
        <v>192</v>
      </c>
      <c r="D10" s="156">
        <f>D6</f>
        <v>0.7</v>
      </c>
      <c r="E10" s="157">
        <f>D61/DAMPING!$K$18</f>
        <v>0.70184757172206824</v>
      </c>
      <c r="F10" s="157">
        <f>E61/DAMPING!$K$19</f>
        <v>0.70184757172206824</v>
      </c>
      <c r="G10" s="157">
        <f>(J61+K61)/DAMPING!$K$27</f>
        <v>0.4579157081202534</v>
      </c>
      <c r="H10" s="159">
        <f>(L61+M61)/DAMPING!$K$33</f>
        <v>0.23882052093109063</v>
      </c>
      <c r="I10" s="29"/>
      <c r="J10" s="29"/>
      <c r="K10" s="29"/>
      <c r="L10" s="29"/>
      <c r="M10" s="29"/>
      <c r="N10" s="29"/>
      <c r="O10" s="29"/>
    </row>
    <row r="11" spans="1:15" x14ac:dyDescent="0.45">
      <c r="A11" s="29"/>
      <c r="B11" s="336"/>
      <c r="C11" s="130" t="s">
        <v>193</v>
      </c>
      <c r="D11" s="157">
        <f>(G62+H62)*2/DAMPING!$K$9</f>
        <v>0.69815729189989983</v>
      </c>
      <c r="E11" s="156">
        <f>D6</f>
        <v>0.7</v>
      </c>
      <c r="F11" s="157">
        <f>E62/DAMPING!$K$19</f>
        <v>0.7</v>
      </c>
      <c r="G11" s="157">
        <f>(J62+K62)/DAMPING!$K$27</f>
        <v>0.45671027242808732</v>
      </c>
      <c r="H11" s="159">
        <f>(L62+M62)/DAMPING!$K$33</f>
        <v>0.23819184020481934</v>
      </c>
      <c r="I11" s="29"/>
      <c r="J11" s="29"/>
      <c r="K11" s="29"/>
      <c r="L11" s="29"/>
      <c r="M11" s="29"/>
      <c r="N11" s="29"/>
      <c r="O11" s="29"/>
    </row>
    <row r="12" spans="1:15" x14ac:dyDescent="0.45">
      <c r="A12" s="29"/>
      <c r="B12" s="336"/>
      <c r="C12" s="130" t="s">
        <v>194</v>
      </c>
      <c r="D12" s="157">
        <f>(G63+H63)*2/DAMPING!$K$9</f>
        <v>0.69815729189989983</v>
      </c>
      <c r="E12" s="157">
        <f>D63/DAMPING!$K$18</f>
        <v>0.7</v>
      </c>
      <c r="F12" s="156">
        <f>D6</f>
        <v>0.7</v>
      </c>
      <c r="G12" s="157">
        <f>(J63+K63)/DAMPING!$K$27</f>
        <v>0.45671027242808732</v>
      </c>
      <c r="H12" s="159">
        <f>(L63+M63)/DAMPING!$K$33</f>
        <v>0.23819184020481934</v>
      </c>
      <c r="I12" s="29"/>
      <c r="J12" s="29"/>
      <c r="K12" s="29"/>
      <c r="L12" s="29"/>
      <c r="M12" s="29"/>
      <c r="N12" s="29"/>
      <c r="O12" s="29"/>
    </row>
    <row r="13" spans="1:15" x14ac:dyDescent="0.45">
      <c r="A13" s="29"/>
      <c r="B13" s="336"/>
      <c r="C13" s="130" t="s">
        <v>197</v>
      </c>
      <c r="D13" s="157">
        <f>(G64+H64)*2/DAMPING!$K$9</f>
        <v>1.0700659342118939</v>
      </c>
      <c r="E13" s="157">
        <f>D64/DAMPING!$K$18</f>
        <v>1.0728902535844633</v>
      </c>
      <c r="F13" s="157">
        <f>E64/DAMPING!$K$19</f>
        <v>1.0728902535844633</v>
      </c>
      <c r="G13" s="156">
        <f>D6</f>
        <v>0.7</v>
      </c>
      <c r="H13" s="159">
        <f>(L64+M64)/DAMPING!$K$33</f>
        <v>0.365076719770141</v>
      </c>
      <c r="I13" s="29"/>
      <c r="J13" s="29"/>
      <c r="K13" s="29"/>
      <c r="L13" s="29"/>
      <c r="M13" s="29"/>
      <c r="N13" s="29"/>
      <c r="O13" s="29"/>
    </row>
    <row r="14" spans="1:15" ht="14.65" thickBot="1" x14ac:dyDescent="0.5">
      <c r="A14" s="29"/>
      <c r="B14" s="337"/>
      <c r="C14" s="151" t="s">
        <v>142</v>
      </c>
      <c r="D14" s="160">
        <f>(G65+H65)*2/DAMPING!$K$9</f>
        <v>2.0517499840031959</v>
      </c>
      <c r="E14" s="160">
        <f>D65/DAMPING!$K$18</f>
        <v>2.0571653486477648</v>
      </c>
      <c r="F14" s="160">
        <f>E65/DAMPING!$K$19</f>
        <v>2.0571653486477648</v>
      </c>
      <c r="G14" s="160">
        <f>(J65+K65)/DAMPING!$K$27</f>
        <v>1.3421836383007744</v>
      </c>
      <c r="H14" s="161">
        <f>D6</f>
        <v>0.7</v>
      </c>
      <c r="I14" s="29"/>
      <c r="J14" s="29"/>
      <c r="K14" s="29"/>
      <c r="L14" s="29"/>
      <c r="M14" s="29"/>
      <c r="N14" s="29"/>
      <c r="O14" s="29"/>
    </row>
    <row r="15" spans="1:15" ht="14.65" thickBot="1" x14ac:dyDescent="0.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x14ac:dyDescent="0.45">
      <c r="A16" s="29"/>
      <c r="B16" s="350" t="s">
        <v>190</v>
      </c>
      <c r="C16" s="348"/>
      <c r="D16" s="348" t="s">
        <v>248</v>
      </c>
      <c r="E16" s="348"/>
      <c r="F16" s="348"/>
      <c r="G16" s="348"/>
      <c r="H16" s="348"/>
      <c r="I16" s="348"/>
      <c r="J16" s="349"/>
      <c r="K16" s="29"/>
      <c r="L16" s="29"/>
      <c r="M16" s="29"/>
      <c r="N16" s="29"/>
      <c r="O16" s="29"/>
    </row>
    <row r="17" spans="1:15" x14ac:dyDescent="0.45">
      <c r="A17" s="29"/>
      <c r="B17" s="316" t="s">
        <v>250</v>
      </c>
      <c r="C17" s="317"/>
      <c r="D17" s="129" t="s">
        <v>192</v>
      </c>
      <c r="E17" s="129" t="s">
        <v>193</v>
      </c>
      <c r="F17" s="129" t="s">
        <v>194</v>
      </c>
      <c r="G17" s="129" t="s">
        <v>34</v>
      </c>
      <c r="H17" s="129" t="s">
        <v>142</v>
      </c>
      <c r="I17" s="129" t="s">
        <v>195</v>
      </c>
      <c r="J17" s="158" t="s">
        <v>196</v>
      </c>
      <c r="K17" s="29"/>
      <c r="L17" s="29"/>
      <c r="M17" s="29"/>
      <c r="N17" s="29"/>
      <c r="O17" s="29"/>
    </row>
    <row r="18" spans="1:15" x14ac:dyDescent="0.45">
      <c r="A18" s="29"/>
      <c r="B18" s="336" t="s">
        <v>191</v>
      </c>
      <c r="C18" s="130" t="s">
        <v>192</v>
      </c>
      <c r="D18" s="156">
        <f>D6</f>
        <v>0.7</v>
      </c>
      <c r="E18" s="157">
        <f>D69/DAMPING!$Q$18</f>
        <v>0.71873494719366271</v>
      </c>
      <c r="F18" s="157">
        <f>E69/DAMPING!$Q$19</f>
        <v>0.67908150375997245</v>
      </c>
      <c r="G18" s="157">
        <f>(J69+K69)/DAMPING!$Q$27</f>
        <v>0.45840869382203975</v>
      </c>
      <c r="H18" s="157">
        <f>(L69+M69)/DAMPING!$Q$33</f>
        <v>0.23474043672767914</v>
      </c>
      <c r="I18" s="157">
        <f>G69/DAMPING!$Q$42</f>
        <v>0.92700603576961171</v>
      </c>
      <c r="J18" s="159">
        <f>H69/DAMPING!$Q$43</f>
        <v>0.7736481543125846</v>
      </c>
      <c r="K18" s="29"/>
      <c r="L18" s="29"/>
      <c r="M18" s="29"/>
      <c r="N18" s="29"/>
      <c r="O18" s="29"/>
    </row>
    <row r="19" spans="1:15" x14ac:dyDescent="0.45">
      <c r="A19" s="29"/>
      <c r="B19" s="336"/>
      <c r="C19" s="130" t="s">
        <v>193</v>
      </c>
      <c r="D19" s="157">
        <f>(G70+H70)*2/DAMPING!$K$9</f>
        <v>0.56865702740903434</v>
      </c>
      <c r="E19" s="156">
        <f>D18</f>
        <v>0.7</v>
      </c>
      <c r="F19" s="157">
        <f>E70/DAMPING!$Q$19</f>
        <v>0.66138018540497656</v>
      </c>
      <c r="G19" s="157">
        <f>(J70+K70)/DAMPING!$Q$27</f>
        <v>0.44645955637518925</v>
      </c>
      <c r="H19" s="157">
        <f>(L70+M70)/DAMPING!$Q$33</f>
        <v>0.22862156119020588</v>
      </c>
      <c r="I19" s="157">
        <f>G70/DAMPING!$Q$42</f>
        <v>0.90284217787434407</v>
      </c>
      <c r="J19" s="159">
        <f>H70/DAMPING!$Q$43</f>
        <v>0.7534818087437285</v>
      </c>
      <c r="K19" s="29"/>
      <c r="L19" s="29"/>
      <c r="M19" s="29"/>
      <c r="N19" s="29"/>
      <c r="O19" s="29"/>
    </row>
    <row r="20" spans="1:15" x14ac:dyDescent="0.45">
      <c r="A20" s="29"/>
      <c r="B20" s="336"/>
      <c r="C20" s="130" t="s">
        <v>194</v>
      </c>
      <c r="D20" s="157">
        <f>(G71+H71)*2/DAMPING!$K$9</f>
        <v>0.60186248087033911</v>
      </c>
      <c r="E20" s="157">
        <f>D71/DAMPING!$Q$18</f>
        <v>0.74087493216925293</v>
      </c>
      <c r="F20" s="156">
        <f>E19</f>
        <v>0.7</v>
      </c>
      <c r="G20" s="157">
        <f>(J71+K71)/DAMPING!$Q$27</f>
        <v>0.47252956220826164</v>
      </c>
      <c r="H20" s="157">
        <f>(L71+M71)/DAMPING!$Q$33</f>
        <v>0.24197140519888932</v>
      </c>
      <c r="I20" s="157">
        <f>G71/DAMPING!$Q$42</f>
        <v>0.95556162470313621</v>
      </c>
      <c r="J20" s="159">
        <f>H71/DAMPING!$Q$43</f>
        <v>0.79747969134825125</v>
      </c>
      <c r="K20" s="29"/>
      <c r="L20" s="29"/>
      <c r="M20" s="29"/>
      <c r="N20" s="29"/>
      <c r="O20" s="29"/>
    </row>
    <row r="21" spans="1:15" x14ac:dyDescent="0.45">
      <c r="A21" s="29"/>
      <c r="B21" s="336"/>
      <c r="C21" s="130" t="s">
        <v>197</v>
      </c>
      <c r="D21" s="157">
        <f>(G72+H72)*2/DAMPING!$K$9</f>
        <v>0.89159233686960937</v>
      </c>
      <c r="E21" s="157">
        <f>D72/DAMPING!$Q$18</f>
        <v>1.0975238249536332</v>
      </c>
      <c r="F21" s="157">
        <f>E72/DAMPING!$Q$19</f>
        <v>1.0369721583345903</v>
      </c>
      <c r="G21" s="156">
        <f>F20</f>
        <v>0.7</v>
      </c>
      <c r="H21" s="157">
        <f>(L72+M72)/DAMPING!$Q$33</f>
        <v>0.35845372900620848</v>
      </c>
      <c r="I21" s="157">
        <f>G72/DAMPING!$Q$42</f>
        <v>1.4155582862715981</v>
      </c>
      <c r="J21" s="159">
        <f>H72/DAMPING!$Q$43</f>
        <v>1.1813774810934272</v>
      </c>
      <c r="K21" s="29"/>
      <c r="L21" s="29"/>
      <c r="M21" s="29"/>
      <c r="N21" s="29"/>
      <c r="O21" s="29"/>
    </row>
    <row r="22" spans="1:15" x14ac:dyDescent="0.45">
      <c r="A22" s="29"/>
      <c r="B22" s="336"/>
      <c r="C22" s="130" t="s">
        <v>142</v>
      </c>
      <c r="D22" s="157">
        <f>(G73+H73)*2/DAMPING!$K$9</f>
        <v>1.741130263978693</v>
      </c>
      <c r="E22" s="157">
        <f>D73/DAMPING!$Q$18</f>
        <v>2.1432799139724863</v>
      </c>
      <c r="F22" s="157">
        <f>E73/DAMPING!$Q$19</f>
        <v>2.0250326669684071</v>
      </c>
      <c r="G22" s="157">
        <f>(J73+K73)/DAMPING!$Q$27</f>
        <v>1.3669825708285859</v>
      </c>
      <c r="H22" s="156">
        <f>G21</f>
        <v>0.7</v>
      </c>
      <c r="I22" s="157">
        <f>G73/DAMPING!$Q$42</f>
        <v>2.7643478647503663</v>
      </c>
      <c r="J22" s="159">
        <f>H73/DAMPING!$Q$43</f>
        <v>2.3070320374629878</v>
      </c>
      <c r="K22" s="29"/>
      <c r="L22" s="29"/>
      <c r="M22" s="29"/>
      <c r="N22" s="29"/>
      <c r="O22" s="29"/>
    </row>
    <row r="23" spans="1:15" x14ac:dyDescent="0.45">
      <c r="A23" s="29"/>
      <c r="B23" s="336"/>
      <c r="C23" s="130" t="s">
        <v>195</v>
      </c>
      <c r="D23" s="157">
        <f>(G74+H74)*2/DAMPING!$K$9</f>
        <v>0.62985208416811367</v>
      </c>
      <c r="E23" s="157">
        <f>D74/DAMPING!$Q$18</f>
        <v>0.77532930688737123</v>
      </c>
      <c r="F23" s="157">
        <f>E74/DAMPING!$Q$19</f>
        <v>0.73255348677011656</v>
      </c>
      <c r="G23" s="157">
        <f>(J74+K74)/DAMPING!$Q$27</f>
        <v>0.49450454056802695</v>
      </c>
      <c r="H23" s="157">
        <f>G22</f>
        <v>1.3669825708285859</v>
      </c>
      <c r="I23" s="156">
        <v>1</v>
      </c>
      <c r="J23" s="159">
        <f>H74/DAMPING!$Q$43</f>
        <v>0.83456646932216849</v>
      </c>
      <c r="K23" s="29"/>
      <c r="L23" s="29"/>
      <c r="M23" s="29"/>
      <c r="N23" s="29"/>
      <c r="O23" s="29"/>
    </row>
    <row r="24" spans="1:15" ht="14.65" thickBot="1" x14ac:dyDescent="0.5">
      <c r="A24" s="29"/>
      <c r="B24" s="337"/>
      <c r="C24" s="151" t="s">
        <v>196</v>
      </c>
      <c r="D24" s="160">
        <f>(G75+H75)*2/DAMPING!$K$9</f>
        <v>0.75470571526756536</v>
      </c>
      <c r="E24" s="160">
        <f>D75/DAMPING!$Q$18</f>
        <v>0.92902043802106093</v>
      </c>
      <c r="F24" s="160">
        <f>E75/DAMPING!$Q$19</f>
        <v>0.87776529934768843</v>
      </c>
      <c r="G24" s="160">
        <f>(J75+K75)/DAMPING!$Q$27</f>
        <v>0.59252864660338134</v>
      </c>
      <c r="H24" s="160">
        <f>G23</f>
        <v>0.49450454056802695</v>
      </c>
      <c r="I24" s="160">
        <f>G75/DAMPING!$Q$42</f>
        <v>1.1982269079324455</v>
      </c>
      <c r="J24" s="161">
        <v>1</v>
      </c>
      <c r="K24" s="29"/>
      <c r="L24" s="29"/>
      <c r="M24" s="29"/>
      <c r="N24" s="29"/>
      <c r="O24" s="29"/>
    </row>
    <row r="25" spans="1:15" x14ac:dyDescent="0.4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59" spans="2:14" x14ac:dyDescent="0.45">
      <c r="D59" s="125" t="s">
        <v>202</v>
      </c>
      <c r="G59" s="125" t="s">
        <v>201</v>
      </c>
      <c r="J59" s="125" t="s">
        <v>203</v>
      </c>
      <c r="L59" s="125" t="s">
        <v>204</v>
      </c>
    </row>
    <row r="60" spans="2:14" x14ac:dyDescent="0.45">
      <c r="B60" s="125" t="s">
        <v>198</v>
      </c>
      <c r="D60" s="125" t="s">
        <v>199</v>
      </c>
      <c r="E60" s="125" t="s">
        <v>200</v>
      </c>
      <c r="G60" s="125" t="s">
        <v>199</v>
      </c>
      <c r="H60" s="125" t="s">
        <v>200</v>
      </c>
      <c r="J60" s="125" t="s">
        <v>43</v>
      </c>
      <c r="K60" s="125" t="s">
        <v>44</v>
      </c>
      <c r="L60" s="125" t="s">
        <v>43</v>
      </c>
      <c r="M60" s="125" t="s">
        <v>44</v>
      </c>
    </row>
    <row r="61" spans="2:14" x14ac:dyDescent="0.45">
      <c r="B61" s="155">
        <f>DAMPING!$K$9*D10</f>
        <v>9.322108371804303</v>
      </c>
      <c r="C61" s="125" t="s">
        <v>137</v>
      </c>
      <c r="D61" s="155">
        <f>B61*DAMPING!$K$20/(DAMPING!$K$20+DAMPING!$K$21)</f>
        <v>5.2121841066697367</v>
      </c>
      <c r="E61" s="155">
        <f>B61*DAMPING!$K$21/(DAMPING!$K$20+DAMPING!$K$21)</f>
        <v>4.1099242651345662</v>
      </c>
      <c r="F61" s="125" t="s">
        <v>137</v>
      </c>
      <c r="G61" s="155">
        <f t="shared" ref="G61:H63" si="0">D61/2</f>
        <v>2.6060920533348684</v>
      </c>
      <c r="H61" s="155">
        <f t="shared" si="0"/>
        <v>2.0549621325672831</v>
      </c>
      <c r="I61" s="125" t="s">
        <v>137</v>
      </c>
      <c r="J61" s="155">
        <f>G61*PI()/180*(FrontTrack/1000)^2*1000/2</f>
        <v>35.421446674885374</v>
      </c>
      <c r="K61" s="155">
        <f>H61*PI()/180*(RearTrack/1000)^2*1000/2</f>
        <v>25.823415756314361</v>
      </c>
      <c r="L61" s="155">
        <f>((PCx)/1000)^2*(G61*1000)*PI()/180*2</f>
        <v>25.802411564127244</v>
      </c>
      <c r="M61" s="155">
        <f>((Wheelbase-PCx)/1000)^2*(H61*1000)*PI()/180*2</f>
        <v>73.525172178903617</v>
      </c>
      <c r="N61" s="125" t="s">
        <v>160</v>
      </c>
    </row>
    <row r="62" spans="2:14" x14ac:dyDescent="0.45">
      <c r="B62" s="155">
        <f>DAMPING!$K$18*E11</f>
        <v>5.1984633439946322</v>
      </c>
      <c r="C62" s="125" t="s">
        <v>137</v>
      </c>
      <c r="D62" s="155">
        <f>B62</f>
        <v>5.1984633439946322</v>
      </c>
      <c r="E62" s="155">
        <f>D62*DAMPING!$K$21/DAMPING!$K$20</f>
        <v>4.0991051355143355</v>
      </c>
      <c r="F62" s="125" t="s">
        <v>137</v>
      </c>
      <c r="G62" s="155">
        <f t="shared" si="0"/>
        <v>2.5992316719973161</v>
      </c>
      <c r="H62" s="155">
        <f t="shared" si="0"/>
        <v>2.0495525677571678</v>
      </c>
      <c r="I62" s="125" t="s">
        <v>137</v>
      </c>
      <c r="J62" s="155">
        <f>G62*PI()/180*(FrontTrack/1000)^2*1000/2</f>
        <v>35.328201836735268</v>
      </c>
      <c r="K62" s="155">
        <f>H62*PI()/180*(RearTrack/1000)^2*1000/2</f>
        <v>25.755437160048061</v>
      </c>
      <c r="L62" s="155">
        <f>((PCx)/1000)^2*(G62*1000)*PI()/180*2</f>
        <v>25.734488260139621</v>
      </c>
      <c r="M62" s="155">
        <f>((Wheelbase-PCx)/1000)^2*(H62*1000)*PI()/180*2</f>
        <v>73.331621564138857</v>
      </c>
      <c r="N62" s="125" t="s">
        <v>160</v>
      </c>
    </row>
    <row r="63" spans="2:14" x14ac:dyDescent="0.45">
      <c r="B63" s="155">
        <f>DAMPING!$K$19*F12</f>
        <v>4.0991051355143355</v>
      </c>
      <c r="C63" s="125" t="s">
        <v>137</v>
      </c>
      <c r="D63" s="155">
        <f>E63/DAMPING!$K$21*DAMPING!$K$20</f>
        <v>5.1984633439946322</v>
      </c>
      <c r="E63" s="155">
        <f>B63</f>
        <v>4.0991051355143355</v>
      </c>
      <c r="F63" s="125" t="s">
        <v>137</v>
      </c>
      <c r="G63" s="155">
        <f t="shared" si="0"/>
        <v>2.5992316719973161</v>
      </c>
      <c r="H63" s="155">
        <f t="shared" si="0"/>
        <v>2.0495525677571678</v>
      </c>
      <c r="I63" s="125" t="s">
        <v>137</v>
      </c>
      <c r="J63" s="155">
        <f>G63*PI()/180*(FrontTrack/1000)^2*1000/2</f>
        <v>35.328201836735268</v>
      </c>
      <c r="K63" s="155">
        <f>H63*PI()/180*(RearTrack/1000)^2*1000/2</f>
        <v>25.755437160048061</v>
      </c>
      <c r="L63" s="155">
        <f>((PCx)/1000)^2*(G63*1000)*PI()/180*2</f>
        <v>25.734488260139621</v>
      </c>
      <c r="M63" s="155">
        <f>((Wheelbase-PCx)/1000)^2*(H63*1000)*PI()/180*2</f>
        <v>73.331621564138857</v>
      </c>
      <c r="N63" s="125" t="s">
        <v>160</v>
      </c>
    </row>
    <row r="64" spans="2:14" x14ac:dyDescent="0.45">
      <c r="B64" s="155">
        <f>DAMPING!$K$27*G13</f>
        <v>93.622915618743832</v>
      </c>
      <c r="C64" s="125" t="s">
        <v>160</v>
      </c>
      <c r="D64" s="155">
        <f>G64*2</f>
        <v>7.9676866505541986</v>
      </c>
      <c r="E64" s="155">
        <f>H64*2</f>
        <v>6.2826999261590739</v>
      </c>
      <c r="F64" s="125" t="s">
        <v>137</v>
      </c>
      <c r="G64" s="155">
        <f>J64*180/PI()*2/(FrontTrack/1000)^2/1000</f>
        <v>3.9838433252770993</v>
      </c>
      <c r="H64" s="155">
        <f>K64*180/PI()*2/(RearTrack/1000)^2/1000</f>
        <v>3.141349963079537</v>
      </c>
      <c r="I64" s="125" t="s">
        <v>137</v>
      </c>
      <c r="J64" s="155">
        <f>B64*DAMPING!$E$36/(DAMPING!$E$36+DAMPING!$E$37)</f>
        <v>54.147547753282872</v>
      </c>
      <c r="K64" s="155">
        <f>B64*DAMPING!$E$37/(DAMPING!$E$36+DAMPING!$E$37)</f>
        <v>39.475367865460967</v>
      </c>
      <c r="L64" s="155">
        <f>((PCx)/1000)^2*(G64*1000)*PI()/180*2</f>
        <v>39.443259478982284</v>
      </c>
      <c r="M64" s="155">
        <f>((Wheelbase-PCx)/1000)^2*(H64*1000)*PI()/180*2</f>
        <v>112.39540293672694</v>
      </c>
      <c r="N64" s="125" t="s">
        <v>160</v>
      </c>
    </row>
    <row r="65" spans="2:14" x14ac:dyDescent="0.45">
      <c r="B65" s="155">
        <f>DAMPING!$K$33*H14</f>
        <v>291.13624050834233</v>
      </c>
      <c r="C65" s="125" t="s">
        <v>160</v>
      </c>
      <c r="D65" s="155">
        <f>G65*2</f>
        <v>15.277283796401921</v>
      </c>
      <c r="E65" s="155">
        <f>H65*2</f>
        <v>12.04648149320599</v>
      </c>
      <c r="F65" s="125" t="s">
        <v>137</v>
      </c>
      <c r="G65" s="155">
        <f>L65*180/PI()/(PCx/1000)^2/1000/2</f>
        <v>7.6386418982009605</v>
      </c>
      <c r="H65" s="155">
        <f>M65*180/PI()/((Wheelbase-PCx)/1000)^2/1000/2</f>
        <v>6.0232407466029949</v>
      </c>
      <c r="I65" s="125" t="s">
        <v>137</v>
      </c>
      <c r="J65" s="155">
        <f>G65*PI()/180*(FrontTrack/1000)^2*1000/2</f>
        <v>103.8227894979516</v>
      </c>
      <c r="K65" s="155">
        <f>H65*PI()/180*(RearTrack/1000)^2*1000/2</f>
        <v>75.690275521322661</v>
      </c>
      <c r="L65" s="155">
        <f>B65*(DAMPING!$E$38/(DAMPING!$E$39+DAMPING!$E$38))</f>
        <v>75.628710734202784</v>
      </c>
      <c r="M65" s="155">
        <f>B65*DAMPING!$E$39/(DAMPING!$E$38+DAMPING!$E$39)</f>
        <v>215.50752977413958</v>
      </c>
      <c r="N65" s="125" t="s">
        <v>160</v>
      </c>
    </row>
    <row r="67" spans="2:14" x14ac:dyDescent="0.45">
      <c r="D67" s="125" t="s">
        <v>202</v>
      </c>
      <c r="G67" s="125" t="s">
        <v>201</v>
      </c>
      <c r="J67" s="125" t="s">
        <v>203</v>
      </c>
      <c r="L67" s="125" t="s">
        <v>204</v>
      </c>
    </row>
    <row r="68" spans="2:14" x14ac:dyDescent="0.45">
      <c r="B68" s="125" t="s">
        <v>198</v>
      </c>
      <c r="D68" s="125" t="s">
        <v>199</v>
      </c>
      <c r="E68" s="125" t="s">
        <v>200</v>
      </c>
      <c r="G68" s="125" t="s">
        <v>199</v>
      </c>
      <c r="H68" s="125" t="s">
        <v>200</v>
      </c>
      <c r="J68" s="125" t="s">
        <v>43</v>
      </c>
      <c r="K68" s="125" t="s">
        <v>44</v>
      </c>
      <c r="L68" s="125" t="s">
        <v>43</v>
      </c>
      <c r="M68" s="125" t="s">
        <v>44</v>
      </c>
    </row>
    <row r="69" spans="2:14" x14ac:dyDescent="0.45">
      <c r="B69" s="155">
        <f>DAMPING!$Q$9*D18</f>
        <v>7.7756596012904584</v>
      </c>
      <c r="C69" s="125" t="s">
        <v>137</v>
      </c>
      <c r="D69" s="155">
        <f>B69*DAMPING!$Q$20/(DAMPING!$Q$20+DAMPING!$Q$21)</f>
        <v>4.3475325297978493</v>
      </c>
      <c r="E69" s="155">
        <f>B69*DAMPING!$Q$21/(DAMPING!$Q$20+DAMPING!$Q$21)</f>
        <v>3.4281270714926091</v>
      </c>
      <c r="F69" s="125" t="s">
        <v>137</v>
      </c>
      <c r="G69" s="155">
        <f t="shared" ref="G69:H71" si="1">D69/2</f>
        <v>2.1737662648989247</v>
      </c>
      <c r="H69" s="155">
        <f t="shared" si="1"/>
        <v>1.7140635357463045</v>
      </c>
      <c r="I69" s="125" t="s">
        <v>137</v>
      </c>
      <c r="J69" s="155">
        <f>G69*PI()/180*(FrontTrack/1000)^2*1000/2</f>
        <v>29.545366878829977</v>
      </c>
      <c r="K69" s="155">
        <f>H69*PI()/180*(RearTrack/1000)^2*1000/2</f>
        <v>21.539557646746946</v>
      </c>
      <c r="L69" s="155">
        <f>((PCx)/1000)^2*(G69*1000)*PI()/180*2</f>
        <v>21.522037849493664</v>
      </c>
      <c r="M69" s="155">
        <f>((Wheelbase-PCx)/1000)^2*(H69*1000)*PI()/180*2</f>
        <v>61.32804813969048</v>
      </c>
      <c r="N69" s="125" t="s">
        <v>160</v>
      </c>
    </row>
    <row r="70" spans="2:14" x14ac:dyDescent="0.45">
      <c r="B70" s="155">
        <f>DAMPING!$Q$18*E19</f>
        <v>4.2342073148677519</v>
      </c>
      <c r="C70" s="125" t="s">
        <v>137</v>
      </c>
      <c r="D70" s="155">
        <f>B70</f>
        <v>4.2342073148677519</v>
      </c>
      <c r="E70" s="155">
        <f>D70*DAMPING!$Q$21/DAMPING!$Q$20</f>
        <v>3.3387675935538326</v>
      </c>
      <c r="F70" s="125" t="s">
        <v>137</v>
      </c>
      <c r="G70" s="155">
        <f t="shared" si="1"/>
        <v>2.117103657433876</v>
      </c>
      <c r="H70" s="155">
        <f t="shared" si="1"/>
        <v>1.6693837967769163</v>
      </c>
      <c r="I70" s="125" t="s">
        <v>137</v>
      </c>
      <c r="J70" s="155">
        <f>G70*PI()/180*(FrontTrack/1000)^2*1000/2</f>
        <v>28.775220818097065</v>
      </c>
      <c r="K70" s="155">
        <f>H70*PI()/180*(RearTrack/1000)^2*1000/2</f>
        <v>20.978095487904785</v>
      </c>
      <c r="L70" s="155">
        <f>((PCx)/1000)^2*(G70*1000)*PI()/180*2</f>
        <v>20.961032371487274</v>
      </c>
      <c r="M70" s="155">
        <f>((Wheelbase-PCx)/1000)^2*(H70*1000)*PI()/180*2</f>
        <v>59.729436929989667</v>
      </c>
      <c r="N70" s="125" t="s">
        <v>160</v>
      </c>
    </row>
    <row r="71" spans="2:14" x14ac:dyDescent="0.45">
      <c r="B71" s="155">
        <f>DAMPING!$Q$19*F20</f>
        <v>3.5337274491472797</v>
      </c>
      <c r="C71" s="125" t="s">
        <v>137</v>
      </c>
      <c r="D71" s="155">
        <f>E71/DAMPING!$Q$21*DAMPING!$Q$20</f>
        <v>4.4814543674188583</v>
      </c>
      <c r="E71" s="155">
        <f>B71</f>
        <v>3.5337274491472797</v>
      </c>
      <c r="F71" s="125" t="s">
        <v>137</v>
      </c>
      <c r="G71" s="155">
        <f t="shared" si="1"/>
        <v>2.2407271837094291</v>
      </c>
      <c r="H71" s="155">
        <f t="shared" si="1"/>
        <v>1.7668637245736398</v>
      </c>
      <c r="I71" s="125" t="s">
        <v>137</v>
      </c>
      <c r="J71" s="155">
        <f>G71*PI()/180*(FrontTrack/1000)^2*1000/2</f>
        <v>30.455485388232773</v>
      </c>
      <c r="K71" s="155">
        <f>H71*PI()/180*(RearTrack/1000)^2*1000/2</f>
        <v>22.203064388059385</v>
      </c>
      <c r="L71" s="155">
        <f>((PCx)/1000)^2*(G71*1000)*PI()/180*2</f>
        <v>22.18500490917593</v>
      </c>
      <c r="M71" s="155">
        <f>((Wheelbase-PCx)/1000)^2*(H71*1000)*PI()/180*2</f>
        <v>63.217203620019667</v>
      </c>
      <c r="N71" s="125" t="s">
        <v>160</v>
      </c>
    </row>
    <row r="72" spans="2:14" x14ac:dyDescent="0.45">
      <c r="B72" s="155">
        <f>DAMPING!$Q$27*G21</f>
        <v>78.007785737558748</v>
      </c>
      <c r="C72" s="125" t="s">
        <v>160</v>
      </c>
      <c r="D72" s="155">
        <f t="shared" ref="D72:E75" si="2">G72*2</f>
        <v>6.6387762969432975</v>
      </c>
      <c r="E72" s="155">
        <f t="shared" si="2"/>
        <v>5.2348242570120584</v>
      </c>
      <c r="F72" s="125" t="s">
        <v>137</v>
      </c>
      <c r="G72" s="155">
        <f>J72*180/PI()*2/(FrontTrack/1000)^2/1000</f>
        <v>3.3193881484716488</v>
      </c>
      <c r="H72" s="155">
        <f>K72*180/PI()*2/(RearTrack/1000)^2/1000</f>
        <v>2.6174121285060292</v>
      </c>
      <c r="I72" s="125" t="s">
        <v>137</v>
      </c>
      <c r="J72" s="155">
        <f>B72*DAMPING!$E$36/(DAMPING!$E$36+DAMPING!$E$37)</f>
        <v>45.1164148802333</v>
      </c>
      <c r="K72" s="155">
        <f>B72*DAMPING!$E$37/(DAMPING!$E$36+DAMPING!$E$37)</f>
        <v>32.891370857325455</v>
      </c>
      <c r="L72" s="155">
        <f>((PCx)/1000)^2*(G72*1000)*PI()/180*2</f>
        <v>32.864617747616634</v>
      </c>
      <c r="M72" s="155">
        <f>((Wheelbase-PCx)/1000)^2*(H72*1000)*PI()/180*2</f>
        <v>93.649257259612966</v>
      </c>
      <c r="N72" s="125" t="s">
        <v>160</v>
      </c>
    </row>
    <row r="73" spans="2:14" x14ac:dyDescent="0.45">
      <c r="B73" s="155">
        <f>DAMPING!$Q$33*H22</f>
        <v>247.06037443267005</v>
      </c>
      <c r="C73" s="125" t="s">
        <v>160</v>
      </c>
      <c r="D73" s="155">
        <f t="shared" si="2"/>
        <v>12.964416413644898</v>
      </c>
      <c r="E73" s="155">
        <f t="shared" si="2"/>
        <v>10.222733600980261</v>
      </c>
      <c r="F73" s="125" t="s">
        <v>137</v>
      </c>
      <c r="G73" s="155">
        <f>L73*180/PI()/(PCx/1000)^2/1000/2</f>
        <v>6.4822082068224489</v>
      </c>
      <c r="H73" s="155">
        <f>M73*180/PI()/((Wheelbase-PCx)/1000)^2/1000/2</f>
        <v>5.1113668004901305</v>
      </c>
      <c r="I73" s="125" t="s">
        <v>137</v>
      </c>
      <c r="J73" s="155">
        <f>G73*PI()/180*(FrontTrack/1000)^2*1000/2</f>
        <v>88.104789713643399</v>
      </c>
      <c r="K73" s="155">
        <f>H73*PI()/180*(RearTrack/1000)^2*1000/2</f>
        <v>64.231329560890245</v>
      </c>
      <c r="L73" s="155">
        <f>B73*(DAMPING!$E$38/(DAMPING!$E$39+DAMPING!$E$38))</f>
        <v>64.179085225622501</v>
      </c>
      <c r="M73" s="155">
        <f>B73*DAMPING!$E$39/(DAMPING!$E$38+DAMPING!$E$39)</f>
        <v>182.88128920704756</v>
      </c>
      <c r="N73" s="125" t="s">
        <v>160</v>
      </c>
    </row>
    <row r="74" spans="2:14" x14ac:dyDescent="0.45">
      <c r="B74" s="155">
        <f>DAMPING!$Q$42*I23</f>
        <v>2.3449321590384655</v>
      </c>
      <c r="C74" s="125" t="s">
        <v>137</v>
      </c>
      <c r="D74" s="155">
        <f t="shared" si="2"/>
        <v>4.689864318076931</v>
      </c>
      <c r="E74" s="155">
        <f t="shared" si="2"/>
        <v>3.698063377383014</v>
      </c>
      <c r="F74" s="125" t="s">
        <v>137</v>
      </c>
      <c r="G74" s="155">
        <f>B74</f>
        <v>2.3449321590384655</v>
      </c>
      <c r="H74" s="155">
        <f>G74*DAMPING!Q45/DAMPING!Q44</f>
        <v>1.849031688691507</v>
      </c>
      <c r="I74" s="125" t="s">
        <v>137</v>
      </c>
      <c r="J74" s="155">
        <f>G74*PI()/180*(FrontTrack/1000)^2*1000/2</f>
        <v>31.871817160608941</v>
      </c>
      <c r="K74" s="155">
        <f>H74*PI()/180*(RearTrack/1000)^2*1000/2</f>
        <v>23.235617477791873</v>
      </c>
      <c r="L74" s="155">
        <f>((PCx)/1000)^2*(G74*1000)*PI()/180*2</f>
        <v>23.216718143184263</v>
      </c>
      <c r="M74" s="155">
        <f>((Wheelbase-PCx)/1000)^2*(H74*1000)*PI()/180*2</f>
        <v>66.157118479574066</v>
      </c>
      <c r="N74" s="125" t="s">
        <v>160</v>
      </c>
    </row>
    <row r="75" spans="2:14" x14ac:dyDescent="0.45">
      <c r="B75" s="155">
        <f>DAMPING!$Q$43*J24</f>
        <v>2.2155595230099325</v>
      </c>
      <c r="C75" s="125" t="s">
        <v>137</v>
      </c>
      <c r="D75" s="155">
        <f t="shared" si="2"/>
        <v>5.6195216204720282</v>
      </c>
      <c r="E75" s="155">
        <f t="shared" si="2"/>
        <v>4.4311190460198651</v>
      </c>
      <c r="F75" s="125" t="s">
        <v>137</v>
      </c>
      <c r="G75" s="155">
        <f>H75*DAMPING!Q44/DAMPING!Q45</f>
        <v>2.8097608102360141</v>
      </c>
      <c r="H75" s="155">
        <f>B75</f>
        <v>2.2155595230099325</v>
      </c>
      <c r="I75" s="125" t="s">
        <v>137</v>
      </c>
      <c r="J75" s="155">
        <f>G75*PI()/180*(FrontTrack/1000)^2*1000/2</f>
        <v>38.189668926544705</v>
      </c>
      <c r="K75" s="155">
        <f>H75*PI()/180*(RearTrack/1000)^2*1000/2</f>
        <v>27.841542084315641</v>
      </c>
      <c r="L75" s="155">
        <f>((PCx)/1000)^2*(G75*1000)*PI()/180*2</f>
        <v>27.818896393046785</v>
      </c>
      <c r="M75" s="155">
        <f>((Wheelbase-PCx)/1000)^2*(H75*1000)*PI()/180*2</f>
        <v>79.27123951350049</v>
      </c>
      <c r="N75" s="125" t="s">
        <v>160</v>
      </c>
    </row>
  </sheetData>
  <mergeCells count="10">
    <mergeCell ref="A1:O4"/>
    <mergeCell ref="B6:C6"/>
    <mergeCell ref="B18:B24"/>
    <mergeCell ref="B10:B14"/>
    <mergeCell ref="D8:H8"/>
    <mergeCell ref="D16:J16"/>
    <mergeCell ref="B9:C9"/>
    <mergeCell ref="B8:C8"/>
    <mergeCell ref="B17:C17"/>
    <mergeCell ref="B16:C16"/>
  </mergeCells>
  <conditionalFormatting sqref="D10:H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J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52</vt:i4>
      </vt:variant>
    </vt:vector>
  </HeadingPairs>
  <TitlesOfParts>
    <vt:vector size="57" baseType="lpstr">
      <vt:lpstr>HOW TO USE THIS TOOL</vt:lpstr>
      <vt:lpstr>WEIGHT TRANSFER MAIN</vt:lpstr>
      <vt:lpstr>LONGITUDINAL WEIGHT TRANSFER</vt:lpstr>
      <vt:lpstr>DAMPING</vt:lpstr>
      <vt:lpstr>DAMPING RATIO TRADE-OFF</vt:lpstr>
      <vt:lpstr>AR_ARB</vt:lpstr>
      <vt:lpstr>AR_FrontARB</vt:lpstr>
      <vt:lpstr>AR_FrontAxleAndTire</vt:lpstr>
      <vt:lpstr>AR_FrontSpring</vt:lpstr>
      <vt:lpstr>AR_RearARB</vt:lpstr>
      <vt:lpstr>AR_RearAxleAndTire</vt:lpstr>
      <vt:lpstr>AR_RearSpring</vt:lpstr>
      <vt:lpstr>AR_Spring</vt:lpstr>
      <vt:lpstr>AR_Total</vt:lpstr>
      <vt:lpstr>ARBMR_Fr</vt:lpstr>
      <vt:lpstr>ARBMR_Rr</vt:lpstr>
      <vt:lpstr>ARBStiffness_Fr</vt:lpstr>
      <vt:lpstr>ARBStiffness_Rr</vt:lpstr>
      <vt:lpstr>ARTotal_Tire</vt:lpstr>
      <vt:lpstr>Cz</vt:lpstr>
      <vt:lpstr>DeltaZ</vt:lpstr>
      <vt:lpstr>DF</vt:lpstr>
      <vt:lpstr>DF_Dist</vt:lpstr>
      <vt:lpstr>FrontTrack</vt:lpstr>
      <vt:lpstr>FrontWheelRate_NoTire</vt:lpstr>
      <vt:lpstr>g_earth</vt:lpstr>
      <vt:lpstr>LatAccel</vt:lpstr>
      <vt:lpstr>Long_Acc</vt:lpstr>
      <vt:lpstr>MassCGHeight</vt:lpstr>
      <vt:lpstr>NSM_Fr</vt:lpstr>
      <vt:lpstr>NSM_Rr</vt:lpstr>
      <vt:lpstr>NSMCG_Fr</vt:lpstr>
      <vt:lpstr>NSMCG_Rr</vt:lpstr>
      <vt:lpstr>PCx</vt:lpstr>
      <vt:lpstr>PCy</vt:lpstr>
      <vt:lpstr>PCz</vt:lpstr>
      <vt:lpstr>Pitch_Moment</vt:lpstr>
      <vt:lpstr>Pitch_Stiffness</vt:lpstr>
      <vt:lpstr>RC_Fr</vt:lpstr>
      <vt:lpstr>RC_Rr</vt:lpstr>
      <vt:lpstr>RearTrack</vt:lpstr>
      <vt:lpstr>RearWheelRate_NoTire</vt:lpstr>
      <vt:lpstr>Ro</vt:lpstr>
      <vt:lpstr>S</vt:lpstr>
      <vt:lpstr>SM</vt:lpstr>
      <vt:lpstr>SM_WD</vt:lpstr>
      <vt:lpstr>SMCGHeight</vt:lpstr>
      <vt:lpstr>Speed</vt:lpstr>
      <vt:lpstr>SpringMR_Fr</vt:lpstr>
      <vt:lpstr>SpringMR_Rr</vt:lpstr>
      <vt:lpstr>SpringStiffness_Fr</vt:lpstr>
      <vt:lpstr>SpringStiffness_Rr</vt:lpstr>
      <vt:lpstr>TireStiffness_Fr</vt:lpstr>
      <vt:lpstr>TireStiffness_Rr</vt:lpstr>
      <vt:lpstr>TotalMass</vt:lpstr>
      <vt:lpstr>WD</vt:lpstr>
      <vt:lpstr>Wheelbase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2026-07-07T22:53:16Z</dcterms:modified>
</cp:coreProperties>
</file>