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defaultThemeVersion="124226"/>
  <mc:AlternateContent xmlns:mc="http://schemas.openxmlformats.org/markup-compatibility/2006">
    <mc:Choice Requires="x15">
      <x15ac:absPath xmlns:x15ac="http://schemas.microsoft.com/office/spreadsheetml/2010/11/ac" url="/Users/angeladrianchanpuc/Downloads/Data_Analysis_Tools/"/>
    </mc:Choice>
  </mc:AlternateContent>
  <xr:revisionPtr revIDLastSave="0" documentId="8_{12BDCE10-8987-344E-8E4A-01F6D72FE5F9}" xr6:coauthVersionLast="47" xr6:coauthVersionMax="47" xr10:uidLastSave="{00000000-0000-0000-0000-000000000000}"/>
  <bookViews>
    <workbookView xWindow="3320" yWindow="1600" windowWidth="19860" windowHeight="13200" tabRatio="897" firstSheet="2" activeTab="8"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241" i="7" l="1"/>
  <c r="AE245" i="7"/>
  <c r="AE249" i="7"/>
  <c r="AE253" i="7"/>
  <c r="AE257" i="7"/>
  <c r="AE261" i="7"/>
  <c r="AE265"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B9" i="3" s="1"/>
  <c r="N7" i="4"/>
  <c r="C26" i="2"/>
  <c r="D26" i="2" s="1"/>
  <c r="C28" i="3" s="1"/>
  <c r="E28" i="3" s="1"/>
  <c r="B26" i="2"/>
  <c r="B28" i="3" s="1"/>
  <c r="B21" i="4"/>
  <c r="C11" i="2"/>
  <c r="D11" i="2" s="1"/>
  <c r="C13" i="3" s="1"/>
  <c r="E13" i="3" s="1"/>
  <c r="B11" i="2"/>
  <c r="H9" i="4"/>
  <c r="H8" i="4"/>
  <c r="H7" i="4"/>
  <c r="C21" i="2"/>
  <c r="D21" i="2" s="1"/>
  <c r="C23" i="3" s="1"/>
  <c r="E23" i="3" s="1"/>
  <c r="B21" i="2"/>
  <c r="B23" i="3" s="1"/>
  <c r="B19" i="4"/>
  <c r="C18" i="2"/>
  <c r="B18" i="2"/>
  <c r="B20" i="4"/>
  <c r="B28" i="2"/>
  <c r="B30" i="3" s="1"/>
  <c r="C28" i="2"/>
  <c r="D28" i="2" s="1"/>
  <c r="C30" i="3" s="1"/>
  <c r="E30" i="3" s="1"/>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B15" i="3" s="1"/>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D13" i="2"/>
  <c r="C15" i="3" s="1"/>
  <c r="E15"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5" i="11" l="1"/>
  <c r="D5" i="11"/>
  <c r="D4" i="11"/>
  <c r="C4" i="11"/>
  <c r="N10" i="3"/>
  <c r="D8" i="11"/>
  <c r="C8" i="11"/>
  <c r="D7" i="11"/>
  <c r="C7" i="11"/>
  <c r="C6" i="11"/>
  <c r="D6" i="11"/>
  <c r="D3" i="11"/>
  <c r="C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<sst xmlns="http://schemas.openxmlformats.org/spreadsheetml/2006/main" count="2502" uniqueCount="2204">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</sst>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9">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Results!$B$3:$B$28</c:f>
              <c:numCache>
                <c:formatCode>0.0</c:formatCode>
                <c:ptCount val="26"/>
                <c:pt idx="0">
                  <c:v>2.2000000000000002</c:v>
                </c:pt>
                <c:pt idx="1">
                  <c:v>2.4</c:v>
                </c:pt>
                <c:pt idx="2">
                  <c:v>2.4</c:v>
                </c:pt>
                <c:pt idx="3">
                  <c:v>2.8</c:v>
                </c:pt>
                <c:pt idx="4">
                  <c:v>1.4</c:v>
                </c:pt>
                <c:pt idx="5">
                  <c:v>2.2000000000000002</c:v>
                </c:pt>
                <c:pt idx="6">
                  <c:v>2</c:v>
                </c:pt>
                <c:pt idx="7">
                  <c:v>1.2</c:v>
                </c:pt>
                <c:pt idx="8">
                  <c:v>2.6</c:v>
                </c:pt>
                <c:pt idx="9">
                  <c:v>1.2</c:v>
                </c:pt>
                <c:pt idx="10">
                  <c:v>2.3333333333333335</c:v>
                </c:pt>
                <c:pt idx="11">
                  <c:v>2.4</c:v>
                </c:pt>
                <c:pt idx="12">
                  <c:v>2.8</c:v>
                </c:pt>
                <c:pt idx="13">
                  <c:v>1.8</c:v>
                </c:pt>
                <c:pt idx="14">
                  <c:v>1.6</c:v>
                </c:pt>
                <c:pt idx="15">
                  <c:v>2.2000000000000002</c:v>
                </c:pt>
                <c:pt idx="16">
                  <c:v>0</c:v>
                </c:pt>
                <c:pt idx="17">
                  <c:v>1.6666666666666667</c:v>
                </c:pt>
                <c:pt idx="18">
                  <c:v>2</c:v>
                </c:pt>
                <c:pt idx="19">
                  <c:v>2.6</c:v>
                </c:pt>
                <c:pt idx="20">
                  <c:v>1.8</c:v>
                </c:pt>
                <c:pt idx="21">
                  <c:v>0</c:v>
                </c:pt>
                <c:pt idx="22">
                  <c:v>2.4</c:v>
                </c:pt>
                <c:pt idx="23">
                  <c:v>2.2000000000000002</c:v>
                </c:pt>
                <c:pt idx="24">
                  <c:v>2.6</c:v>
                </c:pt>
                <c:pt idx="25">
                  <c:v>1.5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0.39470558219645169</c:v>
                  </c:pt>
                  <c:pt idx="1">
                    <c:v>0.58798919536201621</c:v>
                  </c:pt>
                  <c:pt idx="2">
                    <c:v>0.48890091470434438</c:v>
                  </c:pt>
                  <c:pt idx="3">
                    <c:v>1.0912617625552445</c:v>
                  </c:pt>
                  <c:pt idx="4">
                    <c:v>0.6296167158341176</c:v>
                  </c:pt>
                  <c:pt idx="5">
                    <c:v>0.82153695799888726</c:v>
                  </c:pt>
                </c:numCache>
              </c:numRef>
            </c:plus>
            <c:minus>
              <c:numRef>
                <c:f>Confidence_Intervals!$M$5:$M$10</c:f>
                <c:numCache>
                  <c:formatCode>General</c:formatCode>
                  <c:ptCount val="6"/>
                  <c:pt idx="0">
                    <c:v>0.39470558219645169</c:v>
                  </c:pt>
                  <c:pt idx="1">
                    <c:v>0.58798919536201621</c:v>
                  </c:pt>
                  <c:pt idx="2">
                    <c:v>0.48890091470434438</c:v>
                  </c:pt>
                  <c:pt idx="3">
                    <c:v>1.0912617625552445</c:v>
                  </c:pt>
                  <c:pt idx="4">
                    <c:v>0.6296167158341176</c:v>
                  </c:pt>
                  <c:pt idx="5">
                    <c:v>0.82153695799888726</c:v>
                  </c:pt>
                </c:numCache>
              </c:numRef>
            </c:minus>
            <c:spPr>
              <a:ln w="19050">
                <a:solidFill>
                  <a:schemeClr val="tx1">
                    <a:lumMod val="85000"/>
                    <a:lumOff val="15000"/>
                  </a:schemeClr>
                </a:solidFill>
              </a:ln>
            </c:spPr>
          </c:errBars>
          <c:cat>
            <c:strRef>
              <c:f>Results!$K$3:$K$8</c:f>
              <c:strCache>
                <c:ptCount val="6"/>
                <c:pt idx="0">
                  <c:v>Atracción</c:v>
                </c:pt>
                <c:pt idx="1">
                  <c:v>Transparencia</c:v>
                </c:pt>
                <c:pt idx="2">
                  <c:v>Eficiencia</c:v>
                </c:pt>
                <c:pt idx="3">
                  <c:v>Controlabilidad</c:v>
                </c:pt>
                <c:pt idx="4">
                  <c:v>Estimulación</c:v>
                </c:pt>
                <c:pt idx="5">
                  <c:v>Novedad</c:v>
                </c:pt>
              </c:strCache>
            </c:strRef>
          </c:cat>
          <c:val>
            <c:numRef>
              <c:f>Results!$L$3:$L$8</c:f>
              <c:numCache>
                <c:formatCode>0.000</c:formatCode>
                <c:ptCount val="6"/>
                <c:pt idx="0">
                  <c:v>2.2333333333333334</c:v>
                </c:pt>
                <c:pt idx="1">
                  <c:v>2.4500000000000002</c:v>
                </c:pt>
                <c:pt idx="2">
                  <c:v>2.5333333333333337</c:v>
                </c:pt>
                <c:pt idx="3">
                  <c:v>1.5666666666666664</c:v>
                </c:pt>
                <c:pt idx="4">
                  <c:v>1.7833333333333337</c:v>
                </c:pt>
                <c:pt idx="5">
                  <c:v>1.6666666666666665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s-MX"/>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s-MX"/>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Atracción</c:v>
                </c:pt>
                <c:pt idx="1">
                  <c:v>Transparencia</c:v>
                </c:pt>
                <c:pt idx="2">
                  <c:v>Eficiencia</c:v>
                </c:pt>
                <c:pt idx="3">
                  <c:v>Controlabilidad</c:v>
                </c:pt>
                <c:pt idx="4">
                  <c:v>Estimulación</c:v>
                </c:pt>
                <c:pt idx="5">
                  <c:v>Novedad</c:v>
                </c:pt>
              </c:strCache>
            </c:strRef>
          </c:cat>
          <c:val>
            <c:numRef>
              <c:f>Results!$L$3:$L$8</c:f>
              <c:numCache>
                <c:formatCode>0.000</c:formatCode>
                <c:ptCount val="6"/>
                <c:pt idx="0">
                  <c:v>2.2333333333333334</c:v>
                </c:pt>
                <c:pt idx="1">
                  <c:v>2.4500000000000002</c:v>
                </c:pt>
                <c:pt idx="2">
                  <c:v>2.5333333333333337</c:v>
                </c:pt>
                <c:pt idx="3">
                  <c:v>1.5666666666666664</c:v>
                </c:pt>
                <c:pt idx="4">
                  <c:v>1.7833333333333337</c:v>
                </c:pt>
                <c:pt idx="5">
                  <c:v>1.6666666666666665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s-MX"/>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s-MX"/>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Atracción</c:v>
                </c:pt>
                <c:pt idx="1">
                  <c:v>Calidad Pragmática</c:v>
                </c:pt>
                <c:pt idx="2">
                  <c:v>Calidad Hedónico</c:v>
                </c:pt>
              </c:strCache>
            </c:strRef>
          </c:cat>
          <c:val>
            <c:numRef>
              <c:f>Results!$L$40:$L$42</c:f>
              <c:numCache>
                <c:formatCode>0.00</c:formatCode>
                <c:ptCount val="3"/>
                <c:pt idx="0">
                  <c:v>2.2333333333333334</c:v>
                </c:pt>
                <c:pt idx="1">
                  <c:v>2.1833333333333336</c:v>
                </c:pt>
                <c:pt idx="2">
                  <c:v>1.7250000000000001</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s-MX"/>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s-MX"/>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Answer_Distributions!$D$3:$D$28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Answer_Distributions!$F$3:$F$28</c:f>
              <c:numCache>
                <c:formatCode>General</c:formatCode>
                <c:ptCount val="26"/>
                <c:pt idx="0">
                  <c:v>0</c:v>
                </c:pt>
                <c:pt idx="1">
                  <c:v>0</c:v>
                </c:pt>
                <c:pt idx="2">
                  <c:v>0</c:v>
                </c:pt>
                <c:pt idx="3">
                  <c:v>0</c:v>
                </c:pt>
                <c:pt idx="4">
                  <c:v>0</c:v>
                </c:pt>
                <c:pt idx="5">
                  <c:v>0</c:v>
                </c:pt>
                <c:pt idx="6">
                  <c:v>1</c:v>
                </c:pt>
                <c:pt idx="7">
                  <c:v>1</c:v>
                </c:pt>
                <c:pt idx="8">
                  <c:v>0</c:v>
                </c:pt>
                <c:pt idx="9">
                  <c:v>2</c:v>
                </c:pt>
                <c:pt idx="10">
                  <c:v>0</c:v>
                </c:pt>
                <c:pt idx="11">
                  <c:v>0</c:v>
                </c:pt>
                <c:pt idx="12">
                  <c:v>0</c:v>
                </c:pt>
                <c:pt idx="13">
                  <c:v>0</c:v>
                </c:pt>
                <c:pt idx="14">
                  <c:v>1</c:v>
                </c:pt>
                <c:pt idx="15">
                  <c:v>0</c:v>
                </c:pt>
                <c:pt idx="16">
                  <c:v>0</c:v>
                </c:pt>
                <c:pt idx="17">
                  <c:v>1</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Answer_Distributions!$G$3:$G$28</c:f>
              <c:numCache>
                <c:formatCode>General</c:formatCode>
                <c:ptCount val="26"/>
                <c:pt idx="0">
                  <c:v>1</c:v>
                </c:pt>
                <c:pt idx="1">
                  <c:v>1</c:v>
                </c:pt>
                <c:pt idx="2">
                  <c:v>0</c:v>
                </c:pt>
                <c:pt idx="3">
                  <c:v>0</c:v>
                </c:pt>
                <c:pt idx="4">
                  <c:v>4</c:v>
                </c:pt>
                <c:pt idx="5">
                  <c:v>0</c:v>
                </c:pt>
                <c:pt idx="6">
                  <c:v>0</c:v>
                </c:pt>
                <c:pt idx="7">
                  <c:v>0</c:v>
                </c:pt>
                <c:pt idx="8">
                  <c:v>1</c:v>
                </c:pt>
                <c:pt idx="9">
                  <c:v>1</c:v>
                </c:pt>
                <c:pt idx="10">
                  <c:v>0</c:v>
                </c:pt>
                <c:pt idx="11">
                  <c:v>1</c:v>
                </c:pt>
                <c:pt idx="12">
                  <c:v>0</c:v>
                </c:pt>
                <c:pt idx="13">
                  <c:v>2</c:v>
                </c:pt>
                <c:pt idx="14">
                  <c:v>1</c:v>
                </c:pt>
                <c:pt idx="15">
                  <c:v>1</c:v>
                </c:pt>
                <c:pt idx="16">
                  <c:v>0</c:v>
                </c:pt>
                <c:pt idx="17">
                  <c:v>0</c:v>
                </c:pt>
                <c:pt idx="18">
                  <c:v>2</c:v>
                </c:pt>
                <c:pt idx="19">
                  <c:v>0</c:v>
                </c:pt>
                <c:pt idx="20">
                  <c:v>1</c:v>
                </c:pt>
                <c:pt idx="21">
                  <c:v>0</c:v>
                </c:pt>
                <c:pt idx="22">
                  <c:v>1</c:v>
                </c:pt>
                <c:pt idx="23">
                  <c:v>0</c:v>
                </c:pt>
                <c:pt idx="24">
                  <c:v>0</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Answer_Distributions!$H$3:$H$28</c:f>
              <c:numCache>
                <c:formatCode>General</c:formatCode>
                <c:ptCount val="26"/>
                <c:pt idx="0">
                  <c:v>2</c:v>
                </c:pt>
                <c:pt idx="1">
                  <c:v>1</c:v>
                </c:pt>
                <c:pt idx="2">
                  <c:v>3</c:v>
                </c:pt>
                <c:pt idx="3">
                  <c:v>1</c:v>
                </c:pt>
                <c:pt idx="4">
                  <c:v>0</c:v>
                </c:pt>
                <c:pt idx="5">
                  <c:v>4</c:v>
                </c:pt>
                <c:pt idx="6">
                  <c:v>2</c:v>
                </c:pt>
                <c:pt idx="7">
                  <c:v>1</c:v>
                </c:pt>
                <c:pt idx="8">
                  <c:v>0</c:v>
                </c:pt>
                <c:pt idx="9">
                  <c:v>1</c:v>
                </c:pt>
                <c:pt idx="10">
                  <c:v>2</c:v>
                </c:pt>
                <c:pt idx="11">
                  <c:v>1</c:v>
                </c:pt>
                <c:pt idx="12">
                  <c:v>1</c:v>
                </c:pt>
                <c:pt idx="13">
                  <c:v>2</c:v>
                </c:pt>
                <c:pt idx="14">
                  <c:v>2</c:v>
                </c:pt>
                <c:pt idx="15">
                  <c:v>2</c:v>
                </c:pt>
                <c:pt idx="16">
                  <c:v>0</c:v>
                </c:pt>
                <c:pt idx="17">
                  <c:v>1</c:v>
                </c:pt>
                <c:pt idx="18">
                  <c:v>1</c:v>
                </c:pt>
                <c:pt idx="19">
                  <c:v>2</c:v>
                </c:pt>
                <c:pt idx="20">
                  <c:v>0</c:v>
                </c:pt>
                <c:pt idx="21">
                  <c:v>0</c:v>
                </c:pt>
                <c:pt idx="22">
                  <c:v>1</c:v>
                </c:pt>
                <c:pt idx="23">
                  <c:v>4</c:v>
                </c:pt>
                <c:pt idx="24">
                  <c:v>2</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desagradable/agradable</c:v>
                </c:pt>
                <c:pt idx="1">
                  <c:v>no entendible/entendible</c:v>
                </c:pt>
                <c:pt idx="2">
                  <c:v>sin imaginacion/creativo</c:v>
                </c:pt>
                <c:pt idx="3">
                  <c:v>dificil de aprender/facil de aprender</c:v>
                </c:pt>
                <c:pt idx="4">
                  <c:v>de poco valor/valioso</c:v>
                </c:pt>
                <c:pt idx="5">
                  <c:v>aburrido/emocionante</c:v>
                </c:pt>
                <c:pt idx="6">
                  <c:v>no interesante/interesante</c:v>
                </c:pt>
                <c:pt idx="7">
                  <c:v>impredecible/predecible</c:v>
                </c:pt>
                <c:pt idx="8">
                  <c:v>lento/rapido</c:v>
                </c:pt>
                <c:pt idx="9">
                  <c:v>convencional/original</c:v>
                </c:pt>
                <c:pt idx="10">
                  <c:v>obstructivo/impulsor de apoyo</c:v>
                </c:pt>
                <c:pt idx="11">
                  <c:v>malo/bueno</c:v>
                </c:pt>
                <c:pt idx="12">
                  <c:v>complicado/facil</c:v>
                </c:pt>
                <c:pt idx="13">
                  <c:v>repeler/atraer</c:v>
                </c:pt>
                <c:pt idx="14">
                  <c:v>convencional/novedoso</c:v>
                </c:pt>
                <c:pt idx="15">
                  <c:v>incomodo/comodo</c:v>
                </c:pt>
                <c:pt idx="16">
                  <c:v>inseguro/seguro</c:v>
                </c:pt>
                <c:pt idx="17">
                  <c:v>adormecedor/activante</c:v>
                </c:pt>
                <c:pt idx="18">
                  <c:v>no cubre expectativas/cubre expectativas</c:v>
                </c:pt>
                <c:pt idx="19">
                  <c:v>ineficiente/eficiente</c:v>
                </c:pt>
                <c:pt idx="20">
                  <c:v>confuso/claro</c:v>
                </c:pt>
                <c:pt idx="21">
                  <c:v>no pragmatico/pragmatico</c:v>
                </c:pt>
                <c:pt idx="22">
                  <c:v>sobrecargado/ordenado</c:v>
                </c:pt>
                <c:pt idx="23">
                  <c:v>feo/atractivo</c:v>
                </c:pt>
                <c:pt idx="24">
                  <c:v>antipatico/simpatico</c:v>
                </c:pt>
                <c:pt idx="25">
                  <c:v>conservador/innovador</c:v>
                </c:pt>
              </c:strCache>
            </c:strRef>
          </c:cat>
          <c:val>
            <c:numRef>
              <c:f>Answer_Distributions!$I$3:$I$28</c:f>
              <c:numCache>
                <c:formatCode>General</c:formatCode>
                <c:ptCount val="26"/>
                <c:pt idx="0">
                  <c:v>2</c:v>
                </c:pt>
                <c:pt idx="1">
                  <c:v>3</c:v>
                </c:pt>
                <c:pt idx="2">
                  <c:v>2</c:v>
                </c:pt>
                <c:pt idx="3">
                  <c:v>4</c:v>
                </c:pt>
                <c:pt idx="4">
                  <c:v>1</c:v>
                </c:pt>
                <c:pt idx="5">
                  <c:v>1</c:v>
                </c:pt>
                <c:pt idx="6">
                  <c:v>2</c:v>
                </c:pt>
                <c:pt idx="7">
                  <c:v>2</c:v>
                </c:pt>
                <c:pt idx="8">
                  <c:v>4</c:v>
                </c:pt>
                <c:pt idx="9">
                  <c:v>1</c:v>
                </c:pt>
                <c:pt idx="10">
                  <c:v>1</c:v>
                </c:pt>
                <c:pt idx="11">
                  <c:v>3</c:v>
                </c:pt>
                <c:pt idx="12">
                  <c:v>4</c:v>
                </c:pt>
                <c:pt idx="13">
                  <c:v>1</c:v>
                </c:pt>
                <c:pt idx="14">
                  <c:v>1</c:v>
                </c:pt>
                <c:pt idx="15">
                  <c:v>2</c:v>
                </c:pt>
                <c:pt idx="16">
                  <c:v>0</c:v>
                </c:pt>
                <c:pt idx="17">
                  <c:v>1</c:v>
                </c:pt>
                <c:pt idx="18">
                  <c:v>2</c:v>
                </c:pt>
                <c:pt idx="19">
                  <c:v>3</c:v>
                </c:pt>
                <c:pt idx="20">
                  <c:v>3</c:v>
                </c:pt>
                <c:pt idx="21">
                  <c:v>0</c:v>
                </c:pt>
                <c:pt idx="22">
                  <c:v>3</c:v>
                </c:pt>
                <c:pt idx="23">
                  <c:v>1</c:v>
                </c:pt>
                <c:pt idx="24">
                  <c:v>3</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s-MX"/>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Atracción</c:v>
                </c:pt>
                <c:pt idx="1">
                  <c:v>Transparencia</c:v>
                </c:pt>
                <c:pt idx="2">
                  <c:v>Eficiencia</c:v>
                </c:pt>
                <c:pt idx="3">
                  <c:v>Controlabilidad</c:v>
                </c:pt>
                <c:pt idx="4">
                  <c:v>Estimulación</c:v>
                </c:pt>
                <c:pt idx="5">
                  <c:v>Novedad</c:v>
                </c:pt>
              </c:strCache>
            </c:strRef>
          </c:cat>
          <c:val>
            <c:numRef>
              <c:f>Benchmark!$H$28:$H$33</c:f>
              <c:numCache>
                <c:formatCode>0.00</c:formatCode>
                <c:ptCount val="6"/>
                <c:pt idx="0">
                  <c:v>2.2333333333333334</c:v>
                </c:pt>
                <c:pt idx="1">
                  <c:v>2.4500000000000002</c:v>
                </c:pt>
                <c:pt idx="2">
                  <c:v>2.5333333333333337</c:v>
                </c:pt>
                <c:pt idx="3">
                  <c:v>1.5666666666666664</c:v>
                </c:pt>
                <c:pt idx="4">
                  <c:v>1.7833333333333337</c:v>
                </c:pt>
                <c:pt idx="5">
                  <c:v>1.6666666666666665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s-MX"/>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Atracción</c:v>
                </c:pt>
                <c:pt idx="1">
                  <c:v>Transparencia</c:v>
                </c:pt>
                <c:pt idx="2">
                  <c:v>Eficiencia</c:v>
                </c:pt>
                <c:pt idx="3">
                  <c:v>Controlabilidad</c:v>
                </c:pt>
                <c:pt idx="4">
                  <c:v>Estimulación</c:v>
                </c:pt>
                <c:pt idx="5">
                  <c:v>Novedad</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s-MX"/>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s-MX"/>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9" workbookViewId="0">
      <selection activeCell="A7" sqref="A7:C7"/>
    </sheetView>
  </sheetViews>
  <sheetFormatPr baseColWidth="10" defaultColWidth="9.1640625" defaultRowHeight="15"/>
  <cols>
    <col min="1" max="1" width="35.1640625" customWidth="1"/>
    <col min="2" max="2" width="22" customWidth="1"/>
    <col min="3" max="3" width="43" customWidth="1"/>
  </cols>
  <sheetData>
    <row r="1" spans="1:3" s="46" customFormat="1" ht="57" customHeight="1">
      <c r="A1" s="158"/>
      <c r="B1" s="158"/>
      <c r="C1" s="158"/>
    </row>
    <row r="2" spans="1:3" ht="58.75" customHeight="1">
      <c r="A2" s="154" t="s">
        <v>1298</v>
      </c>
      <c r="B2" s="154"/>
      <c r="C2" s="154"/>
    </row>
    <row r="3" spans="1:3" ht="107.25" customHeight="1">
      <c r="A3" s="155" t="s">
        <v>1286</v>
      </c>
      <c r="B3" s="155"/>
      <c r="C3" s="155"/>
    </row>
    <row r="5" spans="1:3" ht="19">
      <c r="A5" s="34" t="s">
        <v>820</v>
      </c>
      <c r="B5" s="65" t="s">
        <v>243</v>
      </c>
    </row>
    <row r="7" spans="1:3" ht="30.75" customHeight="1">
      <c r="A7" s="156" t="s">
        <v>1297</v>
      </c>
      <c r="B7" s="156"/>
      <c r="C7" s="156"/>
    </row>
    <row r="9" spans="1:3" ht="406.25" customHeight="1">
      <c r="A9" s="157" t="s">
        <v>1296</v>
      </c>
      <c r="B9" s="157"/>
      <c r="C9" s="157"/>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T11" sqref="T11"/>
    </sheetView>
  </sheetViews>
  <sheetFormatPr baseColWidth="10" defaultColWidth="9.1640625" defaultRowHeight="15"/>
  <cols>
    <col min="1" max="26" width="3.6640625" style="1" customWidth="1"/>
  </cols>
  <sheetData>
    <row r="1" spans="1:27" ht="144" customHeight="1">
      <c r="A1" s="159" t="s">
        <v>1287</v>
      </c>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spans="1:27">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6</v>
      </c>
      <c r="B4" s="66">
        <v>7</v>
      </c>
      <c r="C4" s="66">
        <v>2</v>
      </c>
      <c r="D4" s="66">
        <v>1</v>
      </c>
      <c r="E4" s="66">
        <v>3</v>
      </c>
      <c r="F4" s="66">
        <v>6</v>
      </c>
      <c r="G4" s="66">
        <v>6</v>
      </c>
      <c r="H4" s="66">
        <v>7</v>
      </c>
      <c r="I4" s="66">
        <v>1</v>
      </c>
      <c r="J4" s="66">
        <v>3</v>
      </c>
      <c r="K4" s="66">
        <v>6</v>
      </c>
      <c r="L4" s="66">
        <v>2</v>
      </c>
      <c r="M4" s="66">
        <v>7</v>
      </c>
      <c r="N4" s="66">
        <v>6</v>
      </c>
      <c r="O4" s="66">
        <v>5</v>
      </c>
      <c r="P4" s="66">
        <v>6</v>
      </c>
      <c r="Q4" s="66"/>
      <c r="R4" s="66"/>
      <c r="S4" s="66">
        <v>1</v>
      </c>
      <c r="T4" s="66">
        <v>7</v>
      </c>
      <c r="U4" s="66">
        <v>1</v>
      </c>
      <c r="V4" s="66"/>
      <c r="W4" s="66">
        <v>3</v>
      </c>
      <c r="X4" s="66">
        <v>2</v>
      </c>
      <c r="Y4" s="66">
        <v>1</v>
      </c>
      <c r="Z4" s="66">
        <v>5</v>
      </c>
    </row>
    <row r="5" spans="1:27">
      <c r="A5" s="61">
        <v>5</v>
      </c>
      <c r="B5" s="61">
        <v>5</v>
      </c>
      <c r="C5" s="61">
        <v>2</v>
      </c>
      <c r="D5" s="61">
        <v>1</v>
      </c>
      <c r="E5" s="61">
        <v>3</v>
      </c>
      <c r="F5" s="61">
        <v>6</v>
      </c>
      <c r="G5" s="61">
        <v>4</v>
      </c>
      <c r="H5" s="61">
        <v>7</v>
      </c>
      <c r="I5" s="61">
        <v>1</v>
      </c>
      <c r="J5" s="61">
        <v>4</v>
      </c>
      <c r="K5" s="61">
        <v>6</v>
      </c>
      <c r="L5" s="61">
        <v>1</v>
      </c>
      <c r="M5" s="61">
        <v>7</v>
      </c>
      <c r="N5" s="61">
        <v>7</v>
      </c>
      <c r="O5" s="61">
        <v>6</v>
      </c>
      <c r="P5" s="61">
        <v>6</v>
      </c>
      <c r="Q5" s="61"/>
      <c r="R5" s="61"/>
      <c r="S5" s="61">
        <v>3</v>
      </c>
      <c r="T5" s="61">
        <v>6</v>
      </c>
      <c r="U5" s="61">
        <v>5</v>
      </c>
      <c r="V5" s="61"/>
      <c r="W5" s="61">
        <v>1</v>
      </c>
      <c r="X5" s="61">
        <v>2</v>
      </c>
      <c r="Y5" s="61">
        <v>1</v>
      </c>
      <c r="Z5" s="61"/>
    </row>
    <row r="6" spans="1:27">
      <c r="A6" s="61">
        <v>6</v>
      </c>
      <c r="B6" s="61">
        <v>6</v>
      </c>
      <c r="C6" s="61">
        <v>2</v>
      </c>
      <c r="D6" s="61">
        <v>1</v>
      </c>
      <c r="E6" s="61">
        <v>3</v>
      </c>
      <c r="F6" s="61">
        <v>6</v>
      </c>
      <c r="G6" s="61">
        <v>6</v>
      </c>
      <c r="H6" s="61">
        <v>4</v>
      </c>
      <c r="I6" s="61">
        <v>3</v>
      </c>
      <c r="J6" s="61">
        <v>4</v>
      </c>
      <c r="K6" s="61"/>
      <c r="L6" s="61">
        <v>3</v>
      </c>
      <c r="M6" s="61">
        <v>6</v>
      </c>
      <c r="N6" s="61">
        <v>5</v>
      </c>
      <c r="O6" s="61">
        <v>4</v>
      </c>
      <c r="P6" s="61">
        <v>5</v>
      </c>
      <c r="Q6" s="61"/>
      <c r="R6" s="61">
        <v>4</v>
      </c>
      <c r="S6" s="61">
        <v>3</v>
      </c>
      <c r="T6" s="61">
        <v>6</v>
      </c>
      <c r="U6" s="61">
        <v>3</v>
      </c>
      <c r="V6" s="61"/>
      <c r="W6" s="61">
        <v>2</v>
      </c>
      <c r="X6" s="61">
        <v>2</v>
      </c>
      <c r="Y6" s="61">
        <v>2</v>
      </c>
      <c r="Z6" s="61">
        <v>4</v>
      </c>
    </row>
    <row r="7" spans="1:27">
      <c r="A7" s="61">
        <v>7</v>
      </c>
      <c r="B7" s="61">
        <v>7</v>
      </c>
      <c r="C7" s="61">
        <v>1</v>
      </c>
      <c r="D7" s="61">
        <v>2</v>
      </c>
      <c r="E7" s="61">
        <v>3</v>
      </c>
      <c r="F7" s="61">
        <v>7</v>
      </c>
      <c r="G7" s="61">
        <v>7</v>
      </c>
      <c r="H7" s="61">
        <v>2</v>
      </c>
      <c r="I7" s="61">
        <v>1</v>
      </c>
      <c r="J7" s="61">
        <v>2</v>
      </c>
      <c r="K7" s="61"/>
      <c r="L7" s="61">
        <v>1</v>
      </c>
      <c r="M7" s="61">
        <v>7</v>
      </c>
      <c r="N7" s="61">
        <v>6</v>
      </c>
      <c r="O7" s="61">
        <v>7</v>
      </c>
      <c r="P7" s="61">
        <v>7</v>
      </c>
      <c r="Q7" s="61"/>
      <c r="R7" s="61">
        <v>2</v>
      </c>
      <c r="S7" s="61">
        <v>2</v>
      </c>
      <c r="T7" s="61">
        <v>7</v>
      </c>
      <c r="U7" s="61">
        <v>1</v>
      </c>
      <c r="V7" s="61"/>
      <c r="W7" s="61">
        <v>1</v>
      </c>
      <c r="X7" s="61">
        <v>2</v>
      </c>
      <c r="Y7" s="61">
        <v>2</v>
      </c>
      <c r="Z7" s="61">
        <v>6</v>
      </c>
    </row>
    <row r="8" spans="1:27">
      <c r="A8" s="61">
        <v>7</v>
      </c>
      <c r="B8" s="61">
        <v>7</v>
      </c>
      <c r="C8" s="61">
        <v>1</v>
      </c>
      <c r="D8" s="61">
        <v>1</v>
      </c>
      <c r="E8" s="61">
        <v>1</v>
      </c>
      <c r="F8" s="61">
        <v>6</v>
      </c>
      <c r="G8" s="61">
        <v>7</v>
      </c>
      <c r="H8" s="61">
        <v>6</v>
      </c>
      <c r="I8" s="61">
        <v>1</v>
      </c>
      <c r="J8" s="61">
        <v>1</v>
      </c>
      <c r="K8" s="61">
        <v>7</v>
      </c>
      <c r="L8" s="61">
        <v>1</v>
      </c>
      <c r="M8" s="61">
        <v>7</v>
      </c>
      <c r="N8" s="61">
        <v>5</v>
      </c>
      <c r="O8" s="61">
        <v>6</v>
      </c>
      <c r="P8" s="61">
        <v>7</v>
      </c>
      <c r="Q8" s="61"/>
      <c r="R8" s="61">
        <v>1</v>
      </c>
      <c r="S8" s="61">
        <v>1</v>
      </c>
      <c r="T8" s="61">
        <v>7</v>
      </c>
      <c r="U8" s="61">
        <v>1</v>
      </c>
      <c r="V8" s="61"/>
      <c r="W8" s="61">
        <v>1</v>
      </c>
      <c r="X8" s="61">
        <v>1</v>
      </c>
      <c r="Y8" s="61">
        <v>1</v>
      </c>
      <c r="Z8" s="61">
        <v>7</v>
      </c>
    </row>
    <row r="9" spans="1:27">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7">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7">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7">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7">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7">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7">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workbookViewId="0">
      <selection activeCell="AA8" sqref="AA8"/>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62" t="s">
        <v>821</v>
      </c>
      <c r="B1" s="163"/>
      <c r="C1" s="163"/>
      <c r="D1" s="163"/>
      <c r="E1" s="163"/>
      <c r="F1" s="163"/>
      <c r="G1" s="163"/>
      <c r="H1" s="163"/>
      <c r="I1" s="163"/>
      <c r="J1" s="163"/>
      <c r="K1" s="163"/>
      <c r="L1" s="163"/>
      <c r="M1" s="163"/>
      <c r="N1" s="163"/>
      <c r="O1" s="163"/>
      <c r="P1" s="163"/>
      <c r="Q1" s="163"/>
      <c r="R1" s="163"/>
      <c r="S1" s="163"/>
      <c r="T1" s="163"/>
      <c r="U1" s="163"/>
      <c r="V1" s="163"/>
      <c r="W1" s="163"/>
      <c r="X1" s="163"/>
      <c r="Y1" s="163"/>
      <c r="Z1" s="164"/>
      <c r="AA1" s="15"/>
      <c r="AB1" s="15"/>
      <c r="AC1" s="167"/>
      <c r="AD1" s="167"/>
      <c r="AE1" s="167"/>
      <c r="AF1" s="167"/>
      <c r="AG1" s="167"/>
      <c r="AH1" s="167"/>
    </row>
    <row r="2" spans="1:34">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6" t="s">
        <v>1294</v>
      </c>
      <c r="AD2" s="166"/>
      <c r="AE2" s="166"/>
      <c r="AF2" s="166"/>
      <c r="AG2" s="166"/>
      <c r="AH2" s="166"/>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Atracción</v>
      </c>
      <c r="AD3" s="113" t="str">
        <f>VLOOKUP(Read_First!B5,Items!A1:BI50,55,FALSE)</f>
        <v>Transparencia</v>
      </c>
      <c r="AE3" s="114" t="str">
        <f>VLOOKUP(Read_First!B5,Items!A1:BI50,56,FALSE)</f>
        <v>Eficiencia</v>
      </c>
      <c r="AF3" s="113" t="str">
        <f>VLOOKUP(Read_First!B5,Items!A1:BI50,57,FALSE)</f>
        <v>Controlabilidad</v>
      </c>
      <c r="AG3" s="114" t="str">
        <f>VLOOKUP(Read_First!B5,Items!A1:BI50,58,FALSE)</f>
        <v>Estimulación</v>
      </c>
      <c r="AH3" s="115" t="str">
        <f>VLOOKUP(Read_First!B5,Items!A1:BI50,59,FALSE)</f>
        <v>Novedad</v>
      </c>
    </row>
    <row r="4" spans="1:34">
      <c r="A4" s="68">
        <f>IF(Data!A4&gt;0,Data!A4-4,"")</f>
        <v>2</v>
      </c>
      <c r="B4" s="68">
        <f>IF(Data!B4&gt;0,Data!B4-4,"")</f>
        <v>3</v>
      </c>
      <c r="C4" s="68">
        <f>IF(Data!C4&gt;0,4-Data!C4,"")</f>
        <v>2</v>
      </c>
      <c r="D4" s="68">
        <f>IF(Data!D4&gt;0,4-Data!D4,"")</f>
        <v>3</v>
      </c>
      <c r="E4" s="68">
        <f>IF(Data!E4&gt;0,4-Data!E4,"")</f>
        <v>1</v>
      </c>
      <c r="F4" s="68">
        <f>IF(Data!F4&gt;0,Data!F4-4,"")</f>
        <v>2</v>
      </c>
      <c r="G4" s="68">
        <f>IF(Data!G4&gt;0,Data!G4-4,"")</f>
        <v>2</v>
      </c>
      <c r="H4" s="68">
        <f>IF(Data!H4&gt;0,Data!H4-4,"")</f>
        <v>3</v>
      </c>
      <c r="I4" s="68">
        <f>IF(Data!I4&gt;0,4-Data!I4,"")</f>
        <v>3</v>
      </c>
      <c r="J4" s="68">
        <f>IF(Data!J4&gt;0,4-Data!J4,"")</f>
        <v>1</v>
      </c>
      <c r="K4" s="68">
        <f>IF(Data!K4&gt;0,Data!K4-4,"")</f>
        <v>2</v>
      </c>
      <c r="L4" s="68">
        <f>IF(Data!L4&gt;0,4-Data!L4,"")</f>
        <v>2</v>
      </c>
      <c r="M4" s="68">
        <f>IF(Data!M4&gt;0,Data!M4-4,"")</f>
        <v>3</v>
      </c>
      <c r="N4" s="68">
        <f>IF(Data!N4&gt;0,Data!N4-4,"")</f>
        <v>2</v>
      </c>
      <c r="O4" s="68">
        <f>IF(Data!O4&gt;0,Data!O4-4,"")</f>
        <v>1</v>
      </c>
      <c r="P4" s="68">
        <f>IF(Data!P4&gt;0,Data!P4-4,"")</f>
        <v>2</v>
      </c>
      <c r="Q4" s="68" t="str">
        <f>IF(Data!Q4&gt;0,4-Data!Q4,"")</f>
        <v/>
      </c>
      <c r="R4" s="68" t="str">
        <f>IF(Data!R4&gt;0,4-Data!R4,"")</f>
        <v/>
      </c>
      <c r="S4" s="68">
        <f>IF(Data!S4&gt;0,4-Data!S4,"")</f>
        <v>3</v>
      </c>
      <c r="T4" s="68">
        <f>IF(Data!T4&gt;0,Data!T4-4,"")</f>
        <v>3</v>
      </c>
      <c r="U4" s="68">
        <f>IF(Data!U4&gt;0,4-Data!U4,"")</f>
        <v>3</v>
      </c>
      <c r="V4" s="68" t="str">
        <f>IF(Data!V4&gt;0,Data!V4-4,"")</f>
        <v/>
      </c>
      <c r="W4" s="68">
        <f>IF(Data!W4&gt;0,4-Data!W4,"")</f>
        <v>1</v>
      </c>
      <c r="X4" s="68">
        <f>IF(Data!X4&gt;0,4-Data!X4,"")</f>
        <v>2</v>
      </c>
      <c r="Y4" s="68">
        <f>IF(Data!Y4&gt;0,4-Data!Y4,"")</f>
        <v>3</v>
      </c>
      <c r="Z4" s="68">
        <f>IF(Data!Z4&gt;0,Data!Z4-4,"")</f>
        <v>1</v>
      </c>
      <c r="AC4" s="69">
        <f t="shared" ref="AC4:AC68" si="0">IF(COUNT(A4,L4,N4,P4,X4,Y4)&gt;0,AVERAGE(A4,L4,N4,P4,X4,Y4),"")</f>
        <v>2.1666666666666665</v>
      </c>
      <c r="AD4" s="69">
        <f>IF(COUNT(B4,D4,M4,U4)&gt;0,AVERAGE(B4,D4,M4,U4),"")</f>
        <v>3</v>
      </c>
      <c r="AE4" s="69">
        <f>IF(COUNT(I4,T4,V4,W4)&gt;0,AVERAGE(I4,T4,V4,W4),"")</f>
        <v>2.3333333333333335</v>
      </c>
      <c r="AF4" s="69">
        <f>IF(COUNT(H4,K4,Q4,S4)&gt;0,AVERAGE(H4,K4,Q4,S4),"")</f>
        <v>2.6666666666666665</v>
      </c>
      <c r="AG4" s="69">
        <f>IF(COUNT(E4,F4,G4,R4)&gt;0,AVERAGE(E4,F4,G4,R4),"")</f>
        <v>1.6666666666666667</v>
      </c>
      <c r="AH4" s="69">
        <f>IF(COUNT(C4,J4,O4,Z4)&gt;0,AVERAGE(C4,J4,O4,Z4),"")</f>
        <v>1.25</v>
      </c>
    </row>
    <row r="5" spans="1:34">
      <c r="A5" s="1">
        <f>IF(Data!A5&gt;0,Data!A5-4,"")</f>
        <v>1</v>
      </c>
      <c r="B5" s="1">
        <f>IF(Data!B5&gt;0,Data!B5-4,"")</f>
        <v>1</v>
      </c>
      <c r="C5" s="1">
        <f>IF(Data!C5&gt;0,4-Data!C5,"")</f>
        <v>2</v>
      </c>
      <c r="D5" s="1">
        <f>IF(Data!D5&gt;0,4-Data!D5,"")</f>
        <v>3</v>
      </c>
      <c r="E5" s="1">
        <f>IF(Data!E5&gt;0,4-Data!E5,"")</f>
        <v>1</v>
      </c>
      <c r="F5" s="1">
        <f>IF(Data!F5&gt;0,Data!F5-4,"")</f>
        <v>2</v>
      </c>
      <c r="G5" s="1">
        <f>IF(Data!G5&gt;0,Data!G5-4,"")</f>
        <v>0</v>
      </c>
      <c r="H5" s="1">
        <f>IF(Data!H5&gt;0,Data!H5-4,"")</f>
        <v>3</v>
      </c>
      <c r="I5" s="1">
        <f>IF(Data!I5&gt;0,4-Data!I5,"")</f>
        <v>3</v>
      </c>
      <c r="J5" s="1">
        <f>IF(Data!J5&gt;0,4-Data!J5,"")</f>
        <v>0</v>
      </c>
      <c r="K5" s="1">
        <f>IF(Data!K5&gt;0,Data!K5-4,"")</f>
        <v>2</v>
      </c>
      <c r="L5" s="1">
        <f>IF(Data!L5&gt;0,4-Data!L5,"")</f>
        <v>3</v>
      </c>
      <c r="M5" s="1">
        <f>IF(Data!M5&gt;0,Data!M5-4,"")</f>
        <v>3</v>
      </c>
      <c r="N5" s="1">
        <f>IF(Data!N5&gt;0,Data!N5-4,"")</f>
        <v>3</v>
      </c>
      <c r="O5" s="1">
        <f>IF(Data!O5&gt;0,Data!O5-4,"")</f>
        <v>2</v>
      </c>
      <c r="P5" s="1">
        <f>IF(Data!P5&gt;0,Data!P5-4,"")</f>
        <v>2</v>
      </c>
      <c r="Q5" s="1" t="str">
        <f>IF(Data!Q5&gt;0,4-Data!Q5,"")</f>
        <v/>
      </c>
      <c r="R5" s="1" t="str">
        <f>IF(Data!R5&gt;0,4-Data!R5,"")</f>
        <v/>
      </c>
      <c r="S5" s="1">
        <f>IF(Data!S5&gt;0,4-Data!S5,"")</f>
        <v>1</v>
      </c>
      <c r="T5" s="1">
        <f>IF(Data!T5&gt;0,Data!T5-4,"")</f>
        <v>2</v>
      </c>
      <c r="U5" s="1">
        <f>IF(Data!U5&gt;0,4-Data!U5,"")</f>
        <v>-1</v>
      </c>
      <c r="V5" s="1" t="str">
        <f>IF(Data!V5&gt;0,Data!V5-4,"")</f>
        <v/>
      </c>
      <c r="W5" s="1">
        <f>IF(Data!W5&gt;0,4-Data!W5,"")</f>
        <v>3</v>
      </c>
      <c r="X5" s="1">
        <f>IF(Data!X5&gt;0,4-Data!X5,"")</f>
        <v>2</v>
      </c>
      <c r="Y5" s="1">
        <f>IF(Data!Y5&gt;0,4-Data!Y5,"")</f>
        <v>3</v>
      </c>
      <c r="Z5" s="1" t="str">
        <f>IF(Data!Z5&gt;0,Data!Z5-4,"")</f>
        <v/>
      </c>
      <c r="AC5" s="7">
        <f t="shared" si="0"/>
        <v>2.3333333333333335</v>
      </c>
      <c r="AD5" s="7">
        <f t="shared" ref="AD5:AD68" si="1">IF(COUNT(B5,D5,M5,U5)&gt;0,AVERAGE(B5,D5,M5,U5),"")</f>
        <v>1.5</v>
      </c>
      <c r="AE5" s="7">
        <f t="shared" ref="AE5:AE68" si="2">IF(COUNT(I5,T5,V5,W5)&gt;0,AVERAGE(I5,T5,V5,W5),"")</f>
        <v>2.6666666666666665</v>
      </c>
      <c r="AF5" s="7">
        <f t="shared" ref="AF5:AF68" si="3">IF(COUNT(H5,K5,Q5,S5)&gt;0,AVERAGE(H5,K5,Q5,S5),"")</f>
        <v>2</v>
      </c>
      <c r="AG5" s="7">
        <f t="shared" ref="AG5:AG68" si="4">IF(COUNT(E5,F5,G5,R5)&gt;0,AVERAGE(E5,F5,G5,R5),"")</f>
        <v>1</v>
      </c>
      <c r="AH5" s="7">
        <f t="shared" ref="AH5:AH68" si="5">IF(COUNT(C5,J5,O5,Z5)&gt;0,AVERAGE(C5,J5,O5,Z5),"")</f>
        <v>1.3333333333333333</v>
      </c>
    </row>
    <row r="6" spans="1:34">
      <c r="A6" s="1">
        <f>IF(Data!A6&gt;0,Data!A6-4,"")</f>
        <v>2</v>
      </c>
      <c r="B6" s="1">
        <f>IF(Data!B6&gt;0,Data!B6-4,"")</f>
        <v>2</v>
      </c>
      <c r="C6" s="1">
        <f>IF(Data!C6&gt;0,4-Data!C6,"")</f>
        <v>2</v>
      </c>
      <c r="D6" s="1">
        <f>IF(Data!D6&gt;0,4-Data!D6,"")</f>
        <v>3</v>
      </c>
      <c r="E6" s="1">
        <f>IF(Data!E6&gt;0,4-Data!E6,"")</f>
        <v>1</v>
      </c>
      <c r="F6" s="1">
        <f>IF(Data!F6&gt;0,Data!F6-4,"")</f>
        <v>2</v>
      </c>
      <c r="G6" s="1">
        <f>IF(Data!G6&gt;0,Data!G6-4,"")</f>
        <v>2</v>
      </c>
      <c r="H6" s="1">
        <f>IF(Data!H6&gt;0,Data!H6-4,"")</f>
        <v>0</v>
      </c>
      <c r="I6" s="1">
        <f>IF(Data!I6&gt;0,4-Data!I6,"")</f>
        <v>1</v>
      </c>
      <c r="J6" s="1">
        <f>IF(Data!J6&gt;0,4-Data!J6,"")</f>
        <v>0</v>
      </c>
      <c r="K6" s="1" t="str">
        <f>IF(Data!K6&gt;0,Data!K6-4,"")</f>
        <v/>
      </c>
      <c r="L6" s="1">
        <f>IF(Data!L6&gt;0,4-Data!L6,"")</f>
        <v>1</v>
      </c>
      <c r="M6" s="1">
        <f>IF(Data!M6&gt;0,Data!M6-4,"")</f>
        <v>2</v>
      </c>
      <c r="N6" s="1">
        <f>IF(Data!N6&gt;0,Data!N6-4,"")</f>
        <v>1</v>
      </c>
      <c r="O6" s="1">
        <f>IF(Data!O6&gt;0,Data!O6-4,"")</f>
        <v>0</v>
      </c>
      <c r="P6" s="1">
        <f>IF(Data!P6&gt;0,Data!P6-4,"")</f>
        <v>1</v>
      </c>
      <c r="Q6" s="1" t="str">
        <f>IF(Data!Q6&gt;0,4-Data!Q6,"")</f>
        <v/>
      </c>
      <c r="R6" s="1">
        <f>IF(Data!R6&gt;0,4-Data!R6,"")</f>
        <v>0</v>
      </c>
      <c r="S6" s="1">
        <f>IF(Data!S6&gt;0,4-Data!S6,"")</f>
        <v>1</v>
      </c>
      <c r="T6" s="1">
        <f>IF(Data!T6&gt;0,Data!T6-4,"")</f>
        <v>2</v>
      </c>
      <c r="U6" s="1">
        <f>IF(Data!U6&gt;0,4-Data!U6,"")</f>
        <v>1</v>
      </c>
      <c r="V6" s="1" t="str">
        <f>IF(Data!V6&gt;0,Data!V6-4,"")</f>
        <v/>
      </c>
      <c r="W6" s="1">
        <f>IF(Data!W6&gt;0,4-Data!W6,"")</f>
        <v>2</v>
      </c>
      <c r="X6" s="1">
        <f>IF(Data!X6&gt;0,4-Data!X6,"")</f>
        <v>2</v>
      </c>
      <c r="Y6" s="1">
        <f>IF(Data!Y6&gt;0,4-Data!Y6,"")</f>
        <v>2</v>
      </c>
      <c r="Z6" s="1">
        <f>IF(Data!Z6&gt;0,Data!Z6-4,"")</f>
        <v>0</v>
      </c>
      <c r="AC6" s="7">
        <f t="shared" si="0"/>
        <v>1.5</v>
      </c>
      <c r="AD6" s="7">
        <f t="shared" si="1"/>
        <v>2</v>
      </c>
      <c r="AE6" s="7">
        <f t="shared" si="2"/>
        <v>1.6666666666666667</v>
      </c>
      <c r="AF6" s="7">
        <f t="shared" si="3"/>
        <v>0.5</v>
      </c>
      <c r="AG6" s="7">
        <f t="shared" si="4"/>
        <v>1.25</v>
      </c>
      <c r="AH6" s="7">
        <f t="shared" si="5"/>
        <v>0.5</v>
      </c>
    </row>
    <row r="7" spans="1:34">
      <c r="A7" s="1">
        <f>IF(Data!A7&gt;0,Data!A7-4,"")</f>
        <v>3</v>
      </c>
      <c r="B7" s="1">
        <f>IF(Data!B7&gt;0,Data!B7-4,"")</f>
        <v>3</v>
      </c>
      <c r="C7" s="1">
        <f>IF(Data!C7&gt;0,4-Data!C7,"")</f>
        <v>3</v>
      </c>
      <c r="D7" s="1">
        <f>IF(Data!D7&gt;0,4-Data!D7,"")</f>
        <v>2</v>
      </c>
      <c r="E7" s="1">
        <f>IF(Data!E7&gt;0,4-Data!E7,"")</f>
        <v>1</v>
      </c>
      <c r="F7" s="1">
        <f>IF(Data!F7&gt;0,Data!F7-4,"")</f>
        <v>3</v>
      </c>
      <c r="G7" s="1">
        <f>IF(Data!G7&gt;0,Data!G7-4,"")</f>
        <v>3</v>
      </c>
      <c r="H7" s="1">
        <f>IF(Data!H7&gt;0,Data!H7-4,"")</f>
        <v>-2</v>
      </c>
      <c r="I7" s="1">
        <f>IF(Data!I7&gt;0,4-Data!I7,"")</f>
        <v>3</v>
      </c>
      <c r="J7" s="1">
        <f>IF(Data!J7&gt;0,4-Data!J7,"")</f>
        <v>2</v>
      </c>
      <c r="K7" s="1" t="str">
        <f>IF(Data!K7&gt;0,Data!K7-4,"")</f>
        <v/>
      </c>
      <c r="L7" s="1">
        <f>IF(Data!L7&gt;0,4-Data!L7,"")</f>
        <v>3</v>
      </c>
      <c r="M7" s="1">
        <f>IF(Data!M7&gt;0,Data!M7-4,"")</f>
        <v>3</v>
      </c>
      <c r="N7" s="1">
        <f>IF(Data!N7&gt;0,Data!N7-4,"")</f>
        <v>2</v>
      </c>
      <c r="O7" s="1">
        <f>IF(Data!O7&gt;0,Data!O7-4,"")</f>
        <v>3</v>
      </c>
      <c r="P7" s="1">
        <f>IF(Data!P7&gt;0,Data!P7-4,"")</f>
        <v>3</v>
      </c>
      <c r="Q7" s="1" t="str">
        <f>IF(Data!Q7&gt;0,4-Data!Q7,"")</f>
        <v/>
      </c>
      <c r="R7" s="1">
        <f>IF(Data!R7&gt;0,4-Data!R7,"")</f>
        <v>2</v>
      </c>
      <c r="S7" s="1">
        <f>IF(Data!S7&gt;0,4-Data!S7,"")</f>
        <v>2</v>
      </c>
      <c r="T7" s="1">
        <f>IF(Data!T7&gt;0,Data!T7-4,"")</f>
        <v>3</v>
      </c>
      <c r="U7" s="1">
        <f>IF(Data!U7&gt;0,4-Data!U7,"")</f>
        <v>3</v>
      </c>
      <c r="V7" s="1" t="str">
        <f>IF(Data!V7&gt;0,Data!V7-4,"")</f>
        <v/>
      </c>
      <c r="W7" s="1">
        <f>IF(Data!W7&gt;0,4-Data!W7,"")</f>
        <v>3</v>
      </c>
      <c r="X7" s="1">
        <f>IF(Data!X7&gt;0,4-Data!X7,"")</f>
        <v>2</v>
      </c>
      <c r="Y7" s="1">
        <f>IF(Data!Y7&gt;0,4-Data!Y7,"")</f>
        <v>2</v>
      </c>
      <c r="Z7" s="1">
        <f>IF(Data!Z7&gt;0,Data!Z7-4,"")</f>
        <v>2</v>
      </c>
      <c r="AC7" s="7">
        <f t="shared" si="0"/>
        <v>2.5</v>
      </c>
      <c r="AD7" s="7">
        <f t="shared" si="1"/>
        <v>2.75</v>
      </c>
      <c r="AE7" s="7">
        <f t="shared" si="2"/>
        <v>3</v>
      </c>
      <c r="AF7" s="7">
        <f t="shared" si="3"/>
        <v>0</v>
      </c>
      <c r="AG7" s="7">
        <f t="shared" si="4"/>
        <v>2.25</v>
      </c>
      <c r="AH7" s="7">
        <f t="shared" si="5"/>
        <v>2.5</v>
      </c>
    </row>
    <row r="8" spans="1:34">
      <c r="A8" s="1">
        <f>IF(Data!A8&gt;0,Data!A8-4,"")</f>
        <v>3</v>
      </c>
      <c r="B8" s="1">
        <f>IF(Data!B8&gt;0,Data!B8-4,"")</f>
        <v>3</v>
      </c>
      <c r="C8" s="1">
        <f>IF(Data!C8&gt;0,4-Data!C8,"")</f>
        <v>3</v>
      </c>
      <c r="D8" s="1">
        <f>IF(Data!D8&gt;0,4-Data!D8,"")</f>
        <v>3</v>
      </c>
      <c r="E8" s="1">
        <f>IF(Data!E8&gt;0,4-Data!E8,"")</f>
        <v>3</v>
      </c>
      <c r="F8" s="1">
        <f>IF(Data!F8&gt;0,Data!F8-4,"")</f>
        <v>2</v>
      </c>
      <c r="G8" s="1">
        <f>IF(Data!G8&gt;0,Data!G8-4,"")</f>
        <v>3</v>
      </c>
      <c r="H8" s="1">
        <f>IF(Data!H8&gt;0,Data!H8-4,"")</f>
        <v>2</v>
      </c>
      <c r="I8" s="1">
        <f>IF(Data!I8&gt;0,4-Data!I8,"")</f>
        <v>3</v>
      </c>
      <c r="J8" s="1">
        <f>IF(Data!J8&gt;0,4-Data!J8,"")</f>
        <v>3</v>
      </c>
      <c r="K8" s="1">
        <f>IF(Data!K8&gt;0,Data!K8-4,"")</f>
        <v>3</v>
      </c>
      <c r="L8" s="1">
        <f>IF(Data!L8&gt;0,4-Data!L8,"")</f>
        <v>3</v>
      </c>
      <c r="M8" s="1">
        <f>IF(Data!M8&gt;0,Data!M8-4,"")</f>
        <v>3</v>
      </c>
      <c r="N8" s="1">
        <f>IF(Data!N8&gt;0,Data!N8-4,"")</f>
        <v>1</v>
      </c>
      <c r="O8" s="1">
        <f>IF(Data!O8&gt;0,Data!O8-4,"")</f>
        <v>2</v>
      </c>
      <c r="P8" s="1">
        <f>IF(Data!P8&gt;0,Data!P8-4,"")</f>
        <v>3</v>
      </c>
      <c r="Q8" s="1" t="str">
        <f>IF(Data!Q8&gt;0,4-Data!Q8,"")</f>
        <v/>
      </c>
      <c r="R8" s="1">
        <f>IF(Data!R8&gt;0,4-Data!R8,"")</f>
        <v>3</v>
      </c>
      <c r="S8" s="1">
        <f>IF(Data!S8&gt;0,4-Data!S8,"")</f>
        <v>3</v>
      </c>
      <c r="T8" s="1">
        <f>IF(Data!T8&gt;0,Data!T8-4,"")</f>
        <v>3</v>
      </c>
      <c r="U8" s="1">
        <f>IF(Data!U8&gt;0,4-Data!U8,"")</f>
        <v>3</v>
      </c>
      <c r="V8" s="1" t="str">
        <f>IF(Data!V8&gt;0,Data!V8-4,"")</f>
        <v/>
      </c>
      <c r="W8" s="1">
        <f>IF(Data!W8&gt;0,4-Data!W8,"")</f>
        <v>3</v>
      </c>
      <c r="X8" s="1">
        <f>IF(Data!X8&gt;0,4-Data!X8,"")</f>
        <v>3</v>
      </c>
      <c r="Y8" s="1">
        <f>IF(Data!Y8&gt;0,4-Data!Y8,"")</f>
        <v>3</v>
      </c>
      <c r="Z8" s="1">
        <f>IF(Data!Z8&gt;0,Data!Z8-4,"")</f>
        <v>3</v>
      </c>
      <c r="AC8" s="7">
        <f t="shared" si="0"/>
        <v>2.6666666666666665</v>
      </c>
      <c r="AD8" s="7">
        <f t="shared" si="1"/>
        <v>3</v>
      </c>
      <c r="AE8" s="7">
        <f t="shared" si="2"/>
        <v>3</v>
      </c>
      <c r="AF8" s="7">
        <f t="shared" si="3"/>
        <v>2.6666666666666665</v>
      </c>
      <c r="AG8" s="7">
        <f t="shared" si="4"/>
        <v>2.75</v>
      </c>
      <c r="AH8" s="7">
        <f t="shared" si="5"/>
        <v>2.75</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7" t="str">
        <f t="shared" si="0"/>
        <v/>
      </c>
      <c r="AD9" s="7" t="str">
        <f t="shared" si="1"/>
        <v/>
      </c>
      <c r="AE9" s="7" t="str">
        <f t="shared" si="2"/>
        <v/>
      </c>
      <c r="AF9" s="7" t="str">
        <f t="shared" si="3"/>
        <v/>
      </c>
      <c r="AG9" s="7" t="str">
        <f t="shared" si="4"/>
        <v/>
      </c>
      <c r="AH9" s="7"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7" t="str">
        <f t="shared" si="0"/>
        <v/>
      </c>
      <c r="AD10" s="7" t="str">
        <f t="shared" si="1"/>
        <v/>
      </c>
      <c r="AE10" s="7" t="str">
        <f t="shared" si="2"/>
        <v/>
      </c>
      <c r="AF10" s="7" t="str">
        <f t="shared" si="3"/>
        <v/>
      </c>
      <c r="AG10" s="7" t="str">
        <f t="shared" si="4"/>
        <v/>
      </c>
      <c r="AH10" s="7"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7" t="str">
        <f t="shared" si="0"/>
        <v/>
      </c>
      <c r="AD11" s="7" t="str">
        <f t="shared" si="1"/>
        <v/>
      </c>
      <c r="AE11" s="7" t="str">
        <f t="shared" si="2"/>
        <v/>
      </c>
      <c r="AF11" s="7" t="str">
        <f t="shared" si="3"/>
        <v/>
      </c>
      <c r="AG11" s="7" t="str">
        <f t="shared" si="4"/>
        <v/>
      </c>
      <c r="AH11" s="7"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G1" workbookViewId="0">
      <selection sqref="A1:N1"/>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69" t="s">
        <v>1536</v>
      </c>
      <c r="B1" s="170"/>
      <c r="C1" s="170"/>
      <c r="D1" s="170"/>
      <c r="E1" s="170"/>
      <c r="F1" s="170"/>
      <c r="G1" s="170"/>
      <c r="H1" s="170"/>
      <c r="I1" s="170"/>
      <c r="J1" s="170"/>
      <c r="K1" s="170"/>
      <c r="L1" s="170"/>
      <c r="M1" s="170"/>
      <c r="N1" s="170"/>
    </row>
    <row r="2" spans="1:18">
      <c r="A2" s="77" t="s">
        <v>2</v>
      </c>
      <c r="B2" s="78" t="s">
        <v>106</v>
      </c>
      <c r="C2" s="79" t="s">
        <v>107</v>
      </c>
      <c r="D2" s="80" t="s">
        <v>108</v>
      </c>
      <c r="E2" s="79" t="s">
        <v>109</v>
      </c>
      <c r="F2" s="81" t="s">
        <v>117</v>
      </c>
      <c r="G2" s="82" t="s">
        <v>118</v>
      </c>
      <c r="H2" s="79" t="s">
        <v>110</v>
      </c>
      <c r="I2" s="83"/>
      <c r="K2" s="168" t="s">
        <v>1279</v>
      </c>
      <c r="L2" s="168"/>
      <c r="M2" s="168"/>
    </row>
    <row r="3" spans="1:18">
      <c r="A3" s="71">
        <v>1</v>
      </c>
      <c r="B3" s="72">
        <f>AVERAGE(DT!A4:A1004)</f>
        <v>2.2000000000000002</v>
      </c>
      <c r="C3" s="72">
        <f>VAR(DT!A4:A1004)</f>
        <v>0.70000000000000018</v>
      </c>
      <c r="D3" s="72">
        <f>SQRT(C3)</f>
        <v>0.83666002653407567</v>
      </c>
      <c r="E3" s="73">
        <f>COUNTA(Data!A4:A1000)</f>
        <v>5</v>
      </c>
      <c r="F3" s="74" t="str">
        <f>VLOOKUP(Read_First!B5,Items!A1:BA50,2,FALSE)</f>
        <v>desagradable</v>
      </c>
      <c r="G3" s="75" t="str">
        <f>VLOOKUP(Read_First!B5,Items!A1:BA50,3,FALSE)</f>
        <v>agradable</v>
      </c>
      <c r="H3" s="76" t="str">
        <f>VLOOKUP(Read_First!B5,Items!A1:BI50,54,FALSE)</f>
        <v>Atracción</v>
      </c>
      <c r="I3" s="136"/>
      <c r="K3" s="30" t="str">
        <f>VLOOKUP(Read_First!B5,Items!A1:BI50,54,FALSE)</f>
        <v>Atracción</v>
      </c>
      <c r="L3" s="11">
        <f>AVERAGE(DT!AC4:AC1004)</f>
        <v>2.2333333333333334</v>
      </c>
      <c r="M3" s="7">
        <f>VAR(DT!AC4:AC1004)</f>
        <v>0.20277777777777839</v>
      </c>
      <c r="R3" s="5"/>
    </row>
    <row r="4" spans="1:18">
      <c r="A4" s="2">
        <v>2</v>
      </c>
      <c r="B4" s="3">
        <f>AVERAGE(DT!B4:B1004)</f>
        <v>2.4</v>
      </c>
      <c r="C4" s="3">
        <f>VAR(DT!B4:B1004)</f>
        <v>0.79999999999999982</v>
      </c>
      <c r="D4" s="3">
        <f t="shared" ref="D4:D28" si="0">SQRT(C4)</f>
        <v>0.89442719099991574</v>
      </c>
      <c r="E4" s="4">
        <f>COUNTA(Data!B4:B1000)</f>
        <v>5</v>
      </c>
      <c r="F4" s="22" t="str">
        <f>VLOOKUP(Read_First!B5,Items!A1:BA50,4,FALSE)</f>
        <v>no entendible</v>
      </c>
      <c r="G4" s="22" t="str">
        <f>VLOOKUP(Read_First!B5,Items!A1:BA50,5,FALSE)</f>
        <v>entendible</v>
      </c>
      <c r="H4" s="28" t="str">
        <f>VLOOKUP(Read_First!B5,Items!A1:BI50,55,FALSE)</f>
        <v>Transparencia</v>
      </c>
      <c r="I4" s="9"/>
      <c r="K4" s="30" t="str">
        <f>VLOOKUP(Read_First!B5,Items!A1:BI50,55,FALSE)</f>
        <v>Transparencia</v>
      </c>
      <c r="L4" s="11">
        <f>AVERAGE(DT!AD4:AD1004)</f>
        <v>2.4500000000000002</v>
      </c>
      <c r="M4" s="7">
        <f>VAR(DT!AD4:AD1004)</f>
        <v>0.45000000000000018</v>
      </c>
    </row>
    <row r="5" spans="1:18">
      <c r="A5" s="2">
        <v>3</v>
      </c>
      <c r="B5" s="3">
        <f>AVERAGE(DT!C4:C1004)</f>
        <v>2.4</v>
      </c>
      <c r="C5" s="3">
        <f>VAR(DT!C4:C1004)</f>
        <v>0.29999999999999982</v>
      </c>
      <c r="D5" s="3">
        <f t="shared" si="0"/>
        <v>0.54772255750516596</v>
      </c>
      <c r="E5" s="4">
        <f>COUNTA(Data!C4:C1000)</f>
        <v>5</v>
      </c>
      <c r="F5" s="22" t="str">
        <f>VLOOKUP(Read_First!B5,Items!A1:BA50,6,FALSE)</f>
        <v>creativo</v>
      </c>
      <c r="G5" s="22" t="str">
        <f>VLOOKUP(Read_First!B5,Items!A1:BA50,7,FALSE)</f>
        <v>sin imaginacion</v>
      </c>
      <c r="H5" s="28" t="str">
        <f>VLOOKUP(Read_First!B5,Items!A1:BI50,59,FALSE)</f>
        <v>Novedad</v>
      </c>
      <c r="I5" s="138"/>
      <c r="K5" s="30" t="str">
        <f>VLOOKUP(Read_First!B5,Items!A1:BI50,56,FALSE)</f>
        <v>Eficiencia</v>
      </c>
      <c r="L5" s="11">
        <f>AVERAGE(DT!AE4:AE1004)</f>
        <v>2.5333333333333337</v>
      </c>
      <c r="M5" s="7">
        <f>VAR(DT!AE4:AE1004)</f>
        <v>0.31111111111111001</v>
      </c>
    </row>
    <row r="6" spans="1:18">
      <c r="A6" s="2">
        <v>4</v>
      </c>
      <c r="B6" s="3">
        <f>AVERAGE(DT!D4:D1004)</f>
        <v>2.8</v>
      </c>
      <c r="C6" s="3">
        <f>VAR(DT!D4:D1004)</f>
        <v>0.19999999999999929</v>
      </c>
      <c r="D6" s="3">
        <f t="shared" si="0"/>
        <v>0.44721359549995715</v>
      </c>
      <c r="E6" s="4">
        <f>COUNTA(Data!D4:D1000)</f>
        <v>5</v>
      </c>
      <c r="F6" s="22" t="str">
        <f>VLOOKUP(Read_First!B5,Items!A1:BA50,8,FALSE)</f>
        <v>facil de aprender</v>
      </c>
      <c r="G6" s="23" t="str">
        <f>VLOOKUP(Read_First!B5,Items!A1:BA50,9,FALSE)</f>
        <v>dificil de aprender</v>
      </c>
      <c r="H6" s="28" t="str">
        <f>VLOOKUP(Read_First!B5,Items!A1:BI50,55,FALSE)</f>
        <v>Transparencia</v>
      </c>
      <c r="I6" s="9"/>
      <c r="K6" s="31" t="str">
        <f>VLOOKUP(Read_First!B5,Items!A1:BI50,57,FALSE)</f>
        <v>Controlabilidad</v>
      </c>
      <c r="L6" s="11">
        <f>AVERAGE(DT!AF4:AF1004)</f>
        <v>1.5666666666666664</v>
      </c>
      <c r="M6" s="7">
        <f>VAR(DT!AF4:AF1004)</f>
        <v>1.5500000000000007</v>
      </c>
    </row>
    <row r="7" spans="1:18">
      <c r="A7" s="2">
        <v>5</v>
      </c>
      <c r="B7" s="3">
        <f>AVERAGE(DT!E4:E1004)</f>
        <v>1.4</v>
      </c>
      <c r="C7" s="3">
        <f>VAR(DT!E4:E1004)</f>
        <v>0.79999999999999982</v>
      </c>
      <c r="D7" s="3">
        <f t="shared" si="0"/>
        <v>0.89442719099991574</v>
      </c>
      <c r="E7" s="4">
        <f>COUNTA(Data!E4:E1000)</f>
        <v>5</v>
      </c>
      <c r="F7" s="22" t="str">
        <f>VLOOKUP(Read_First!B5,Items!A1:BA50,10,FALSE)</f>
        <v>valioso</v>
      </c>
      <c r="G7" s="23" t="str">
        <f>VLOOKUP(Read_First!B5,Items!A1:BA50,11,FALSE)</f>
        <v>de poco valor</v>
      </c>
      <c r="H7" s="29" t="str">
        <f>VLOOKUP(Read_First!B5,Items!A1:BI50,58,FALSE)</f>
        <v>Estimulación</v>
      </c>
      <c r="I7" s="139"/>
      <c r="K7" s="31" t="str">
        <f>VLOOKUP(Read_First!B5,Items!A1:BI50,58,FALSE)</f>
        <v>Estimulación</v>
      </c>
      <c r="L7" s="11">
        <f>AVERAGE(DT!AG4:AG1004)</f>
        <v>1.7833333333333337</v>
      </c>
      <c r="M7" s="7">
        <f>VAR(DT!AG4:AG1004)</f>
        <v>0.51597222222222117</v>
      </c>
    </row>
    <row r="8" spans="1:18">
      <c r="A8" s="2">
        <v>6</v>
      </c>
      <c r="B8" s="3">
        <f>AVERAGE(DT!F4:F1004)</f>
        <v>2.2000000000000002</v>
      </c>
      <c r="C8" s="3">
        <f>VAR(DT!F4:F1004)</f>
        <v>0.20000000000000018</v>
      </c>
      <c r="D8" s="3">
        <f t="shared" si="0"/>
        <v>0.44721359549995815</v>
      </c>
      <c r="E8" s="4">
        <f>COUNTA(Data!F4:F1000)</f>
        <v>5</v>
      </c>
      <c r="F8" s="22" t="str">
        <f>VLOOKUP(Read_First!B5,Items!A1:BA50,12,FALSE)</f>
        <v>aburrido</v>
      </c>
      <c r="G8" s="23" t="str">
        <f>VLOOKUP(Read_First!B5,Items!A1:BA50,13,FALSE)</f>
        <v>emocionante</v>
      </c>
      <c r="H8" s="29" t="str">
        <f>VLOOKUP(Read_First!B5,Items!A1:BI50,58,FALSE)</f>
        <v>Estimulación</v>
      </c>
      <c r="I8" s="139"/>
      <c r="K8" s="30" t="str">
        <f>VLOOKUP(Read_First!B5,Items!A1:BI50,59,FALSE)</f>
        <v>Novedad</v>
      </c>
      <c r="L8" s="11">
        <f>AVERAGE(DT!AH4:AH1004)</f>
        <v>1.6666666666666665</v>
      </c>
      <c r="M8" s="7">
        <f>VAR(DT!AH4:AH1004)</f>
        <v>0.87847222222222321</v>
      </c>
    </row>
    <row r="9" spans="1:18">
      <c r="A9" s="2">
        <v>7</v>
      </c>
      <c r="B9" s="3">
        <f>AVERAGE(DT!G4:G1004)</f>
        <v>2</v>
      </c>
      <c r="C9" s="3">
        <f>VAR(DT!G4:G1004)</f>
        <v>1.5</v>
      </c>
      <c r="D9" s="3">
        <f t="shared" si="0"/>
        <v>1.2247448713915889</v>
      </c>
      <c r="E9" s="4">
        <f>COUNTA(Data!G4:G1000)</f>
        <v>5</v>
      </c>
      <c r="F9" s="22" t="str">
        <f>VLOOKUP(Read_First!B5,Items!A1:BA50,14,FALSE)</f>
        <v>no interesante</v>
      </c>
      <c r="G9" s="23" t="str">
        <f>VLOOKUP(Read_First!B5,Items!A1:BA50,15,FALSE)</f>
        <v>interesante</v>
      </c>
      <c r="H9" s="29" t="str">
        <f>VLOOKUP(Read_First!B5,Items!A1:BI50,58,FALSE)</f>
        <v>Estimulación</v>
      </c>
      <c r="I9" s="139"/>
    </row>
    <row r="10" spans="1:18">
      <c r="A10" s="2">
        <v>8</v>
      </c>
      <c r="B10" s="3">
        <f>AVERAGE(DT!H4:H1004)</f>
        <v>1.2</v>
      </c>
      <c r="C10" s="3">
        <f>VAR(DT!H4:H1004)</f>
        <v>4.7</v>
      </c>
      <c r="D10" s="3">
        <f t="shared" si="0"/>
        <v>2.16794833886788</v>
      </c>
      <c r="E10" s="4">
        <f>COUNTA(Data!H4:H1000)</f>
        <v>5</v>
      </c>
      <c r="F10" s="22" t="str">
        <f>VLOOKUP(Read_First!B5,Items!A1:BA50,16,FALSE)</f>
        <v>impredecible</v>
      </c>
      <c r="G10" s="23" t="str">
        <f>VLOOKUP(Read_First!B5,Items!A1:BA50,17,FALSE)</f>
        <v>predecible</v>
      </c>
      <c r="H10" s="28" t="str">
        <f>VLOOKUP(Read_First!B5,Items!A1:BI50,57,FALSE)</f>
        <v>Controlabilidad</v>
      </c>
      <c r="I10" s="141"/>
    </row>
    <row r="11" spans="1:18">
      <c r="A11" s="2">
        <v>9</v>
      </c>
      <c r="B11" s="3">
        <f>AVERAGE(DT!I4:I1004)</f>
        <v>2.6</v>
      </c>
      <c r="C11" s="3">
        <f>VAR(DT!I4:I1004)</f>
        <v>0.80000000000000071</v>
      </c>
      <c r="D11" s="3">
        <f t="shared" si="0"/>
        <v>0.8944271909999163</v>
      </c>
      <c r="E11" s="4">
        <f>COUNTA(Data!I4:I1000)</f>
        <v>5</v>
      </c>
      <c r="F11" s="22" t="str">
        <f>VLOOKUP(Read_First!B5,Items!A1:BA50,18,FALSE)</f>
        <v>rapido</v>
      </c>
      <c r="G11" s="23" t="str">
        <f>VLOOKUP(Read_First!B5,Items!A1:BA50,19,FALSE)</f>
        <v>lento</v>
      </c>
      <c r="H11" s="28" t="str">
        <f>VLOOKUP(Read_First!B5,Items!A1:BI50,56,FALSE)</f>
        <v>Eficiencia</v>
      </c>
      <c r="I11" s="140"/>
    </row>
    <row r="12" spans="1:18">
      <c r="A12" s="2">
        <v>10</v>
      </c>
      <c r="B12" s="3">
        <f>AVERAGE(DT!J4:J1004)</f>
        <v>1.2</v>
      </c>
      <c r="C12" s="3">
        <f>VAR(DT!J4:J1004)</f>
        <v>1.7</v>
      </c>
      <c r="D12" s="3">
        <f t="shared" si="0"/>
        <v>1.3038404810405297</v>
      </c>
      <c r="E12" s="4">
        <f>COUNTA(Data!J4:J1000)</f>
        <v>5</v>
      </c>
      <c r="F12" s="22" t="str">
        <f>VLOOKUP(Read_First!B5,Items!A1:BA50,20,FALSE)</f>
        <v>original</v>
      </c>
      <c r="G12" s="23" t="str">
        <f>VLOOKUP(Read_First!B5,Items!A1:BA50,21,FALSE)</f>
        <v>convencional</v>
      </c>
      <c r="H12" s="28" t="str">
        <f>VLOOKUP(Read_First!B5,Items!A1:BI50,59,FALSE)</f>
        <v>Novedad</v>
      </c>
      <c r="I12" s="138"/>
    </row>
    <row r="13" spans="1:18">
      <c r="A13" s="2">
        <v>11</v>
      </c>
      <c r="B13" s="3">
        <f>AVERAGE(DT!K4:K1004)</f>
        <v>2.3333333333333335</v>
      </c>
      <c r="C13" s="3">
        <f>VAR(DT!K4:K1004)</f>
        <v>0.33333333333333393</v>
      </c>
      <c r="D13" s="3">
        <f t="shared" si="0"/>
        <v>0.57735026918962629</v>
      </c>
      <c r="E13" s="4">
        <f>COUNTA(Data!K4:K1000)</f>
        <v>3</v>
      </c>
      <c r="F13" s="22" t="str">
        <f>VLOOKUP(Read_First!B5,Items!A1:BA50,22,FALSE)</f>
        <v>obstructivo</v>
      </c>
      <c r="G13" s="23" t="str">
        <f>VLOOKUP(Read_First!B5,Items!A1:BA50,23,FALSE)</f>
        <v>impulsor de apoyo</v>
      </c>
      <c r="H13" s="28" t="str">
        <f>VLOOKUP(Read_First!B5,Items!A1:BI50,57,FALSE)</f>
        <v>Controlabilidad</v>
      </c>
      <c r="I13" s="141"/>
    </row>
    <row r="14" spans="1:18">
      <c r="A14" s="2">
        <v>12</v>
      </c>
      <c r="B14" s="3">
        <f>AVERAGE(DT!L4:L1004)</f>
        <v>2.4</v>
      </c>
      <c r="C14" s="3">
        <f>VAR(DT!L4:L1004)</f>
        <v>0.79999999999999982</v>
      </c>
      <c r="D14" s="3">
        <f t="shared" si="0"/>
        <v>0.89442719099991574</v>
      </c>
      <c r="E14" s="4">
        <f>COUNTA(Data!L4:L1000)</f>
        <v>5</v>
      </c>
      <c r="F14" s="22" t="str">
        <f>VLOOKUP(Read_First!B5,Items!A1:BA50,24,FALSE)</f>
        <v>bueno</v>
      </c>
      <c r="G14" s="23" t="str">
        <f>VLOOKUP(Read_First!B5,Items!A1:BA50,25,FALSE)</f>
        <v>malo</v>
      </c>
      <c r="H14" s="28" t="str">
        <f>VLOOKUP(Read_First!B5,Items!A1:BI50,54,FALSE)</f>
        <v>Atracción</v>
      </c>
      <c r="I14" s="137"/>
    </row>
    <row r="15" spans="1:18">
      <c r="A15" s="2">
        <v>13</v>
      </c>
      <c r="B15" s="3">
        <f>AVERAGE(DT!M4:M1004)</f>
        <v>2.8</v>
      </c>
      <c r="C15" s="3">
        <f>VAR(DT!M4:M1004)</f>
        <v>0.19999999999999929</v>
      </c>
      <c r="D15" s="3">
        <f t="shared" si="0"/>
        <v>0.44721359549995715</v>
      </c>
      <c r="E15" s="4">
        <f>COUNTA(Data!M4:M1000)</f>
        <v>5</v>
      </c>
      <c r="F15" s="22" t="str">
        <f>VLOOKUP(Read_First!B5,Items!A1:BA50,26,FALSE)</f>
        <v>complicado</v>
      </c>
      <c r="G15" s="23" t="str">
        <f>VLOOKUP(Read_First!B5,Items!A1:BA50,27,FALSE)</f>
        <v>facil</v>
      </c>
      <c r="H15" s="28" t="str">
        <f>VLOOKUP(Read_First!B5,Items!A1:BI50,55,FALSE)</f>
        <v>Transparencia</v>
      </c>
      <c r="I15" s="9"/>
    </row>
    <row r="16" spans="1:18">
      <c r="A16" s="2">
        <v>14</v>
      </c>
      <c r="B16" s="3">
        <f>AVERAGE(DT!N4:N1004)</f>
        <v>1.8</v>
      </c>
      <c r="C16" s="3">
        <f>VAR(DT!N4:N1004)</f>
        <v>0.70000000000000018</v>
      </c>
      <c r="D16" s="3">
        <f t="shared" si="0"/>
        <v>0.83666002653407567</v>
      </c>
      <c r="E16" s="4">
        <f>COUNTA(Data!N4:N1000)</f>
        <v>5</v>
      </c>
      <c r="F16" s="22" t="str">
        <f>VLOOKUP(Read_First!B5,Items!A1:BA50,28,FALSE)</f>
        <v>repeler</v>
      </c>
      <c r="G16" s="23" t="str">
        <f>VLOOKUP(Read_First!B5,Items!A1:BA50,29,FALSE)</f>
        <v>atraer</v>
      </c>
      <c r="H16" s="28" t="str">
        <f>VLOOKUP(Read_First!B5,Items!A1:BI50,54,FALSE)</f>
        <v>Atracción</v>
      </c>
      <c r="I16" s="137"/>
    </row>
    <row r="17" spans="1:9">
      <c r="A17" s="2">
        <v>15</v>
      </c>
      <c r="B17" s="3">
        <f>AVERAGE(DT!O4:O1004)</f>
        <v>1.6</v>
      </c>
      <c r="C17" s="3">
        <f>VAR(DT!O4:O1004)</f>
        <v>1.2999999999999998</v>
      </c>
      <c r="D17" s="3">
        <f t="shared" si="0"/>
        <v>1.1401754250991378</v>
      </c>
      <c r="E17" s="4">
        <f>COUNTA(Data!O4:O1000)</f>
        <v>5</v>
      </c>
      <c r="F17" s="22" t="str">
        <f>VLOOKUP(Read_First!B5,Items!A1:BA50,30,FALSE)</f>
        <v>convencional</v>
      </c>
      <c r="G17" s="23" t="str">
        <f>VLOOKUP(Read_First!B5,Items!A1:BA50,31,FALSE)</f>
        <v>novedoso</v>
      </c>
      <c r="H17" s="28" t="str">
        <f>VLOOKUP(Read_First!B5,Items!A1:BI50,59,FALSE)</f>
        <v>Novedad</v>
      </c>
      <c r="I17" s="138"/>
    </row>
    <row r="18" spans="1:9">
      <c r="A18" s="2">
        <v>16</v>
      </c>
      <c r="B18" s="3">
        <f>AVERAGE(DT!P4:P1004)</f>
        <v>2.2000000000000002</v>
      </c>
      <c r="C18" s="3">
        <f>VAR(DT!P4:P1004)</f>
        <v>0.70000000000000018</v>
      </c>
      <c r="D18" s="3">
        <f t="shared" si="0"/>
        <v>0.83666002653407567</v>
      </c>
      <c r="E18" s="4">
        <f>COUNTA(Data!P4:P1000)</f>
        <v>5</v>
      </c>
      <c r="F18" s="22" t="str">
        <f>VLOOKUP(Read_First!B5,Items!A1:BA50,32,FALSE)</f>
        <v>incomodo</v>
      </c>
      <c r="G18" s="23" t="str">
        <f>VLOOKUP(Read_First!B5,Items!A1:BA50,33,FALSE)</f>
        <v>comodo</v>
      </c>
      <c r="H18" s="28" t="str">
        <f>VLOOKUP(Read_First!B5,Items!A1:BI50,54,FALSE)</f>
        <v>Atracción</v>
      </c>
      <c r="I18" s="137"/>
    </row>
    <row r="19" spans="1:9">
      <c r="A19" s="2">
        <v>17</v>
      </c>
      <c r="B19" s="3" t="e">
        <f>AVERAGE(DT!Q4:Q1004)</f>
        <v>#DIV/0!</v>
      </c>
      <c r="C19" s="3" t="e">
        <f>VAR(DT!Q4:Q1004)</f>
        <v>#DIV/0!</v>
      </c>
      <c r="D19" s="3" t="e">
        <f t="shared" si="0"/>
        <v>#DIV/0!</v>
      </c>
      <c r="E19" s="4">
        <f>COUNTA(Data!Q4:Q1000)</f>
        <v>0</v>
      </c>
      <c r="F19" s="22" t="str">
        <f>VLOOKUP(Read_First!B5,Items!A1:BA50,34,FALSE)</f>
        <v>seguro</v>
      </c>
      <c r="G19" s="23" t="str">
        <f>VLOOKUP(Read_First!B5,Items!A1:BA50,35,FALSE)</f>
        <v>inseguro</v>
      </c>
      <c r="H19" s="28" t="str">
        <f>VLOOKUP(Read_First!B5,Items!A1:BI50,57,FALSE)</f>
        <v>Controlabilidad</v>
      </c>
      <c r="I19" s="141"/>
    </row>
    <row r="20" spans="1:9">
      <c r="A20" s="2">
        <v>18</v>
      </c>
      <c r="B20" s="3">
        <f>AVERAGE(DT!R4:R1004)</f>
        <v>1.6666666666666667</v>
      </c>
      <c r="C20" s="3">
        <f>VAR(DT!R4:R1004)</f>
        <v>2.333333333333333</v>
      </c>
      <c r="D20" s="3">
        <f t="shared" si="0"/>
        <v>1.5275252316519465</v>
      </c>
      <c r="E20" s="4">
        <f>COUNTA(Data!R4:R1000)</f>
        <v>3</v>
      </c>
      <c r="F20" s="22" t="str">
        <f>VLOOKUP(Read_First!B5,Items!A1:BA50,36,FALSE)</f>
        <v>activante</v>
      </c>
      <c r="G20" s="23" t="str">
        <f>VLOOKUP(Read_First!B5,Items!A1:BA50,37,FALSE)</f>
        <v>adormecedor</v>
      </c>
      <c r="H20" s="29" t="str">
        <f>VLOOKUP(Read_First!B5,Items!A1:BI50,58,FALSE)</f>
        <v>Estimulación</v>
      </c>
      <c r="I20" s="139"/>
    </row>
    <row r="21" spans="1:9">
      <c r="A21" s="2">
        <v>19</v>
      </c>
      <c r="B21" s="3">
        <f>AVERAGE(DT!S4:S1004)</f>
        <v>2</v>
      </c>
      <c r="C21" s="3">
        <f>VAR(DT!S4:S1004)</f>
        <v>1</v>
      </c>
      <c r="D21" s="3">
        <f t="shared" si="0"/>
        <v>1</v>
      </c>
      <c r="E21" s="4">
        <f>COUNTA(Data!S4:S1000)</f>
        <v>5</v>
      </c>
      <c r="F21" s="22" t="str">
        <f>VLOOKUP(Read_First!B5,Items!A1:BA50,38,FALSE)</f>
        <v>cubre expectativas</v>
      </c>
      <c r="G21" s="23" t="str">
        <f>VLOOKUP(Read_First!B5,Items!A1:BA50,39,FALSE)</f>
        <v>no cubre expectativas</v>
      </c>
      <c r="H21" s="28" t="str">
        <f>VLOOKUP(Read_First!B5,Items!A1:BI50,57,FALSE)</f>
        <v>Controlabilidad</v>
      </c>
      <c r="I21" s="141"/>
    </row>
    <row r="22" spans="1:9">
      <c r="A22" s="2">
        <v>20</v>
      </c>
      <c r="B22" s="3">
        <f>AVERAGE(DT!T4:T1004)</f>
        <v>2.6</v>
      </c>
      <c r="C22" s="3">
        <f>VAR(DT!T4:T1004)</f>
        <v>0.30000000000000071</v>
      </c>
      <c r="D22" s="3">
        <f t="shared" si="0"/>
        <v>0.54772255750516674</v>
      </c>
      <c r="E22" s="4">
        <f>COUNTA(Data!T4:T1000)</f>
        <v>5</v>
      </c>
      <c r="F22" s="22" t="str">
        <f>VLOOKUP(Read_First!B5,Items!A1:BA50,40,FALSE)</f>
        <v>ineficiente</v>
      </c>
      <c r="G22" s="23" t="str">
        <f>VLOOKUP(Read_First!B5,Items!A1:BA50,41,FALSE)</f>
        <v>eficiente</v>
      </c>
      <c r="H22" s="28" t="str">
        <f>VLOOKUP(Read_First!B5,Items!A1:BI50,56,FALSE)</f>
        <v>Eficiencia</v>
      </c>
      <c r="I22" s="140"/>
    </row>
    <row r="23" spans="1:9">
      <c r="A23" s="6">
        <v>21</v>
      </c>
      <c r="B23" s="3">
        <f>AVERAGE(DT!U4:U1004)</f>
        <v>1.8</v>
      </c>
      <c r="C23" s="3">
        <f>VAR(DT!U4:U1004)</f>
        <v>3.2</v>
      </c>
      <c r="D23" s="3">
        <f t="shared" si="0"/>
        <v>1.7888543819998317</v>
      </c>
      <c r="E23" s="4">
        <f>COUNTA(Data!U4:U1000)</f>
        <v>5</v>
      </c>
      <c r="F23" s="22" t="str">
        <f>VLOOKUP(Read_First!B5,Items!A1:BA50,42,FALSE)</f>
        <v>claro</v>
      </c>
      <c r="G23" s="23" t="str">
        <f>VLOOKUP(Read_First!B5,Items!A1:BA50,43,FALSE)</f>
        <v>confuso</v>
      </c>
      <c r="H23" s="28" t="str">
        <f>VLOOKUP(Read_First!B5,Items!A1:BI50,55,FALSE)</f>
        <v>Transparencia</v>
      </c>
      <c r="I23" s="9"/>
    </row>
    <row r="24" spans="1:9">
      <c r="A24" s="6">
        <v>22</v>
      </c>
      <c r="B24" s="3" t="e">
        <f>AVERAGE(DT!V4:V1004)</f>
        <v>#DIV/0!</v>
      </c>
      <c r="C24" s="3" t="e">
        <f>VAR(DT!V4:V1004)</f>
        <v>#DIV/0!</v>
      </c>
      <c r="D24" s="3" t="e">
        <f t="shared" si="0"/>
        <v>#DIV/0!</v>
      </c>
      <c r="E24" s="4">
        <f>COUNTA(Data!V4:V1000)</f>
        <v>0</v>
      </c>
      <c r="F24" s="22" t="str">
        <f>VLOOKUP(Read_First!B5,Items!A1:BA50,44,FALSE)</f>
        <v>no pragmatico</v>
      </c>
      <c r="G24" s="23" t="str">
        <f>VLOOKUP(Read_First!B5,Items!A1:BA50,45,FALSE)</f>
        <v>pragmatico</v>
      </c>
      <c r="H24" s="28" t="str">
        <f>VLOOKUP(Read_First!B5,Items!A1:BI50,56,FALSE)</f>
        <v>Eficiencia</v>
      </c>
      <c r="I24" s="140"/>
    </row>
    <row r="25" spans="1:9">
      <c r="A25" s="6">
        <v>23</v>
      </c>
      <c r="B25" s="3">
        <f>AVERAGE(DT!W4:W1004)</f>
        <v>2.4</v>
      </c>
      <c r="C25" s="3">
        <f>VAR(DT!W4:W1004)</f>
        <v>0.79999999999999982</v>
      </c>
      <c r="D25" s="3">
        <f t="shared" si="0"/>
        <v>0.89442719099991574</v>
      </c>
      <c r="E25" s="4">
        <f>COUNTA(Data!W4:W1000)</f>
        <v>5</v>
      </c>
      <c r="F25" s="22" t="str">
        <f>VLOOKUP(Read_First!B5,Items!A1:BA50,46,FALSE)</f>
        <v>ordenado</v>
      </c>
      <c r="G25" s="23" t="str">
        <f>VLOOKUP(Read_First!B5,Items!A1:BA50,47,FALSE)</f>
        <v>sobrecargado</v>
      </c>
      <c r="H25" s="28" t="str">
        <f>VLOOKUP(Read_First!B5,Items!A1:BI50,56,FALSE)</f>
        <v>Eficiencia</v>
      </c>
      <c r="I25" s="140"/>
    </row>
    <row r="26" spans="1:9">
      <c r="A26" s="6">
        <v>24</v>
      </c>
      <c r="B26" s="3">
        <f>AVERAGE(DT!X4:X1004)</f>
        <v>2.2000000000000002</v>
      </c>
      <c r="C26" s="3">
        <f>VAR(DT!X4:X1004)</f>
        <v>0.20000000000000018</v>
      </c>
      <c r="D26" s="3">
        <f t="shared" si="0"/>
        <v>0.44721359549995815</v>
      </c>
      <c r="E26" s="4">
        <f>COUNTA(Data!X4:X1000)</f>
        <v>5</v>
      </c>
      <c r="F26" s="22" t="str">
        <f>VLOOKUP(Read_First!B5,Items!A1:BA50,48,FALSE)</f>
        <v>atractivo</v>
      </c>
      <c r="G26" s="23" t="str">
        <f>VLOOKUP(Read_First!B5,Items!A1:BA50,49,FALSE)</f>
        <v>feo</v>
      </c>
      <c r="H26" s="28" t="str">
        <f>VLOOKUP(Read_First!B5,Items!A1:BI50,54,FALSE)</f>
        <v>Atracción</v>
      </c>
      <c r="I26" s="137"/>
    </row>
    <row r="27" spans="1:9">
      <c r="A27" s="6">
        <v>25</v>
      </c>
      <c r="B27" s="3">
        <f>AVERAGE(DT!Y4:Y1004)</f>
        <v>2.6</v>
      </c>
      <c r="C27" s="3">
        <f>VAR(DT!Y4:Y1004)</f>
        <v>0.30000000000000071</v>
      </c>
      <c r="D27" s="3">
        <f t="shared" si="0"/>
        <v>0.54772255750516674</v>
      </c>
      <c r="E27" s="4">
        <f>COUNTA(Data!Y4:Y1000)</f>
        <v>5</v>
      </c>
      <c r="F27" s="22" t="str">
        <f>VLOOKUP(Read_First!B5,Items!A1:BA50,50,FALSE)</f>
        <v>simpatico</v>
      </c>
      <c r="G27" s="23" t="str">
        <f>VLOOKUP(Read_First!B5,Items!A1:BA50,51,FALSE)</f>
        <v>antipatico</v>
      </c>
      <c r="H27" s="28" t="str">
        <f>VLOOKUP(Read_First!B5,Items!A1:BI50,54,FALSE)</f>
        <v>Atracción</v>
      </c>
      <c r="I27" s="137"/>
    </row>
    <row r="28" spans="1:9">
      <c r="A28" s="6">
        <v>26</v>
      </c>
      <c r="B28" s="3">
        <f>AVERAGE(DT!Z4:Z1004)</f>
        <v>1.5</v>
      </c>
      <c r="C28" s="3">
        <f>VAR(DT!Z4:Z1004)</f>
        <v>1.6666666666666667</v>
      </c>
      <c r="D28" s="3">
        <f t="shared" si="0"/>
        <v>1.2909944487358056</v>
      </c>
      <c r="E28" s="4">
        <f>COUNTA(Data!Z4:Z1000)</f>
        <v>4</v>
      </c>
      <c r="F28" s="22" t="str">
        <f>VLOOKUP(Read_First!B5,Items!A1:BA50,52,FALSE)</f>
        <v>conservador</v>
      </c>
      <c r="G28" s="23" t="str">
        <f>VLOOKUP(Read_First!B5,Items!A1:BA50,53,FALSE)</f>
        <v>innovador</v>
      </c>
      <c r="H28" s="28" t="str">
        <f>VLOOKUP(Read_First!B5,Items!A1:BI50,59,FALSE)</f>
        <v>Novedad</v>
      </c>
      <c r="I28" s="138"/>
    </row>
    <row r="39" spans="11:15">
      <c r="K39" s="168" t="s">
        <v>822</v>
      </c>
      <c r="L39" s="168"/>
    </row>
    <row r="40" spans="11:15">
      <c r="K40" s="43" t="str">
        <f>VLOOKUP(Read_First!B5,Items!A1:BI50,54,FALSE)</f>
        <v>Atracción</v>
      </c>
      <c r="L40" s="44">
        <f>AVERAGE(DT!AC4:AC1004)</f>
        <v>2.2333333333333334</v>
      </c>
    </row>
    <row r="41" spans="11:15">
      <c r="K41" s="1" t="str">
        <f>VLOOKUP(Read_First!B5,Items!A1:BI50,60,FALSE)</f>
        <v>Calidad Pragmática</v>
      </c>
      <c r="L41" s="45">
        <f>(L4+L5+L6)/3</f>
        <v>2.1833333333333336</v>
      </c>
    </row>
    <row r="42" spans="11:15">
      <c r="K42" s="1" t="str">
        <f>VLOOKUP(Read_First!B5,Items!A1:BI50,61,FALSE)</f>
        <v>Calidad Hedónico</v>
      </c>
      <c r="L42" s="45">
        <f>(L7+L8)/2</f>
        <v>1.7250000000000001</v>
      </c>
    </row>
    <row r="44" spans="11:15" ht="102.75" customHeight="1">
      <c r="K44" s="157" t="s">
        <v>823</v>
      </c>
      <c r="L44" s="157"/>
      <c r="M44" s="157"/>
      <c r="N44" s="157"/>
      <c r="O44" s="157"/>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74" t="s">
        <v>1288</v>
      </c>
      <c r="B1" s="175"/>
      <c r="C1" s="175"/>
      <c r="D1" s="175"/>
      <c r="E1" s="175"/>
      <c r="F1" s="175"/>
      <c r="G1" s="175"/>
      <c r="H1" s="175"/>
      <c r="I1" s="175"/>
      <c r="J1" s="175"/>
      <c r="K1" s="175"/>
      <c r="L1" s="175"/>
      <c r="M1" s="175"/>
      <c r="N1" s="175"/>
      <c r="O1" s="175"/>
    </row>
    <row r="3" spans="1:15">
      <c r="A3" s="171" t="s">
        <v>114</v>
      </c>
      <c r="B3" s="171"/>
      <c r="C3" s="171"/>
      <c r="D3" s="171"/>
      <c r="E3" s="171"/>
      <c r="F3" s="171"/>
      <c r="G3" s="171"/>
      <c r="I3" s="171" t="s">
        <v>111</v>
      </c>
      <c r="J3" s="171"/>
      <c r="K3" s="171"/>
      <c r="L3" s="171"/>
      <c r="M3" s="171"/>
      <c r="N3" s="171"/>
      <c r="O3" s="171"/>
    </row>
    <row r="4" spans="1:15">
      <c r="A4" s="116" t="s">
        <v>2</v>
      </c>
      <c r="B4" s="117" t="s">
        <v>106</v>
      </c>
      <c r="C4" s="117" t="s">
        <v>108</v>
      </c>
      <c r="D4" s="118" t="s">
        <v>3</v>
      </c>
      <c r="E4" s="117" t="s">
        <v>112</v>
      </c>
      <c r="F4" s="172" t="s">
        <v>113</v>
      </c>
      <c r="G4" s="173"/>
      <c r="I4" s="119" t="s">
        <v>110</v>
      </c>
      <c r="J4" s="118" t="s">
        <v>106</v>
      </c>
      <c r="K4" s="118" t="s">
        <v>108</v>
      </c>
      <c r="L4" s="118" t="s">
        <v>3</v>
      </c>
      <c r="M4" s="120" t="s">
        <v>112</v>
      </c>
      <c r="N4" s="172" t="s">
        <v>113</v>
      </c>
      <c r="O4" s="173"/>
    </row>
    <row r="5" spans="1:15">
      <c r="A5" s="86">
        <v>1</v>
      </c>
      <c r="B5" s="85">
        <f>Results!B3</f>
        <v>2.2000000000000002</v>
      </c>
      <c r="C5" s="85">
        <f>Results!D3</f>
        <v>0.83666002653407567</v>
      </c>
      <c r="D5" s="73">
        <f>Results!E3</f>
        <v>5</v>
      </c>
      <c r="E5" s="85">
        <f t="shared" ref="E5:E24" si="0">CONFIDENCE(0.05, C5, D5)</f>
        <v>0.7333513720565179</v>
      </c>
      <c r="F5" s="85">
        <f t="shared" ref="F5:F24" si="1">B5-E5</f>
        <v>1.4666486279434823</v>
      </c>
      <c r="G5" s="85">
        <f t="shared" ref="G5:G24" si="2">B5+E5</f>
        <v>2.9333513720565181</v>
      </c>
      <c r="I5" s="87" t="str">
        <f>VLOOKUP(Read_First!B5,Items!A1:BI50,54,FALSE)</f>
        <v>Atracción</v>
      </c>
      <c r="J5" s="85">
        <f>AVERAGE(DT!AC4:AC1004)</f>
        <v>2.2333333333333334</v>
      </c>
      <c r="K5" s="85">
        <f>STDEV(DT!AC4:AC1004)</f>
        <v>0.45030853620354389</v>
      </c>
      <c r="L5" s="73">
        <f>MAX(D5:D24)</f>
        <v>5</v>
      </c>
      <c r="M5" s="85">
        <f>CONFIDENCE(0.05, K5, L5)</f>
        <v>0.39470558219645169</v>
      </c>
      <c r="N5" s="85">
        <f t="shared" ref="N5:N10" si="3">J5-M5</f>
        <v>1.8386277511368818</v>
      </c>
      <c r="O5" s="85">
        <f t="shared" ref="O5:O10" si="4">J5+M5</f>
        <v>2.628038915529785</v>
      </c>
    </row>
    <row r="6" spans="1:15">
      <c r="A6" s="13">
        <v>2</v>
      </c>
      <c r="B6" s="11">
        <f>Results!B4</f>
        <v>2.4</v>
      </c>
      <c r="C6" s="11">
        <f>Results!D4</f>
        <v>0.89442719099991574</v>
      </c>
      <c r="D6" s="4">
        <f>Results!E4</f>
        <v>5</v>
      </c>
      <c r="E6" s="11">
        <f t="shared" si="0"/>
        <v>0.78398559381602129</v>
      </c>
      <c r="F6" s="11">
        <f t="shared" si="1"/>
        <v>1.6160144061839787</v>
      </c>
      <c r="G6" s="11">
        <f t="shared" si="2"/>
        <v>3.1839855938160211</v>
      </c>
      <c r="I6" s="10" t="str">
        <f>VLOOKUP(Read_First!B5,Items!A1:BI50,55,FALSE)</f>
        <v>Transparencia</v>
      </c>
      <c r="J6" s="11">
        <f>AVERAGE(DT!AD4:AD1004)</f>
        <v>2.4500000000000002</v>
      </c>
      <c r="K6" s="11">
        <f>STDEV(DT!AD4:AD1004)</f>
        <v>0.67082039324993703</v>
      </c>
      <c r="L6" s="4">
        <f>L5</f>
        <v>5</v>
      </c>
      <c r="M6" s="11">
        <f t="shared" ref="M6:M10" si="5">CONFIDENCE(0.05, K6, L6)</f>
        <v>0.58798919536201621</v>
      </c>
      <c r="N6" s="11">
        <f t="shared" si="3"/>
        <v>1.862010804637984</v>
      </c>
      <c r="O6" s="11">
        <f t="shared" si="4"/>
        <v>3.0379891953620164</v>
      </c>
    </row>
    <row r="7" spans="1:15">
      <c r="A7" s="13">
        <v>3</v>
      </c>
      <c r="B7" s="11">
        <f>Results!B5</f>
        <v>2.4</v>
      </c>
      <c r="C7" s="11">
        <f>Results!D5</f>
        <v>0.54772255750516596</v>
      </c>
      <c r="D7" s="4">
        <f>Results!E5</f>
        <v>5</v>
      </c>
      <c r="E7" s="11">
        <f t="shared" si="0"/>
        <v>0.48009116763553072</v>
      </c>
      <c r="F7" s="11">
        <f t="shared" si="1"/>
        <v>1.9199088323644693</v>
      </c>
      <c r="G7" s="11">
        <f t="shared" si="2"/>
        <v>2.8800911676355305</v>
      </c>
      <c r="I7" s="10" t="str">
        <f>VLOOKUP(Read_First!B5,Items!A1:BI50,56,FALSE)</f>
        <v>Eficiencia</v>
      </c>
      <c r="J7" s="11">
        <f>AVERAGE(DT!AE4:AE1004)</f>
        <v>2.5333333333333337</v>
      </c>
      <c r="K7" s="11">
        <f>STDEV(DT!AE4:AE1004)</f>
        <v>0.55777335102271608</v>
      </c>
      <c r="L7" s="4">
        <f>L6</f>
        <v>5</v>
      </c>
      <c r="M7" s="11">
        <f t="shared" si="5"/>
        <v>0.48890091470434438</v>
      </c>
      <c r="N7" s="11">
        <f t="shared" si="3"/>
        <v>2.0444324186289893</v>
      </c>
      <c r="O7" s="11">
        <f t="shared" si="4"/>
        <v>3.022234248037678</v>
      </c>
    </row>
    <row r="8" spans="1:15">
      <c r="A8" s="13">
        <v>4</v>
      </c>
      <c r="B8" s="11">
        <f>Results!B6</f>
        <v>2.8</v>
      </c>
      <c r="C8" s="11">
        <f>Results!D6</f>
        <v>0.44721359549995715</v>
      </c>
      <c r="D8" s="4">
        <f>Results!E6</f>
        <v>5</v>
      </c>
      <c r="E8" s="11">
        <f t="shared" si="0"/>
        <v>0.39199279690801003</v>
      </c>
      <c r="F8" s="11">
        <f t="shared" si="1"/>
        <v>2.4080072030919899</v>
      </c>
      <c r="G8" s="11">
        <f t="shared" si="2"/>
        <v>3.1919927969080097</v>
      </c>
      <c r="I8" s="12" t="str">
        <f>VLOOKUP(Read_First!B5,Items!A1:BI50,57,FALSE)</f>
        <v>Controlabilidad</v>
      </c>
      <c r="J8" s="11">
        <f>AVERAGE(DT!AF4:AF1004)</f>
        <v>1.5666666666666664</v>
      </c>
      <c r="K8" s="11">
        <f>STDEV(DT!AF4:AF1004)</f>
        <v>1.2449899597988736</v>
      </c>
      <c r="L8" s="4">
        <f>L7</f>
        <v>5</v>
      </c>
      <c r="M8" s="11">
        <f t="shared" si="5"/>
        <v>1.0912617625552445</v>
      </c>
      <c r="N8" s="11">
        <f t="shared" si="3"/>
        <v>0.47540490411142189</v>
      </c>
      <c r="O8" s="11">
        <f t="shared" si="4"/>
        <v>2.657928429221911</v>
      </c>
    </row>
    <row r="9" spans="1:15">
      <c r="A9" s="13">
        <v>5</v>
      </c>
      <c r="B9" s="11">
        <f>Results!B7</f>
        <v>1.4</v>
      </c>
      <c r="C9" s="11">
        <f>Results!D7</f>
        <v>0.89442719099991574</v>
      </c>
      <c r="D9" s="4">
        <f>Results!E7</f>
        <v>5</v>
      </c>
      <c r="E9" s="11">
        <f t="shared" si="0"/>
        <v>0.78398559381602129</v>
      </c>
      <c r="F9" s="11">
        <f t="shared" si="1"/>
        <v>0.61601440618397862</v>
      </c>
      <c r="G9" s="11">
        <f t="shared" si="2"/>
        <v>2.1839855938160211</v>
      </c>
      <c r="I9" s="12" t="str">
        <f>VLOOKUP(Read_First!B5,Items!A1:BI50,58,FALSE)</f>
        <v>Estimulación</v>
      </c>
      <c r="J9" s="11">
        <f>AVERAGE(DT!AG4:AG1004)</f>
        <v>1.7833333333333337</v>
      </c>
      <c r="K9" s="11">
        <f>STDEV(DT!AG4:AG1004)</f>
        <v>0.71831206465033093</v>
      </c>
      <c r="L9" s="4">
        <f>L8</f>
        <v>5</v>
      </c>
      <c r="M9" s="11">
        <f t="shared" si="5"/>
        <v>0.6296167158341176</v>
      </c>
      <c r="N9" s="11">
        <f t="shared" si="3"/>
        <v>1.1537166174992159</v>
      </c>
      <c r="O9" s="11">
        <f t="shared" si="4"/>
        <v>2.4129500491674514</v>
      </c>
    </row>
    <row r="10" spans="1:15">
      <c r="A10" s="13">
        <v>6</v>
      </c>
      <c r="B10" s="11">
        <f>Results!B8</f>
        <v>2.2000000000000002</v>
      </c>
      <c r="C10" s="11">
        <f>Results!D8</f>
        <v>0.44721359549995815</v>
      </c>
      <c r="D10" s="4">
        <f>Results!E8</f>
        <v>5</v>
      </c>
      <c r="E10" s="11">
        <f t="shared" si="0"/>
        <v>0.39199279690801092</v>
      </c>
      <c r="F10" s="11">
        <f t="shared" si="1"/>
        <v>1.8080072030919894</v>
      </c>
      <c r="G10" s="11">
        <f t="shared" si="2"/>
        <v>2.591992796908011</v>
      </c>
      <c r="I10" s="10" t="str">
        <f>VLOOKUP(Read_First!B5,Items!A1:BI50,59,FALSE)</f>
        <v>Novedad</v>
      </c>
      <c r="J10" s="11">
        <f>AVERAGE(DT!AH4:AH1004)</f>
        <v>1.6666666666666665</v>
      </c>
      <c r="K10" s="11">
        <f>STDEV(DT!AH4:AH1004)</f>
        <v>0.93726848993349987</v>
      </c>
      <c r="L10" s="4">
        <f>L9</f>
        <v>5</v>
      </c>
      <c r="M10" s="11">
        <f t="shared" si="5"/>
        <v>0.82153695799888726</v>
      </c>
      <c r="N10" s="11">
        <f t="shared" si="3"/>
        <v>0.84512970866777926</v>
      </c>
      <c r="O10" s="11">
        <f t="shared" si="4"/>
        <v>2.4882036246655539</v>
      </c>
    </row>
    <row r="11" spans="1:15">
      <c r="A11" s="13">
        <v>7</v>
      </c>
      <c r="B11" s="11">
        <f>Results!B9</f>
        <v>2</v>
      </c>
      <c r="C11" s="11">
        <f>Results!D9</f>
        <v>1.2247448713915889</v>
      </c>
      <c r="D11" s="4">
        <f>Results!E9</f>
        <v>5</v>
      </c>
      <c r="E11" s="11">
        <f t="shared" si="0"/>
        <v>1.0735164862302939</v>
      </c>
      <c r="F11" s="11">
        <f t="shared" si="1"/>
        <v>0.92648351376970606</v>
      </c>
      <c r="G11" s="11">
        <f t="shared" si="2"/>
        <v>3.0735164862302939</v>
      </c>
    </row>
    <row r="12" spans="1:15">
      <c r="A12" s="13">
        <v>8</v>
      </c>
      <c r="B12" s="11">
        <f>Results!B10</f>
        <v>1.2</v>
      </c>
      <c r="C12" s="11">
        <f>Results!D10</f>
        <v>2.16794833886788</v>
      </c>
      <c r="D12" s="4">
        <f>Results!E10</f>
        <v>5</v>
      </c>
      <c r="E12" s="11">
        <f t="shared" si="0"/>
        <v>1.9002555858232533</v>
      </c>
      <c r="F12" s="11">
        <f t="shared" si="1"/>
        <v>-0.70025558582325331</v>
      </c>
      <c r="G12" s="11">
        <f t="shared" si="2"/>
        <v>3.1002555858232532</v>
      </c>
    </row>
    <row r="13" spans="1:15">
      <c r="A13" s="13">
        <v>9</v>
      </c>
      <c r="B13" s="11">
        <f>Results!B11</f>
        <v>2.6</v>
      </c>
      <c r="C13" s="11">
        <f>Results!D11</f>
        <v>0.8944271909999163</v>
      </c>
      <c r="D13" s="4">
        <f>Results!E11</f>
        <v>5</v>
      </c>
      <c r="E13" s="11">
        <f t="shared" si="0"/>
        <v>0.78398559381602184</v>
      </c>
      <c r="F13" s="11">
        <f t="shared" si="1"/>
        <v>1.8160144061839782</v>
      </c>
      <c r="G13" s="11">
        <f t="shared" si="2"/>
        <v>3.3839855938160222</v>
      </c>
      <c r="I13" s="15"/>
    </row>
    <row r="14" spans="1:15">
      <c r="A14" s="13">
        <v>10</v>
      </c>
      <c r="B14" s="11">
        <f>Results!B12</f>
        <v>1.2</v>
      </c>
      <c r="C14" s="11">
        <f>Results!D12</f>
        <v>1.3038404810405297</v>
      </c>
      <c r="D14" s="4">
        <f>Results!E12</f>
        <v>5</v>
      </c>
      <c r="E14" s="11">
        <f t="shared" si="0"/>
        <v>1.142845570948237</v>
      </c>
      <c r="F14" s="11">
        <f t="shared" si="1"/>
        <v>5.7154429051762934E-2</v>
      </c>
      <c r="G14" s="11">
        <f t="shared" si="2"/>
        <v>2.3428455709482368</v>
      </c>
    </row>
    <row r="15" spans="1:15">
      <c r="A15" s="13">
        <v>11</v>
      </c>
      <c r="B15" s="11">
        <f>Results!B13</f>
        <v>2.3333333333333335</v>
      </c>
      <c r="C15" s="11">
        <f>Results!D13</f>
        <v>0.57735026918962629</v>
      </c>
      <c r="D15" s="4">
        <f>Results!E13</f>
        <v>3</v>
      </c>
      <c r="E15" s="11">
        <f t="shared" si="0"/>
        <v>0.65332132818001853</v>
      </c>
      <c r="F15" s="11">
        <f t="shared" si="1"/>
        <v>1.6800120051533149</v>
      </c>
      <c r="G15" s="11">
        <f t="shared" si="2"/>
        <v>2.9866546615133522</v>
      </c>
      <c r="J15" s="84"/>
    </row>
    <row r="16" spans="1:15">
      <c r="A16" s="13">
        <v>12</v>
      </c>
      <c r="B16" s="11">
        <f>Results!B14</f>
        <v>2.4</v>
      </c>
      <c r="C16" s="11">
        <f>Results!D14</f>
        <v>0.89442719099991574</v>
      </c>
      <c r="D16" s="4">
        <f>Results!E14</f>
        <v>5</v>
      </c>
      <c r="E16" s="11">
        <f t="shared" si="0"/>
        <v>0.78398559381602129</v>
      </c>
      <c r="F16" s="11">
        <f t="shared" si="1"/>
        <v>1.6160144061839787</v>
      </c>
      <c r="G16" s="11">
        <f t="shared" si="2"/>
        <v>3.1839855938160211</v>
      </c>
    </row>
    <row r="17" spans="1:7">
      <c r="A17" s="13">
        <v>13</v>
      </c>
      <c r="B17" s="11">
        <f>Results!B15</f>
        <v>2.8</v>
      </c>
      <c r="C17" s="11">
        <f>Results!D15</f>
        <v>0.44721359549995715</v>
      </c>
      <c r="D17" s="4">
        <f>Results!E15</f>
        <v>5</v>
      </c>
      <c r="E17" s="11">
        <f t="shared" si="0"/>
        <v>0.39199279690801003</v>
      </c>
      <c r="F17" s="11">
        <f t="shared" si="1"/>
        <v>2.4080072030919899</v>
      </c>
      <c r="G17" s="11">
        <f t="shared" si="2"/>
        <v>3.1919927969080097</v>
      </c>
    </row>
    <row r="18" spans="1:7">
      <c r="A18" s="13">
        <v>14</v>
      </c>
      <c r="B18" s="11">
        <f>Results!B16</f>
        <v>1.8</v>
      </c>
      <c r="C18" s="11">
        <f>Results!D16</f>
        <v>0.83666002653407567</v>
      </c>
      <c r="D18" s="4">
        <f>Results!E16</f>
        <v>5</v>
      </c>
      <c r="E18" s="11">
        <f t="shared" si="0"/>
        <v>0.7333513720565179</v>
      </c>
      <c r="F18" s="11">
        <f t="shared" si="1"/>
        <v>1.0666486279434821</v>
      </c>
      <c r="G18" s="11">
        <f t="shared" si="2"/>
        <v>2.5333513720565177</v>
      </c>
    </row>
    <row r="19" spans="1:7">
      <c r="A19" s="13">
        <v>15</v>
      </c>
      <c r="B19" s="11">
        <f>Results!B17</f>
        <v>1.6</v>
      </c>
      <c r="C19" s="11">
        <f>Results!D17</f>
        <v>1.1401754250991378</v>
      </c>
      <c r="D19" s="4">
        <f>Results!E17</f>
        <v>5</v>
      </c>
      <c r="E19" s="11">
        <f t="shared" si="0"/>
        <v>0.99938946031087994</v>
      </c>
      <c r="F19" s="11">
        <f t="shared" si="1"/>
        <v>0.60061053968912015</v>
      </c>
      <c r="G19" s="11">
        <f t="shared" si="2"/>
        <v>2.59938946031088</v>
      </c>
    </row>
    <row r="20" spans="1:7">
      <c r="A20" s="13">
        <v>16</v>
      </c>
      <c r="B20" s="11">
        <f>Results!B18</f>
        <v>2.2000000000000002</v>
      </c>
      <c r="C20" s="11">
        <f>Results!D18</f>
        <v>0.83666002653407567</v>
      </c>
      <c r="D20" s="4">
        <f>Results!E18</f>
        <v>5</v>
      </c>
      <c r="E20" s="11">
        <f t="shared" si="0"/>
        <v>0.7333513720565179</v>
      </c>
      <c r="F20" s="11">
        <f t="shared" si="1"/>
        <v>1.4666486279434823</v>
      </c>
      <c r="G20" s="11">
        <f t="shared" si="2"/>
        <v>2.9333513720565181</v>
      </c>
    </row>
    <row r="21" spans="1:7">
      <c r="A21" s="13">
        <v>17</v>
      </c>
      <c r="B21" s="11" t="e">
        <f>Results!B19</f>
        <v>#DIV/0!</v>
      </c>
      <c r="C21" s="11" t="e">
        <f>Results!D19</f>
        <v>#DIV/0!</v>
      </c>
      <c r="D21" s="4">
        <f>Results!E19</f>
        <v>0</v>
      </c>
      <c r="E21" s="11" t="e">
        <f t="shared" si="0"/>
        <v>#DIV/0!</v>
      </c>
      <c r="F21" s="11" t="e">
        <f t="shared" si="1"/>
        <v>#DIV/0!</v>
      </c>
      <c r="G21" s="11" t="e">
        <f t="shared" si="2"/>
        <v>#DIV/0!</v>
      </c>
    </row>
    <row r="22" spans="1:7">
      <c r="A22" s="13">
        <v>18</v>
      </c>
      <c r="B22" s="11">
        <f>Results!B20</f>
        <v>1.6666666666666667</v>
      </c>
      <c r="C22" s="11">
        <f>Results!D20</f>
        <v>1.5275252316519465</v>
      </c>
      <c r="D22" s="4">
        <f>Results!E20</f>
        <v>3</v>
      </c>
      <c r="E22" s="11">
        <f t="shared" si="0"/>
        <v>1.7285257605787419</v>
      </c>
      <c r="F22" s="11">
        <f t="shared" si="1"/>
        <v>-6.1859093912075114E-2</v>
      </c>
      <c r="G22" s="11">
        <f t="shared" si="2"/>
        <v>3.3951924272454086</v>
      </c>
    </row>
    <row r="23" spans="1:7">
      <c r="A23" s="13">
        <v>19</v>
      </c>
      <c r="B23" s="11">
        <f>Results!B21</f>
        <v>2</v>
      </c>
      <c r="C23" s="11">
        <f>Results!D21</f>
        <v>1</v>
      </c>
      <c r="D23" s="4">
        <f>Results!E21</f>
        <v>5</v>
      </c>
      <c r="E23" s="11">
        <f t="shared" si="0"/>
        <v>0.8765225405765813</v>
      </c>
      <c r="F23" s="11">
        <f t="shared" si="1"/>
        <v>1.1234774594234187</v>
      </c>
      <c r="G23" s="11">
        <f t="shared" si="2"/>
        <v>2.8765225405765813</v>
      </c>
    </row>
    <row r="24" spans="1:7">
      <c r="A24" s="13">
        <v>20</v>
      </c>
      <c r="B24" s="11">
        <f>Results!B22</f>
        <v>2.6</v>
      </c>
      <c r="C24" s="11">
        <f>Results!D22</f>
        <v>0.54772255750516674</v>
      </c>
      <c r="D24" s="4">
        <f>Results!E22</f>
        <v>5</v>
      </c>
      <c r="E24" s="11">
        <f t="shared" si="0"/>
        <v>0.48009116763553139</v>
      </c>
      <c r="F24" s="11">
        <f t="shared" si="1"/>
        <v>2.1199088323644686</v>
      </c>
      <c r="G24" s="11">
        <f t="shared" si="2"/>
        <v>3.0800911676355316</v>
      </c>
    </row>
    <row r="25" spans="1:7">
      <c r="A25" s="14">
        <v>21</v>
      </c>
      <c r="B25" s="11">
        <f>Results!B23</f>
        <v>1.8</v>
      </c>
      <c r="C25" s="11">
        <f>Results!D23</f>
        <v>1.7888543819998317</v>
      </c>
      <c r="D25" s="4">
        <f>Results!E23</f>
        <v>5</v>
      </c>
      <c r="E25" s="11">
        <f t="shared" ref="E25:E30" si="6">CONFIDENCE(0.05, C25, D25)</f>
        <v>1.5679711876320428</v>
      </c>
      <c r="F25" s="11">
        <f t="shared" ref="F25:F30" si="7">B25-E25</f>
        <v>0.23202881236795725</v>
      </c>
      <c r="G25" s="11">
        <f t="shared" ref="G25:G30" si="8">B25+E25</f>
        <v>3.3679711876320431</v>
      </c>
    </row>
    <row r="26" spans="1:7">
      <c r="A26" s="14">
        <v>22</v>
      </c>
      <c r="B26" s="11" t="e">
        <f>Results!B24</f>
        <v>#DIV/0!</v>
      </c>
      <c r="C26" s="11" t="e">
        <f>Results!D24</f>
        <v>#DIV/0!</v>
      </c>
      <c r="D26" s="4">
        <f>Results!E24</f>
        <v>0</v>
      </c>
      <c r="E26" s="11" t="e">
        <f t="shared" si="6"/>
        <v>#DIV/0!</v>
      </c>
      <c r="F26" s="11" t="e">
        <f t="shared" si="7"/>
        <v>#DIV/0!</v>
      </c>
      <c r="G26" s="11" t="e">
        <f t="shared" si="8"/>
        <v>#DIV/0!</v>
      </c>
    </row>
    <row r="27" spans="1:7">
      <c r="A27" s="14">
        <v>23</v>
      </c>
      <c r="B27" s="11">
        <f>Results!B25</f>
        <v>2.4</v>
      </c>
      <c r="C27" s="11">
        <f>Results!D25</f>
        <v>0.89442719099991574</v>
      </c>
      <c r="D27" s="4">
        <f>Results!E25</f>
        <v>5</v>
      </c>
      <c r="E27" s="11">
        <f t="shared" si="6"/>
        <v>0.78398559381602129</v>
      </c>
      <c r="F27" s="11">
        <f t="shared" si="7"/>
        <v>1.6160144061839787</v>
      </c>
      <c r="G27" s="11">
        <f t="shared" si="8"/>
        <v>3.1839855938160211</v>
      </c>
    </row>
    <row r="28" spans="1:7">
      <c r="A28" s="14">
        <v>24</v>
      </c>
      <c r="B28" s="11">
        <f>Results!B26</f>
        <v>2.2000000000000002</v>
      </c>
      <c r="C28" s="11">
        <f>Results!D26</f>
        <v>0.44721359549995815</v>
      </c>
      <c r="D28" s="4">
        <f>Results!E26</f>
        <v>5</v>
      </c>
      <c r="E28" s="11">
        <f t="shared" si="6"/>
        <v>0.39199279690801092</v>
      </c>
      <c r="F28" s="11">
        <f t="shared" si="7"/>
        <v>1.8080072030919894</v>
      </c>
      <c r="G28" s="11">
        <f t="shared" si="8"/>
        <v>2.591992796908011</v>
      </c>
    </row>
    <row r="29" spans="1:7">
      <c r="A29" s="14">
        <v>25</v>
      </c>
      <c r="B29" s="11">
        <f>Results!B27</f>
        <v>2.6</v>
      </c>
      <c r="C29" s="11">
        <f>Results!D27</f>
        <v>0.54772255750516674</v>
      </c>
      <c r="D29" s="4">
        <f>Results!E27</f>
        <v>5</v>
      </c>
      <c r="E29" s="11">
        <f t="shared" si="6"/>
        <v>0.48009116763553139</v>
      </c>
      <c r="F29" s="11">
        <f t="shared" si="7"/>
        <v>2.1199088323644686</v>
      </c>
      <c r="G29" s="11">
        <f t="shared" si="8"/>
        <v>3.0800911676355316</v>
      </c>
    </row>
    <row r="30" spans="1:7">
      <c r="A30" s="14">
        <v>26</v>
      </c>
      <c r="B30" s="11">
        <f>Results!B28</f>
        <v>1.5</v>
      </c>
      <c r="C30" s="11">
        <f>Results!D28</f>
        <v>1.2909944487358056</v>
      </c>
      <c r="D30" s="4">
        <f>Results!E28</f>
        <v>4</v>
      </c>
      <c r="E30" s="11">
        <f t="shared" si="6"/>
        <v>1.2651513118816597</v>
      </c>
      <c r="F30" s="11">
        <f t="shared" si="7"/>
        <v>0.23484868811834025</v>
      </c>
      <c r="G30" s="11">
        <f t="shared" si="8"/>
        <v>2.7651513118816595</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8" workbookViewId="0">
      <selection activeCell="M19" sqref="M19"/>
    </sheetView>
  </sheetViews>
  <sheetFormatPr baseColWidth="10" defaultColWidth="8.83203125" defaultRowHeight="15"/>
  <cols>
    <col min="1" max="1" width="8.83203125" style="46"/>
    <col min="2" max="2" width="39.83203125" style="46" customWidth="1"/>
    <col min="3" max="3" width="8.83203125" style="46" customWidth="1"/>
    <col min="4" max="9" width="8.83203125" style="46"/>
    <col min="10" max="10" width="18" style="46" customWidth="1"/>
    <col min="11" max="11" width="5.33203125" style="46" customWidth="1"/>
    <col min="12" max="16384" width="8.83203125" style="46"/>
  </cols>
  <sheetData>
    <row r="1" spans="1:11" ht="82.25" customHeight="1">
      <c r="A1" s="176" t="s">
        <v>1289</v>
      </c>
      <c r="B1" s="170"/>
      <c r="C1" s="170"/>
      <c r="D1" s="170"/>
      <c r="E1" s="170"/>
      <c r="F1" s="170"/>
      <c r="G1" s="170"/>
      <c r="H1" s="170"/>
      <c r="I1" s="170"/>
      <c r="J1" s="170"/>
      <c r="K1" s="170"/>
    </row>
    <row r="2" spans="1:11">
      <c r="A2" s="88" t="s">
        <v>1295</v>
      </c>
      <c r="B2" s="89" t="s">
        <v>2</v>
      </c>
      <c r="C2" s="90">
        <v>1</v>
      </c>
      <c r="D2" s="92">
        <v>2</v>
      </c>
      <c r="E2" s="92">
        <v>3</v>
      </c>
      <c r="F2" s="92">
        <v>4</v>
      </c>
      <c r="G2" s="92">
        <v>5</v>
      </c>
      <c r="H2" s="92">
        <v>6</v>
      </c>
      <c r="I2" s="92">
        <v>7</v>
      </c>
      <c r="J2" s="70" t="s">
        <v>110</v>
      </c>
    </row>
    <row r="3" spans="1:11">
      <c r="A3" s="2">
        <v>1</v>
      </c>
      <c r="B3" s="1" t="str">
        <f>_xlfn.CONCAT(Results!F3,"/",Results!G3)</f>
        <v>desagradable/agradable</v>
      </c>
      <c r="C3" s="1">
        <f>COUNTIF(DT!A4:A1004,"-3")</f>
        <v>0</v>
      </c>
      <c r="D3" s="1">
        <f>COUNTIF(DT!A4:A1004,"-2")</f>
        <v>0</v>
      </c>
      <c r="E3" s="1">
        <f>COUNTIF(DT!A4:A1004,"-1")</f>
        <v>0</v>
      </c>
      <c r="F3" s="1">
        <f>COUNTIF(DT!A4:A1004,"0")</f>
        <v>0</v>
      </c>
      <c r="G3" s="1">
        <f>COUNTIF(DT!A4:A1004,"1")</f>
        <v>1</v>
      </c>
      <c r="H3" s="1">
        <f>COUNTIF(DT!A4:A1004,"2")</f>
        <v>2</v>
      </c>
      <c r="I3" s="1">
        <f>COUNTIF(DT!A4:A1004,"3")</f>
        <v>2</v>
      </c>
      <c r="J3" s="28" t="str">
        <f>Results!H3</f>
        <v>Atracción</v>
      </c>
    </row>
    <row r="4" spans="1:11">
      <c r="A4" s="2">
        <v>2</v>
      </c>
      <c r="B4" s="1" t="str">
        <f>_xlfn.CONCAT(Results!F4,"/",Results!G4)</f>
        <v>no entendible/entendible</v>
      </c>
      <c r="C4" s="1">
        <f>COUNTIF(DT!B4:B1004,"-3")</f>
        <v>0</v>
      </c>
      <c r="D4" s="1">
        <f>COUNTIF(DT!B4:B1004,"-2")</f>
        <v>0</v>
      </c>
      <c r="E4" s="1">
        <f>COUNTIF(DT!B4:B1004,"-1")</f>
        <v>0</v>
      </c>
      <c r="F4" s="1">
        <f>COUNTIF(DT!B4:B1004,"0")</f>
        <v>0</v>
      </c>
      <c r="G4" s="1">
        <f>COUNTIF(DT!B4:B1004,"1")</f>
        <v>1</v>
      </c>
      <c r="H4" s="1">
        <f>COUNTIF(DT!B4:B1004,"2")</f>
        <v>1</v>
      </c>
      <c r="I4" s="1">
        <f>COUNTIF(DT!B4:B1004,"3")</f>
        <v>3</v>
      </c>
      <c r="J4" s="28" t="str">
        <f>Results!H4</f>
        <v>Transparencia</v>
      </c>
    </row>
    <row r="5" spans="1:11">
      <c r="A5" s="2">
        <v>3</v>
      </c>
      <c r="B5" s="1" t="str">
        <f>_xlfn.CONCAT(Results!G5,"/",Results!F5)</f>
        <v>sin imaginacion/creativo</v>
      </c>
      <c r="C5" s="1">
        <f>COUNTIF(DT!C4:C1004,"-3")</f>
        <v>0</v>
      </c>
      <c r="D5" s="1">
        <f>COUNTIF(DT!C4:C1004,"-2")</f>
        <v>0</v>
      </c>
      <c r="E5" s="1">
        <f>COUNTIF(DT!C4:C1004,"-1")</f>
        <v>0</v>
      </c>
      <c r="F5" s="1">
        <f>COUNTIF(DT!C4:C1004,"0")</f>
        <v>0</v>
      </c>
      <c r="G5" s="1">
        <f>COUNTIF(DT!C4:C1004,"1")</f>
        <v>0</v>
      </c>
      <c r="H5" s="1">
        <f>COUNTIF(DT!C4:C1004,"2")</f>
        <v>3</v>
      </c>
      <c r="I5" s="1">
        <f>COUNTIF(DT!C4:C1004,"3")</f>
        <v>2</v>
      </c>
      <c r="J5" s="28" t="str">
        <f>Results!H5</f>
        <v>Novedad</v>
      </c>
    </row>
    <row r="6" spans="1:11">
      <c r="A6" s="2">
        <v>4</v>
      </c>
      <c r="B6" s="1" t="str">
        <f>_xlfn.CONCAT(Results!G6,"/",Results!F6)</f>
        <v>dificil de aprender/facil de aprender</v>
      </c>
      <c r="C6" s="1">
        <f>COUNTIF(DT!D4:D1004,"-3")</f>
        <v>0</v>
      </c>
      <c r="D6" s="1">
        <f>COUNTIF(DT!D4:D1004,"-2")</f>
        <v>0</v>
      </c>
      <c r="E6" s="1">
        <f>COUNTIF(DT!D4:D1004,"-1")</f>
        <v>0</v>
      </c>
      <c r="F6" s="1">
        <f>COUNTIF(DT!D4:D1004,"0")</f>
        <v>0</v>
      </c>
      <c r="G6" s="1">
        <f>COUNTIF(DT!D4:D1004,"1")</f>
        <v>0</v>
      </c>
      <c r="H6" s="1">
        <f>COUNTIF(DT!D4:D1004,"2")</f>
        <v>1</v>
      </c>
      <c r="I6" s="1">
        <f>COUNTIF(DT!D4:D1004,"3")</f>
        <v>4</v>
      </c>
      <c r="J6" s="28" t="str">
        <f>Results!H6</f>
        <v>Transparencia</v>
      </c>
    </row>
    <row r="7" spans="1:11">
      <c r="A7" s="2">
        <v>5</v>
      </c>
      <c r="B7" s="1" t="str">
        <f>_xlfn.CONCAT(Results!G7,"/",Results!F7)</f>
        <v>de poco valor/valioso</v>
      </c>
      <c r="C7" s="1">
        <f>COUNTIF(DT!E4:E1004,"-3")</f>
        <v>0</v>
      </c>
      <c r="D7" s="1">
        <f>COUNTIF(DT!E4:E1004,"-2")</f>
        <v>0</v>
      </c>
      <c r="E7" s="1">
        <f>COUNTIF(DT!E4:E1004,"-1")</f>
        <v>0</v>
      </c>
      <c r="F7" s="1">
        <f>COUNTIF(DT!E4:E1004,"0")</f>
        <v>0</v>
      </c>
      <c r="G7" s="1">
        <f>COUNTIF(DT!E4:E1004,"1")</f>
        <v>4</v>
      </c>
      <c r="H7" s="1">
        <f>COUNTIF(DT!E4:E1004,"2")</f>
        <v>0</v>
      </c>
      <c r="I7" s="1">
        <f>COUNTIF(DT!E4:E1004,"3")</f>
        <v>1</v>
      </c>
      <c r="J7" s="29" t="str">
        <f>Results!H7</f>
        <v>Estimulación</v>
      </c>
    </row>
    <row r="8" spans="1:11">
      <c r="A8" s="2">
        <v>6</v>
      </c>
      <c r="B8" s="1" t="str">
        <f>_xlfn.CONCAT(Results!F8,"/",Results!G8)</f>
        <v>aburrido/emocionante</v>
      </c>
      <c r="C8" s="1">
        <f>COUNTIF(DT!F4:F1004,"-3")</f>
        <v>0</v>
      </c>
      <c r="D8" s="1">
        <f>COUNTIF(DT!F4:F1004,"-2")</f>
        <v>0</v>
      </c>
      <c r="E8" s="1">
        <f>COUNTIF(DT!F4:F1004,"-1")</f>
        <v>0</v>
      </c>
      <c r="F8" s="1">
        <f>COUNTIF(DT!F4:F1004,"0")</f>
        <v>0</v>
      </c>
      <c r="G8" s="1">
        <f>COUNTIF(DT!F4:F1004,"1")</f>
        <v>0</v>
      </c>
      <c r="H8" s="1">
        <f>COUNTIF(DT!F4:F1004,"2")</f>
        <v>4</v>
      </c>
      <c r="I8" s="1">
        <f>COUNTIF(DT!F4:F1004,"3")</f>
        <v>1</v>
      </c>
      <c r="J8" s="29" t="str">
        <f>Results!H8</f>
        <v>Estimulación</v>
      </c>
    </row>
    <row r="9" spans="1:11">
      <c r="A9" s="2">
        <v>7</v>
      </c>
      <c r="B9" s="1" t="str">
        <f>_xlfn.CONCAT(Results!F9,"/",Results!G9)</f>
        <v>no interesante/interesante</v>
      </c>
      <c r="C9" s="1">
        <f>COUNTIF(DT!G4:G1004,"-3")</f>
        <v>0</v>
      </c>
      <c r="D9" s="1">
        <f>COUNTIF(DT!G4:G1004,"-2")</f>
        <v>0</v>
      </c>
      <c r="E9" s="1">
        <f>COUNTIF(DT!G4:G1004,"-1")</f>
        <v>0</v>
      </c>
      <c r="F9" s="1">
        <f>COUNTIF(DT!G4:G1004,"0")</f>
        <v>1</v>
      </c>
      <c r="G9" s="1">
        <f>COUNTIF(DT!G4:G1004,"1")</f>
        <v>0</v>
      </c>
      <c r="H9" s="1">
        <f>COUNTIF(DT!G4:G1004,"2")</f>
        <v>2</v>
      </c>
      <c r="I9" s="1">
        <f>COUNTIF(DT!G4:G1004,"3")</f>
        <v>2</v>
      </c>
      <c r="J9" s="29" t="str">
        <f>Results!H9</f>
        <v>Estimulación</v>
      </c>
    </row>
    <row r="10" spans="1:11">
      <c r="A10" s="2">
        <v>8</v>
      </c>
      <c r="B10" s="1" t="str">
        <f>_xlfn.CONCAT(Results!F10,"/",Results!G10)</f>
        <v>impredecible/predecible</v>
      </c>
      <c r="C10" s="1">
        <f>COUNTIF(DT!H4:H1004,"-3")</f>
        <v>0</v>
      </c>
      <c r="D10" s="1">
        <f>COUNTIF(DT!H4:H1004,"-2")</f>
        <v>1</v>
      </c>
      <c r="E10" s="1">
        <f>COUNTIF(DT!H4:H1004,"-1")</f>
        <v>0</v>
      </c>
      <c r="F10" s="1">
        <f>COUNTIF(DT!H4:H1004,"0")</f>
        <v>1</v>
      </c>
      <c r="G10" s="1">
        <f>COUNTIF(DT!H4:H1004,"1")</f>
        <v>0</v>
      </c>
      <c r="H10" s="1">
        <f>COUNTIF(DT!H4:H1004,"2")</f>
        <v>1</v>
      </c>
      <c r="I10" s="1">
        <f>COUNTIF(DT!H4:H1004,"3")</f>
        <v>2</v>
      </c>
      <c r="J10" s="28" t="str">
        <f>Results!H10</f>
        <v>Controlabilidad</v>
      </c>
    </row>
    <row r="11" spans="1:11">
      <c r="A11" s="2">
        <v>9</v>
      </c>
      <c r="B11" s="1" t="str">
        <f>_xlfn.CONCAT(Results!G11,"/",Results!F11)</f>
        <v>lento/rapido</v>
      </c>
      <c r="C11" s="1">
        <f>COUNTIF(DT!I4:I1004,"-3")</f>
        <v>0</v>
      </c>
      <c r="D11" s="1">
        <f>COUNTIF(DT!I4:I1004,"-2")</f>
        <v>0</v>
      </c>
      <c r="E11" s="1">
        <f>COUNTIF(DT!I4:I1004,"-1")</f>
        <v>0</v>
      </c>
      <c r="F11" s="1">
        <f>COUNTIF(DT!I4:I1004,"0")</f>
        <v>0</v>
      </c>
      <c r="G11" s="1">
        <f>COUNTIF(DT!I4:I1004,"1")</f>
        <v>1</v>
      </c>
      <c r="H11" s="1">
        <f>COUNTIF(DT!I4:I1004,"2")</f>
        <v>0</v>
      </c>
      <c r="I11" s="1">
        <f>COUNTIF(DT!I4:I1004,"3")</f>
        <v>4</v>
      </c>
      <c r="J11" s="28" t="str">
        <f>Results!H11</f>
        <v>Eficiencia</v>
      </c>
    </row>
    <row r="12" spans="1:11">
      <c r="A12" s="2">
        <v>10</v>
      </c>
      <c r="B12" s="1" t="str">
        <f>_xlfn.CONCAT(Results!G12,"/",Results!F12)</f>
        <v>convencional/original</v>
      </c>
      <c r="C12" s="1">
        <f>COUNTIF(DT!J4:J1004,"-3")</f>
        <v>0</v>
      </c>
      <c r="D12" s="1">
        <f>COUNTIF(DT!J4:J1004,"-2")</f>
        <v>0</v>
      </c>
      <c r="E12" s="1">
        <f>COUNTIF(DT!J4:J1004,"-1")</f>
        <v>0</v>
      </c>
      <c r="F12" s="1">
        <f>COUNTIF(DT!J4:J1004,"0")</f>
        <v>2</v>
      </c>
      <c r="G12" s="1">
        <f>COUNTIF(DT!J4:J1004,"1")</f>
        <v>1</v>
      </c>
      <c r="H12" s="1">
        <f>COUNTIF(DT!J4:J1004,"2")</f>
        <v>1</v>
      </c>
      <c r="I12" s="1">
        <f>COUNTIF(DT!J4:J1004,"3")</f>
        <v>1</v>
      </c>
      <c r="J12" s="28" t="str">
        <f>Results!H12</f>
        <v>Novedad</v>
      </c>
    </row>
    <row r="13" spans="1:11">
      <c r="A13" s="2">
        <v>11</v>
      </c>
      <c r="B13" s="1" t="str">
        <f>_xlfn.CONCAT(Results!F13,"/",Results!G13)</f>
        <v>obstructivo/impulsor de apoyo</v>
      </c>
      <c r="C13" s="1">
        <f>COUNTIF(DT!K4:K1004,"-3")</f>
        <v>0</v>
      </c>
      <c r="D13" s="1">
        <f>COUNTIF(DT!K4:K1004,"-2")</f>
        <v>0</v>
      </c>
      <c r="E13" s="1">
        <f>COUNTIF(DT!K4:K1004,"-1")</f>
        <v>0</v>
      </c>
      <c r="F13" s="1">
        <f>COUNTIF(DT!K4:K1004,"0")</f>
        <v>0</v>
      </c>
      <c r="G13" s="1">
        <f>COUNTIF(DT!K4:K1004,"1")</f>
        <v>0</v>
      </c>
      <c r="H13" s="1">
        <f>COUNTIF(DT!K4:K1004,"2")</f>
        <v>2</v>
      </c>
      <c r="I13" s="1">
        <f>COUNTIF(DT!K4:K1004,"3")</f>
        <v>1</v>
      </c>
      <c r="J13" s="28" t="str">
        <f>Results!H13</f>
        <v>Controlabilidad</v>
      </c>
    </row>
    <row r="14" spans="1:11">
      <c r="A14" s="2">
        <v>12</v>
      </c>
      <c r="B14" s="1" t="str">
        <f>_xlfn.CONCAT(Results!G14,"/",Results!F14)</f>
        <v>malo/bueno</v>
      </c>
      <c r="C14" s="1">
        <f>COUNTIF(DT!L4:L1004,"-3")</f>
        <v>0</v>
      </c>
      <c r="D14" s="1">
        <f>COUNTIF(DT!L4:L1004,"-2")</f>
        <v>0</v>
      </c>
      <c r="E14" s="1">
        <f>COUNTIF(DT!L4:L1004,"-1")</f>
        <v>0</v>
      </c>
      <c r="F14" s="1">
        <f>COUNTIF(DT!L4:L1004,"0")</f>
        <v>0</v>
      </c>
      <c r="G14" s="1">
        <f>COUNTIF(DT!L4:L1004,"1")</f>
        <v>1</v>
      </c>
      <c r="H14" s="1">
        <f>COUNTIF(DT!L4:L1004,"2")</f>
        <v>1</v>
      </c>
      <c r="I14" s="1">
        <f>COUNTIF(DT!L4:L1004,"3")</f>
        <v>3</v>
      </c>
      <c r="J14" s="28" t="str">
        <f>Results!H14</f>
        <v>Atracción</v>
      </c>
    </row>
    <row r="15" spans="1:11">
      <c r="A15" s="2">
        <v>13</v>
      </c>
      <c r="B15" s="1" t="str">
        <f>_xlfn.CONCAT(Results!F15,"/",Results!G15)</f>
        <v>complicado/facil</v>
      </c>
      <c r="C15" s="1">
        <f>COUNTIF(DT!M4:M1004,"-3")</f>
        <v>0</v>
      </c>
      <c r="D15" s="1">
        <f>COUNTIF(DT!M4:M1004,"-2")</f>
        <v>0</v>
      </c>
      <c r="E15" s="1">
        <f>COUNTIF(DT!M4:M1004,"-1")</f>
        <v>0</v>
      </c>
      <c r="F15" s="1">
        <f>COUNTIF(DT!M4:M1004,"0")</f>
        <v>0</v>
      </c>
      <c r="G15" s="1">
        <f>COUNTIF(DT!M4:M1004,"1")</f>
        <v>0</v>
      </c>
      <c r="H15" s="1">
        <f>COUNTIF(DT!M4:M1004,"2")</f>
        <v>1</v>
      </c>
      <c r="I15" s="1">
        <f>COUNTIF(DT!M4:M1004,"3")</f>
        <v>4</v>
      </c>
      <c r="J15" s="28" t="str">
        <f>Results!H15</f>
        <v>Transparencia</v>
      </c>
    </row>
    <row r="16" spans="1:11">
      <c r="A16" s="2">
        <v>14</v>
      </c>
      <c r="B16" s="1" t="str">
        <f>_xlfn.CONCAT(Results!F16,"/",Results!G16)</f>
        <v>repeler/atraer</v>
      </c>
      <c r="C16" s="1">
        <f>COUNTIF(DT!N4:N1004,"-3")</f>
        <v>0</v>
      </c>
      <c r="D16" s="1">
        <f>COUNTIF(DT!N4:N1004,"-2")</f>
        <v>0</v>
      </c>
      <c r="E16" s="1">
        <f>COUNTIF(DT!N4:N1004,"-1")</f>
        <v>0</v>
      </c>
      <c r="F16" s="1">
        <f>COUNTIF(DT!N4:N1004,"0")</f>
        <v>0</v>
      </c>
      <c r="G16" s="1">
        <f>COUNTIF(DT!N4:N1004,"1")</f>
        <v>2</v>
      </c>
      <c r="H16" s="1">
        <f>COUNTIF(DT!N4:N1004,"2")</f>
        <v>2</v>
      </c>
      <c r="I16" s="1">
        <f>COUNTIF(DT!N4:N1004,"3")</f>
        <v>1</v>
      </c>
      <c r="J16" s="28" t="str">
        <f>Results!H16</f>
        <v>Atracción</v>
      </c>
    </row>
    <row r="17" spans="1:10">
      <c r="A17" s="2">
        <v>15</v>
      </c>
      <c r="B17" s="1" t="str">
        <f>_xlfn.CONCAT(Results!F17,"/",Results!G17)</f>
        <v>convencional/novedoso</v>
      </c>
      <c r="C17" s="1">
        <f>COUNTIF(DT!O4:O1004,"-3")</f>
        <v>0</v>
      </c>
      <c r="D17" s="1">
        <f>COUNTIF(DT!O4:O1004,"-2")</f>
        <v>0</v>
      </c>
      <c r="E17" s="1">
        <f>COUNTIF(DT!O4:O1004,"-1")</f>
        <v>0</v>
      </c>
      <c r="F17" s="1">
        <f>COUNTIF(DT!O4:O1004,"0")</f>
        <v>1</v>
      </c>
      <c r="G17" s="1">
        <f>COUNTIF(DT!O4:O1004,"1")</f>
        <v>1</v>
      </c>
      <c r="H17" s="1">
        <f>COUNTIF(DT!O4:O1004,"2")</f>
        <v>2</v>
      </c>
      <c r="I17" s="1">
        <f>COUNTIF(DT!O4:O1004,"3")</f>
        <v>1</v>
      </c>
      <c r="J17" s="28" t="str">
        <f>Results!H17</f>
        <v>Novedad</v>
      </c>
    </row>
    <row r="18" spans="1:10">
      <c r="A18" s="2">
        <v>16</v>
      </c>
      <c r="B18" s="1" t="str">
        <f>_xlfn.CONCAT(Results!F18,"/",Results!G18)</f>
        <v>incomodo/comodo</v>
      </c>
      <c r="C18" s="1">
        <f>COUNTIF(DT!P4:P1004,"-3")</f>
        <v>0</v>
      </c>
      <c r="D18" s="1">
        <f>COUNTIF(DT!P4:P1004,"-2")</f>
        <v>0</v>
      </c>
      <c r="E18" s="1">
        <f>COUNTIF(DT!P4:P1004,"-1")</f>
        <v>0</v>
      </c>
      <c r="F18" s="1">
        <f>COUNTIF(DT!P4:P1004,"0")</f>
        <v>0</v>
      </c>
      <c r="G18" s="1">
        <f>COUNTIF(DT!P4:P1004,"1")</f>
        <v>1</v>
      </c>
      <c r="H18" s="1">
        <f>COUNTIF(DT!P4:P1004,"2")</f>
        <v>2</v>
      </c>
      <c r="I18" s="1">
        <f>COUNTIF(DT!P4:P1004,"3")</f>
        <v>2</v>
      </c>
      <c r="J18" s="28" t="str">
        <f>Results!H18</f>
        <v>Atracción</v>
      </c>
    </row>
    <row r="19" spans="1:10">
      <c r="A19" s="2">
        <v>17</v>
      </c>
      <c r="B19" s="1" t="str">
        <f>_xlfn.CONCAT(Results!G19,"/",Results!F19)</f>
        <v>inseguro/seguro</v>
      </c>
      <c r="C19" s="1">
        <f>COUNTIF(DT!Q4:Q1004,"-3")</f>
        <v>0</v>
      </c>
      <c r="D19" s="1">
        <f>COUNTIF(DT!Q4:Q1004,"-2")</f>
        <v>0</v>
      </c>
      <c r="E19" s="1">
        <f>COUNTIF(DT!Q4:Q1004,"-1")</f>
        <v>0</v>
      </c>
      <c r="F19" s="1">
        <f>COUNTIF(DT!Q4:Q1004,"0")</f>
        <v>0</v>
      </c>
      <c r="G19" s="1">
        <f>COUNTIF(DT!Q4:Q1004,"1")</f>
        <v>0</v>
      </c>
      <c r="H19" s="1">
        <f>COUNTIF(DT!Q4:Q1004,"2")</f>
        <v>0</v>
      </c>
      <c r="I19" s="1">
        <f>COUNTIF(DT!Q4:Q1004,"3")</f>
        <v>0</v>
      </c>
      <c r="J19" s="28" t="str">
        <f>Results!H19</f>
        <v>Controlabilidad</v>
      </c>
    </row>
    <row r="20" spans="1:10">
      <c r="A20" s="2">
        <v>18</v>
      </c>
      <c r="B20" s="1" t="str">
        <f>_xlfn.CONCAT(Results!G20,"/",Results!F20)</f>
        <v>adormecedor/activante</v>
      </c>
      <c r="C20" s="1">
        <f>COUNTIF(DT!R4:R1004,"-3")</f>
        <v>0</v>
      </c>
      <c r="D20" s="1">
        <f>COUNTIF(DT!R4:R1004,"-2")</f>
        <v>0</v>
      </c>
      <c r="E20" s="1">
        <f>COUNTIF(DT!R4:R1004,"-1")</f>
        <v>0</v>
      </c>
      <c r="F20" s="1">
        <f>COUNTIF(DT!R4:R1004,"0")</f>
        <v>1</v>
      </c>
      <c r="G20" s="1">
        <f>COUNTIF(DT!R4:R1004,"1")</f>
        <v>0</v>
      </c>
      <c r="H20" s="1">
        <f>COUNTIF(DT!R4:R1004,"2")</f>
        <v>1</v>
      </c>
      <c r="I20" s="1">
        <f>COUNTIF(DT!R4:R1004,"3")</f>
        <v>1</v>
      </c>
      <c r="J20" s="29" t="str">
        <f>Results!H20</f>
        <v>Estimulación</v>
      </c>
    </row>
    <row r="21" spans="1:10">
      <c r="A21" s="2">
        <v>19</v>
      </c>
      <c r="B21" s="1" t="str">
        <f>_xlfn.CONCAT(Results!G21,"/",Results!F21)</f>
        <v>no cubre expectativas/cubre expectativas</v>
      </c>
      <c r="C21" s="1">
        <f>COUNTIF(DT!S4:S1004,"-3")</f>
        <v>0</v>
      </c>
      <c r="D21" s="1">
        <f>COUNTIF(DT!S4:S1004,"-2")</f>
        <v>0</v>
      </c>
      <c r="E21" s="1">
        <f>COUNTIF(DT!S4:S1004,"-1")</f>
        <v>0</v>
      </c>
      <c r="F21" s="1">
        <f>COUNTIF(DT!S4:S1004,"0")</f>
        <v>0</v>
      </c>
      <c r="G21" s="1">
        <f>COUNTIF(DT!S4:S1004,"1")</f>
        <v>2</v>
      </c>
      <c r="H21" s="1">
        <f>COUNTIF(DT!S4:S1004,"2")</f>
        <v>1</v>
      </c>
      <c r="I21" s="1">
        <f>COUNTIF(DT!S4:S1004,"3")</f>
        <v>2</v>
      </c>
      <c r="J21" s="28" t="str">
        <f>Results!H21</f>
        <v>Controlabilidad</v>
      </c>
    </row>
    <row r="22" spans="1:10">
      <c r="A22" s="2">
        <v>20</v>
      </c>
      <c r="B22" s="1" t="str">
        <f>_xlfn.CONCAT(Results!F22,"/",Results!G22)</f>
        <v>ineficiente/eficiente</v>
      </c>
      <c r="C22" s="1">
        <f>COUNTIF(DT!T4:T1004,"-3")</f>
        <v>0</v>
      </c>
      <c r="D22" s="1">
        <f>COUNTIF(DT!T4:T1004,"-2")</f>
        <v>0</v>
      </c>
      <c r="E22" s="1">
        <f>COUNTIF(DT!T4:T1004,"-1")</f>
        <v>0</v>
      </c>
      <c r="F22" s="1">
        <f>COUNTIF(DT!T4:T1004,"0")</f>
        <v>0</v>
      </c>
      <c r="G22" s="1">
        <f>COUNTIF(DT!T4:T1004,"1")</f>
        <v>0</v>
      </c>
      <c r="H22" s="1">
        <f>COUNTIF(DT!T4:T1004,"2")</f>
        <v>2</v>
      </c>
      <c r="I22" s="1">
        <f>COUNTIF(DT!T4:T1004,"3")</f>
        <v>3</v>
      </c>
      <c r="J22" s="28" t="str">
        <f>Results!H22</f>
        <v>Eficiencia</v>
      </c>
    </row>
    <row r="23" spans="1:10">
      <c r="A23" s="6">
        <v>21</v>
      </c>
      <c r="B23" s="1" t="str">
        <f>_xlfn.CONCAT(Results!G23,"/",Results!F23)</f>
        <v>confuso/claro</v>
      </c>
      <c r="C23" s="1">
        <f>COUNTIF(DT!U4:U1004,"-3")</f>
        <v>0</v>
      </c>
      <c r="D23" s="1">
        <f>COUNTIF(DT!U4:U1004,"-2")</f>
        <v>0</v>
      </c>
      <c r="E23" s="1">
        <f>COUNTIF(DT!U4:U1004,"-1")</f>
        <v>1</v>
      </c>
      <c r="F23" s="1">
        <f>COUNTIF(DT!U4:U1004,"0")</f>
        <v>0</v>
      </c>
      <c r="G23" s="1">
        <f>COUNTIF(DT!U4:U1004,"1")</f>
        <v>1</v>
      </c>
      <c r="H23" s="1">
        <f>COUNTIF(DT!U4:U1004,"2")</f>
        <v>0</v>
      </c>
      <c r="I23" s="1">
        <f>COUNTIF(DT!U4:U1004,"3")</f>
        <v>3</v>
      </c>
      <c r="J23" s="28" t="str">
        <f>Results!H23</f>
        <v>Transparencia</v>
      </c>
    </row>
    <row r="24" spans="1:10">
      <c r="A24" s="6">
        <v>22</v>
      </c>
      <c r="B24" s="1" t="str">
        <f>_xlfn.CONCAT(Results!F24,"/",Results!G24)</f>
        <v>no pragmatico/pragmatico</v>
      </c>
      <c r="C24" s="1">
        <f>COUNTIF(DT!V4:V1004,"-3")</f>
        <v>0</v>
      </c>
      <c r="D24" s="1">
        <f>COUNTIF(DT!V4:V1004,"-2")</f>
        <v>0</v>
      </c>
      <c r="E24" s="1">
        <f>COUNTIF(DT!V4:V1004,"-1")</f>
        <v>0</v>
      </c>
      <c r="F24" s="1">
        <f>COUNTIF(DT!V4:V1004,"0")</f>
        <v>0</v>
      </c>
      <c r="G24" s="1">
        <f>COUNTIF(DT!V4:V1004,"1")</f>
        <v>0</v>
      </c>
      <c r="H24" s="1">
        <f>COUNTIF(DT!V4:V1004,"2")</f>
        <v>0</v>
      </c>
      <c r="I24" s="1">
        <f>COUNTIF(DT!V4:V1004,"3")</f>
        <v>0</v>
      </c>
      <c r="J24" s="28" t="str">
        <f>Results!H24</f>
        <v>Eficiencia</v>
      </c>
    </row>
    <row r="25" spans="1:10">
      <c r="A25" s="6">
        <v>23</v>
      </c>
      <c r="B25" s="1" t="str">
        <f>_xlfn.CONCAT(Results!G25,"/",Results!F25)</f>
        <v>sobrecargado/ordenado</v>
      </c>
      <c r="C25" s="1">
        <f>COUNTIF(DT!W4:W1004,"-3")</f>
        <v>0</v>
      </c>
      <c r="D25" s="1">
        <f>COUNTIF(DT!W4:W1004,"-2")</f>
        <v>0</v>
      </c>
      <c r="E25" s="1">
        <f>COUNTIF(DT!W4:W1004,"-1")</f>
        <v>0</v>
      </c>
      <c r="F25" s="1">
        <f>COUNTIF(DT!W4:W1004,"0")</f>
        <v>0</v>
      </c>
      <c r="G25" s="1">
        <f>COUNTIF(DT!W4:W1004,"1")</f>
        <v>1</v>
      </c>
      <c r="H25" s="1">
        <f>COUNTIF(DT!W4:W1004,"2")</f>
        <v>1</v>
      </c>
      <c r="I25" s="1">
        <f>COUNTIF(DT!W4:W1004,"3")</f>
        <v>3</v>
      </c>
      <c r="J25" s="28" t="str">
        <f>Results!H25</f>
        <v>Eficiencia</v>
      </c>
    </row>
    <row r="26" spans="1:10">
      <c r="A26" s="6">
        <v>24</v>
      </c>
      <c r="B26" s="1" t="str">
        <f>_xlfn.CONCAT(Results!G26,"/",Results!F26)</f>
        <v>feo/atractivo</v>
      </c>
      <c r="C26" s="1">
        <f>COUNTIF(DT!X4:X1004,"-3")</f>
        <v>0</v>
      </c>
      <c r="D26" s="1">
        <f>COUNTIF(DT!X4:X1004,"-2")</f>
        <v>0</v>
      </c>
      <c r="E26" s="1">
        <f>COUNTIF(DT!X4:X1004,"-1")</f>
        <v>0</v>
      </c>
      <c r="F26" s="1">
        <f>COUNTIF(DT!X4:X1004,"0")</f>
        <v>0</v>
      </c>
      <c r="G26" s="1">
        <f>COUNTIF(DT!X4:X1004,"1")</f>
        <v>0</v>
      </c>
      <c r="H26" s="1">
        <f>COUNTIF(DT!X4:X1004,"2")</f>
        <v>4</v>
      </c>
      <c r="I26" s="1">
        <f>COUNTIF(DT!X4:X1004,"3")</f>
        <v>1</v>
      </c>
      <c r="J26" s="28" t="str">
        <f>Results!H26</f>
        <v>Atracción</v>
      </c>
    </row>
    <row r="27" spans="1:10">
      <c r="A27" s="6">
        <v>25</v>
      </c>
      <c r="B27" s="1" t="str">
        <f>_xlfn.CONCAT(Results!G27,"/",Results!F27)</f>
        <v>antipatico/simpatico</v>
      </c>
      <c r="C27" s="1">
        <f>COUNTIF(DT!Y4:Y1004,"-3")</f>
        <v>0</v>
      </c>
      <c r="D27" s="1">
        <f>COUNTIF(DT!Y4:Y1004,"-2")</f>
        <v>0</v>
      </c>
      <c r="E27" s="1">
        <f>COUNTIF(DT!Y4:Y1004,"-1")</f>
        <v>0</v>
      </c>
      <c r="F27" s="1">
        <f>COUNTIF(DT!Y4:Y1004,"0")</f>
        <v>0</v>
      </c>
      <c r="G27" s="1">
        <f>COUNTIF(DT!Y4:Y1004,"1")</f>
        <v>0</v>
      </c>
      <c r="H27" s="1">
        <f>COUNTIF(DT!Y4:Y1004,"2")</f>
        <v>2</v>
      </c>
      <c r="I27" s="1">
        <f>COUNTIF(DT!Y4:Y1004,"3")</f>
        <v>3</v>
      </c>
      <c r="J27" s="28" t="str">
        <f>Results!H27</f>
        <v>Atracción</v>
      </c>
    </row>
    <row r="28" spans="1:10">
      <c r="A28" s="6">
        <v>26</v>
      </c>
      <c r="B28" s="1" t="str">
        <f>_xlfn.CONCAT(Results!F28,"/",Results!G28)</f>
        <v>conservador/innovador</v>
      </c>
      <c r="C28" s="1">
        <f>COUNTIF(DT!Z4:Z1004,"-3")</f>
        <v>0</v>
      </c>
      <c r="D28" s="1">
        <f>COUNTIF(DT!Z4:Z1004,"-2")</f>
        <v>0</v>
      </c>
      <c r="E28" s="1">
        <f>COUNTIF(DT!Z4:Z1004,"-1")</f>
        <v>0</v>
      </c>
      <c r="F28" s="1">
        <f>COUNTIF(DT!Z4:Z1004,"0")</f>
        <v>1</v>
      </c>
      <c r="G28" s="1">
        <f>COUNTIF(DT!Z4:Z1004,"1")</f>
        <v>1</v>
      </c>
      <c r="H28" s="1">
        <f>COUNTIF(DT!Z4:Z1004,"2")</f>
        <v>1</v>
      </c>
      <c r="I28" s="1">
        <f>COUNTIF(DT!Z4:Z1004,"3")</f>
        <v>1</v>
      </c>
      <c r="J28" s="28" t="str">
        <f>Results!H28</f>
        <v>Novedad</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2" workbookViewId="0">
      <selection activeCell="D24" sqref="D24"/>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57" t="s">
        <v>1284</v>
      </c>
      <c r="B1" s="182"/>
      <c r="C1" s="182"/>
      <c r="D1" s="182"/>
      <c r="E1" s="182"/>
      <c r="F1" s="182"/>
      <c r="G1" s="182"/>
      <c r="H1" s="182"/>
      <c r="I1" s="182"/>
      <c r="J1" s="182"/>
      <c r="K1" s="182"/>
      <c r="L1" s="182"/>
      <c r="M1" s="182"/>
      <c r="N1" s="182"/>
      <c r="O1" s="182"/>
      <c r="P1" s="182"/>
      <c r="Q1" s="182"/>
      <c r="R1" s="182"/>
    </row>
    <row r="2" spans="1:18" s="46" customFormat="1" ht="18.75" customHeight="1">
      <c r="A2" s="55"/>
      <c r="B2" s="56"/>
      <c r="C2" s="56"/>
      <c r="D2" s="56"/>
      <c r="E2" s="56"/>
      <c r="F2" s="56"/>
      <c r="G2" s="56"/>
      <c r="H2" s="56"/>
      <c r="I2" s="56"/>
      <c r="J2" s="56"/>
      <c r="K2" s="56"/>
      <c r="L2" s="56"/>
      <c r="M2" s="56"/>
      <c r="N2" s="56"/>
      <c r="O2" s="56"/>
      <c r="P2" s="56"/>
      <c r="Q2" s="56"/>
      <c r="R2" s="56"/>
    </row>
    <row r="3" spans="1:18" s="46" customFormat="1" ht="173" customHeight="1">
      <c r="A3" s="183" t="s">
        <v>1470</v>
      </c>
      <c r="B3" s="176"/>
      <c r="C3" s="176"/>
      <c r="D3" s="176"/>
      <c r="E3" s="176"/>
      <c r="F3" s="176"/>
      <c r="G3" s="176"/>
      <c r="H3" s="176"/>
      <c r="I3" s="176"/>
      <c r="J3" s="176"/>
      <c r="K3" s="176"/>
      <c r="L3" s="176"/>
      <c r="M3" s="176"/>
      <c r="N3" s="176"/>
      <c r="O3" s="176"/>
      <c r="P3" s="176"/>
      <c r="Q3" s="176"/>
      <c r="R3" s="56"/>
    </row>
    <row r="5" spans="1:18">
      <c r="A5" s="161" t="str">
        <f>VLOOKUP(Read_First!B5,Items!A1:BI50,54,FALSE)</f>
        <v>Atracción</v>
      </c>
      <c r="B5" s="161"/>
      <c r="D5" s="165" t="str">
        <f>VLOOKUP(Read_First!B5,Items!A1:BI50,55,FALSE)</f>
        <v>Transparencia</v>
      </c>
      <c r="E5" s="165"/>
      <c r="G5" s="165" t="str">
        <f>VLOOKUP(Read_First!B5,Items!A1:BI50,56,FALSE)</f>
        <v>Eficiencia</v>
      </c>
      <c r="H5" s="165"/>
      <c r="J5" s="165" t="str">
        <f>VLOOKUP(Read_First!B5,Items!A1:BI50,57,FALSE)</f>
        <v>Controlabilidad</v>
      </c>
      <c r="K5" s="165"/>
      <c r="M5" s="165" t="str">
        <f>VLOOKUP(Read_First!B5,Items!A1:BI50,58,FALSE)</f>
        <v>Estimulación</v>
      </c>
      <c r="N5" s="165"/>
      <c r="P5" s="165" t="str">
        <f>VLOOKUP(Read_First!B5,Items!A1:BI50,59,FALSE)</f>
        <v>Novedad</v>
      </c>
      <c r="Q5" s="165"/>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0.20044593143431835</v>
      </c>
      <c r="D7" s="94" t="s">
        <v>5</v>
      </c>
      <c r="E7" s="95">
        <f>CORREL(DT!B4:B1004,DT!D4:D1004)</f>
        <v>-0.37500000000000006</v>
      </c>
      <c r="G7" s="94" t="s">
        <v>11</v>
      </c>
      <c r="H7" s="95">
        <f>CORREL(DT!I4:I1004,DT!T4:T1004)</f>
        <v>0.61237243569579447</v>
      </c>
      <c r="J7" s="94" t="s">
        <v>17</v>
      </c>
      <c r="K7" s="95">
        <f>CORREL(DT!H4:H1004,DT!K4:K1004)</f>
        <v>-1.0000000000000002</v>
      </c>
      <c r="M7" s="94" t="s">
        <v>24</v>
      </c>
      <c r="N7" s="95">
        <f>CORREL(DT!E4:E1004,DT!F4:F1004)</f>
        <v>-0.24999999999999994</v>
      </c>
      <c r="P7" s="94" t="s">
        <v>34</v>
      </c>
      <c r="Q7" s="95">
        <f>CORREL(DT!C4:C1004,DT!J4:J1004)</f>
        <v>0.91018205461820612</v>
      </c>
    </row>
    <row r="8" spans="1:18">
      <c r="A8" s="40" t="s">
        <v>37</v>
      </c>
      <c r="B8" s="41">
        <f>CORREL(DT!A4:A1004,DT!N4:N1004)</f>
        <v>-0.64285714285714279</v>
      </c>
      <c r="D8" s="40" t="s">
        <v>6</v>
      </c>
      <c r="E8" s="41">
        <f>CORREL(DT!B4:B1004,DT!M4:M1004)</f>
        <v>0.24999999999999994</v>
      </c>
      <c r="G8" s="40" t="s">
        <v>12</v>
      </c>
      <c r="H8" s="41" t="e">
        <f>CORREL(DT!I4:I1004,DT!V4:V1004)</f>
        <v>#DIV/0!</v>
      </c>
      <c r="J8" s="40" t="s">
        <v>18</v>
      </c>
      <c r="K8" s="41" t="e">
        <f>CORREL(DT!H4:H1004,DT!Q4:Q1004)</f>
        <v>#DIV/0!</v>
      </c>
      <c r="M8" s="40" t="s">
        <v>25</v>
      </c>
      <c r="N8" s="41">
        <f>CORREL(DT!E4:E1004,DT!G4:G1004)</f>
        <v>0.45643546458763845</v>
      </c>
      <c r="P8" s="40" t="s">
        <v>33</v>
      </c>
      <c r="Q8" s="41">
        <f>CORREL(DT!C4:C1004,DT!O4:O1004)</f>
        <v>0.7205766921228921</v>
      </c>
    </row>
    <row r="9" spans="1:18">
      <c r="A9" s="40" t="s">
        <v>38</v>
      </c>
      <c r="B9" s="41">
        <f>CORREL(DT!A4:A1004,DT!P4:P1004)</f>
        <v>0.6428571428571429</v>
      </c>
      <c r="D9" s="40" t="s">
        <v>7</v>
      </c>
      <c r="E9" s="41">
        <f>CORREL(DT!B4:B1004,DT!U4:U1004)</f>
        <v>0.99999999999999978</v>
      </c>
      <c r="G9" s="40" t="s">
        <v>13</v>
      </c>
      <c r="H9" s="41">
        <f>CORREL(DT!I4:I1004,DT!W4:W1004)</f>
        <v>0.24999999999999994</v>
      </c>
      <c r="J9" s="40" t="s">
        <v>19</v>
      </c>
      <c r="K9" s="41">
        <f>CORREL(DT!H4:H1004,DT!S4:S1004)</f>
        <v>0.23063280200722128</v>
      </c>
      <c r="M9" s="40" t="s">
        <v>26</v>
      </c>
      <c r="N9" s="41">
        <f>CORREL(DT!E4:E1004,DT!R4:R1004)</f>
        <v>0.75592894601845451</v>
      </c>
      <c r="P9" s="40" t="s">
        <v>32</v>
      </c>
      <c r="Q9" s="41">
        <f>CORREL(DT!C4:C1004,DT!Z4:Z1004)</f>
        <v>0.89442719099991586</v>
      </c>
    </row>
    <row r="10" spans="1:18">
      <c r="A10" s="40" t="s">
        <v>39</v>
      </c>
      <c r="B10" s="41">
        <f>CORREL(DT!A4:A1004,DT!X4:X1004)</f>
        <v>0.53452248382484879</v>
      </c>
      <c r="D10" s="40" t="s">
        <v>8</v>
      </c>
      <c r="E10" s="41">
        <f>CORREL(DT!D4:D1004,DT!M4:M1004)</f>
        <v>-0.25000000000000011</v>
      </c>
      <c r="G10" s="40" t="s">
        <v>14</v>
      </c>
      <c r="H10" s="41" t="e">
        <f>CORREL(DT!T4:T1004,DT!V4:V1004)</f>
        <v>#DIV/0!</v>
      </c>
      <c r="J10" s="40" t="s">
        <v>20</v>
      </c>
      <c r="K10" s="41" t="e">
        <f>CORREL(DT!K4:K1004,DT!Q4:Q1004)</f>
        <v>#DIV/0!</v>
      </c>
      <c r="M10" s="40" t="s">
        <v>27</v>
      </c>
      <c r="N10" s="41">
        <f>CORREL(DT!F4:F1004,DT!G4:G1004)</f>
        <v>0.45643546458763851</v>
      </c>
      <c r="P10" s="40" t="s">
        <v>31</v>
      </c>
      <c r="Q10" s="41">
        <f>CORREL(DT!J4:J1004,DT!O4:O1004)</f>
        <v>0.57177187489686543</v>
      </c>
    </row>
    <row r="11" spans="1:18">
      <c r="A11" s="40" t="s">
        <v>40</v>
      </c>
      <c r="B11" s="41">
        <f>CORREL(DT!A4:A1004,DT!Y4:Y1004)</f>
        <v>-0.32732683535398871</v>
      </c>
      <c r="D11" s="40" t="s">
        <v>9</v>
      </c>
      <c r="E11" s="41">
        <f>CORREL(DT!D4:D1004,DT!U4:U1004)</f>
        <v>-0.37500000000000006</v>
      </c>
      <c r="G11" s="40" t="s">
        <v>15</v>
      </c>
      <c r="H11" s="41">
        <f>CORREL(DT!T4:T1004,DT!W4:W1004)</f>
        <v>-0.10206207261596574</v>
      </c>
      <c r="J11" s="40" t="s">
        <v>21</v>
      </c>
      <c r="K11" s="41">
        <f>CORREL(DT!K4:K1004,DT!S4:S1004)</f>
        <v>0.50000000000000011</v>
      </c>
      <c r="M11" s="40" t="s">
        <v>28</v>
      </c>
      <c r="N11" s="41">
        <f>CORREL(DT!F4:F1004,DT!R4:R1004)</f>
        <v>0.18898223650461357</v>
      </c>
      <c r="P11" s="40" t="s">
        <v>30</v>
      </c>
      <c r="Q11" s="41">
        <f>CORREL(DT!J4:J1004,DT!Z4:Z1004)</f>
        <v>0.99999999999999978</v>
      </c>
    </row>
    <row r="12" spans="1:18">
      <c r="A12" s="40" t="s">
        <v>41</v>
      </c>
      <c r="B12" s="41">
        <f>CORREL(DT!L4:L1004,DT!N4:N1004)</f>
        <v>0.46770717334674261</v>
      </c>
      <c r="D12" s="40" t="s">
        <v>10</v>
      </c>
      <c r="E12" s="41">
        <f>CORREL(DT!M4:M1004,DT!U4:U1004)</f>
        <v>0.25000000000000006</v>
      </c>
      <c r="G12" s="40" t="s">
        <v>16</v>
      </c>
      <c r="H12" s="41" t="e">
        <f>CORREL(DT!V4:V1004,DT!W4:W1004)</f>
        <v>#DIV/0!</v>
      </c>
      <c r="J12" s="40" t="s">
        <v>22</v>
      </c>
      <c r="K12" s="41" t="e">
        <f>CORREL(DT!Q4:Q1004,DT!S4:S1004)</f>
        <v>#DIV/0!</v>
      </c>
      <c r="M12" s="40" t="s">
        <v>23</v>
      </c>
      <c r="N12" s="41">
        <f>CORREL(DT!G4:G1004,DT!R4:R1004)</f>
        <v>0.94491118252306805</v>
      </c>
      <c r="P12" s="40" t="s">
        <v>29</v>
      </c>
      <c r="Q12" s="41">
        <f>CORREL(DT!O4:O1004,DT!Z4:Z1004)</f>
        <v>0.79999999999999982</v>
      </c>
    </row>
    <row r="13" spans="1:18">
      <c r="A13" s="40" t="s">
        <v>42</v>
      </c>
      <c r="B13" s="41">
        <f>CORREL(DT!L4:L1004,DT!P4:P1004)</f>
        <v>0.86859903621537937</v>
      </c>
      <c r="D13" s="42" t="s">
        <v>828</v>
      </c>
      <c r="E13" s="41">
        <f>AVERAGE(E7:E12)</f>
        <v>8.3333333333333259E-2</v>
      </c>
      <c r="G13" s="42" t="s">
        <v>828</v>
      </c>
      <c r="H13" s="41" t="e">
        <f>AVERAGE(H7:H12)</f>
        <v>#DIV/0!</v>
      </c>
      <c r="J13" s="42" t="s">
        <v>828</v>
      </c>
      <c r="K13" s="41" t="e">
        <f>AVERAGE(K7:K12)</f>
        <v>#DIV/0!</v>
      </c>
      <c r="M13" s="42" t="s">
        <v>828</v>
      </c>
      <c r="N13" s="41">
        <f>AVERAGE(N7:N12)</f>
        <v>0.42544888237023554</v>
      </c>
      <c r="P13" s="42" t="s">
        <v>828</v>
      </c>
      <c r="Q13" s="41">
        <f>AVERAGE(Q7:Q12)</f>
        <v>0.81615963543964654</v>
      </c>
    </row>
    <row r="14" spans="1:18">
      <c r="A14" s="40" t="s">
        <v>43</v>
      </c>
      <c r="B14" s="41">
        <f>CORREL(DT!L4:L1004,DT!X4:X1004)</f>
        <v>0.37500000000000006</v>
      </c>
      <c r="C14" s="8"/>
      <c r="D14" s="57" t="s">
        <v>4</v>
      </c>
      <c r="E14" s="58">
        <f>(4*E13)/(1+(3*E13))</f>
        <v>0.2666666666666665</v>
      </c>
      <c r="F14" s="60"/>
      <c r="G14" s="57" t="s">
        <v>4</v>
      </c>
      <c r="H14" s="58" t="e">
        <f>(4*H13)/(1+(3*H13))</f>
        <v>#DIV/0!</v>
      </c>
      <c r="I14" s="60"/>
      <c r="J14" s="57" t="s">
        <v>4</v>
      </c>
      <c r="K14" s="58" t="e">
        <f>(4*K13)/(1+(3*K13))</f>
        <v>#DIV/0!</v>
      </c>
      <c r="L14" s="60"/>
      <c r="M14" s="57" t="s">
        <v>4</v>
      </c>
      <c r="N14" s="58">
        <f>(4*N13)/(1+(3*N13))</f>
        <v>0.7475994623406661</v>
      </c>
      <c r="O14" s="59"/>
      <c r="P14" s="57" t="s">
        <v>4</v>
      </c>
      <c r="Q14" s="58">
        <f>(4*Q13)/(1+(3*Q13))</f>
        <v>0.94668943335466338</v>
      </c>
    </row>
    <row r="15" spans="1:18">
      <c r="A15" s="40" t="s">
        <v>44</v>
      </c>
      <c r="B15" s="41">
        <f>CORREL(DT!L4:L1004,DT!Y4:Y1004)</f>
        <v>0.40824829046386302</v>
      </c>
      <c r="D15" s="177" t="s">
        <v>1469</v>
      </c>
      <c r="E15" s="146">
        <f>1-EXP(LN(1-E14)+1.96*SQRT(8/(3*(Results!E3-2))))</f>
        <v>-3.6541104328970642</v>
      </c>
      <c r="F15" s="46"/>
      <c r="G15" s="177" t="s">
        <v>1469</v>
      </c>
      <c r="H15" s="146" t="e">
        <f>1-EXP(LN(1-H14)+1.96*SQRT(8/(3*(Results!E3-2))))</f>
        <v>#DIV/0!</v>
      </c>
      <c r="I15" s="46"/>
      <c r="J15" s="177" t="s">
        <v>1469</v>
      </c>
      <c r="K15" s="146" t="e">
        <f>1-EXP(LN(1-K14)+1.96*SQRT(8/(3*(Results!E3-2))))</f>
        <v>#DIV/0!</v>
      </c>
      <c r="L15" s="46"/>
      <c r="M15" s="177" t="s">
        <v>1469</v>
      </c>
      <c r="N15" s="146">
        <f>1-EXP(LN(1-N14)+1.96*SQRT(8/(3*(Results!E3-2))))</f>
        <v>-0.60186360307609132</v>
      </c>
      <c r="O15" s="46"/>
      <c r="P15" s="177" t="s">
        <v>1469</v>
      </c>
      <c r="Q15" s="146">
        <f>1-EXP(LN(1-Q14)+1.96*SQRT(8/(3*(Results!E3-2))))</f>
        <v>0.66166373035311554</v>
      </c>
    </row>
    <row r="16" spans="1:18">
      <c r="A16" s="40" t="s">
        <v>45</v>
      </c>
      <c r="B16" s="41">
        <f>CORREL(DT!N4:N1004,DT!P4:P1004)</f>
        <v>7.1428571428571411E-2</v>
      </c>
      <c r="D16" s="178"/>
      <c r="E16" s="146">
        <f>1-EXP(LN(1-E14)-1.96*SQRT(8/(3*(Results!E3-2))))</f>
        <v>0.88445100615220573</v>
      </c>
      <c r="G16" s="178"/>
      <c r="H16" s="146" t="e">
        <f>1-EXP(LN(1-H14)-1.96*SQRT(8/(3*(Results!E3-2))))</f>
        <v>#DIV/0!</v>
      </c>
      <c r="J16" s="178"/>
      <c r="K16" s="146" t="e">
        <f>1-EXP(LN(1-K14)-1.96*SQRT(8/(3*(Results!E3-2))))</f>
        <v>#DIV/0!</v>
      </c>
      <c r="M16" s="178"/>
      <c r="N16" s="146">
        <f>1-EXP(LN(1-N14)-1.96*SQRT(8/(3*(Results!E3-2))))</f>
        <v>0.96023005249112048</v>
      </c>
      <c r="P16" s="178"/>
      <c r="Q16" s="146">
        <f>1-EXP(LN(1-Q14)-1.96*SQRT(8/(3*(Results!E3-2))))</f>
        <v>0.99160002408546666</v>
      </c>
    </row>
    <row r="17" spans="1:18">
      <c r="A17" s="40" t="s">
        <v>46</v>
      </c>
      <c r="B17" s="41">
        <f>CORREL(DT!N4:N1004,DT!X4:X1004)</f>
        <v>-0.53452248382484879</v>
      </c>
    </row>
    <row r="18" spans="1:18">
      <c r="A18" s="40" t="s">
        <v>47</v>
      </c>
      <c r="B18" s="41">
        <f>CORREL(DT!N4:N1004,DT!Y4:Y1004)</f>
        <v>0.32732683535398865</v>
      </c>
    </row>
    <row r="19" spans="1:18">
      <c r="A19" s="40" t="s">
        <v>48</v>
      </c>
      <c r="B19" s="41">
        <f>CORREL(DT!P4:P1004,DT!X4:X1004)</f>
        <v>0.53452248382484879</v>
      </c>
    </row>
    <row r="20" spans="1:18">
      <c r="A20" s="40" t="s">
        <v>116</v>
      </c>
      <c r="B20" s="41">
        <f>CORREL(DT!P4:P1004,DT!Y4:Y1004)</f>
        <v>0.21821789023599239</v>
      </c>
    </row>
    <row r="21" spans="1:18">
      <c r="A21" s="40" t="s">
        <v>35</v>
      </c>
      <c r="B21" s="41">
        <f>CORREL(DT!X4:X1004,DT!Y4:Y1004)</f>
        <v>0.40824829046386302</v>
      </c>
    </row>
    <row r="22" spans="1:18">
      <c r="A22" s="42" t="s">
        <v>828</v>
      </c>
      <c r="B22" s="41">
        <f>AVERAGE(B7:B21)</f>
        <v>0.23682784449423863</v>
      </c>
    </row>
    <row r="23" spans="1:18">
      <c r="A23" s="57" t="s">
        <v>4</v>
      </c>
      <c r="B23" s="58">
        <f>(6*B22)/(1+(5*B22))</f>
        <v>0.65058447389526386</v>
      </c>
    </row>
    <row r="24" spans="1:18">
      <c r="A24" s="177" t="s">
        <v>1469</v>
      </c>
      <c r="B24" s="146">
        <f>1-EXP(LN(1-B23)+1.96*SQRT(12/(5*(Results!E3-2))))</f>
        <v>-1.0169447139695555</v>
      </c>
    </row>
    <row r="25" spans="1:18" s="142" customFormat="1">
      <c r="A25" s="178"/>
      <c r="B25" s="146">
        <f>1-EXP(LN(1-B23)-1.96*SQRT(12/(5*(Results!E3-2))))</f>
        <v>0.93946725012468912</v>
      </c>
    </row>
    <row r="26" spans="1:18">
      <c r="A26" s="46"/>
      <c r="B26" s="46"/>
    </row>
    <row r="27" spans="1:18" ht="66.75" customHeight="1">
      <c r="A27" s="179" t="s">
        <v>1285</v>
      </c>
      <c r="B27" s="180"/>
      <c r="C27" s="180"/>
      <c r="D27" s="180"/>
      <c r="E27" s="180"/>
      <c r="F27" s="180"/>
      <c r="G27" s="180"/>
      <c r="H27" s="180"/>
      <c r="I27" s="180"/>
      <c r="J27" s="180"/>
      <c r="K27" s="180"/>
      <c r="L27" s="180"/>
      <c r="M27" s="180"/>
      <c r="N27" s="180"/>
      <c r="O27" s="180"/>
      <c r="P27" s="180"/>
      <c r="Q27" s="180"/>
      <c r="R27" s="180"/>
    </row>
    <row r="29" spans="1:18">
      <c r="A29" s="181" t="str">
        <f>VLOOKUP(Read_First!B5,Items!A1:BI50,54,FALSE)</f>
        <v>Atracción</v>
      </c>
      <c r="B29" s="181"/>
      <c r="C29" s="46"/>
      <c r="D29" s="181" t="str">
        <f>VLOOKUP(Read_First!B5,Items!A1:BI50,55,FALSE)</f>
        <v>Transparencia</v>
      </c>
      <c r="E29" s="181"/>
      <c r="F29" s="46"/>
      <c r="G29" s="181" t="str">
        <f>VLOOKUP(Read_First!B5,Items!A1:BI50,56,FALSE)</f>
        <v>Eficiencia</v>
      </c>
      <c r="H29" s="181"/>
      <c r="I29" s="46"/>
      <c r="J29" s="181" t="str">
        <f>VLOOKUP(Read_First!B5,Items!A1:BI50,57,FALSE)</f>
        <v>Controlabilidad</v>
      </c>
      <c r="K29" s="181"/>
      <c r="L29" s="46"/>
      <c r="M29" s="181" t="str">
        <f>VLOOKUP(Read_First!B5,Items!A1:BI5,58,FALSE)</f>
        <v>Estimulación</v>
      </c>
      <c r="N29" s="181"/>
      <c r="O29" s="46"/>
      <c r="P29" s="181" t="str">
        <f>VLOOKUP(Read_First!B5,Items!A1:BI55,59,FALSE)</f>
        <v>Novedad</v>
      </c>
      <c r="Q29" s="181"/>
    </row>
    <row r="30" spans="1:18">
      <c r="A30" s="53" t="s">
        <v>1283</v>
      </c>
      <c r="B30" s="53">
        <f>1-((Results!C3+Results!C14+Results!C16+Results!C18+Results!C26+Results!C27)/(36*(Results!M3)))</f>
        <v>0.534246575342467</v>
      </c>
      <c r="C30" s="46"/>
      <c r="D30" s="53" t="s">
        <v>1283</v>
      </c>
      <c r="E30" s="53">
        <f>1-((Results!C4+Results!C6+Results!C15+Results!C23)/(16*(Results!M4)))</f>
        <v>0.38888888888888928</v>
      </c>
      <c r="F30" s="46"/>
      <c r="G30" s="53" t="s">
        <v>1283</v>
      </c>
      <c r="H30" s="53" t="e">
        <f>1-((Results!C11+Results!C22+Results!C24+Results!C25)/(16*(Results!M5)))</f>
        <v>#DIV/0!</v>
      </c>
      <c r="I30" s="46"/>
      <c r="J30" s="53" t="s">
        <v>1283</v>
      </c>
      <c r="K30" s="53" t="e">
        <f>1-((Results!C10+Results!C13+Results!C19+Results!C21)/(16*(Results!M6)))</f>
        <v>#DIV/0!</v>
      </c>
      <c r="L30" s="46"/>
      <c r="M30" s="53" t="s">
        <v>1283</v>
      </c>
      <c r="N30" s="53">
        <f>1-((Results!C7+Results!C8+Results!C9+Results!C20)/(16*(Results!M7)))</f>
        <v>0.41453566621803384</v>
      </c>
      <c r="O30" s="46"/>
      <c r="P30" s="53" t="s">
        <v>1283</v>
      </c>
      <c r="Q30" s="53">
        <f>1-((Results!C5+Results!C12+Results!C17+Results!C28)/(16*(Results!M8)))</f>
        <v>0.64664031620553397</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1.4400000000000005E-2</v>
      </c>
      <c r="D33" s="40" t="s">
        <v>5</v>
      </c>
      <c r="E33" s="41">
        <f>_xlfn.COVARIANCE.S(DT!B4:B1004,DT!D4:D1004)^2</f>
        <v>2.2500000000000006E-2</v>
      </c>
      <c r="G33" s="40" t="s">
        <v>11</v>
      </c>
      <c r="H33" s="41">
        <f>COVAR(DT!I4:I1004,DT!T4:T1004)^2</f>
        <v>5.7599999999999998E-2</v>
      </c>
      <c r="J33" s="40" t="s">
        <v>17</v>
      </c>
      <c r="K33" s="41">
        <f>COVAR(DT!H4:H1004,DT!K4:K1004)^2</f>
        <v>4.938271604938272E-2</v>
      </c>
      <c r="M33" s="40" t="s">
        <v>24</v>
      </c>
      <c r="N33" s="41">
        <f>COVAR(DT!E4:E1004,DT!F4:F1004)^2</f>
        <v>6.3999999999999977E-3</v>
      </c>
      <c r="P33" s="40" t="s">
        <v>34</v>
      </c>
      <c r="Q33" s="41">
        <f>COVAR(DT!C4:C1004,DT!J4:J1004)^2</f>
        <v>0.27039999999999992</v>
      </c>
    </row>
    <row r="34" spans="1:17">
      <c r="A34" s="40" t="s">
        <v>37</v>
      </c>
      <c r="B34" s="41">
        <f>COVAR(DT!A4:A1004,DT!N4:N1004)^2</f>
        <v>0.12959999999999999</v>
      </c>
      <c r="D34" s="40" t="s">
        <v>6</v>
      </c>
      <c r="E34" s="41">
        <f>_xlfn.COVARIANCE.S(DT!B4:B1004,DT!M4:M1004)^2</f>
        <v>9.999999999999995E-3</v>
      </c>
      <c r="G34" s="40" t="s">
        <v>12</v>
      </c>
      <c r="H34" s="41" t="e">
        <f>COVAR(DT!I4:I1004,DT!V4:V1004)^2</f>
        <v>#DIV/0!</v>
      </c>
      <c r="J34" s="40" t="s">
        <v>18</v>
      </c>
      <c r="K34" s="41" t="e">
        <f>COVAR(DT!H4:H1004,DT!Q4:Q1004)^2</f>
        <v>#DIV/0!</v>
      </c>
      <c r="M34" s="40" t="s">
        <v>25</v>
      </c>
      <c r="N34" s="41">
        <f>COVAR(DT!E4:E1004,DT!G4:G1004)^2</f>
        <v>0.16000000000000003</v>
      </c>
      <c r="P34" s="40" t="s">
        <v>33</v>
      </c>
      <c r="Q34" s="41">
        <f>COVAR(DT!C4:C1004,DT!O4:O1004)^2</f>
        <v>0.12959999999999999</v>
      </c>
    </row>
    <row r="35" spans="1:17">
      <c r="A35" s="40" t="s">
        <v>38</v>
      </c>
      <c r="B35" s="41">
        <f>COVAR(DT!A4:A1004,DT!P4:P1004)^2</f>
        <v>0.12959999999999999</v>
      </c>
      <c r="D35" s="40" t="s">
        <v>7</v>
      </c>
      <c r="E35" s="41">
        <f>_xlfn.COVARIANCE.S(DT!B4:B1004,DT!U4:U1004)^2</f>
        <v>2.5599999999999996</v>
      </c>
      <c r="G35" s="40" t="s">
        <v>13</v>
      </c>
      <c r="H35" s="41">
        <f>COVAR(DT!I4:I1004,DT!W4:W1004)^2</f>
        <v>2.5600000000000001E-2</v>
      </c>
      <c r="J35" s="40" t="s">
        <v>19</v>
      </c>
      <c r="K35" s="41">
        <f>COVAR(DT!H4:H1004,DT!S4:S1004)^2</f>
        <v>0.16000000000000003</v>
      </c>
      <c r="M35" s="40" t="s">
        <v>26</v>
      </c>
      <c r="N35" s="41">
        <f>COVAR(DT!E4:E1004,DT!R4:R1004)^2</f>
        <v>0.79012345679012352</v>
      </c>
      <c r="P35" s="40" t="s">
        <v>32</v>
      </c>
      <c r="Q35" s="41">
        <f>COVAR(DT!C4:C1004,DT!Z4:Z1004)^2</f>
        <v>0.25</v>
      </c>
    </row>
    <row r="36" spans="1:17">
      <c r="A36" s="40" t="s">
        <v>39</v>
      </c>
      <c r="B36" s="41">
        <f>COVAR(DT!A4:A1004,DT!X4:X1004)^2</f>
        <v>2.5599999999999991E-2</v>
      </c>
      <c r="D36" s="40" t="s">
        <v>8</v>
      </c>
      <c r="E36" s="41">
        <f>_xlfn.COVARIANCE.S(DT!D4:D1004,DT!M4:M1004)^2</f>
        <v>2.5000000000000009E-3</v>
      </c>
      <c r="G36" s="40" t="s">
        <v>14</v>
      </c>
      <c r="H36" s="41" t="e">
        <f>COVAR(DT!T4:T1004,DT!V4:V1004)^2</f>
        <v>#DIV/0!</v>
      </c>
      <c r="J36" s="40" t="s">
        <v>20</v>
      </c>
      <c r="K36" s="41" t="e">
        <f>COVAR(DT!K4:K1004,DT!Q4:Q1004)^2</f>
        <v>#DIV/0!</v>
      </c>
      <c r="M36" s="40" t="s">
        <v>27</v>
      </c>
      <c r="N36" s="41">
        <f>COVAR(DT!F4:F1004,DT!G4:G1004)^2</f>
        <v>4.0000000000000008E-2</v>
      </c>
      <c r="P36" s="40" t="s">
        <v>31</v>
      </c>
      <c r="Q36" s="41">
        <f>COVAR(DT!J4:J1004,DT!O4:O1004)^2</f>
        <v>0.46239999999999992</v>
      </c>
    </row>
    <row r="37" spans="1:17">
      <c r="A37" s="40" t="s">
        <v>40</v>
      </c>
      <c r="B37" s="41">
        <f>COVAR(DT!A4:A1004,DT!Y4:Y1004)^2</f>
        <v>1.4400000000000005E-2</v>
      </c>
      <c r="D37" s="40" t="s">
        <v>9</v>
      </c>
      <c r="E37" s="41">
        <f>_xlfn.COVARIANCE.S(DT!D4:D1004,DT!U4:U1004)^2</f>
        <v>0.09</v>
      </c>
      <c r="G37" s="40" t="s">
        <v>15</v>
      </c>
      <c r="H37" s="41">
        <f>COVAR(DT!T4:T1004,DT!W4:W1004)^2</f>
        <v>1.5999999999999994E-3</v>
      </c>
      <c r="J37" s="40" t="s">
        <v>21</v>
      </c>
      <c r="K37" s="41">
        <f>COVAR(DT!K4:K1004,DT!S4:S1004)^2</f>
        <v>4.938271604938272E-2</v>
      </c>
      <c r="M37" s="40" t="s">
        <v>28</v>
      </c>
      <c r="N37" s="41">
        <f>COVAR(DT!F4:F1004,DT!R4:R1004)^2</f>
        <v>1.2345679012345675E-2</v>
      </c>
      <c r="P37" s="40" t="s">
        <v>30</v>
      </c>
      <c r="Q37" s="41">
        <f>COVAR(DT!J4:J1004,DT!Z4:Z1004)^2</f>
        <v>1.5625</v>
      </c>
    </row>
    <row r="38" spans="1:17">
      <c r="A38" s="40" t="s">
        <v>41</v>
      </c>
      <c r="B38" s="41">
        <f>COVAR(DT!L4:L1004,DT!N4:N1004)^2</f>
        <v>7.8399999999999984E-2</v>
      </c>
      <c r="D38" s="40" t="s">
        <v>10</v>
      </c>
      <c r="E38" s="41">
        <f>_xlfn.COVARIANCE.S(DT!M4:M1004,DT!U4:U1004)^2</f>
        <v>4.0000000000000008E-2</v>
      </c>
      <c r="G38" s="40" t="s">
        <v>16</v>
      </c>
      <c r="H38" s="41" t="e">
        <f>COVAR(DT!V4:V1004,DT!W4:W1004)^2</f>
        <v>#DIV/0!</v>
      </c>
      <c r="J38" s="40" t="s">
        <v>22</v>
      </c>
      <c r="K38" s="41" t="e">
        <f>COVAR(DT!Q4:Q1004,DT!S4:S1004)^2</f>
        <v>#DIV/0!</v>
      </c>
      <c r="M38" s="40" t="s">
        <v>23</v>
      </c>
      <c r="N38" s="41">
        <f>COVAR(DT!G4:G1004,DT!R4:R1004)^2</f>
        <v>0.30864197530864201</v>
      </c>
      <c r="P38" s="40" t="s">
        <v>29</v>
      </c>
      <c r="Q38" s="41">
        <f>COVAR(DT!O4:O1004,DT!Z4:Z1004)^2</f>
        <v>1</v>
      </c>
    </row>
    <row r="39" spans="1:17">
      <c r="A39" s="40" t="s">
        <v>42</v>
      </c>
      <c r="B39" s="41">
        <f>COVAR(DT!L4:L1004,DT!P4:P1004)^2</f>
        <v>0.27040000000000003</v>
      </c>
      <c r="D39" s="40" t="s">
        <v>1281</v>
      </c>
      <c r="E39" s="54">
        <f>SUM(E33:E38)</f>
        <v>2.7249999999999996</v>
      </c>
      <c r="G39" s="40" t="s">
        <v>1281</v>
      </c>
      <c r="H39" s="54" t="e">
        <f>SUM(H33:H38)</f>
        <v>#DIV/0!</v>
      </c>
      <c r="J39" s="40" t="s">
        <v>1281</v>
      </c>
      <c r="K39" s="54" t="e">
        <f>SUM(K33:K38)</f>
        <v>#DIV/0!</v>
      </c>
      <c r="M39" s="40" t="s">
        <v>1281</v>
      </c>
      <c r="N39" s="54">
        <f>SUM(N33:N38)</f>
        <v>1.3175111111111113</v>
      </c>
      <c r="P39" s="40" t="s">
        <v>1281</v>
      </c>
      <c r="Q39" s="54">
        <f>SUM(Q33:Q38)</f>
        <v>3.6749000000000001</v>
      </c>
    </row>
    <row r="40" spans="1:17">
      <c r="A40" s="40" t="s">
        <v>43</v>
      </c>
      <c r="B40" s="41">
        <f>COVAR(DT!L4:L1004,DT!X4:X1004)^2</f>
        <v>1.4400000000000005E-2</v>
      </c>
      <c r="D40" s="42" t="s">
        <v>1282</v>
      </c>
      <c r="E40" s="52">
        <f>E30+SQRT((4/3)*2*E39)/(16*(Results!M4))</f>
        <v>0.7632882707251063</v>
      </c>
      <c r="G40" s="42" t="s">
        <v>1282</v>
      </c>
      <c r="H40" s="52" t="e">
        <f>H30+SQRT((4/3)*2*H39)/(16*(Results!M5))</f>
        <v>#DIV/0!</v>
      </c>
      <c r="J40" s="42" t="s">
        <v>1282</v>
      </c>
      <c r="K40" s="52" t="e">
        <f>K30+SQRT((4/3)*2*K39)/(16*(Results!M6))</f>
        <v>#DIV/0!</v>
      </c>
      <c r="M40" s="42" t="s">
        <v>1282</v>
      </c>
      <c r="N40" s="52">
        <f>N30+SQRT((4/3)*2*N39)/(16*(Results!M7))</f>
        <v>0.64158237197255497</v>
      </c>
      <c r="P40" s="42" t="s">
        <v>1282</v>
      </c>
      <c r="Q40" s="52">
        <f>Q30+SQRT((4/3)*2*Q39)/(16*(Results!M8))</f>
        <v>0.86936026235534125</v>
      </c>
    </row>
    <row r="41" spans="1:17">
      <c r="A41" s="40" t="s">
        <v>44</v>
      </c>
      <c r="B41" s="41">
        <f>COVAR(DT!L4:L1004,DT!Y4:Y1004)^2</f>
        <v>2.5600000000000001E-2</v>
      </c>
    </row>
    <row r="42" spans="1:17">
      <c r="A42" s="40" t="s">
        <v>45</v>
      </c>
      <c r="B42" s="41">
        <f>COVAR(DT!N4:N1004,DT!P4:P1004)^2</f>
        <v>1.5999999999999994E-3</v>
      </c>
    </row>
    <row r="43" spans="1:17">
      <c r="A43" s="40" t="s">
        <v>46</v>
      </c>
      <c r="B43" s="41">
        <f>COVAR(DT!N4:N1004,DT!X4:X1004)^2</f>
        <v>2.5600000000000001E-2</v>
      </c>
    </row>
    <row r="44" spans="1:17">
      <c r="A44" s="40" t="s">
        <v>47</v>
      </c>
      <c r="B44" s="41">
        <f>COVAR(DT!N4:N1004,DT!Y4:Y1004)^2</f>
        <v>1.4400000000000005E-2</v>
      </c>
    </row>
    <row r="45" spans="1:17">
      <c r="A45" s="40" t="s">
        <v>48</v>
      </c>
      <c r="B45" s="41">
        <f>COVAR(DT!P4:P1004,DT!X4:X1004)^2</f>
        <v>2.5599999999999991E-2</v>
      </c>
    </row>
    <row r="46" spans="1:17">
      <c r="A46" s="40" t="s">
        <v>116</v>
      </c>
      <c r="B46" s="41">
        <f>COVAR(DT!P4:P1004,DT!Y4:Y1004)^2</f>
        <v>6.3999999999999977E-3</v>
      </c>
    </row>
    <row r="47" spans="1:17">
      <c r="A47" s="40" t="s">
        <v>35</v>
      </c>
      <c r="B47" s="41">
        <f>COVAR(DT!X4:X1004,DT!Y4:Y1004)^2</f>
        <v>6.3999999999999977E-3</v>
      </c>
    </row>
    <row r="48" spans="1:17">
      <c r="A48" s="40" t="s">
        <v>1281</v>
      </c>
      <c r="B48" s="54">
        <f>SUM(B33:B47)</f>
        <v>0.78239999999999976</v>
      </c>
    </row>
    <row r="49" spans="1:2">
      <c r="A49" s="42" t="s">
        <v>1282</v>
      </c>
      <c r="B49" s="52">
        <f>B30+SQRT((6/5)*2*B48)/(36*(Results!M3))</f>
        <v>0.72196079899555388</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c r="A1" s="183" t="s">
        <v>2182</v>
      </c>
      <c r="B1" s="184"/>
      <c r="C1" s="184"/>
      <c r="D1" s="184"/>
      <c r="E1" s="184"/>
      <c r="F1" s="184"/>
      <c r="G1" s="184"/>
      <c r="H1" s="184"/>
    </row>
    <row r="2" spans="1:8">
      <c r="A2" s="124" t="s">
        <v>110</v>
      </c>
      <c r="B2" s="125" t="s">
        <v>106</v>
      </c>
      <c r="C2" s="125" t="s">
        <v>120</v>
      </c>
      <c r="D2" s="125" t="s">
        <v>121</v>
      </c>
    </row>
    <row r="3" spans="1:8">
      <c r="A3" s="17" t="str">
        <f>VLOOKUP(Read_First!B5,Items!A1:BI50,54,FALSE)</f>
        <v>Atracción</v>
      </c>
      <c r="B3" s="63">
        <f>Results!L3</f>
        <v>2.2333333333333334</v>
      </c>
      <c r="C3" s="16" t="str">
        <f>IF(B3&gt;E37,"Excellent",IF(B3&gt;D37,"Good",IF(B3&gt;C37,"Above average",IF(B3&gt;B37,"Below average","Bad"))))</f>
        <v>Excellent</v>
      </c>
      <c r="D3" s="15"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7" t="str">
        <f>VLOOKUP(Read_First!B5,Items!A1:BI50,55,FALSE)</f>
        <v>Transparencia</v>
      </c>
      <c r="B4" s="63">
        <f>Results!L4</f>
        <v>2.4500000000000002</v>
      </c>
      <c r="C4" s="16" t="str">
        <f>IF(B4&gt;E38,"Excellent",IF(B4&gt;D38,"Good",IF(B4&gt;C38,"Above Average",IF(B4&gt;B38,"Below Average","Bad"))))</f>
        <v>Excellent</v>
      </c>
      <c r="D4" s="15" t="str">
        <f t="shared" si="0"/>
        <v>In the range of the 10% best results</v>
      </c>
    </row>
    <row r="5" spans="1:8">
      <c r="A5" s="17" t="str">
        <f>VLOOKUP(Read_First!B5,Items!A1:BI50,56,FALSE)</f>
        <v>Eficiencia</v>
      </c>
      <c r="B5" s="63">
        <f>Results!L5</f>
        <v>2.5333333333333337</v>
      </c>
      <c r="C5" s="16" t="str">
        <f>IF(B5&gt;E39,"Excellent",IF(B5&gt;D39,"Good",IF(B5&gt;C39,"Above Average",IF(B5&gt;B39,"Below Average","Bad"))))</f>
        <v>Excellent</v>
      </c>
      <c r="D5" s="15" t="str">
        <f t="shared" si="0"/>
        <v>In the range of the 10% best results</v>
      </c>
    </row>
    <row r="6" spans="1:8">
      <c r="A6" s="18" t="str">
        <f>VLOOKUP(Read_First!B5,Items!A1:BI50,57,FALSE)</f>
        <v>Controlabilidad</v>
      </c>
      <c r="B6" s="63">
        <f>Results!L6</f>
        <v>1.5666666666666664</v>
      </c>
      <c r="C6" s="16" t="str">
        <f>IF(B6&gt;E40,"Excellent",IF(B6&gt;D40,"Good",IF(B6&gt;C40,"Above Average",IF(B6&gt;B40,"Below Average","Bad"))))</f>
        <v>Good</v>
      </c>
      <c r="D6" s="15" t="str">
        <f t="shared" si="0"/>
        <v>10% of results better, 75% of results worse</v>
      </c>
    </row>
    <row r="7" spans="1:8">
      <c r="A7" s="18" t="str">
        <f>VLOOKUP(Read_First!B5,Items!A1:BI50,58,FALSE)</f>
        <v>Estimulación</v>
      </c>
      <c r="B7" s="63">
        <f>Results!L7</f>
        <v>1.7833333333333337</v>
      </c>
      <c r="C7" s="16" t="str">
        <f>IF(B7&gt;E41,"Excellent",IF(B7&gt;D41,"Good",IF(B7&gt;C41,"Above Average",IF(B7&gt;B41,"Below Average","Bad"))))</f>
        <v>Excellent</v>
      </c>
      <c r="D7" s="15" t="str">
        <f t="shared" si="0"/>
        <v>In the range of the 10% best results</v>
      </c>
    </row>
    <row r="8" spans="1:8">
      <c r="A8" s="17" t="str">
        <f>VLOOKUP(Read_First!B5,Items!A1:BI50,59,FALSE)</f>
        <v>Novedad</v>
      </c>
      <c r="B8" s="63">
        <f>Results!L8</f>
        <v>1.6666666666666665</v>
      </c>
      <c r="C8" s="16" t="str">
        <f>IF(B8&gt;E42,"Excellent",IF(B8&gt;D42,"Good",IF(B8&gt;C42,"Above Average",IF(B8&gt;B42,"Below Average","Bad"))))</f>
        <v>Excellent</v>
      </c>
      <c r="D8" s="15" t="str">
        <f t="shared" si="0"/>
        <v>In the range of the 10% best results</v>
      </c>
    </row>
    <row r="26" spans="1:8">
      <c r="A26" s="185" t="s">
        <v>824</v>
      </c>
      <c r="B26" s="185"/>
      <c r="C26" s="185"/>
      <c r="D26" s="185"/>
      <c r="E26" s="185"/>
      <c r="F26" s="185"/>
      <c r="G26" s="185"/>
      <c r="H26" s="185"/>
    </row>
    <row r="27" spans="1:8" s="21" customFormat="1" ht="16">
      <c r="A27" s="19" t="s">
        <v>110</v>
      </c>
      <c r="B27" s="19" t="s">
        <v>126</v>
      </c>
      <c r="C27" s="20" t="s">
        <v>125</v>
      </c>
      <c r="D27" s="20" t="s">
        <v>124</v>
      </c>
      <c r="E27" s="20" t="s">
        <v>123</v>
      </c>
      <c r="F27" s="20" t="s">
        <v>122</v>
      </c>
      <c r="G27" s="20" t="s">
        <v>119</v>
      </c>
      <c r="H27" s="20" t="s">
        <v>106</v>
      </c>
    </row>
    <row r="28" spans="1:8">
      <c r="A28" s="17" t="str">
        <f>VLOOKUP(Read_First!B5,Items!A1:BI50,54,FALSE)</f>
        <v>Atracción</v>
      </c>
      <c r="B28" s="35">
        <v>-1</v>
      </c>
      <c r="C28" s="36">
        <f>B37</f>
        <v>0.69</v>
      </c>
      <c r="D28" s="36">
        <f>C37-B37</f>
        <v>0.49</v>
      </c>
      <c r="E28" s="36">
        <f>D37-C37</f>
        <v>0.40000000000000013</v>
      </c>
      <c r="F28" s="36">
        <f>E37-D37</f>
        <v>0.26</v>
      </c>
      <c r="G28" s="36">
        <f>2.5-E37</f>
        <v>0.65999999999999992</v>
      </c>
      <c r="H28" s="64">
        <f>Results!L3</f>
        <v>2.2333333333333334</v>
      </c>
    </row>
    <row r="29" spans="1:8">
      <c r="A29" s="17" t="str">
        <f>VLOOKUP(Read_First!B5,Items!A1:BI50,55,FALSE)</f>
        <v>Transparencia</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2.4500000000000002</v>
      </c>
    </row>
    <row r="30" spans="1:8">
      <c r="A30" s="17" t="str">
        <f>VLOOKUP(Read_First!B5,Items!A1:BI50,56,FALSE)</f>
        <v>Eficiencia</v>
      </c>
      <c r="B30" s="35">
        <v>-1</v>
      </c>
      <c r="C30" s="151">
        <f t="shared" si="1"/>
        <v>0.6</v>
      </c>
      <c r="D30" s="151">
        <f t="shared" si="2"/>
        <v>0.45000000000000007</v>
      </c>
      <c r="E30" s="151">
        <f t="shared" si="3"/>
        <v>0.44999999999999996</v>
      </c>
      <c r="F30" s="151">
        <f t="shared" si="4"/>
        <v>0.37999999999999989</v>
      </c>
      <c r="G30" s="151">
        <f t="shared" si="5"/>
        <v>0.62000000000000011</v>
      </c>
      <c r="H30" s="64">
        <f>Results!L5</f>
        <v>2.5333333333333337</v>
      </c>
    </row>
    <row r="31" spans="1:8">
      <c r="A31" s="18" t="str">
        <f>VLOOKUP(Read_First!B5,Items!A1:BI50,57,FALSE)</f>
        <v>Controlabilidad</v>
      </c>
      <c r="B31" s="35">
        <v>-1</v>
      </c>
      <c r="C31" s="151">
        <f t="shared" si="1"/>
        <v>0.78</v>
      </c>
      <c r="D31" s="151">
        <f t="shared" si="2"/>
        <v>0.35999999999999988</v>
      </c>
      <c r="E31" s="151">
        <f t="shared" si="3"/>
        <v>0.34000000000000008</v>
      </c>
      <c r="F31" s="151">
        <f t="shared" si="4"/>
        <v>0.21999999999999997</v>
      </c>
      <c r="G31" s="151">
        <f t="shared" si="5"/>
        <v>0.8</v>
      </c>
      <c r="H31" s="64">
        <f>Results!L6</f>
        <v>1.5666666666666664</v>
      </c>
    </row>
    <row r="32" spans="1:8">
      <c r="A32" s="18" t="str">
        <f>VLOOKUP(Read_First!B5,Items!A1:BI50,58,FALSE)</f>
        <v>Estimulación</v>
      </c>
      <c r="B32" s="35">
        <v>-1</v>
      </c>
      <c r="C32" s="151">
        <f t="shared" si="1"/>
        <v>0.5</v>
      </c>
      <c r="D32" s="151">
        <f t="shared" si="2"/>
        <v>0.5</v>
      </c>
      <c r="E32" s="151">
        <f t="shared" si="3"/>
        <v>0.35000000000000009</v>
      </c>
      <c r="F32" s="151">
        <f t="shared" si="4"/>
        <v>0.34999999999999987</v>
      </c>
      <c r="G32" s="151">
        <f t="shared" si="5"/>
        <v>0.8</v>
      </c>
      <c r="H32" s="64">
        <f>Results!L7</f>
        <v>1.7833333333333337</v>
      </c>
    </row>
    <row r="33" spans="1:8">
      <c r="A33" s="17" t="str">
        <f>VLOOKUP(Read_First!B5,Items!A1:BI50,59,FALSE)</f>
        <v>Novedad</v>
      </c>
      <c r="B33" s="35">
        <v>-1</v>
      </c>
      <c r="C33" s="151">
        <f t="shared" si="1"/>
        <v>0.16</v>
      </c>
      <c r="D33" s="151">
        <f t="shared" si="2"/>
        <v>0.53999999999999992</v>
      </c>
      <c r="E33" s="151">
        <f t="shared" si="3"/>
        <v>0.42000000000000015</v>
      </c>
      <c r="F33" s="151">
        <f t="shared" si="4"/>
        <v>0.48</v>
      </c>
      <c r="G33" s="151">
        <f t="shared" si="5"/>
        <v>0.89999999999999991</v>
      </c>
      <c r="H33" s="64">
        <f>Results!L8</f>
        <v>1.6666666666666665</v>
      </c>
    </row>
    <row r="35" spans="1:8">
      <c r="A35" s="185" t="s">
        <v>2183</v>
      </c>
      <c r="B35" s="185"/>
      <c r="C35" s="185"/>
      <c r="D35" s="185"/>
      <c r="E35" s="185"/>
    </row>
    <row r="36" spans="1:8">
      <c r="A36" s="152" t="s">
        <v>110</v>
      </c>
      <c r="B36" s="153">
        <v>0.25</v>
      </c>
      <c r="C36" s="153">
        <v>0.5</v>
      </c>
      <c r="D36" s="153">
        <v>0.75</v>
      </c>
      <c r="E36" s="153">
        <v>0.9</v>
      </c>
    </row>
    <row r="37" spans="1:8">
      <c r="A37" s="152" t="str">
        <f>VLOOKUP(Read_First!B5,Items!A1:BI50,54,FALSE)</f>
        <v>Atracción</v>
      </c>
      <c r="B37">
        <v>0.69</v>
      </c>
      <c r="C37">
        <v>1.18</v>
      </c>
      <c r="D37">
        <v>1.58</v>
      </c>
      <c r="E37">
        <v>1.84</v>
      </c>
    </row>
    <row r="38" spans="1:8">
      <c r="A38" s="152" t="str">
        <f>VLOOKUP(Read_First!B5,Items!A1:BI50,55,FALSE)</f>
        <v>Transparencia</v>
      </c>
      <c r="B38">
        <v>0.72</v>
      </c>
      <c r="C38">
        <v>1.2</v>
      </c>
      <c r="D38">
        <v>1.73</v>
      </c>
      <c r="E38">
        <v>2</v>
      </c>
    </row>
    <row r="39" spans="1:8">
      <c r="A39" s="152" t="str">
        <f>VLOOKUP(Read_First!B5,Items!A1:BI50,56,FALSE)</f>
        <v>Eficiencia</v>
      </c>
      <c r="B39">
        <v>0.6</v>
      </c>
      <c r="C39">
        <v>1.05</v>
      </c>
      <c r="D39">
        <v>1.5</v>
      </c>
      <c r="E39">
        <v>1.88</v>
      </c>
    </row>
    <row r="40" spans="1:8">
      <c r="A40" s="152" t="str">
        <f>VLOOKUP(Read_First!B5,Items!A1:BI50,57,FALSE)</f>
        <v>Controlabilidad</v>
      </c>
      <c r="B40">
        <v>0.78</v>
      </c>
      <c r="C40">
        <v>1.1399999999999999</v>
      </c>
      <c r="D40">
        <v>1.48</v>
      </c>
      <c r="E40">
        <v>1.7</v>
      </c>
    </row>
    <row r="41" spans="1:8">
      <c r="A41" s="152" t="str">
        <f>VLOOKUP(Read_First!B5,Items!A1:BI50,58,FALSE)</f>
        <v>Estimulación</v>
      </c>
      <c r="B41">
        <v>0.5</v>
      </c>
      <c r="C41">
        <v>1</v>
      </c>
      <c r="D41">
        <v>1.35</v>
      </c>
      <c r="E41">
        <v>1.7</v>
      </c>
    </row>
    <row r="42" spans="1:8">
      <c r="A42" s="152" t="str">
        <f>VLOOKUP(Read_First!B5,Items!A1:BI50,59,FALSE)</f>
        <v>Novedad</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tabSelected="1" workbookViewId="0">
      <selection sqref="A1:Z1"/>
    </sheetView>
  </sheetViews>
  <sheetFormatPr baseColWidth="10" defaultColWidth="9.1640625" defaultRowHeight="15"/>
  <cols>
    <col min="1" max="26" width="3.6640625" style="1" customWidth="1"/>
    <col min="29" max="35" width="13.83203125" style="1" customWidth="1"/>
  </cols>
  <sheetData>
    <row r="1" spans="1:35" ht="192.75" customHeight="1">
      <c r="A1" s="162" t="s">
        <v>1290</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C1" s="37"/>
      <c r="AD1" s="38"/>
      <c r="AE1" s="38"/>
      <c r="AF1" s="38"/>
      <c r="AG1" s="38"/>
      <c r="AH1" s="39"/>
      <c r="AI1" s="1" t="s">
        <v>827</v>
      </c>
    </row>
    <row r="2" spans="1:35">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1" t="s">
        <v>825</v>
      </c>
      <c r="AD2" s="161"/>
      <c r="AE2" s="161"/>
      <c r="AF2" s="161"/>
      <c r="AG2" s="161"/>
      <c r="AH2" s="161"/>
      <c r="AI2" s="161"/>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Atracción</v>
      </c>
      <c r="AD3" s="113" t="str">
        <f>VLOOKUP(Read_First!B5,Items!A1:BI50,55,FALSE)</f>
        <v>Transparencia</v>
      </c>
      <c r="AE3" s="113" t="str">
        <f>VLOOKUP(Read_First!B5,Items!A1:BI50,56,FALSE)</f>
        <v>Eficiencia</v>
      </c>
      <c r="AF3" s="114" t="str">
        <f>VLOOKUP(Read_First!B5,Items!A1:BI50,57,FALSE)</f>
        <v>Controlabilidad</v>
      </c>
      <c r="AG3" s="114" t="str">
        <f>VLOOKUP(Read_First!B5,Items!A1:BI50,58,FALSE)</f>
        <v>Estimulación</v>
      </c>
      <c r="AH3" s="114" t="str">
        <f>VLOOKUP(Read_First!B5,Items!A1:BI50,59,FALSE)</f>
        <v>Novedad</v>
      </c>
      <c r="AI3" s="126" t="s">
        <v>826</v>
      </c>
    </row>
    <row r="4" spans="1:35">
      <c r="A4" s="68">
        <f>IF(Data!A4&gt;0,Data!A4-4,"")</f>
        <v>2</v>
      </c>
      <c r="B4" s="68">
        <f>IF(Data!B4&gt;0,Data!B4-4,"")</f>
        <v>3</v>
      </c>
      <c r="C4" s="68">
        <f>IF(Data!C4&gt;0,4-Data!C4,"")</f>
        <v>2</v>
      </c>
      <c r="D4" s="68">
        <f>IF(Data!D4&gt;0,4-Data!D4,"")</f>
        <v>3</v>
      </c>
      <c r="E4" s="68">
        <f>IF(Data!E4&gt;0,4-Data!E4,"")</f>
        <v>1</v>
      </c>
      <c r="F4" s="68">
        <f>IF(Data!F4&gt;0,Data!F4-4,"")</f>
        <v>2</v>
      </c>
      <c r="G4" s="68">
        <f>IF(Data!G4&gt;0,Data!G4-4,"")</f>
        <v>2</v>
      </c>
      <c r="H4" s="68">
        <f>IF(Data!H4&gt;0,Data!H4-4,"")</f>
        <v>3</v>
      </c>
      <c r="I4" s="68">
        <f>IF(Data!I4&gt;0,4-Data!I4,"")</f>
        <v>3</v>
      </c>
      <c r="J4" s="68">
        <f>IF(Data!J4&gt;0,4-Data!J4,"")</f>
        <v>1</v>
      </c>
      <c r="K4" s="68">
        <f>IF(Data!K4&gt;0,Data!K4-4,"")</f>
        <v>2</v>
      </c>
      <c r="L4" s="68">
        <f>IF(Data!L4&gt;0,4-Data!L4,"")</f>
        <v>2</v>
      </c>
      <c r="M4" s="68">
        <f>IF(Data!M4&gt;0,Data!M4-4,"")</f>
        <v>3</v>
      </c>
      <c r="N4" s="68">
        <f>IF(Data!N4&gt;0,Data!N4-4,"")</f>
        <v>2</v>
      </c>
      <c r="O4" s="68">
        <f>IF(Data!O4&gt;0,Data!O4-4,"")</f>
        <v>1</v>
      </c>
      <c r="P4" s="68">
        <f>IF(Data!P4&gt;0,Data!P4-4,"")</f>
        <v>2</v>
      </c>
      <c r="Q4" s="68" t="str">
        <f>IF(Data!Q4&gt;0,4-Data!Q4,"")</f>
        <v/>
      </c>
      <c r="R4" s="1" t="str">
        <f>IF(Data!R4&gt;0,4-Data!R4,"")</f>
        <v/>
      </c>
      <c r="S4" s="68">
        <f>IF(Data!S4&gt;0,4-Data!S4,"")</f>
        <v>3</v>
      </c>
      <c r="T4" s="68">
        <f>IF(Data!T4&gt;0,Data!T4-4,"")</f>
        <v>3</v>
      </c>
      <c r="U4" s="68">
        <f>IF(Data!U4&gt;0,4-Data!U4,"")</f>
        <v>3</v>
      </c>
      <c r="V4" s="68" t="str">
        <f>IF(Data!V4&gt;0,Data!V4-4,"")</f>
        <v/>
      </c>
      <c r="W4" s="68">
        <f>IF(Data!W4&gt;0,4-Data!W4,"")</f>
        <v>1</v>
      </c>
      <c r="X4" s="68">
        <f>IF(Data!X4&gt;0,4-Data!X4,"")</f>
        <v>2</v>
      </c>
      <c r="Y4" s="68">
        <f>IF(Data!Y4&gt;0,4-Data!Y4,"")</f>
        <v>3</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1</v>
      </c>
      <c r="B5" s="1">
        <f>IF(Data!B5&gt;0,Data!B5-4,"")</f>
        <v>1</v>
      </c>
      <c r="C5" s="1">
        <f>IF(Data!C5&gt;0,4-Data!C5,"")</f>
        <v>2</v>
      </c>
      <c r="D5" s="1">
        <f>IF(Data!D5&gt;0,4-Data!D5,"")</f>
        <v>3</v>
      </c>
      <c r="E5" s="1">
        <f>IF(Data!E5&gt;0,4-Data!E5,"")</f>
        <v>1</v>
      </c>
      <c r="F5" s="1">
        <f>IF(Data!F5&gt;0,Data!F5-4,"")</f>
        <v>2</v>
      </c>
      <c r="G5" s="1">
        <f>IF(Data!G5&gt;0,Data!G5-4,"")</f>
        <v>0</v>
      </c>
      <c r="H5" s="1">
        <f>IF(Data!H5&gt;0,Data!H5-4,"")</f>
        <v>3</v>
      </c>
      <c r="I5" s="1">
        <f>IF(Data!I5&gt;0,4-Data!I5,"")</f>
        <v>3</v>
      </c>
      <c r="J5" s="1">
        <f>IF(Data!J5&gt;0,4-Data!J5,"")</f>
        <v>0</v>
      </c>
      <c r="K5" s="1">
        <f>IF(Data!K5&gt;0,Data!K5-4,"")</f>
        <v>2</v>
      </c>
      <c r="L5" s="1">
        <f>IF(Data!L5&gt;0,4-Data!L5,"")</f>
        <v>3</v>
      </c>
      <c r="M5" s="1">
        <f>IF(Data!M5&gt;0,Data!M5-4,"")</f>
        <v>3</v>
      </c>
      <c r="N5" s="1">
        <f>IF(Data!N5&gt;0,Data!N5-4,"")</f>
        <v>3</v>
      </c>
      <c r="O5" s="1">
        <f>IF(Data!O5&gt;0,Data!O5-4,"")</f>
        <v>2</v>
      </c>
      <c r="P5" s="1">
        <f>IF(Data!P5&gt;0,Data!P5-4,"")</f>
        <v>2</v>
      </c>
      <c r="Q5" s="1" t="str">
        <f>IF(Data!Q5&gt;0,4-Data!Q5,"")</f>
        <v/>
      </c>
      <c r="R5" s="1" t="str">
        <f>IF(Data!R5&gt;0,4-Data!R5,"")</f>
        <v/>
      </c>
      <c r="S5" s="1">
        <f>IF(Data!S5&gt;0,4-Data!S5,"")</f>
        <v>1</v>
      </c>
      <c r="T5" s="1">
        <f>IF(Data!T5&gt;0,Data!T5-4,"")</f>
        <v>2</v>
      </c>
      <c r="U5" s="1">
        <f>IF(Data!U5&gt;0,4-Data!U5,"")</f>
        <v>-1</v>
      </c>
      <c r="V5" s="1" t="str">
        <f>IF(Data!V5&gt;0,Data!V5-4,"")</f>
        <v/>
      </c>
      <c r="W5" s="1">
        <f>IF(Data!W5&gt;0,4-Data!W5,"")</f>
        <v>3</v>
      </c>
      <c r="X5" s="1">
        <f>IF(Data!X5&gt;0,4-Data!X5,"")</f>
        <v>2</v>
      </c>
      <c r="Y5" s="1">
        <f>IF(Data!Y5&gt;0,4-Data!Y5,"")</f>
        <v>3</v>
      </c>
      <c r="Z5" s="1" t="str">
        <f>IF(Data!Z5&gt;0,Data!Z5-4,"")</f>
        <v/>
      </c>
      <c r="AC5" s="4" t="str">
        <f t="shared" ref="AC5:AC13" si="4">IF((MAX(A5,L5,N5,P5,X5,Y5)-MIN(A5,L5,N5,P5,X5,Y5))&gt;3,1,"")</f>
        <v/>
      </c>
      <c r="AD5" s="4">
        <f t="shared" ref="AD5:AD13" si="5">IF((MAX(B5,D5,M5,U5)-MIN(B5,D5,M5,U5))&gt;3,1,"")</f>
        <v>1</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1</v>
      </c>
    </row>
    <row r="6" spans="1:35">
      <c r="A6" s="1">
        <f>IF(Data!A6&gt;0,Data!A6-4,"")</f>
        <v>2</v>
      </c>
      <c r="B6" s="1">
        <f>IF(Data!B6&gt;0,Data!B6-4,"")</f>
        <v>2</v>
      </c>
      <c r="C6" s="1">
        <f>IF(Data!C6&gt;0,4-Data!C6,"")</f>
        <v>2</v>
      </c>
      <c r="D6" s="1">
        <f>IF(Data!D6&gt;0,4-Data!D6,"")</f>
        <v>3</v>
      </c>
      <c r="E6" s="1">
        <f>IF(Data!E6&gt;0,4-Data!E6,"")</f>
        <v>1</v>
      </c>
      <c r="F6" s="1">
        <f>IF(Data!F6&gt;0,Data!F6-4,"")</f>
        <v>2</v>
      </c>
      <c r="G6" s="1">
        <f>IF(Data!G6&gt;0,Data!G6-4,"")</f>
        <v>2</v>
      </c>
      <c r="H6" s="1">
        <f>IF(Data!H6&gt;0,Data!H6-4,"")</f>
        <v>0</v>
      </c>
      <c r="I6" s="1">
        <f>IF(Data!I6&gt;0,4-Data!I6,"")</f>
        <v>1</v>
      </c>
      <c r="J6" s="1">
        <f>IF(Data!J6&gt;0,4-Data!J6,"")</f>
        <v>0</v>
      </c>
      <c r="K6" s="1" t="str">
        <f>IF(Data!K6&gt;0,Data!K6-4,"")</f>
        <v/>
      </c>
      <c r="L6" s="1">
        <f>IF(Data!L6&gt;0,4-Data!L6,"")</f>
        <v>1</v>
      </c>
      <c r="M6" s="1">
        <f>IF(Data!M6&gt;0,Data!M6-4,"")</f>
        <v>2</v>
      </c>
      <c r="N6" s="1">
        <f>IF(Data!N6&gt;0,Data!N6-4,"")</f>
        <v>1</v>
      </c>
      <c r="O6" s="1">
        <f>IF(Data!O6&gt;0,Data!O6-4,"")</f>
        <v>0</v>
      </c>
      <c r="P6" s="1">
        <f>IF(Data!P6&gt;0,Data!P6-4,"")</f>
        <v>1</v>
      </c>
      <c r="Q6" s="1" t="str">
        <f>IF(Data!Q6&gt;0,4-Data!Q6,"")</f>
        <v/>
      </c>
      <c r="R6" s="1">
        <f>IF(Data!R6&gt;0,4-Data!R6,"")</f>
        <v>0</v>
      </c>
      <c r="S6" s="1">
        <f>IF(Data!S6&gt;0,4-Data!S6,"")</f>
        <v>1</v>
      </c>
      <c r="T6" s="1">
        <f>IF(Data!T6&gt;0,Data!T6-4,"")</f>
        <v>2</v>
      </c>
      <c r="U6" s="1">
        <f>IF(Data!U6&gt;0,4-Data!U6,"")</f>
        <v>1</v>
      </c>
      <c r="V6" s="1" t="str">
        <f>IF(Data!V6&gt;0,Data!V6-4,"")</f>
        <v/>
      </c>
      <c r="W6" s="1">
        <f>IF(Data!W6&gt;0,4-Data!W6,"")</f>
        <v>2</v>
      </c>
      <c r="X6" s="1">
        <f>IF(Data!X6&gt;0,4-Data!X6,"")</f>
        <v>2</v>
      </c>
      <c r="Y6" s="1">
        <f>IF(Data!Y6&gt;0,4-Data!Y6,"")</f>
        <v>2</v>
      </c>
      <c r="Z6" s="1">
        <f>IF(Data!Z6&gt;0,Data!Z6-4,"")</f>
        <v>0</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3</v>
      </c>
      <c r="B7" s="1">
        <f>IF(Data!B7&gt;0,Data!B7-4,"")</f>
        <v>3</v>
      </c>
      <c r="C7" s="1">
        <f>IF(Data!C7&gt;0,4-Data!C7,"")</f>
        <v>3</v>
      </c>
      <c r="D7" s="1">
        <f>IF(Data!D7&gt;0,4-Data!D7,"")</f>
        <v>2</v>
      </c>
      <c r="E7" s="1">
        <f>IF(Data!E7&gt;0,4-Data!E7,"")</f>
        <v>1</v>
      </c>
      <c r="F7" s="1">
        <f>IF(Data!F7&gt;0,Data!F7-4,"")</f>
        <v>3</v>
      </c>
      <c r="G7" s="1">
        <f>IF(Data!G7&gt;0,Data!G7-4,"")</f>
        <v>3</v>
      </c>
      <c r="H7" s="1">
        <f>IF(Data!H7&gt;0,Data!H7-4,"")</f>
        <v>-2</v>
      </c>
      <c r="I7" s="1">
        <f>IF(Data!I7&gt;0,4-Data!I7,"")</f>
        <v>3</v>
      </c>
      <c r="J7" s="1">
        <f>IF(Data!J7&gt;0,4-Data!J7,"")</f>
        <v>2</v>
      </c>
      <c r="K7" s="1" t="str">
        <f>IF(Data!K7&gt;0,Data!K7-4,"")</f>
        <v/>
      </c>
      <c r="L7" s="1">
        <f>IF(Data!L7&gt;0,4-Data!L7,"")</f>
        <v>3</v>
      </c>
      <c r="M7" s="1">
        <f>IF(Data!M7&gt;0,Data!M7-4,"")</f>
        <v>3</v>
      </c>
      <c r="N7" s="1">
        <f>IF(Data!N7&gt;0,Data!N7-4,"")</f>
        <v>2</v>
      </c>
      <c r="O7" s="1">
        <f>IF(Data!O7&gt;0,Data!O7-4,"")</f>
        <v>3</v>
      </c>
      <c r="P7" s="1">
        <f>IF(Data!P7&gt;0,Data!P7-4,"")</f>
        <v>3</v>
      </c>
      <c r="Q7" s="1" t="str">
        <f>IF(Data!Q7&gt;0,4-Data!Q7,"")</f>
        <v/>
      </c>
      <c r="R7" s="1">
        <f>IF(Data!R7&gt;0,4-Data!R7,"")</f>
        <v>2</v>
      </c>
      <c r="S7" s="1">
        <f>IF(Data!S7&gt;0,4-Data!S7,"")</f>
        <v>2</v>
      </c>
      <c r="T7" s="1">
        <f>IF(Data!T7&gt;0,Data!T7-4,"")</f>
        <v>3</v>
      </c>
      <c r="U7" s="1">
        <f>IF(Data!U7&gt;0,4-Data!U7,"")</f>
        <v>3</v>
      </c>
      <c r="V7" s="1" t="str">
        <f>IF(Data!V7&gt;0,Data!V7-4,"")</f>
        <v/>
      </c>
      <c r="W7" s="1">
        <f>IF(Data!W7&gt;0,4-Data!W7,"")</f>
        <v>3</v>
      </c>
      <c r="X7" s="1">
        <f>IF(Data!X7&gt;0,4-Data!X7,"")</f>
        <v>2</v>
      </c>
      <c r="Y7" s="1">
        <f>IF(Data!Y7&gt;0,4-Data!Y7,"")</f>
        <v>2</v>
      </c>
      <c r="Z7" s="1">
        <f>IF(Data!Z7&gt;0,Data!Z7-4,"")</f>
        <v>2</v>
      </c>
      <c r="AC7" s="4" t="str">
        <f t="shared" si="4"/>
        <v/>
      </c>
      <c r="AD7" s="4" t="str">
        <f t="shared" si="5"/>
        <v/>
      </c>
      <c r="AE7" s="4" t="str">
        <f t="shared" si="6"/>
        <v/>
      </c>
      <c r="AF7" s="4">
        <f t="shared" si="7"/>
        <v>1</v>
      </c>
      <c r="AG7" s="4" t="str">
        <f t="shared" si="8"/>
        <v/>
      </c>
      <c r="AH7" s="4" t="str">
        <f t="shared" si="9"/>
        <v/>
      </c>
      <c r="AI7" s="2">
        <f t="shared" si="10"/>
        <v>1</v>
      </c>
    </row>
    <row r="8" spans="1:35">
      <c r="A8" s="1">
        <f>IF(Data!A8&gt;0,Data!A8-4,"")</f>
        <v>3</v>
      </c>
      <c r="B8" s="1">
        <f>IF(Data!B8&gt;0,Data!B8-4,"")</f>
        <v>3</v>
      </c>
      <c r="C8" s="1">
        <f>IF(Data!C8&gt;0,4-Data!C8,"")</f>
        <v>3</v>
      </c>
      <c r="D8" s="1">
        <f>IF(Data!D8&gt;0,4-Data!D8,"")</f>
        <v>3</v>
      </c>
      <c r="E8" s="1">
        <f>IF(Data!E8&gt;0,4-Data!E8,"")</f>
        <v>3</v>
      </c>
      <c r="F8" s="1">
        <f>IF(Data!F8&gt;0,Data!F8-4,"")</f>
        <v>2</v>
      </c>
      <c r="G8" s="1">
        <f>IF(Data!G8&gt;0,Data!G8-4,"")</f>
        <v>3</v>
      </c>
      <c r="H8" s="1">
        <f>IF(Data!H8&gt;0,Data!H8-4,"")</f>
        <v>2</v>
      </c>
      <c r="I8" s="1">
        <f>IF(Data!I8&gt;0,4-Data!I8,"")</f>
        <v>3</v>
      </c>
      <c r="J8" s="1">
        <f>IF(Data!J8&gt;0,4-Data!J8,"")</f>
        <v>3</v>
      </c>
      <c r="K8" s="1">
        <f>IF(Data!K8&gt;0,Data!K8-4,"")</f>
        <v>3</v>
      </c>
      <c r="L8" s="1">
        <f>IF(Data!L8&gt;0,4-Data!L8,"")</f>
        <v>3</v>
      </c>
      <c r="M8" s="1">
        <f>IF(Data!M8&gt;0,Data!M8-4,"")</f>
        <v>3</v>
      </c>
      <c r="N8" s="1">
        <f>IF(Data!N8&gt;0,Data!N8-4,"")</f>
        <v>1</v>
      </c>
      <c r="O8" s="1">
        <f>IF(Data!O8&gt;0,Data!O8-4,"")</f>
        <v>2</v>
      </c>
      <c r="P8" s="1">
        <f>IF(Data!P8&gt;0,Data!P8-4,"")</f>
        <v>3</v>
      </c>
      <c r="Q8" s="1" t="str">
        <f>IF(Data!Q8&gt;0,4-Data!Q8,"")</f>
        <v/>
      </c>
      <c r="R8" s="1">
        <f>IF(Data!R8&gt;0,4-Data!R8,"")</f>
        <v>3</v>
      </c>
      <c r="S8" s="1">
        <f>IF(Data!S8&gt;0,4-Data!S8,"")</f>
        <v>3</v>
      </c>
      <c r="T8" s="1">
        <f>IF(Data!T8&gt;0,Data!T8-4,"")</f>
        <v>3</v>
      </c>
      <c r="U8" s="1">
        <f>IF(Data!U8&gt;0,4-Data!U8,"")</f>
        <v>3</v>
      </c>
      <c r="V8" s="1" t="str">
        <f>IF(Data!V8&gt;0,Data!V8-4,"")</f>
        <v/>
      </c>
      <c r="W8" s="1">
        <f>IF(Data!W8&gt;0,4-Data!W8,"")</f>
        <v>3</v>
      </c>
      <c r="X8" s="1">
        <f>IF(Data!X8&gt;0,4-Data!X8,"")</f>
        <v>3</v>
      </c>
      <c r="Y8" s="1">
        <f>IF(Data!Y8&gt;0,4-Data!Y8,"")</f>
        <v>3</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86" t="s">
        <v>831</v>
      </c>
      <c r="B1" s="186"/>
      <c r="C1" s="186"/>
      <c r="D1" s="186"/>
      <c r="E1" s="186"/>
      <c r="F1" s="186"/>
      <c r="G1" s="186"/>
    </row>
    <row r="2" spans="1:7" ht="184.75" customHeight="1">
      <c r="A2" s="176" t="s">
        <v>832</v>
      </c>
      <c r="B2" s="176"/>
      <c r="C2" s="176"/>
      <c r="D2" s="176"/>
      <c r="E2" s="176"/>
      <c r="F2" s="176"/>
      <c r="G2" s="176"/>
    </row>
    <row r="3" spans="1:7">
      <c r="A3" s="98" t="s">
        <v>110</v>
      </c>
      <c r="B3" s="91" t="s">
        <v>829</v>
      </c>
    </row>
    <row r="4" spans="1:7">
      <c r="A4" s="30" t="str">
        <f>VLOOKUP(Read_First!B5,Items!A1:BI50,54,FALSE)</f>
        <v>Atracción</v>
      </c>
      <c r="B4" s="7">
        <f>SQRT(VAR(DT!AC4:AC1004))</f>
        <v>0.45030853620354389</v>
      </c>
    </row>
    <row r="5" spans="1:7">
      <c r="A5" s="30" t="str">
        <f>VLOOKUP(Read_First!B5,Items!A1:BI50,55,FALSE)</f>
        <v>Transparencia</v>
      </c>
      <c r="B5" s="7">
        <f>SQRT(VAR(DT!AD4:AD1004))</f>
        <v>0.67082039324993703</v>
      </c>
    </row>
    <row r="6" spans="1:7">
      <c r="A6" s="30" t="str">
        <f>VLOOKUP(Read_First!B5,Items!A1:BI50,56,FALSE)</f>
        <v>Eficiencia</v>
      </c>
      <c r="B6" s="7">
        <f>SQRT(VAR(DT!AE4:AE1004))</f>
        <v>0.55777335102271608</v>
      </c>
    </row>
    <row r="7" spans="1:7">
      <c r="A7" s="30" t="str">
        <f>VLOOKUP(Read_First!B5,Items!A1:BI50,57,FALSE)</f>
        <v>Controlabilidad</v>
      </c>
      <c r="B7" s="7">
        <f>SQRT(VAR(DT!AF4:AF1004))</f>
        <v>1.2449899597988736</v>
      </c>
    </row>
    <row r="8" spans="1:7">
      <c r="A8" s="30" t="str">
        <f>VLOOKUP(Read_First!B5,Items!A1:BI50,58,FALSE)</f>
        <v>Estimulación</v>
      </c>
      <c r="B8" s="7">
        <f>SQRT(VAR(DT!AG4:AG1004))</f>
        <v>0.71831206465033093</v>
      </c>
    </row>
    <row r="9" spans="1:7">
      <c r="A9" s="30" t="str">
        <f>VLOOKUP(Read_First!B5,Items!A1:BI50,59,FALSE)</f>
        <v>Novedad</v>
      </c>
      <c r="B9" s="7">
        <f>SQRT(VAR(DT!AH4:AH1004))</f>
        <v>0.93726848993349987</v>
      </c>
    </row>
    <row r="11" spans="1:7">
      <c r="A11" s="103" t="s">
        <v>830</v>
      </c>
      <c r="B11" s="99" t="str">
        <f>VLOOKUP(Read_First!B5,Items!A1:BI50,54,FALSE)</f>
        <v>Atracción</v>
      </c>
      <c r="C11" s="101" t="str">
        <f>VLOOKUP(Read_First!B5,Items!A1:BI50,55,FALSE)</f>
        <v>Transparencia</v>
      </c>
      <c r="D11" s="101" t="str">
        <f>VLOOKUP(Read_First!B5,Items!A1:BI50,56,FALSE)</f>
        <v>Eficiencia</v>
      </c>
      <c r="E11" s="102" t="str">
        <f>VLOOKUP(Read_First!B5,Items!A1:BI50,57,FALSE)</f>
        <v>Controlabilidad</v>
      </c>
      <c r="F11" s="99" t="str">
        <f>VLOOKUP(Read_First!B5,Items!A1:BI50,58,FALSE)</f>
        <v>Estimulación</v>
      </c>
      <c r="G11" s="100" t="str">
        <f>VLOOKUP(Read_First!B5,Items!A1:BI50,59,FALSE)</f>
        <v>Novedad</v>
      </c>
    </row>
    <row r="12" spans="1:7">
      <c r="A12" s="105" t="s">
        <v>833</v>
      </c>
      <c r="B12" s="4">
        <f>POWER((1.65*B4)/0.5,2)</f>
        <v>2.2082500000000063</v>
      </c>
      <c r="C12" s="4">
        <f>POWER((1.65*B5)/0.5,2)</f>
        <v>4.9005000000000019</v>
      </c>
      <c r="D12" s="4">
        <f>POWER((1.65*B6)/0.5,2)</f>
        <v>3.3879999999999884</v>
      </c>
      <c r="E12" s="4">
        <f>POWER((1.65*B7)/0.5,2)</f>
        <v>16.879500000000007</v>
      </c>
      <c r="F12" s="4">
        <f>POWER((1.65*B8)/0.5,2)</f>
        <v>5.6189374999999879</v>
      </c>
      <c r="G12" s="4">
        <f>POWER((1.65*B9)/0.5,2)</f>
        <v>9.5665625000000105</v>
      </c>
    </row>
    <row r="13" spans="1:7">
      <c r="A13" s="105" t="s">
        <v>834</v>
      </c>
      <c r="B13" s="4">
        <f>POWER((1.96*B4)/0.5,2)</f>
        <v>3.1159644444444536</v>
      </c>
      <c r="C13" s="4">
        <f>POWER((1.96*B5)/0.5,2)</f>
        <v>6.9148800000000019</v>
      </c>
      <c r="D13" s="4">
        <f>POWER((1.96*B6)/0.5,2)</f>
        <v>4.780657777777761</v>
      </c>
      <c r="E13" s="4">
        <f>POWER((1.96*B7)/0.5,2)</f>
        <v>23.817920000000019</v>
      </c>
      <c r="F13" s="4">
        <f>POWER((1.96*B8)/0.5,2)</f>
        <v>7.9286355555555383</v>
      </c>
      <c r="G13" s="4">
        <f>POWER((1.96*B9)/0.5,2)</f>
        <v>13.498955555555568</v>
      </c>
    </row>
    <row r="14" spans="1:7">
      <c r="A14" s="105" t="s">
        <v>835</v>
      </c>
      <c r="B14" s="4">
        <f>POWER((2.58*B4)/0.5,2)</f>
        <v>5.3990800000000165</v>
      </c>
      <c r="C14" s="4">
        <f>POWER((2.58*B5)/0.5,2)</f>
        <v>11.981520000000005</v>
      </c>
      <c r="D14" s="4">
        <f>POWER((2.58*B6)/0.5,2)</f>
        <v>8.2835199999999709</v>
      </c>
      <c r="E14" s="4">
        <f>POWER((2.58*B7)/0.5,2)</f>
        <v>41.269680000000029</v>
      </c>
      <c r="F14" s="4">
        <f>POWER((2.58*B8)/0.5,2)</f>
        <v>13.738069999999972</v>
      </c>
      <c r="G14" s="4">
        <f>POWER((2.58*B9)/0.5,2)</f>
        <v>23.389850000000028</v>
      </c>
    </row>
    <row r="15" spans="1:7">
      <c r="A15" s="105" t="s">
        <v>836</v>
      </c>
      <c r="B15" s="4">
        <f>POWER((1.65*B4)/0.25,2)</f>
        <v>8.8330000000000251</v>
      </c>
      <c r="C15" s="4">
        <f>POWER((1.65*B5)/0.25,2)</f>
        <v>19.602000000000007</v>
      </c>
      <c r="D15" s="4">
        <f>POWER((1.65*B6)/0.25,2)</f>
        <v>13.551999999999953</v>
      </c>
      <c r="E15" s="4">
        <f>POWER((1.65*B7)/0.25,2)</f>
        <v>67.518000000000029</v>
      </c>
      <c r="F15" s="4">
        <f>POWER((1.65*B8)/0.25,2)</f>
        <v>22.475749999999952</v>
      </c>
      <c r="G15" s="4">
        <f>POWER((1.65*B9)/0.25,2)</f>
        <v>38.266250000000042</v>
      </c>
    </row>
    <row r="16" spans="1:7">
      <c r="A16" s="105" t="s">
        <v>837</v>
      </c>
      <c r="B16" s="4">
        <f>POWER((1.96*B4)/0.25,2)</f>
        <v>12.463857777777815</v>
      </c>
      <c r="C16" s="4">
        <f>POWER((1.96*B5)/0.25,2)</f>
        <v>27.659520000000008</v>
      </c>
      <c r="D16" s="4">
        <f>POWER((1.96*B6)/0.25,2)</f>
        <v>19.122631111111044</v>
      </c>
      <c r="E16" s="4">
        <f>POWER((1.96*B7)/0.25,2)</f>
        <v>95.271680000000075</v>
      </c>
      <c r="F16" s="4">
        <f>POWER((1.96*B8)/0.25,2)</f>
        <v>31.714542222222153</v>
      </c>
      <c r="G16" s="4">
        <f>POWER((1.96*B9)/0.25,2)</f>
        <v>53.995822222222273</v>
      </c>
    </row>
    <row r="17" spans="1:7">
      <c r="A17" s="105" t="s">
        <v>838</v>
      </c>
      <c r="B17" s="4">
        <f>POWER((2.58*B4)/0.25,2)</f>
        <v>21.596320000000066</v>
      </c>
      <c r="C17" s="4">
        <f>POWER((2.58*B5)/0.25,2)</f>
        <v>47.92608000000002</v>
      </c>
      <c r="D17" s="4">
        <f>POWER((2.58*B6)/0.25,2)</f>
        <v>33.134079999999884</v>
      </c>
      <c r="E17" s="4">
        <f>POWER((2.58*B7)/0.25,2)</f>
        <v>165.07872000000012</v>
      </c>
      <c r="F17" s="4">
        <f>POWER((2.58*B8)/0.25,2)</f>
        <v>54.952279999999888</v>
      </c>
      <c r="G17" s="4">
        <f>POWER((2.58*B9)/0.25,2)</f>
        <v>93.55940000000011</v>
      </c>
    </row>
    <row r="18" spans="1:7">
      <c r="A18" s="105" t="s">
        <v>839</v>
      </c>
      <c r="B18" s="4">
        <f>POWER((1.65*B4)/0.1,2)</f>
        <v>55.206250000000153</v>
      </c>
      <c r="C18" s="4">
        <f>POWER((1.65*B5)/0.1,2)</f>
        <v>122.51250000000005</v>
      </c>
      <c r="D18" s="4">
        <f>POWER((1.65*B6)/0.1,2)</f>
        <v>84.69999999999969</v>
      </c>
      <c r="E18" s="4">
        <f>POWER((1.65*B7)/0.1,2)</f>
        <v>421.98750000000024</v>
      </c>
      <c r="F18" s="4">
        <f>POWER((1.65*B8)/0.1,2)</f>
        <v>140.47343749999968</v>
      </c>
      <c r="G18" s="4">
        <f>POWER((1.65*B9)/0.1,2)</f>
        <v>239.16406250000023</v>
      </c>
    </row>
    <row r="19" spans="1:7">
      <c r="A19" s="105" t="s">
        <v>840</v>
      </c>
      <c r="B19" s="4">
        <f>POWER((1.96*B4)/0.1,2)</f>
        <v>77.899111111111324</v>
      </c>
      <c r="C19" s="4">
        <f>POWER((1.96*B5)/0.1,2)</f>
        <v>172.87200000000004</v>
      </c>
      <c r="D19" s="4">
        <f>POWER((1.96*B6)/0.1,2)</f>
        <v>119.51644444444401</v>
      </c>
      <c r="E19" s="4">
        <f>POWER((1.96*B7)/0.1,2)</f>
        <v>595.44800000000043</v>
      </c>
      <c r="F19" s="4">
        <f>POWER((1.96*B8)/0.1,2)</f>
        <v>198.21588888888846</v>
      </c>
      <c r="G19" s="4">
        <f>POWER((1.96*B9)/0.1,2)</f>
        <v>337.47388888888918</v>
      </c>
    </row>
    <row r="20" spans="1:7">
      <c r="A20" s="106" t="s">
        <v>841</v>
      </c>
      <c r="B20" s="4">
        <f>POWER((2.58*B4)/0.1,2)</f>
        <v>134.97700000000037</v>
      </c>
      <c r="C20" s="4">
        <f>POWER((2.58*B5)/0.1,2)</f>
        <v>299.53800000000007</v>
      </c>
      <c r="D20" s="4">
        <f>POWER((2.58*B6)/0.1,2)</f>
        <v>207.08799999999925</v>
      </c>
      <c r="E20" s="4">
        <f>POWER((2.58*B7)/0.1,2)</f>
        <v>1031.7420000000009</v>
      </c>
      <c r="F20" s="4">
        <f>POWER((2.58*B8)/0.1,2)</f>
        <v>343.45174999999927</v>
      </c>
      <c r="G20" s="4">
        <f>POWER((2.58*B9)/0.1,2)</f>
        <v>584.74625000000071</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M1" workbookViewId="0">
      <selection activeCell="X21" sqref="X21"/>
    </sheetView>
  </sheetViews>
  <sheetFormatPr baseColWidth="10" defaultColWidth="8.83203125" defaultRowHeight="15"/>
  <cols>
    <col min="1" max="6" width="12.83203125" customWidth="1"/>
    <col min="7" max="7" width="10.6640625" style="46"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s="46" customFormat="1" ht="133.25" customHeight="1">
      <c r="A1" s="176" t="s">
        <v>1292</v>
      </c>
      <c r="B1" s="170"/>
      <c r="C1" s="170"/>
      <c r="D1" s="170"/>
      <c r="E1" s="170"/>
      <c r="F1" s="170"/>
      <c r="H1" s="62"/>
      <c r="I1" s="134" t="s">
        <v>1278</v>
      </c>
      <c r="J1" s="129" t="e">
        <f>AVERAGE(O4:O1004)</f>
        <v>#VALUE!</v>
      </c>
      <c r="K1" s="130" t="s">
        <v>1291</v>
      </c>
      <c r="L1" s="131" t="e">
        <f>STDEV(O4:O1004)</f>
        <v>#VALUE!</v>
      </c>
      <c r="M1" s="132" t="s">
        <v>1293</v>
      </c>
      <c r="N1" s="133" t="e">
        <f>CONFIDENCE(0.05,L1,Results!E3)</f>
        <v>#VALUE!</v>
      </c>
      <c r="O1" s="135"/>
    </row>
    <row r="2" spans="1:23">
      <c r="A2" s="187" t="s">
        <v>1275</v>
      </c>
      <c r="B2" s="187"/>
      <c r="C2" s="187"/>
      <c r="D2" s="187"/>
      <c r="E2" s="187"/>
      <c r="F2" s="187"/>
      <c r="G2" s="51"/>
      <c r="I2" s="187" t="s">
        <v>1276</v>
      </c>
      <c r="J2" s="187"/>
      <c r="K2" s="187"/>
      <c r="L2" s="187"/>
      <c r="M2" s="187"/>
      <c r="N2" s="187"/>
      <c r="O2" s="1"/>
      <c r="P2" s="15"/>
      <c r="Q2" s="188" t="s">
        <v>1535</v>
      </c>
      <c r="R2" s="188"/>
      <c r="S2" s="188"/>
      <c r="T2" s="188"/>
      <c r="U2" s="188"/>
      <c r="V2" s="188"/>
      <c r="W2" s="188"/>
    </row>
    <row r="3" spans="1:23">
      <c r="A3" s="98" t="str">
        <f>VLOOKUP(Read_First!B5,Items!A1:BI50,54,FALSE)</f>
        <v>Atracción</v>
      </c>
      <c r="B3" s="92" t="str">
        <f>VLOOKUP(Read_First!B5,Items!A1:BI50,55,FALSE)</f>
        <v>Transparencia</v>
      </c>
      <c r="C3" s="92" t="str">
        <f>VLOOKUP(Read_First!B5,Items!A1:BI50,56,FALSE)</f>
        <v>Eficiencia</v>
      </c>
      <c r="D3" s="92" t="str">
        <f>VLOOKUP(Read_First!B5,Items!A1:BI50,57,FALSE)</f>
        <v>Controlabilidad</v>
      </c>
      <c r="E3" s="92" t="str">
        <f>VLOOKUP(Read_First!B5,Items!A1:BI50,58,FALSE)</f>
        <v>Estimulación</v>
      </c>
      <c r="F3" s="92" t="str">
        <f>VLOOKUP(Read_First!B5,Items!A1:BI50,59,FALSE)</f>
        <v>Novedad</v>
      </c>
      <c r="G3" s="91" t="s">
        <v>1277</v>
      </c>
      <c r="I3" s="127" t="str">
        <f>VLOOKUP(Read_First!B5,Items!A1:BI50,54,FALSE)</f>
        <v>Atracción</v>
      </c>
      <c r="J3" s="90" t="str">
        <f>VLOOKUP(Read_First!B5,Items!A1:BI50,55,FALSE)</f>
        <v>Transparencia</v>
      </c>
      <c r="K3" s="89" t="str">
        <f>VLOOKUP(Read_First!B5,Items!A1:BI50,56,FALSE)</f>
        <v>Eficiencia</v>
      </c>
      <c r="L3" s="89" t="str">
        <f>VLOOKUP(Read_First!B5,Items!A1:BI50,57,FALSE)</f>
        <v>Controlabilidad</v>
      </c>
      <c r="M3" s="89" t="str">
        <f>VLOOKUP(Read_First!B5,Items!A1:BI50,58,FALSE)</f>
        <v>Estimulación</v>
      </c>
      <c r="N3" s="89" t="str">
        <f>VLOOKUP(Read_First!B5,Items!A1:BI50,59,FALSE)</f>
        <v>Novedad</v>
      </c>
      <c r="O3" s="128" t="s">
        <v>1278</v>
      </c>
      <c r="P3" s="15"/>
      <c r="Q3" s="148" t="s">
        <v>1532</v>
      </c>
      <c r="R3" s="148" t="s">
        <v>106</v>
      </c>
      <c r="S3" s="148" t="s">
        <v>1533</v>
      </c>
      <c r="T3" s="148" t="s">
        <v>3</v>
      </c>
      <c r="U3" s="148" t="s">
        <v>112</v>
      </c>
      <c r="V3" s="181" t="s">
        <v>1534</v>
      </c>
      <c r="W3" s="181"/>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2.1887254901960782</v>
      </c>
      <c r="P4" s="15"/>
      <c r="Q4" s="149" t="str">
        <f>VLOOKUP(Read_First!B5,Items!A1:BI50,54,FALSE)</f>
        <v>Atracción</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1.8055555555555554</v>
      </c>
      <c r="P5" s="15"/>
      <c r="Q5" s="149" t="str">
        <f>VLOOKUP(Read_First!B5,Items!A1:BI50,55,FALSE)</f>
        <v>Transparencia</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1.2476190476190476</v>
      </c>
      <c r="P6" s="15"/>
      <c r="Q6" s="149" t="str">
        <f>VLOOKUP(Read_First!B5,Items!A1:BI50,56,FALSE)</f>
        <v>Eficiencia</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2.1083333333333334</v>
      </c>
      <c r="P7" s="15"/>
      <c r="Q7" s="149" t="str">
        <f>VLOOKUP(Read_First!B5,Items!A1:BI50,57,FALSE)</f>
        <v>Controlabilidad</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2.8101851851851856</v>
      </c>
      <c r="P8" s="15"/>
      <c r="Q8" s="149" t="str">
        <f>VLOOKUP(Read_First!B5,Items!A1:BI50,58,FALSE)</f>
        <v>Estimulación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t="e">
        <f>IF(G9&gt;0,DT!AC9*I9+DT!AD9*J9+DT!AE9*K9+DT!AF9*L9+DT!AG9*M9+DT!AH9*N9,"")</f>
        <v>#VALUE!</v>
      </c>
      <c r="P9" s="15"/>
      <c r="Q9" s="149" t="str">
        <f>VLOOKUP(Read_First!B5,Items!A1:BI50,59,FALSE)</f>
        <v>Novedad</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t="e">
        <f>IF(G10&gt;0,DT!AC10*I10+DT!AD10*J10+DT!AE10*K10+DT!AF10*L10+DT!AG10*M10+DT!AH10*N10,"")</f>
        <v>#VALUE!</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t="e">
        <f>IF(G11&gt;0,DT!AC11*I11+DT!AD11*J11+DT!AE11*K11+DT!AF11*L11+DT!AG11*M11+DT!AH11*N11,"")</f>
        <v>#VALUE!</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t="e">
        <f>IF(G12&gt;0,DT!AC12*I12+DT!AD12*J12+DT!AE12*K12+DT!AF12*L12+DT!AG12*M12+DT!AH12*N12,"")</f>
        <v>#VALUE!</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t="e">
        <f>IF(G13&gt;0,DT!AC13*I13+DT!AD13*J13+DT!AE13*K13+DT!AF13*L13+DT!AG13*M13+DT!AH13*N13,"")</f>
        <v>#VALUE!</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t="e">
        <f>IF(G14&gt;0,DT!AC14*I14+DT!AD14*J14+DT!AE14*K14+DT!AF14*L14+DT!AG14*M14+DT!AH14*N14,"")</f>
        <v>#VALUE!</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7" workbookViewId="0">
      <selection activeCell="B32" sqref="B32:BA32"/>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1537</v>
      </c>
      <c r="B25" t="s">
        <v>1539</v>
      </c>
      <c r="C25" t="s">
        <v>1540</v>
      </c>
      <c r="D25" t="s">
        <v>1541</v>
      </c>
      <c r="E25" t="s">
        <v>1542</v>
      </c>
      <c r="F25" t="s">
        <v>133</v>
      </c>
      <c r="G25" t="s">
        <v>1543</v>
      </c>
      <c r="H25" t="s">
        <v>1544</v>
      </c>
      <c r="I25" t="s">
        <v>1545</v>
      </c>
      <c r="J25" t="s">
        <v>1546</v>
      </c>
      <c r="K25" t="s">
        <v>1547</v>
      </c>
      <c r="L25" t="s">
        <v>1548</v>
      </c>
      <c r="M25" t="s">
        <v>1549</v>
      </c>
      <c r="N25" t="s">
        <v>1550</v>
      </c>
      <c r="O25" t="s">
        <v>532</v>
      </c>
      <c r="P25" t="s">
        <v>1551</v>
      </c>
      <c r="Q25" t="s">
        <v>1552</v>
      </c>
      <c r="R25" t="s">
        <v>1553</v>
      </c>
      <c r="S25" t="s">
        <v>1554</v>
      </c>
      <c r="T25" t="s">
        <v>1555</v>
      </c>
      <c r="U25" t="s">
        <v>1556</v>
      </c>
      <c r="V25" t="s">
        <v>1557</v>
      </c>
      <c r="W25" t="s">
        <v>1558</v>
      </c>
      <c r="X25" t="s">
        <v>1559</v>
      </c>
      <c r="Y25" t="s">
        <v>1560</v>
      </c>
      <c r="Z25" t="s">
        <v>1561</v>
      </c>
      <c r="AA25" t="s">
        <v>1562</v>
      </c>
      <c r="AB25" t="s">
        <v>1563</v>
      </c>
      <c r="AC25" t="s">
        <v>1564</v>
      </c>
      <c r="AD25" t="s">
        <v>1565</v>
      </c>
      <c r="AE25" t="s">
        <v>1566</v>
      </c>
      <c r="AF25" t="s">
        <v>1567</v>
      </c>
      <c r="AG25" t="s">
        <v>1568</v>
      </c>
      <c r="AH25" t="s">
        <v>1569</v>
      </c>
      <c r="AI25" t="s">
        <v>1570</v>
      </c>
      <c r="AJ25" t="s">
        <v>1571</v>
      </c>
      <c r="AK25" t="s">
        <v>1572</v>
      </c>
      <c r="AL25" t="s">
        <v>1573</v>
      </c>
      <c r="AM25" t="s">
        <v>1574</v>
      </c>
      <c r="AN25" t="s">
        <v>1575</v>
      </c>
      <c r="AO25" t="s">
        <v>1576</v>
      </c>
      <c r="AP25" t="s">
        <v>1577</v>
      </c>
      <c r="AQ25" t="s">
        <v>1578</v>
      </c>
      <c r="AR25" t="s">
        <v>1579</v>
      </c>
      <c r="AS25" t="s">
        <v>1580</v>
      </c>
      <c r="AT25" t="s">
        <v>1581</v>
      </c>
      <c r="AU25" t="s">
        <v>1582</v>
      </c>
      <c r="AV25" t="s">
        <v>1583</v>
      </c>
      <c r="AW25" t="s">
        <v>1584</v>
      </c>
      <c r="AX25" t="s">
        <v>1585</v>
      </c>
      <c r="AY25" t="s">
        <v>1586</v>
      </c>
      <c r="AZ25" t="s">
        <v>179</v>
      </c>
      <c r="BA25" t="s">
        <v>104</v>
      </c>
      <c r="BB25" t="s">
        <v>1587</v>
      </c>
      <c r="BC25" t="s">
        <v>1589</v>
      </c>
      <c r="BD25" t="s">
        <v>1588</v>
      </c>
      <c r="BE25" t="s">
        <v>1590</v>
      </c>
      <c r="BF25" t="s">
        <v>966</v>
      </c>
      <c r="BG25" t="s">
        <v>1591</v>
      </c>
      <c r="BH25" s="142" t="s">
        <v>239</v>
      </c>
      <c r="BI25" s="142" t="s">
        <v>242</v>
      </c>
    </row>
    <row r="26" spans="1:61">
      <c r="A26" t="s">
        <v>1538</v>
      </c>
      <c r="B26" t="s">
        <v>1596</v>
      </c>
      <c r="C26" t="s">
        <v>1597</v>
      </c>
      <c r="D26" t="s">
        <v>1598</v>
      </c>
      <c r="E26" t="s">
        <v>1599</v>
      </c>
      <c r="F26" t="s">
        <v>133</v>
      </c>
      <c r="G26" t="s">
        <v>1596</v>
      </c>
      <c r="H26" t="s">
        <v>1600</v>
      </c>
      <c r="I26" t="s">
        <v>1601</v>
      </c>
      <c r="J26" t="s">
        <v>1602</v>
      </c>
      <c r="K26" t="s">
        <v>1603</v>
      </c>
      <c r="L26" t="s">
        <v>1596</v>
      </c>
      <c r="M26" t="s">
        <v>1604</v>
      </c>
      <c r="N26" t="s">
        <v>1605</v>
      </c>
      <c r="O26" t="s">
        <v>142</v>
      </c>
      <c r="P26" t="s">
        <v>1606</v>
      </c>
      <c r="Q26" t="s">
        <v>1607</v>
      </c>
      <c r="R26" t="s">
        <v>1608</v>
      </c>
      <c r="S26" t="s">
        <v>1609</v>
      </c>
      <c r="T26" t="s">
        <v>1610</v>
      </c>
      <c r="U26" t="s">
        <v>1611</v>
      </c>
      <c r="V26" t="s">
        <v>1557</v>
      </c>
      <c r="W26" t="s">
        <v>1612</v>
      </c>
      <c r="X26" t="s">
        <v>1613</v>
      </c>
      <c r="Y26" t="s">
        <v>1614</v>
      </c>
      <c r="Z26" t="s">
        <v>1615</v>
      </c>
      <c r="AA26" t="s">
        <v>1616</v>
      </c>
      <c r="AB26" t="s">
        <v>1617</v>
      </c>
      <c r="AC26" t="s">
        <v>1564</v>
      </c>
      <c r="AD26" t="s">
        <v>1618</v>
      </c>
      <c r="AE26" t="s">
        <v>1619</v>
      </c>
      <c r="AF26" t="s">
        <v>1620</v>
      </c>
      <c r="AG26" t="s">
        <v>1564</v>
      </c>
      <c r="AH26" t="s">
        <v>1569</v>
      </c>
      <c r="AI26" t="s">
        <v>1621</v>
      </c>
      <c r="AJ26" t="s">
        <v>1571</v>
      </c>
      <c r="AK26" t="s">
        <v>1572</v>
      </c>
      <c r="AL26" t="s">
        <v>1622</v>
      </c>
      <c r="AM26" t="s">
        <v>1623</v>
      </c>
      <c r="AN26" t="s">
        <v>1575</v>
      </c>
      <c r="AO26" t="s">
        <v>1624</v>
      </c>
      <c r="AP26" t="s">
        <v>1625</v>
      </c>
      <c r="AQ26" t="s">
        <v>1578</v>
      </c>
      <c r="AR26" t="s">
        <v>1579</v>
      </c>
      <c r="AS26" t="s">
        <v>1580</v>
      </c>
      <c r="AT26" t="s">
        <v>1626</v>
      </c>
      <c r="AU26" t="s">
        <v>1627</v>
      </c>
      <c r="AV26" t="s">
        <v>1583</v>
      </c>
      <c r="AW26" t="s">
        <v>1628</v>
      </c>
      <c r="AX26" t="s">
        <v>1629</v>
      </c>
      <c r="AY26" t="s">
        <v>1630</v>
      </c>
      <c r="AZ26" t="s">
        <v>1619</v>
      </c>
      <c r="BA26" t="s">
        <v>180</v>
      </c>
      <c r="BB26" t="s">
        <v>964</v>
      </c>
      <c r="BC26" t="s">
        <v>1592</v>
      </c>
      <c r="BD26" t="s">
        <v>967</v>
      </c>
      <c r="BE26" t="s">
        <v>1593</v>
      </c>
      <c r="BF26" t="s">
        <v>1594</v>
      </c>
      <c r="BG26" t="s">
        <v>1595</v>
      </c>
      <c r="BH26" s="142" t="s">
        <v>239</v>
      </c>
      <c r="BI26" s="142" t="s">
        <v>242</v>
      </c>
    </row>
    <row r="27" spans="1:61">
      <c r="A27" t="s">
        <v>1631</v>
      </c>
      <c r="B27" s="142" t="s">
        <v>1641</v>
      </c>
      <c r="C27" s="142" t="s">
        <v>1642</v>
      </c>
      <c r="D27" s="142" t="s">
        <v>1643</v>
      </c>
      <c r="E27" s="142" t="s">
        <v>1644</v>
      </c>
      <c r="F27" s="142" t="s">
        <v>1645</v>
      </c>
      <c r="G27" s="142" t="s">
        <v>1646</v>
      </c>
      <c r="H27" s="142" t="s">
        <v>1647</v>
      </c>
      <c r="I27" s="142" t="s">
        <v>1648</v>
      </c>
      <c r="J27" s="142" t="s">
        <v>1649</v>
      </c>
      <c r="K27" s="142" t="s">
        <v>1650</v>
      </c>
      <c r="L27" s="142" t="s">
        <v>1651</v>
      </c>
      <c r="M27" s="142" t="s">
        <v>1652</v>
      </c>
      <c r="N27" s="142" t="s">
        <v>1653</v>
      </c>
      <c r="O27" s="142" t="s">
        <v>1654</v>
      </c>
      <c r="P27" s="142" t="s">
        <v>1655</v>
      </c>
      <c r="Q27" s="142" t="s">
        <v>1656</v>
      </c>
      <c r="R27" s="142" t="s">
        <v>1657</v>
      </c>
      <c r="S27" s="142" t="s">
        <v>1658</v>
      </c>
      <c r="T27" s="142" t="s">
        <v>1659</v>
      </c>
      <c r="U27" s="142" t="s">
        <v>1660</v>
      </c>
      <c r="V27" s="142" t="s">
        <v>1661</v>
      </c>
      <c r="W27" s="142" t="s">
        <v>1662</v>
      </c>
      <c r="X27" s="142" t="s">
        <v>1663</v>
      </c>
      <c r="Y27" s="142" t="s">
        <v>1664</v>
      </c>
      <c r="Z27" s="142" t="s">
        <v>1665</v>
      </c>
      <c r="AA27" s="142" t="s">
        <v>1666</v>
      </c>
      <c r="AB27" s="142" t="s">
        <v>1667</v>
      </c>
      <c r="AC27" s="142" t="s">
        <v>1668</v>
      </c>
      <c r="AD27" s="142" t="s">
        <v>1669</v>
      </c>
      <c r="AE27" s="142" t="s">
        <v>1670</v>
      </c>
      <c r="AF27" s="142" t="s">
        <v>1671</v>
      </c>
      <c r="AG27" s="142" t="s">
        <v>1672</v>
      </c>
      <c r="AH27" s="142" t="s">
        <v>1673</v>
      </c>
      <c r="AI27" s="142" t="s">
        <v>1674</v>
      </c>
      <c r="AJ27" s="142" t="s">
        <v>1675</v>
      </c>
      <c r="AK27" s="142" t="s">
        <v>1676</v>
      </c>
      <c r="AL27" s="142" t="s">
        <v>1677</v>
      </c>
      <c r="AM27" s="142" t="s">
        <v>1678</v>
      </c>
      <c r="AN27" s="142" t="s">
        <v>1679</v>
      </c>
      <c r="AO27" s="142" t="s">
        <v>1680</v>
      </c>
      <c r="AP27" s="142" t="s">
        <v>1681</v>
      </c>
      <c r="AQ27" s="142" t="s">
        <v>1682</v>
      </c>
      <c r="AR27" s="142" t="s">
        <v>1683</v>
      </c>
      <c r="AS27" s="142" t="s">
        <v>1684</v>
      </c>
      <c r="AT27" s="142" t="s">
        <v>1685</v>
      </c>
      <c r="AU27" s="142" t="s">
        <v>1686</v>
      </c>
      <c r="AV27" s="142" t="s">
        <v>1687</v>
      </c>
      <c r="AW27" s="142" t="s">
        <v>1671</v>
      </c>
      <c r="AX27" s="142" t="s">
        <v>1688</v>
      </c>
      <c r="AY27" s="142" t="s">
        <v>1689</v>
      </c>
      <c r="AZ27" s="142" t="s">
        <v>1690</v>
      </c>
      <c r="BA27" s="142" t="s">
        <v>1691</v>
      </c>
      <c r="BB27" t="s">
        <v>2079</v>
      </c>
      <c r="BC27" t="s">
        <v>2081</v>
      </c>
      <c r="BD27" t="s">
        <v>2080</v>
      </c>
      <c r="BE27" t="s">
        <v>2082</v>
      </c>
      <c r="BF27" t="s">
        <v>2083</v>
      </c>
      <c r="BG27" t="s">
        <v>2084</v>
      </c>
      <c r="BH27" s="142" t="s">
        <v>239</v>
      </c>
      <c r="BI27" s="142" t="s">
        <v>242</v>
      </c>
    </row>
    <row r="28" spans="1:61">
      <c r="A28" t="s">
        <v>1632</v>
      </c>
      <c r="B28" t="s">
        <v>1692</v>
      </c>
      <c r="C28" t="s">
        <v>1693</v>
      </c>
      <c r="D28" t="s">
        <v>1694</v>
      </c>
      <c r="E28" t="s">
        <v>1695</v>
      </c>
      <c r="F28" t="s">
        <v>1696</v>
      </c>
      <c r="G28" t="s">
        <v>1697</v>
      </c>
      <c r="H28" t="s">
        <v>1698</v>
      </c>
      <c r="I28" t="s">
        <v>1699</v>
      </c>
      <c r="J28" t="s">
        <v>1700</v>
      </c>
      <c r="K28" t="s">
        <v>1701</v>
      </c>
      <c r="L28" t="s">
        <v>1702</v>
      </c>
      <c r="M28" t="s">
        <v>1703</v>
      </c>
      <c r="N28" t="s">
        <v>1704</v>
      </c>
      <c r="O28" t="s">
        <v>1705</v>
      </c>
      <c r="P28" t="s">
        <v>1706</v>
      </c>
      <c r="Q28" t="s">
        <v>1707</v>
      </c>
      <c r="R28" t="s">
        <v>1708</v>
      </c>
      <c r="S28" t="s">
        <v>1709</v>
      </c>
      <c r="T28" t="s">
        <v>1710</v>
      </c>
      <c r="U28" t="s">
        <v>1711</v>
      </c>
      <c r="V28" t="s">
        <v>1712</v>
      </c>
      <c r="W28" t="s">
        <v>1713</v>
      </c>
      <c r="X28" t="s">
        <v>1714</v>
      </c>
      <c r="Y28" t="s">
        <v>1715</v>
      </c>
      <c r="Z28" t="s">
        <v>1716</v>
      </c>
      <c r="AA28" t="s">
        <v>1717</v>
      </c>
      <c r="AB28" t="s">
        <v>1718</v>
      </c>
      <c r="AC28" t="s">
        <v>1719</v>
      </c>
      <c r="AD28" t="s">
        <v>1720</v>
      </c>
      <c r="AE28" t="s">
        <v>1721</v>
      </c>
      <c r="AF28" t="s">
        <v>1722</v>
      </c>
      <c r="AG28" t="s">
        <v>1722</v>
      </c>
      <c r="AH28" t="s">
        <v>1723</v>
      </c>
      <c r="AI28" t="s">
        <v>1724</v>
      </c>
      <c r="AJ28" t="s">
        <v>1725</v>
      </c>
      <c r="AK28" t="s">
        <v>1726</v>
      </c>
      <c r="AL28" t="s">
        <v>1727</v>
      </c>
      <c r="AM28" t="s">
        <v>1728</v>
      </c>
      <c r="AN28" t="s">
        <v>1729</v>
      </c>
      <c r="AO28" t="s">
        <v>1730</v>
      </c>
      <c r="AP28" t="s">
        <v>1731</v>
      </c>
      <c r="AQ28" t="s">
        <v>1732</v>
      </c>
      <c r="AR28" t="s">
        <v>1733</v>
      </c>
      <c r="AS28" t="s">
        <v>1734</v>
      </c>
      <c r="AT28" t="s">
        <v>1735</v>
      </c>
      <c r="AU28" t="s">
        <v>1736</v>
      </c>
      <c r="AV28" t="s">
        <v>1737</v>
      </c>
      <c r="AW28" t="s">
        <v>1738</v>
      </c>
      <c r="AX28" t="s">
        <v>1739</v>
      </c>
      <c r="AY28" t="s">
        <v>1740</v>
      </c>
      <c r="AZ28" t="s">
        <v>1741</v>
      </c>
      <c r="BA28" t="s">
        <v>1742</v>
      </c>
      <c r="BB28" t="s">
        <v>2085</v>
      </c>
      <c r="BC28" t="s">
        <v>2087</v>
      </c>
      <c r="BD28" t="s">
        <v>2086</v>
      </c>
      <c r="BE28" t="s">
        <v>2088</v>
      </c>
      <c r="BF28" t="s">
        <v>2089</v>
      </c>
      <c r="BG28" t="s">
        <v>2090</v>
      </c>
      <c r="BH28" s="142" t="s">
        <v>239</v>
      </c>
      <c r="BI28" s="142" t="s">
        <v>242</v>
      </c>
    </row>
    <row r="29" spans="1:61">
      <c r="A29" t="s">
        <v>1633</v>
      </c>
      <c r="B29" t="s">
        <v>1743</v>
      </c>
      <c r="C29" t="s">
        <v>1744</v>
      </c>
      <c r="D29" t="s">
        <v>1745</v>
      </c>
      <c r="E29" t="s">
        <v>1746</v>
      </c>
      <c r="F29" t="s">
        <v>1747</v>
      </c>
      <c r="G29" t="s">
        <v>1748</v>
      </c>
      <c r="H29" t="s">
        <v>1749</v>
      </c>
      <c r="I29" t="s">
        <v>1750</v>
      </c>
      <c r="J29" t="s">
        <v>1751</v>
      </c>
      <c r="K29" t="s">
        <v>1752</v>
      </c>
      <c r="L29" t="s">
        <v>1753</v>
      </c>
      <c r="M29" t="s">
        <v>1754</v>
      </c>
      <c r="N29" t="s">
        <v>1755</v>
      </c>
      <c r="O29" t="s">
        <v>1756</v>
      </c>
      <c r="P29" t="s">
        <v>1757</v>
      </c>
      <c r="Q29" t="s">
        <v>1758</v>
      </c>
      <c r="R29" t="s">
        <v>1759</v>
      </c>
      <c r="S29" t="s">
        <v>1760</v>
      </c>
      <c r="T29" t="s">
        <v>1761</v>
      </c>
      <c r="U29" t="s">
        <v>1762</v>
      </c>
      <c r="V29" t="s">
        <v>1763</v>
      </c>
      <c r="W29" t="s">
        <v>1764</v>
      </c>
      <c r="X29" t="s">
        <v>1765</v>
      </c>
      <c r="Y29" t="s">
        <v>1766</v>
      </c>
      <c r="Z29" t="s">
        <v>1767</v>
      </c>
      <c r="AA29" t="s">
        <v>1768</v>
      </c>
      <c r="AB29" t="s">
        <v>1769</v>
      </c>
      <c r="AC29" t="s">
        <v>1770</v>
      </c>
      <c r="AD29" t="s">
        <v>1771</v>
      </c>
      <c r="AE29" t="s">
        <v>1772</v>
      </c>
      <c r="AF29" t="s">
        <v>1773</v>
      </c>
      <c r="AG29" t="s">
        <v>1774</v>
      </c>
      <c r="AH29" t="s">
        <v>1775</v>
      </c>
      <c r="AI29" t="s">
        <v>1776</v>
      </c>
      <c r="AJ29" t="s">
        <v>1777</v>
      </c>
      <c r="AK29" t="s">
        <v>1778</v>
      </c>
      <c r="AL29" t="s">
        <v>1779</v>
      </c>
      <c r="AM29" t="s">
        <v>1779</v>
      </c>
      <c r="AN29" t="s">
        <v>1780</v>
      </c>
      <c r="AO29" t="s">
        <v>939</v>
      </c>
      <c r="AP29" t="s">
        <v>1781</v>
      </c>
      <c r="AQ29" t="s">
        <v>1782</v>
      </c>
      <c r="AR29" t="s">
        <v>1783</v>
      </c>
      <c r="AS29" t="s">
        <v>1784</v>
      </c>
      <c r="AT29" t="s">
        <v>1785</v>
      </c>
      <c r="AU29" t="s">
        <v>1786</v>
      </c>
      <c r="AV29" t="s">
        <v>1787</v>
      </c>
      <c r="AW29" t="s">
        <v>1788</v>
      </c>
      <c r="AX29" t="s">
        <v>1789</v>
      </c>
      <c r="AY29" t="s">
        <v>1790</v>
      </c>
      <c r="AZ29" t="s">
        <v>1791</v>
      </c>
      <c r="BA29" t="s">
        <v>1792</v>
      </c>
      <c r="BB29" t="s">
        <v>2091</v>
      </c>
      <c r="BC29" t="s">
        <v>2092</v>
      </c>
      <c r="BD29" t="s">
        <v>954</v>
      </c>
      <c r="BE29" t="s">
        <v>2093</v>
      </c>
      <c r="BF29" t="s">
        <v>2094</v>
      </c>
      <c r="BG29" t="s">
        <v>2095</v>
      </c>
      <c r="BH29" s="142" t="s">
        <v>239</v>
      </c>
      <c r="BI29" s="142" t="s">
        <v>242</v>
      </c>
    </row>
    <row r="30" spans="1:61">
      <c r="A30" t="s">
        <v>1634</v>
      </c>
      <c r="B30" t="s">
        <v>1743</v>
      </c>
      <c r="C30" t="s">
        <v>1793</v>
      </c>
      <c r="D30" t="s">
        <v>1745</v>
      </c>
      <c r="E30" t="s">
        <v>1746</v>
      </c>
      <c r="F30" t="s">
        <v>1794</v>
      </c>
      <c r="G30" t="s">
        <v>1753</v>
      </c>
      <c r="H30" t="s">
        <v>1795</v>
      </c>
      <c r="I30" t="s">
        <v>1796</v>
      </c>
      <c r="J30" t="s">
        <v>1797</v>
      </c>
      <c r="K30" t="s">
        <v>1798</v>
      </c>
      <c r="L30" t="s">
        <v>1753</v>
      </c>
      <c r="M30" t="s">
        <v>1754</v>
      </c>
      <c r="N30" t="s">
        <v>1755</v>
      </c>
      <c r="O30" t="s">
        <v>1756</v>
      </c>
      <c r="P30" t="s">
        <v>1799</v>
      </c>
      <c r="Q30" t="s">
        <v>1800</v>
      </c>
      <c r="R30" t="s">
        <v>1759</v>
      </c>
      <c r="S30" t="s">
        <v>1760</v>
      </c>
      <c r="T30" t="s">
        <v>1801</v>
      </c>
      <c r="U30" t="s">
        <v>1802</v>
      </c>
      <c r="V30" t="s">
        <v>1803</v>
      </c>
      <c r="W30" t="s">
        <v>1804</v>
      </c>
      <c r="X30" t="s">
        <v>1765</v>
      </c>
      <c r="Y30" t="s">
        <v>1766</v>
      </c>
      <c r="Z30" t="s">
        <v>1805</v>
      </c>
      <c r="AA30" t="s">
        <v>1768</v>
      </c>
      <c r="AB30" t="s">
        <v>1806</v>
      </c>
      <c r="AC30" t="s">
        <v>1807</v>
      </c>
      <c r="AD30" t="s">
        <v>1808</v>
      </c>
      <c r="AE30" t="s">
        <v>1809</v>
      </c>
      <c r="AF30" t="s">
        <v>1773</v>
      </c>
      <c r="AG30" t="s">
        <v>1774</v>
      </c>
      <c r="AH30" t="s">
        <v>1810</v>
      </c>
      <c r="AI30" t="s">
        <v>1811</v>
      </c>
      <c r="AJ30" t="s">
        <v>1812</v>
      </c>
      <c r="AK30" t="s">
        <v>1813</v>
      </c>
      <c r="AL30" t="s">
        <v>1779</v>
      </c>
      <c r="AM30" t="s">
        <v>1779</v>
      </c>
      <c r="AN30" t="s">
        <v>1814</v>
      </c>
      <c r="AO30" t="s">
        <v>1815</v>
      </c>
      <c r="AP30" t="s">
        <v>1781</v>
      </c>
      <c r="AQ30" t="s">
        <v>1782</v>
      </c>
      <c r="AR30" t="s">
        <v>1783</v>
      </c>
      <c r="AS30" t="s">
        <v>1784</v>
      </c>
      <c r="AT30" t="s">
        <v>1816</v>
      </c>
      <c r="AU30" t="s">
        <v>1817</v>
      </c>
      <c r="AV30" t="s">
        <v>1770</v>
      </c>
      <c r="AW30" t="s">
        <v>1818</v>
      </c>
      <c r="AX30" t="s">
        <v>1819</v>
      </c>
      <c r="AY30" t="s">
        <v>1820</v>
      </c>
      <c r="AZ30" t="s">
        <v>1821</v>
      </c>
      <c r="BA30" t="s">
        <v>1822</v>
      </c>
      <c r="BB30" t="s">
        <v>2091</v>
      </c>
      <c r="BC30" t="s">
        <v>2092</v>
      </c>
      <c r="BD30" s="142" t="s">
        <v>2096</v>
      </c>
      <c r="BE30" t="s">
        <v>2093</v>
      </c>
      <c r="BF30" t="s">
        <v>2094</v>
      </c>
      <c r="BG30" t="s">
        <v>2095</v>
      </c>
      <c r="BH30" s="142" t="s">
        <v>239</v>
      </c>
      <c r="BI30" s="142" t="s">
        <v>242</v>
      </c>
    </row>
    <row r="31" spans="1:61">
      <c r="A31" t="s">
        <v>1635</v>
      </c>
      <c r="B31" t="s">
        <v>1823</v>
      </c>
      <c r="C31" t="s">
        <v>1824</v>
      </c>
      <c r="D31" t="s">
        <v>1825</v>
      </c>
      <c r="E31" t="s">
        <v>1826</v>
      </c>
      <c r="F31" t="s">
        <v>1827</v>
      </c>
      <c r="G31" t="s">
        <v>1828</v>
      </c>
      <c r="H31" t="s">
        <v>1829</v>
      </c>
      <c r="I31" t="s">
        <v>1830</v>
      </c>
      <c r="J31" t="s">
        <v>1831</v>
      </c>
      <c r="K31" t="s">
        <v>1832</v>
      </c>
      <c r="L31" t="s">
        <v>1828</v>
      </c>
      <c r="M31" t="s">
        <v>1833</v>
      </c>
      <c r="N31" t="s">
        <v>1834</v>
      </c>
      <c r="O31" t="s">
        <v>1835</v>
      </c>
      <c r="P31" t="s">
        <v>1836</v>
      </c>
      <c r="Q31" t="s">
        <v>1837</v>
      </c>
      <c r="R31" t="s">
        <v>1838</v>
      </c>
      <c r="S31" t="s">
        <v>1839</v>
      </c>
      <c r="T31" t="s">
        <v>1840</v>
      </c>
      <c r="U31" t="s">
        <v>1841</v>
      </c>
      <c r="V31" t="s">
        <v>1842</v>
      </c>
      <c r="W31" t="s">
        <v>1843</v>
      </c>
      <c r="X31" t="s">
        <v>1844</v>
      </c>
      <c r="Y31" t="s">
        <v>1845</v>
      </c>
      <c r="Z31" t="s">
        <v>1846</v>
      </c>
      <c r="AA31" t="s">
        <v>1847</v>
      </c>
      <c r="AB31" t="s">
        <v>1848</v>
      </c>
      <c r="AC31" t="s">
        <v>1849</v>
      </c>
      <c r="AD31" t="s">
        <v>1850</v>
      </c>
      <c r="AE31" t="s">
        <v>1851</v>
      </c>
      <c r="AF31" t="s">
        <v>1852</v>
      </c>
      <c r="AG31" t="s">
        <v>1853</v>
      </c>
      <c r="AH31" t="s">
        <v>1854</v>
      </c>
      <c r="AI31" t="s">
        <v>1855</v>
      </c>
      <c r="AJ31" t="s">
        <v>1856</v>
      </c>
      <c r="AK31" t="s">
        <v>1857</v>
      </c>
      <c r="AL31" t="s">
        <v>1858</v>
      </c>
      <c r="AM31" t="s">
        <v>1858</v>
      </c>
      <c r="AN31" t="s">
        <v>1859</v>
      </c>
      <c r="AO31" t="s">
        <v>1860</v>
      </c>
      <c r="AP31" t="s">
        <v>1861</v>
      </c>
      <c r="AQ31" t="s">
        <v>1862</v>
      </c>
      <c r="AR31" t="s">
        <v>1863</v>
      </c>
      <c r="AS31" t="s">
        <v>1864</v>
      </c>
      <c r="AT31" t="s">
        <v>1865</v>
      </c>
      <c r="AU31" t="s">
        <v>1866</v>
      </c>
      <c r="AV31" t="s">
        <v>1867</v>
      </c>
      <c r="AW31" t="s">
        <v>1868</v>
      </c>
      <c r="AX31" t="s">
        <v>1869</v>
      </c>
      <c r="AY31" t="s">
        <v>1870</v>
      </c>
      <c r="AZ31" t="s">
        <v>1871</v>
      </c>
      <c r="BA31" t="s">
        <v>1872</v>
      </c>
      <c r="BB31" t="s">
        <v>2097</v>
      </c>
      <c r="BC31" t="s">
        <v>2099</v>
      </c>
      <c r="BD31" t="s">
        <v>2098</v>
      </c>
      <c r="BE31" t="s">
        <v>2100</v>
      </c>
      <c r="BF31" t="s">
        <v>2101</v>
      </c>
      <c r="BG31" t="s">
        <v>2102</v>
      </c>
      <c r="BH31" s="142" t="s">
        <v>239</v>
      </c>
      <c r="BI31" s="142" t="s">
        <v>242</v>
      </c>
    </row>
    <row r="32" spans="1:61">
      <c r="A32" t="s">
        <v>1636</v>
      </c>
      <c r="B32" t="s">
        <v>1873</v>
      </c>
      <c r="C32" t="s">
        <v>1874</v>
      </c>
      <c r="D32" t="s">
        <v>1875</v>
      </c>
      <c r="E32" t="s">
        <v>1876</v>
      </c>
      <c r="F32" t="s">
        <v>2184</v>
      </c>
      <c r="G32" t="s">
        <v>2185</v>
      </c>
      <c r="H32" t="s">
        <v>1877</v>
      </c>
      <c r="I32" t="s">
        <v>1878</v>
      </c>
      <c r="J32" t="s">
        <v>1879</v>
      </c>
      <c r="K32" t="s">
        <v>1880</v>
      </c>
      <c r="L32" t="s">
        <v>1881</v>
      </c>
      <c r="M32" t="s">
        <v>1882</v>
      </c>
      <c r="N32" t="s">
        <v>1883</v>
      </c>
      <c r="O32" t="s">
        <v>1884</v>
      </c>
      <c r="P32" t="s">
        <v>2186</v>
      </c>
      <c r="Q32" t="s">
        <v>2187</v>
      </c>
      <c r="R32" t="s">
        <v>1885</v>
      </c>
      <c r="S32" t="s">
        <v>1886</v>
      </c>
      <c r="T32" t="s">
        <v>2188</v>
      </c>
      <c r="U32" t="s">
        <v>2189</v>
      </c>
      <c r="V32" t="s">
        <v>2190</v>
      </c>
      <c r="W32" t="s">
        <v>2191</v>
      </c>
      <c r="X32" t="s">
        <v>1887</v>
      </c>
      <c r="Y32" t="s">
        <v>1888</v>
      </c>
      <c r="Z32" t="s">
        <v>1889</v>
      </c>
      <c r="AA32" t="s">
        <v>2192</v>
      </c>
      <c r="AB32" t="s">
        <v>2193</v>
      </c>
      <c r="AC32" t="s">
        <v>2194</v>
      </c>
      <c r="AD32" t="s">
        <v>2195</v>
      </c>
      <c r="AE32" t="s">
        <v>2196</v>
      </c>
      <c r="AF32" t="s">
        <v>1890</v>
      </c>
      <c r="AG32" t="s">
        <v>1891</v>
      </c>
      <c r="AH32" t="s">
        <v>2197</v>
      </c>
      <c r="AI32" t="s">
        <v>2198</v>
      </c>
      <c r="AJ32" t="s">
        <v>1892</v>
      </c>
      <c r="AK32" t="s">
        <v>2199</v>
      </c>
      <c r="AL32" t="s">
        <v>2200</v>
      </c>
      <c r="AM32" t="s">
        <v>2201</v>
      </c>
      <c r="AN32" t="s">
        <v>1893</v>
      </c>
      <c r="AO32" t="s">
        <v>1894</v>
      </c>
      <c r="AP32" t="s">
        <v>1446</v>
      </c>
      <c r="AQ32" t="s">
        <v>1895</v>
      </c>
      <c r="AR32" t="s">
        <v>1896</v>
      </c>
      <c r="AS32" t="s">
        <v>1897</v>
      </c>
      <c r="AT32" t="s">
        <v>1898</v>
      </c>
      <c r="AU32" t="s">
        <v>1899</v>
      </c>
      <c r="AV32" t="s">
        <v>1900</v>
      </c>
      <c r="AW32" t="s">
        <v>1901</v>
      </c>
      <c r="AX32" t="s">
        <v>1902</v>
      </c>
      <c r="AY32" t="s">
        <v>1903</v>
      </c>
      <c r="AZ32" t="s">
        <v>2202</v>
      </c>
      <c r="BA32" t="s">
        <v>2203</v>
      </c>
      <c r="BB32" t="s">
        <v>2103</v>
      </c>
      <c r="BC32" t="s">
        <v>2105</v>
      </c>
      <c r="BD32" t="s">
        <v>2104</v>
      </c>
      <c r="BE32" t="s">
        <v>2106</v>
      </c>
      <c r="BF32" t="s">
        <v>2107</v>
      </c>
      <c r="BG32" t="s">
        <v>2108</v>
      </c>
      <c r="BH32" s="142" t="s">
        <v>239</v>
      </c>
      <c r="BI32" s="142" t="s">
        <v>242</v>
      </c>
    </row>
    <row r="33" spans="1:61">
      <c r="A33" t="s">
        <v>1637</v>
      </c>
      <c r="B33" t="s">
        <v>1904</v>
      </c>
      <c r="C33" t="s">
        <v>1905</v>
      </c>
      <c r="D33" t="s">
        <v>1906</v>
      </c>
      <c r="E33" t="s">
        <v>1907</v>
      </c>
      <c r="F33" t="s">
        <v>1908</v>
      </c>
      <c r="G33" t="s">
        <v>1909</v>
      </c>
      <c r="H33" t="s">
        <v>1910</v>
      </c>
      <c r="I33" t="s">
        <v>1911</v>
      </c>
      <c r="J33" t="s">
        <v>1912</v>
      </c>
      <c r="K33" t="s">
        <v>1913</v>
      </c>
      <c r="L33" t="s">
        <v>1914</v>
      </c>
      <c r="M33" t="s">
        <v>1915</v>
      </c>
      <c r="N33" t="s">
        <v>1916</v>
      </c>
      <c r="O33" t="s">
        <v>1917</v>
      </c>
      <c r="P33" t="s">
        <v>1918</v>
      </c>
      <c r="Q33" t="s">
        <v>1919</v>
      </c>
      <c r="R33" t="s">
        <v>1920</v>
      </c>
      <c r="S33" t="s">
        <v>1921</v>
      </c>
      <c r="T33" t="s">
        <v>1922</v>
      </c>
      <c r="U33" t="s">
        <v>1923</v>
      </c>
      <c r="V33" t="s">
        <v>1924</v>
      </c>
      <c r="W33" t="s">
        <v>1925</v>
      </c>
      <c r="X33" t="s">
        <v>1926</v>
      </c>
      <c r="Y33" t="s">
        <v>1927</v>
      </c>
      <c r="Z33" t="s">
        <v>1928</v>
      </c>
      <c r="AA33" t="s">
        <v>1929</v>
      </c>
      <c r="AB33" t="s">
        <v>1930</v>
      </c>
      <c r="AC33" t="s">
        <v>1931</v>
      </c>
      <c r="AD33" t="s">
        <v>1932</v>
      </c>
      <c r="AE33" t="s">
        <v>1933</v>
      </c>
      <c r="AF33" t="s">
        <v>1934</v>
      </c>
      <c r="AG33" t="s">
        <v>1935</v>
      </c>
      <c r="AH33" t="s">
        <v>1936</v>
      </c>
      <c r="AI33" t="s">
        <v>1937</v>
      </c>
      <c r="AJ33" t="s">
        <v>1938</v>
      </c>
      <c r="AK33" t="s">
        <v>1939</v>
      </c>
      <c r="AL33" t="s">
        <v>1940</v>
      </c>
      <c r="AM33" t="s">
        <v>1940</v>
      </c>
      <c r="AN33" t="s">
        <v>1941</v>
      </c>
      <c r="AO33" t="s">
        <v>1942</v>
      </c>
      <c r="AP33" t="s">
        <v>1943</v>
      </c>
      <c r="AQ33" t="s">
        <v>1944</v>
      </c>
      <c r="AR33" t="s">
        <v>1945</v>
      </c>
      <c r="AS33" t="s">
        <v>1946</v>
      </c>
      <c r="AT33" t="s">
        <v>1947</v>
      </c>
      <c r="AU33" t="s">
        <v>1948</v>
      </c>
      <c r="AV33" t="s">
        <v>1949</v>
      </c>
      <c r="AW33" t="s">
        <v>1950</v>
      </c>
      <c r="AX33" t="s">
        <v>1951</v>
      </c>
      <c r="AY33" t="s">
        <v>1952</v>
      </c>
      <c r="AZ33" t="s">
        <v>1953</v>
      </c>
      <c r="BA33" t="s">
        <v>1954</v>
      </c>
      <c r="BB33" t="s">
        <v>2109</v>
      </c>
      <c r="BC33" t="s">
        <v>2111</v>
      </c>
      <c r="BD33" t="s">
        <v>2110</v>
      </c>
      <c r="BE33" t="s">
        <v>2112</v>
      </c>
      <c r="BF33" t="s">
        <v>2113</v>
      </c>
      <c r="BG33" t="s">
        <v>2114</v>
      </c>
      <c r="BH33" s="142" t="s">
        <v>239</v>
      </c>
      <c r="BI33" s="142" t="s">
        <v>242</v>
      </c>
    </row>
    <row r="34" spans="1:61">
      <c r="A34" t="s">
        <v>1638</v>
      </c>
      <c r="B34" t="s">
        <v>1955</v>
      </c>
      <c r="C34" t="s">
        <v>1955</v>
      </c>
      <c r="D34" t="s">
        <v>1956</v>
      </c>
      <c r="E34" t="s">
        <v>1956</v>
      </c>
      <c r="F34" t="s">
        <v>1957</v>
      </c>
      <c r="G34" t="s">
        <v>1957</v>
      </c>
      <c r="H34" t="s">
        <v>1958</v>
      </c>
      <c r="I34" t="s">
        <v>1958</v>
      </c>
      <c r="J34" t="s">
        <v>1959</v>
      </c>
      <c r="K34" t="s">
        <v>1959</v>
      </c>
      <c r="L34" t="s">
        <v>1960</v>
      </c>
      <c r="M34" t="s">
        <v>1960</v>
      </c>
      <c r="N34" t="s">
        <v>1961</v>
      </c>
      <c r="O34" t="s">
        <v>1961</v>
      </c>
      <c r="P34" t="s">
        <v>1962</v>
      </c>
      <c r="Q34" t="s">
        <v>1962</v>
      </c>
      <c r="R34" t="s">
        <v>1963</v>
      </c>
      <c r="S34" t="s">
        <v>1963</v>
      </c>
      <c r="T34" t="s">
        <v>1964</v>
      </c>
      <c r="U34" t="s">
        <v>1964</v>
      </c>
      <c r="V34" t="s">
        <v>1965</v>
      </c>
      <c r="W34" t="s">
        <v>1965</v>
      </c>
      <c r="X34" t="s">
        <v>1966</v>
      </c>
      <c r="Y34" t="s">
        <v>1966</v>
      </c>
      <c r="Z34" t="s">
        <v>1967</v>
      </c>
      <c r="AA34" t="s">
        <v>1967</v>
      </c>
      <c r="AB34" t="s">
        <v>1968</v>
      </c>
      <c r="AC34" t="s">
        <v>1968</v>
      </c>
      <c r="AD34" t="s">
        <v>1969</v>
      </c>
      <c r="AE34" t="s">
        <v>1969</v>
      </c>
      <c r="AF34" t="s">
        <v>1970</v>
      </c>
      <c r="AG34" t="s">
        <v>1970</v>
      </c>
      <c r="AH34" t="s">
        <v>1971</v>
      </c>
      <c r="AI34" t="s">
        <v>1971</v>
      </c>
      <c r="AJ34" t="s">
        <v>1972</v>
      </c>
      <c r="AK34" t="s">
        <v>1972</v>
      </c>
      <c r="AL34" t="s">
        <v>1973</v>
      </c>
      <c r="AM34" t="s">
        <v>1973</v>
      </c>
      <c r="AN34" t="s">
        <v>1974</v>
      </c>
      <c r="AO34" t="s">
        <v>1974</v>
      </c>
      <c r="AP34" t="s">
        <v>1975</v>
      </c>
      <c r="AQ34" t="s">
        <v>1975</v>
      </c>
      <c r="AR34" t="s">
        <v>1976</v>
      </c>
      <c r="AS34" t="s">
        <v>1976</v>
      </c>
      <c r="AT34" t="s">
        <v>1977</v>
      </c>
      <c r="AU34" t="s">
        <v>1977</v>
      </c>
      <c r="AV34" t="s">
        <v>1978</v>
      </c>
      <c r="AW34" t="s">
        <v>1978</v>
      </c>
      <c r="AX34" t="s">
        <v>1979</v>
      </c>
      <c r="AY34" t="s">
        <v>1979</v>
      </c>
      <c r="AZ34" t="s">
        <v>1980</v>
      </c>
      <c r="BA34" t="s">
        <v>1980</v>
      </c>
      <c r="BB34" t="s">
        <v>2115</v>
      </c>
      <c r="BC34" t="s">
        <v>2117</v>
      </c>
      <c r="BD34" t="s">
        <v>2116</v>
      </c>
      <c r="BE34" t="s">
        <v>2119</v>
      </c>
      <c r="BF34" s="142" t="s">
        <v>2118</v>
      </c>
      <c r="BG34" t="s">
        <v>2120</v>
      </c>
      <c r="BH34" s="142" t="s">
        <v>239</v>
      </c>
      <c r="BI34" s="142" t="s">
        <v>242</v>
      </c>
    </row>
    <row r="35" spans="1:61">
      <c r="A35" t="s">
        <v>1639</v>
      </c>
      <c r="B35" t="s">
        <v>1981</v>
      </c>
      <c r="C35" t="s">
        <v>1982</v>
      </c>
      <c r="D35" t="s">
        <v>1983</v>
      </c>
      <c r="E35" t="s">
        <v>1984</v>
      </c>
      <c r="F35" t="s">
        <v>1985</v>
      </c>
      <c r="G35" t="s">
        <v>1986</v>
      </c>
      <c r="H35" t="s">
        <v>1987</v>
      </c>
      <c r="I35" t="s">
        <v>1988</v>
      </c>
      <c r="J35" t="s">
        <v>1150</v>
      </c>
      <c r="K35" t="s">
        <v>1989</v>
      </c>
      <c r="L35" t="s">
        <v>1990</v>
      </c>
      <c r="M35" t="s">
        <v>1991</v>
      </c>
      <c r="N35" t="s">
        <v>1992</v>
      </c>
      <c r="O35" t="s">
        <v>1143</v>
      </c>
      <c r="P35" t="s">
        <v>1993</v>
      </c>
      <c r="Q35" t="s">
        <v>1994</v>
      </c>
      <c r="R35" t="s">
        <v>1995</v>
      </c>
      <c r="S35" t="s">
        <v>1996</v>
      </c>
      <c r="T35" t="s">
        <v>1997</v>
      </c>
      <c r="U35" t="s">
        <v>1998</v>
      </c>
      <c r="V35" t="s">
        <v>1999</v>
      </c>
      <c r="W35" t="s">
        <v>2000</v>
      </c>
      <c r="X35" t="s">
        <v>2001</v>
      </c>
      <c r="Y35" t="s">
        <v>2002</v>
      </c>
      <c r="Z35" t="s">
        <v>2003</v>
      </c>
      <c r="AA35" t="s">
        <v>2004</v>
      </c>
      <c r="AB35" t="s">
        <v>2005</v>
      </c>
      <c r="AC35" t="s">
        <v>2006</v>
      </c>
      <c r="AD35" t="s">
        <v>2007</v>
      </c>
      <c r="AE35" t="s">
        <v>2008</v>
      </c>
      <c r="AF35" t="s">
        <v>2009</v>
      </c>
      <c r="AG35" t="s">
        <v>2010</v>
      </c>
      <c r="AH35" t="s">
        <v>2011</v>
      </c>
      <c r="AI35" t="s">
        <v>2012</v>
      </c>
      <c r="AJ35" t="s">
        <v>2013</v>
      </c>
      <c r="AK35" t="s">
        <v>2014</v>
      </c>
      <c r="AL35" t="s">
        <v>2015</v>
      </c>
      <c r="AM35" t="s">
        <v>2015</v>
      </c>
      <c r="AN35" t="s">
        <v>2016</v>
      </c>
      <c r="AO35" t="s">
        <v>2017</v>
      </c>
      <c r="AP35" t="s">
        <v>2018</v>
      </c>
      <c r="AQ35" t="s">
        <v>2019</v>
      </c>
      <c r="AR35" t="s">
        <v>2020</v>
      </c>
      <c r="AS35" t="s">
        <v>1184</v>
      </c>
      <c r="AT35" t="s">
        <v>2021</v>
      </c>
      <c r="AU35" t="s">
        <v>2022</v>
      </c>
      <c r="AV35" t="s">
        <v>2006</v>
      </c>
      <c r="AW35" t="s">
        <v>2023</v>
      </c>
      <c r="AX35" t="s">
        <v>2024</v>
      </c>
      <c r="AY35" t="s">
        <v>2025</v>
      </c>
      <c r="AZ35" t="s">
        <v>2026</v>
      </c>
      <c r="BA35" t="s">
        <v>2027</v>
      </c>
      <c r="BB35" t="s">
        <v>1193</v>
      </c>
      <c r="BC35" s="142" t="s">
        <v>2122</v>
      </c>
      <c r="BD35" s="142" t="s">
        <v>2121</v>
      </c>
      <c r="BE35" s="150" t="s">
        <v>2123</v>
      </c>
      <c r="BF35" t="s">
        <v>2124</v>
      </c>
      <c r="BG35" t="s">
        <v>2125</v>
      </c>
      <c r="BH35" s="142" t="s">
        <v>239</v>
      </c>
      <c r="BI35" s="142" t="s">
        <v>242</v>
      </c>
    </row>
    <row r="36" spans="1:61">
      <c r="A36" t="s">
        <v>1640</v>
      </c>
      <c r="B36" t="s">
        <v>2028</v>
      </c>
      <c r="C36" t="s">
        <v>2029</v>
      </c>
      <c r="D36" t="s">
        <v>2030</v>
      </c>
      <c r="E36" t="s">
        <v>2031</v>
      </c>
      <c r="F36" t="s">
        <v>2032</v>
      </c>
      <c r="G36" t="s">
        <v>2033</v>
      </c>
      <c r="H36" t="s">
        <v>2034</v>
      </c>
      <c r="I36" t="s">
        <v>2035</v>
      </c>
      <c r="J36" t="s">
        <v>2036</v>
      </c>
      <c r="K36" t="s">
        <v>2037</v>
      </c>
      <c r="L36" t="s">
        <v>2038</v>
      </c>
      <c r="M36" t="s">
        <v>2039</v>
      </c>
      <c r="N36" t="s">
        <v>2040</v>
      </c>
      <c r="O36" t="s">
        <v>2041</v>
      </c>
      <c r="P36" t="s">
        <v>2042</v>
      </c>
      <c r="Q36" t="s">
        <v>2043</v>
      </c>
      <c r="R36" t="s">
        <v>2044</v>
      </c>
      <c r="S36" t="s">
        <v>2045</v>
      </c>
      <c r="T36" t="s">
        <v>2046</v>
      </c>
      <c r="U36" t="s">
        <v>2047</v>
      </c>
      <c r="V36" t="s">
        <v>2048</v>
      </c>
      <c r="W36" t="s">
        <v>2049</v>
      </c>
      <c r="X36" t="s">
        <v>2050</v>
      </c>
      <c r="Y36" t="s">
        <v>2051</v>
      </c>
      <c r="Z36" t="s">
        <v>2052</v>
      </c>
      <c r="AA36" t="s">
        <v>2053</v>
      </c>
      <c r="AB36" t="s">
        <v>2054</v>
      </c>
      <c r="AC36" t="s">
        <v>2055</v>
      </c>
      <c r="AD36" t="s">
        <v>2056</v>
      </c>
      <c r="AE36" t="s">
        <v>2057</v>
      </c>
      <c r="AF36" t="s">
        <v>2058</v>
      </c>
      <c r="AG36" t="s">
        <v>2059</v>
      </c>
      <c r="AH36" t="s">
        <v>2060</v>
      </c>
      <c r="AI36" t="s">
        <v>2061</v>
      </c>
      <c r="AJ36" t="s">
        <v>2062</v>
      </c>
      <c r="AK36" t="s">
        <v>2063</v>
      </c>
      <c r="AL36" t="s">
        <v>2064</v>
      </c>
      <c r="AM36" t="s">
        <v>2064</v>
      </c>
      <c r="AN36" t="s">
        <v>2065</v>
      </c>
      <c r="AO36" t="s">
        <v>2066</v>
      </c>
      <c r="AP36" t="s">
        <v>2067</v>
      </c>
      <c r="AQ36" t="s">
        <v>2068</v>
      </c>
      <c r="AR36" t="s">
        <v>2069</v>
      </c>
      <c r="AS36" t="s">
        <v>2070</v>
      </c>
      <c r="AT36" t="s">
        <v>2071</v>
      </c>
      <c r="AU36" t="s">
        <v>2072</v>
      </c>
      <c r="AV36" t="s">
        <v>2073</v>
      </c>
      <c r="AW36" t="s">
        <v>2074</v>
      </c>
      <c r="AX36" t="s">
        <v>2075</v>
      </c>
      <c r="AY36" t="s">
        <v>2076</v>
      </c>
      <c r="AZ36" t="s">
        <v>2077</v>
      </c>
      <c r="BA36" t="s">
        <v>2078</v>
      </c>
      <c r="BB36" t="s">
        <v>2126</v>
      </c>
      <c r="BC36" t="s">
        <v>2131</v>
      </c>
      <c r="BD36" t="s">
        <v>2127</v>
      </c>
      <c r="BE36" t="s">
        <v>2128</v>
      </c>
      <c r="BF36" t="s">
        <v>2129</v>
      </c>
      <c r="BG36" t="s">
        <v>2130</v>
      </c>
      <c r="BH36" s="142" t="s">
        <v>239</v>
      </c>
      <c r="BI36" s="142" t="s">
        <v>242</v>
      </c>
    </row>
    <row r="37" spans="1:61">
      <c r="A37" t="s">
        <v>2132</v>
      </c>
      <c r="B37" t="s">
        <v>2133</v>
      </c>
      <c r="C37" t="s">
        <v>2134</v>
      </c>
      <c r="D37" t="s">
        <v>2135</v>
      </c>
      <c r="E37" t="s">
        <v>2136</v>
      </c>
      <c r="F37" t="s">
        <v>2137</v>
      </c>
      <c r="G37" t="s">
        <v>2138</v>
      </c>
      <c r="H37" t="s">
        <v>2139</v>
      </c>
      <c r="I37" t="s">
        <v>2140</v>
      </c>
      <c r="J37" t="s">
        <v>1308</v>
      </c>
      <c r="K37" t="s">
        <v>2141</v>
      </c>
      <c r="L37" t="s">
        <v>1310</v>
      </c>
      <c r="M37" t="s">
        <v>2142</v>
      </c>
      <c r="N37" t="s">
        <v>2143</v>
      </c>
      <c r="O37" t="s">
        <v>2144</v>
      </c>
      <c r="P37" t="s">
        <v>2145</v>
      </c>
      <c r="Q37" t="s">
        <v>2146</v>
      </c>
      <c r="R37" t="s">
        <v>2147</v>
      </c>
      <c r="S37" t="s">
        <v>1317</v>
      </c>
      <c r="T37" t="s">
        <v>2148</v>
      </c>
      <c r="U37" t="s">
        <v>2149</v>
      </c>
      <c r="V37" t="s">
        <v>2150</v>
      </c>
      <c r="W37" t="s">
        <v>2151</v>
      </c>
      <c r="X37" t="s">
        <v>1322</v>
      </c>
      <c r="Y37" t="s">
        <v>2152</v>
      </c>
      <c r="Z37" t="s">
        <v>2153</v>
      </c>
      <c r="AA37" t="s">
        <v>1325</v>
      </c>
      <c r="AB37" t="s">
        <v>2154</v>
      </c>
      <c r="AC37" t="s">
        <v>2155</v>
      </c>
      <c r="AD37" t="s">
        <v>2156</v>
      </c>
      <c r="AE37" t="s">
        <v>2157</v>
      </c>
      <c r="AF37" t="s">
        <v>2158</v>
      </c>
      <c r="AG37" t="s">
        <v>2159</v>
      </c>
      <c r="AH37" t="s">
        <v>2160</v>
      </c>
      <c r="AI37" t="s">
        <v>2161</v>
      </c>
      <c r="AJ37" t="s">
        <v>2162</v>
      </c>
      <c r="AK37" t="s">
        <v>2163</v>
      </c>
      <c r="AL37" t="s">
        <v>2164</v>
      </c>
      <c r="AM37" t="s">
        <v>2165</v>
      </c>
      <c r="AN37" t="s">
        <v>2166</v>
      </c>
      <c r="AO37" t="s">
        <v>2167</v>
      </c>
      <c r="AP37" t="s">
        <v>1340</v>
      </c>
      <c r="AQ37" t="s">
        <v>2168</v>
      </c>
      <c r="AR37" t="s">
        <v>1342</v>
      </c>
      <c r="AS37" t="s">
        <v>1343</v>
      </c>
      <c r="AT37" t="s">
        <v>2169</v>
      </c>
      <c r="AU37" t="s">
        <v>2170</v>
      </c>
      <c r="AV37" t="s">
        <v>2171</v>
      </c>
      <c r="AW37" t="s">
        <v>2172</v>
      </c>
      <c r="AX37" t="s">
        <v>1348</v>
      </c>
      <c r="AY37" t="s">
        <v>1349</v>
      </c>
      <c r="AZ37" t="s">
        <v>2173</v>
      </c>
      <c r="BA37" t="s">
        <v>2174</v>
      </c>
      <c r="BB37" t="s">
        <v>2176</v>
      </c>
      <c r="BC37" t="s">
        <v>2177</v>
      </c>
      <c r="BD37" t="s">
        <v>2178</v>
      </c>
      <c r="BE37" t="s">
        <v>2179</v>
      </c>
      <c r="BF37" t="s">
        <v>2180</v>
      </c>
      <c r="BG37" t="s">
        <v>2181</v>
      </c>
      <c r="BH37" t="s">
        <v>1358</v>
      </c>
      <c r="BI37" t="s">
        <v>2175</v>
      </c>
    </row>
  </sheetData>
  <pageMargins left="0.7" right="0.7" top="0.75" bottom="0.75" header="0.3" footer="0.3"/>
  <pageSetup paperSize="9" orientation="portrait"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2021-12-04T18:31:47Z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67d7813e-6824-444a-a162-35ef228e4287</vt:lpwstr>
  </property>
</Properties>
</file>