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tedcapitalplcgroup-my.sharepoint.com/personal/ahmed_koffi_unitedcapitalplcgroup_com/Documents/Documents/"/>
    </mc:Choice>
  </mc:AlternateContent>
  <xr:revisionPtr revIDLastSave="0" documentId="8_{81C1AA12-330D-42C7-9B5B-7DCDA484C780}" xr6:coauthVersionLast="47" xr6:coauthVersionMax="47" xr10:uidLastSave="{00000000-0000-0000-0000-000000000000}"/>
  <bookViews>
    <workbookView xWindow="-108" yWindow="-108" windowWidth="23256" windowHeight="13896" xr2:uid="{6281E952-CAFC-45C0-8EB4-1C183E886858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3" l="1"/>
  <c r="F8" i="3" s="1"/>
  <c r="E20" i="3"/>
  <c r="L20" i="3"/>
  <c r="L21" i="3" s="1"/>
  <c r="L19" i="3"/>
  <c r="L13" i="3"/>
  <c r="L8" i="3"/>
  <c r="L7" i="3"/>
  <c r="L1" i="3"/>
  <c r="F7" i="3"/>
  <c r="G4" i="3"/>
  <c r="L9" i="3" l="1"/>
  <c r="I8" i="1"/>
  <c r="G67" i="3" l="1"/>
  <c r="K49" i="3"/>
  <c r="I49" i="3"/>
  <c r="I50" i="3"/>
  <c r="I51" i="3"/>
  <c r="H49" i="3"/>
  <c r="H50" i="3"/>
  <c r="H51" i="3"/>
  <c r="H48" i="3"/>
  <c r="I48" i="3" s="1"/>
  <c r="I42" i="3"/>
  <c r="I43" i="3"/>
  <c r="I41" i="3"/>
  <c r="H42" i="3"/>
  <c r="H43" i="3"/>
  <c r="H44" i="3"/>
  <c r="I44" i="3" s="1"/>
  <c r="H41" i="3"/>
  <c r="H37" i="3"/>
  <c r="H36" i="3"/>
  <c r="H35" i="3"/>
  <c r="H34" i="3"/>
  <c r="H8" i="3"/>
  <c r="C6" i="1"/>
  <c r="I25" i="3"/>
  <c r="H25" i="3"/>
  <c r="I24" i="3"/>
  <c r="H24" i="3"/>
  <c r="D30" i="1" l="1"/>
  <c r="E30" i="1"/>
  <c r="F30" i="1"/>
  <c r="G30" i="1"/>
  <c r="D25" i="1"/>
  <c r="E25" i="1"/>
  <c r="F25" i="1"/>
  <c r="G25" i="1"/>
  <c r="D20" i="1"/>
  <c r="E20" i="1"/>
  <c r="F20" i="1"/>
  <c r="G20" i="1"/>
  <c r="F16" i="1"/>
  <c r="G16" i="1"/>
  <c r="F9" i="3" l="1"/>
  <c r="D16" i="1"/>
  <c r="E16" i="1"/>
  <c r="F12" i="3" l="1"/>
  <c r="F13" i="3" s="1"/>
  <c r="G9" i="3"/>
  <c r="C21" i="1"/>
  <c r="C22" i="1" s="1"/>
  <c r="F7" i="2"/>
  <c r="F8" i="2" l="1"/>
  <c r="H8" i="2" s="1"/>
  <c r="C30" i="1" l="1"/>
  <c r="C25" i="1"/>
  <c r="G21" i="1"/>
  <c r="G22" i="1" s="1"/>
  <c r="G27" i="1" s="1"/>
  <c r="F21" i="1"/>
  <c r="F22" i="1" s="1"/>
  <c r="I6" i="2"/>
  <c r="R20" i="2"/>
  <c r="S20" i="2"/>
  <c r="T20" i="2"/>
  <c r="U20" i="2"/>
  <c r="V20" i="2"/>
  <c r="F20" i="2"/>
  <c r="F24" i="2" s="1"/>
  <c r="G20" i="2"/>
  <c r="G24" i="2" s="1"/>
  <c r="H20" i="2"/>
  <c r="I20" i="2"/>
  <c r="J20" i="2"/>
  <c r="K20" i="2"/>
  <c r="L20" i="2"/>
  <c r="M20" i="2"/>
  <c r="N20" i="2"/>
  <c r="O20" i="2"/>
  <c r="P20" i="2"/>
  <c r="Q20" i="2"/>
  <c r="H12" i="2"/>
  <c r="C5" i="2"/>
  <c r="C17" i="2" s="1"/>
  <c r="E20" i="2"/>
  <c r="D20" i="2"/>
  <c r="D24" i="2" s="1"/>
  <c r="C20" i="2"/>
  <c r="C24" i="2" s="1"/>
  <c r="C25" i="2" s="1"/>
  <c r="D25" i="2" s="1"/>
  <c r="D26" i="2" s="1"/>
  <c r="H13" i="2"/>
  <c r="F5" i="1"/>
  <c r="F6" i="1" s="1"/>
  <c r="D21" i="1"/>
  <c r="D22" i="1" s="1"/>
  <c r="E21" i="1"/>
  <c r="E22" i="1" s="1"/>
  <c r="E27" i="1" s="1"/>
  <c r="C16" i="1"/>
  <c r="C13" i="1"/>
  <c r="C14" i="1" l="1"/>
  <c r="C20" i="1"/>
  <c r="D13" i="1"/>
  <c r="D14" i="1" s="1"/>
  <c r="H9" i="2"/>
  <c r="C26" i="2"/>
  <c r="D31" i="2"/>
  <c r="C21" i="2"/>
  <c r="D21" i="2" s="1"/>
  <c r="C18" i="2"/>
  <c r="D17" i="2"/>
  <c r="E24" i="2"/>
  <c r="E25" i="2" s="1"/>
  <c r="C17" i="1"/>
  <c r="C18" i="1" s="1"/>
  <c r="F27" i="1"/>
  <c r="D27" i="1"/>
  <c r="G32" i="1"/>
  <c r="E32" i="1"/>
  <c r="D32" i="1"/>
  <c r="H6" i="1" l="1"/>
  <c r="H5" i="1"/>
  <c r="D17" i="1"/>
  <c r="D18" i="1" s="1"/>
  <c r="D31" i="1" s="1"/>
  <c r="D33" i="1" s="1"/>
  <c r="E13" i="1"/>
  <c r="F13" i="1" s="1"/>
  <c r="F14" i="1" s="1"/>
  <c r="C36" i="2"/>
  <c r="F25" i="2"/>
  <c r="E26" i="2"/>
  <c r="E36" i="2" s="1"/>
  <c r="D36" i="2"/>
  <c r="C31" i="2"/>
  <c r="C22" i="2"/>
  <c r="C35" i="2" s="1"/>
  <c r="D18" i="2"/>
  <c r="D30" i="2" s="1"/>
  <c r="D32" i="2" s="1"/>
  <c r="E17" i="2"/>
  <c r="C30" i="2"/>
  <c r="E31" i="2"/>
  <c r="F32" i="1"/>
  <c r="C26" i="1"/>
  <c r="D26" i="1"/>
  <c r="D28" i="1" s="1"/>
  <c r="E17" i="1" l="1"/>
  <c r="E18" i="1" s="1"/>
  <c r="E31" i="1" s="1"/>
  <c r="E33" i="1" s="1"/>
  <c r="C31" i="1"/>
  <c r="E14" i="1"/>
  <c r="G13" i="1"/>
  <c r="G14" i="1" s="1"/>
  <c r="C37" i="2"/>
  <c r="G25" i="2"/>
  <c r="G26" i="2" s="1"/>
  <c r="F26" i="2"/>
  <c r="H26" i="2" s="1"/>
  <c r="C32" i="2"/>
  <c r="E21" i="2"/>
  <c r="D22" i="2"/>
  <c r="F17" i="2"/>
  <c r="E18" i="2"/>
  <c r="E26" i="1" l="1"/>
  <c r="E28" i="1" s="1"/>
  <c r="H4" i="1"/>
  <c r="F17" i="1"/>
  <c r="C32" i="1"/>
  <c r="C33" i="1" s="1"/>
  <c r="C27" i="1"/>
  <c r="C28" i="1" s="1"/>
  <c r="H14" i="1"/>
  <c r="H36" i="2"/>
  <c r="H31" i="2"/>
  <c r="F31" i="2"/>
  <c r="F36" i="2"/>
  <c r="G31" i="2"/>
  <c r="G36" i="2"/>
  <c r="D35" i="2"/>
  <c r="D37" i="2" s="1"/>
  <c r="E22" i="2"/>
  <c r="E35" i="2" s="1"/>
  <c r="E37" i="2" s="1"/>
  <c r="F21" i="2"/>
  <c r="E30" i="2"/>
  <c r="E32" i="2" s="1"/>
  <c r="G17" i="2"/>
  <c r="F18" i="2"/>
  <c r="F30" i="2" s="1"/>
  <c r="F32" i="2" l="1"/>
  <c r="H17" i="2"/>
  <c r="F18" i="1"/>
  <c r="F31" i="1" s="1"/>
  <c r="F33" i="1" s="1"/>
  <c r="G17" i="1"/>
  <c r="G18" i="1" s="1"/>
  <c r="G31" i="1" s="1"/>
  <c r="G33" i="1" s="1"/>
  <c r="G21" i="2"/>
  <c r="F22" i="2"/>
  <c r="H18" i="2"/>
  <c r="I17" i="2"/>
  <c r="G18" i="2"/>
  <c r="F26" i="1"/>
  <c r="F28" i="1" s="1"/>
  <c r="G26" i="1"/>
  <c r="G28" i="1" s="1"/>
  <c r="H22" i="1"/>
  <c r="H18" i="1" l="1"/>
  <c r="H31" i="1" s="1"/>
  <c r="F35" i="2"/>
  <c r="F37" i="2" s="1"/>
  <c r="H21" i="2"/>
  <c r="G22" i="2"/>
  <c r="G35" i="2" s="1"/>
  <c r="G37" i="2" s="1"/>
  <c r="H30" i="2"/>
  <c r="H32" i="2" s="1"/>
  <c r="I18" i="2"/>
  <c r="J17" i="2"/>
  <c r="G30" i="2"/>
  <c r="G32" i="2" s="1"/>
  <c r="H26" i="1"/>
  <c r="H32" i="1"/>
  <c r="H27" i="1"/>
  <c r="H28" i="1" l="1"/>
  <c r="H33" i="1"/>
  <c r="I21" i="2"/>
  <c r="H22" i="2"/>
  <c r="J18" i="2"/>
  <c r="K17" i="2"/>
  <c r="H35" i="2" l="1"/>
  <c r="H37" i="2" s="1"/>
  <c r="I22" i="2"/>
  <c r="J21" i="2"/>
  <c r="L17" i="2"/>
  <c r="K18" i="2"/>
  <c r="J22" i="2" l="1"/>
  <c r="K21" i="2"/>
  <c r="M17" i="2"/>
  <c r="L18" i="2"/>
  <c r="L21" i="2" l="1"/>
  <c r="K22" i="2"/>
  <c r="N17" i="2"/>
  <c r="M18" i="2"/>
  <c r="M21" i="2" l="1"/>
  <c r="L22" i="2"/>
  <c r="O17" i="2"/>
  <c r="N18" i="2"/>
  <c r="N21" i="2" l="1"/>
  <c r="M22" i="2"/>
  <c r="O18" i="2"/>
  <c r="P17" i="2"/>
  <c r="O21" i="2" l="1"/>
  <c r="N22" i="2"/>
  <c r="P18" i="2"/>
  <c r="Q17" i="2"/>
  <c r="C6" i="2" s="1"/>
  <c r="P21" i="2" l="1"/>
  <c r="O22" i="2"/>
  <c r="Q18" i="2"/>
  <c r="R18" i="2" s="1"/>
  <c r="P22" i="2" l="1"/>
  <c r="Q21" i="2"/>
  <c r="R21" i="2" l="1"/>
  <c r="Q22" i="2"/>
  <c r="R22" i="2" l="1"/>
  <c r="S21" i="2"/>
  <c r="S22" i="2" l="1"/>
  <c r="T21" i="2"/>
  <c r="T22" i="2" l="1"/>
  <c r="U21" i="2"/>
  <c r="V21" i="2" l="1"/>
  <c r="V22" i="2" s="1"/>
  <c r="U22" i="2"/>
  <c r="W22" i="2" l="1"/>
</calcChain>
</file>

<file path=xl/sharedStrings.xml><?xml version="1.0" encoding="utf-8"?>
<sst xmlns="http://schemas.openxmlformats.org/spreadsheetml/2006/main" count="170" uniqueCount="71">
  <si>
    <t>Capital</t>
  </si>
  <si>
    <t>Rendement FCP Obligataire</t>
  </si>
  <si>
    <t>Rendement FCP Diversifié</t>
  </si>
  <si>
    <t>Rendement DAT</t>
  </si>
  <si>
    <t>IRC DAT</t>
  </si>
  <si>
    <t>FCP Obligataire</t>
  </si>
  <si>
    <t>Année 1</t>
  </si>
  <si>
    <t>Année 2</t>
  </si>
  <si>
    <t>Année 3</t>
  </si>
  <si>
    <t>Année 4</t>
  </si>
  <si>
    <t>Année 5</t>
  </si>
  <si>
    <t>Valeur de l'investissement</t>
  </si>
  <si>
    <t>Produit de l'investissement</t>
  </si>
  <si>
    <t>TOTAL</t>
  </si>
  <si>
    <t>FCP Diversifié</t>
  </si>
  <si>
    <t>DAT</t>
  </si>
  <si>
    <t>FCP Obligataire et DAT</t>
  </si>
  <si>
    <t>Ecart</t>
  </si>
  <si>
    <t>FCP Diversifié et DAT</t>
  </si>
  <si>
    <t>Rendement EUROBOND</t>
  </si>
  <si>
    <t>Colonne1</t>
  </si>
  <si>
    <t>Colonne2</t>
  </si>
  <si>
    <t>Colonne3</t>
  </si>
  <si>
    <t>Colonne4</t>
  </si>
  <si>
    <t>Colonne5</t>
  </si>
  <si>
    <t>Colonne6</t>
  </si>
  <si>
    <t>Colonne7</t>
  </si>
  <si>
    <t>Année 6</t>
  </si>
  <si>
    <t>Année 7</t>
  </si>
  <si>
    <t>Année 8</t>
  </si>
  <si>
    <t>Année 9</t>
  </si>
  <si>
    <t>Année 10</t>
  </si>
  <si>
    <t>Année 11</t>
  </si>
  <si>
    <t>Année 12</t>
  </si>
  <si>
    <t>Année 13</t>
  </si>
  <si>
    <t>Année 14</t>
  </si>
  <si>
    <t>Année 15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</si>
  <si>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</si>
  <si>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</si>
  <si>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</si>
  <si>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</si>
  <si>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</si>
  <si>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</si>
  <si>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</si>
  <si>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</si>
  <si>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Colonne16</t>
  </si>
  <si>
    <t>Colonne17</t>
  </si>
  <si>
    <t>Colonne18</t>
  </si>
  <si>
    <t>Colonne19</t>
  </si>
  <si>
    <t>Colonne20</t>
  </si>
  <si>
    <t>Colonne21</t>
  </si>
  <si>
    <t>Colonne22</t>
  </si>
  <si>
    <t>Année 16</t>
  </si>
  <si>
    <t>Année 17</t>
  </si>
  <si>
    <t>Année 18</t>
  </si>
  <si>
    <t>Année 19</t>
  </si>
  <si>
    <t>Année 20</t>
  </si>
  <si>
    <t>Cotisation mensuelle</t>
  </si>
  <si>
    <t>Nombre d'années</t>
  </si>
  <si>
    <t>Montant annuel cotisé</t>
  </si>
  <si>
    <t>Montant total cotisé</t>
  </si>
  <si>
    <t>Montant</t>
  </si>
  <si>
    <t>Taux annuel</t>
  </si>
  <si>
    <t>Rendement mensuel</t>
  </si>
  <si>
    <t>Montant initial</t>
  </si>
  <si>
    <t>Plus-values générée</t>
  </si>
  <si>
    <t>Rendement EUROBOND à 1 ans</t>
  </si>
  <si>
    <t>Ang</t>
  </si>
  <si>
    <t>Fr</t>
  </si>
  <si>
    <t>Math</t>
  </si>
  <si>
    <t>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</si>
</sst>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-* #,##0.00\ _C_F_A_-;\-* #,##0.00\ _C_F_A_-;_-* &quot;-&quot;??\ _C_F_A_-;_-@_-"/>
    <numFmt numFmtId="165" formatCode="_-* #,##0\ _C_F_A_-;\-* #,##0\ _C_F_A_-;_-* &quot;-&quot;??\ _C_F_A_-;_-@_-"/>
    <numFmt numFmtId="166" formatCode="_-* #,##0.00_-;\-* #,##0.00_-;_-* &quot;-&quot;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41" fontId="0" fillId="0" borderId="0" xfId="1" applyFont="1"/>
    <xf numFmtId="164" fontId="0" fillId="0" borderId="0" xfId="0" applyNumberFormat="1"/>
    <xf numFmtId="0" fontId="0" fillId="0" borderId="1" xfId="0" applyBorder="1"/>
    <xf numFmtId="165" fontId="0" fillId="0" borderId="1" xfId="0" applyNumberFormat="1" applyBorder="1" applyAlignment="1">
      <alignment vertical="center"/>
    </xf>
    <xf numFmtId="165" fontId="0" fillId="0" borderId="1" xfId="0" applyNumberFormat="1" applyBorder="1"/>
    <xf numFmtId="165" fontId="0" fillId="0" borderId="0" xfId="0" applyNumberFormat="1"/>
    <xf numFmtId="0" fontId="2" fillId="0" borderId="1" xfId="0" applyFont="1" applyBorder="1"/>
    <xf numFmtId="165" fontId="2" fillId="0" borderId="1" xfId="0" applyNumberFormat="1" applyFont="1" applyBorder="1"/>
    <xf numFmtId="0" fontId="0" fillId="0" borderId="2" xfId="0" applyBorder="1" applyAlignment="1">
      <alignment vertical="center"/>
    </xf>
    <xf numFmtId="0" fontId="0" fillId="0" borderId="2" xfId="0" applyBorder="1"/>
    <xf numFmtId="41" fontId="0" fillId="0" borderId="3" xfId="1" applyFont="1" applyBorder="1" applyAlignment="1">
      <alignment vertical="center"/>
    </xf>
    <xf numFmtId="10" fontId="0" fillId="0" borderId="3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41" fontId="0" fillId="0" borderId="5" xfId="1" applyFont="1" applyBorder="1" applyAlignment="1">
      <alignment vertical="center"/>
    </xf>
    <xf numFmtId="0" fontId="0" fillId="0" borderId="6" xfId="0" applyBorder="1"/>
    <xf numFmtId="41" fontId="0" fillId="0" borderId="7" xfId="0" applyNumberFormat="1" applyBorder="1" applyAlignment="1">
      <alignment vertical="center"/>
    </xf>
    <xf numFmtId="0" fontId="2" fillId="0" borderId="8" xfId="0" applyFont="1" applyBorder="1"/>
    <xf numFmtId="0" fontId="2" fillId="0" borderId="9" xfId="0" applyFont="1" applyBorder="1"/>
    <xf numFmtId="165" fontId="2" fillId="0" borderId="9" xfId="0" applyNumberFormat="1" applyFont="1" applyBorder="1"/>
    <xf numFmtId="0" fontId="0" fillId="0" borderId="6" xfId="0" applyBorder="1" applyAlignment="1">
      <alignment vertical="center"/>
    </xf>
    <xf numFmtId="10" fontId="0" fillId="0" borderId="7" xfId="0" applyNumberFormat="1" applyBorder="1" applyAlignment="1">
      <alignment vertical="center"/>
    </xf>
    <xf numFmtId="41" fontId="0" fillId="0" borderId="1" xfId="1" applyFont="1" applyBorder="1" applyAlignment="1">
      <alignment vertical="center"/>
    </xf>
    <xf numFmtId="0" fontId="0" fillId="2" borderId="1" xfId="0" applyFill="1" applyBorder="1" applyAlignment="1">
      <alignment vertical="center"/>
    </xf>
    <xf numFmtId="41" fontId="0" fillId="2" borderId="1" xfId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/>
    <xf numFmtId="41" fontId="0" fillId="0" borderId="1" xfId="0" applyNumberFormat="1" applyBorder="1" applyAlignment="1">
      <alignment vertical="center"/>
    </xf>
    <xf numFmtId="9" fontId="0" fillId="0" borderId="0" xfId="2" applyFont="1"/>
    <xf numFmtId="10" fontId="0" fillId="0" borderId="0" xfId="2" applyNumberFormat="1" applyFont="1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41" fontId="0" fillId="0" borderId="0" xfId="0" applyNumberFormat="1"/>
    <xf numFmtId="9" fontId="0" fillId="0" borderId="1" xfId="0" applyNumberFormat="1" applyBorder="1" applyAlignment="1">
      <alignment vertical="center"/>
    </xf>
    <xf numFmtId="2" fontId="0" fillId="0" borderId="0" xfId="0" applyNumberFormat="1"/>
    <xf numFmtId="166" fontId="0" fillId="0" borderId="0" xfId="1" applyNumberFormat="1" applyFont="1"/>
  </cellXfs>
  <cellStyles count="3">
    <cellStyle name="Milliers [0]" xfId="1" builtinId="6"/>
    <cellStyle name="Normal" xfId="0" builtinId="0"/>
    <cellStyle name="Pourcentage" xfId="2" builtinId="5"/>
  </cellStyles>
  <dxfs count="22"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numFmt numFmtId="14" formatCode="0.00%"/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4" formatCode="0.00%"/>
      <alignment horizontal="general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AB6EB-6865-4651-9E26-A47E5B303F28}" name="Tableau1" displayName="Tableau1" ref="E2:F6" totalsRowShown="0" headerRowBorderDxfId="21" tableBorderDxfId="20" totalsRowBorderDxfId="19">
  <autoFilter ref="E2:F6" xr:uid="{89FAB6EB-6865-4651-9E26-A47E5B303F28}"/>
  <tableColumns count="2">
    <tableColumn id="1" xr3:uid="{AD002660-1D5A-45B1-A9F5-37CBD8155157}" name="Colonne1"/>
    <tableColumn id="2" xr3:uid="{761EF921-8FF8-4379-B61B-2167824E93A9}" name="Colonne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A6EDA-B352-4A48-9E98-DEC164FA1224}" name="Tableau2" displayName="Tableau2" ref="B11:H33" totalsRowShown="0" headerRowDxfId="18" headerRowBorderDxfId="17" tableBorderDxfId="16">
  <autoFilter ref="B11:H33" xr:uid="{DA4A6EDA-B352-4A48-9E98-DEC164FA1224}"/>
  <tableColumns count="7">
    <tableColumn id="1" xr3:uid="{B224AB45-C2D6-439C-BBAF-DFBEE6D64ED3}" name="Colonne1"/>
    <tableColumn id="2" xr3:uid="{F6FC673C-DBFF-4450-8723-24804B932F07}" name="Colonne2"/>
    <tableColumn id="3" xr3:uid="{9A3C3155-323C-4CF3-ACF1-F9033C0A7F79}" name="Colonne3"/>
    <tableColumn id="4" xr3:uid="{D0B47C3D-4F68-4741-92B7-10B681400D24}" name="Colonne4"/>
    <tableColumn id="5" xr3:uid="{F83E56B0-E552-4CB8-A08F-B14DFF4BDFDB}" name="Colonne5"/>
    <tableColumn id="6" xr3:uid="{476B5B25-A543-4D0B-BFD4-C4A92267F06C}" name="Colonne6"/>
    <tableColumn id="7" xr3:uid="{9BE15B94-39A5-4A11-8EF0-45F0016AEFCC}" name="Colonne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F6D37D-3A92-4C9D-B579-E9AF217CDF10}" name="Tableau3" displayName="Tableau3" ref="B2:C7" totalsRowShown="0" headerRowBorderDxfId="15" tableBorderDxfId="14" totalsRowBorderDxfId="13">
  <autoFilter ref="B2:C7" xr:uid="{8CF6D37D-3A92-4C9D-B579-E9AF217CDF10}"/>
  <tableColumns count="2">
    <tableColumn id="1" xr3:uid="{AFCC07DC-BDDE-49A5-9722-A5BD1C280F05}" name="Colonne1" dataDxfId="12"/>
    <tableColumn id="2" xr3:uid="{F247B19F-D441-4069-BCED-A355F2B74F55}" name="Colonne2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15CA72-3C0C-498B-A4BD-45D4C5A93514}" name="Tableau26" displayName="Tableau26" ref="B15:W37" totalsRowShown="0" headerRowDxfId="10" headerRowBorderDxfId="9" tableBorderDxfId="8">
  <autoFilter ref="B15:W37" xr:uid="{7115CA72-3C0C-498B-A4BD-45D4C5A93514}"/>
  <tableColumns count="22">
    <tableColumn id="1" xr3:uid="{235E17E6-D57A-464D-B8D0-A08489B5E0B0}" name="Colonne1"/>
    <tableColumn id="2" xr3:uid="{B4296610-2722-469C-9EB0-74A5D37C173B}" name="Colonne2"/>
    <tableColumn id="3" xr3:uid="{E08EBEAD-5B4F-4252-A909-DF55FB988BEF}" name="Colonne3"/>
    <tableColumn id="4" xr3:uid="{5C4BD01E-8A27-4C88-A173-FA3DA9FF8906}" name="Colonne4"/>
    <tableColumn id="5" xr3:uid="{6DBA16F4-BF49-441F-AA6E-E969A6127BD2}" name="Colonne5"/>
    <tableColumn id="6" xr3:uid="{1E6AB896-E7B5-467D-9FCE-F7A6C4E37C68}" name="Colonne6"/>
    <tableColumn id="7" xr3:uid="{6F907F4E-C828-4F09-A78A-31DFC9E3134B}" name="Colonne7"/>
    <tableColumn id="8" xr3:uid="{5BD22B8D-D1FE-4C21-8A06-87EFE4FDA2B0}" name="Colonne8"/>
    <tableColumn id="9" xr3:uid="{C1EFD23A-BC07-4053-B601-25E295E751EC}" name="Colonne9"/>
    <tableColumn id="10" xr3:uid="{6B21AF63-8AD3-4F06-A9CD-CA0D8D64E2D3}" name="Colonne10"/>
    <tableColumn id="11" xr3:uid="{939D0F46-5553-4F53-99B2-CA1010714285}" name="Colonne11"/>
    <tableColumn id="12" xr3:uid="{B58A875A-E9FB-4706-A7BA-E698D34EF026}" name="Colonne12"/>
    <tableColumn id="13" xr3:uid="{864229AA-AC79-4BCD-A281-CAD20D1B8E09}" name="Colonne13"/>
    <tableColumn id="14" xr3:uid="{CA8497D7-4547-4204-8F6B-4296AD4DBDF6}" name="Colonne14"/>
    <tableColumn id="15" xr3:uid="{B528F7EA-5137-4BE7-BB8C-A2C5400FB436}" name="Colonne15"/>
    <tableColumn id="16" xr3:uid="{D95EE5A7-9A0B-4961-A89A-57BC409979C2}" name="Colonne16"/>
    <tableColumn id="17" xr3:uid="{172F3541-A98B-44FE-BDE4-43F72D027D7B}" name="Colonne17"/>
    <tableColumn id="18" xr3:uid="{62041CCD-44AF-4141-BE3E-DBD119178F26}" name="Colonne18"/>
    <tableColumn id="19" xr3:uid="{27909F71-A918-4790-9B54-7430FC970E79}" name="Colonne19"/>
    <tableColumn id="20" xr3:uid="{FDC26952-EA22-4848-B925-EB3239C92A10}" name="Colonne20"/>
    <tableColumn id="21" xr3:uid="{FE72CCA7-477C-40A2-AB94-5710D65C6E85}" name="Colonne21"/>
    <tableColumn id="22" xr3:uid="{EC6BBBA9-44FC-472E-947F-2EDB58C9C955}" name="Colonne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9000D5-4231-4205-8E1F-8A3FC3E18F69}" name="Tableau37" displayName="Tableau37" ref="B8:C13" totalsRowShown="0" headerRowBorderDxfId="7" tableBorderDxfId="6" totalsRowBorderDxfId="5">
  <autoFilter ref="B8:C13" xr:uid="{479000D5-4231-4205-8E1F-8A3FC3E18F69}"/>
  <tableColumns count="2">
    <tableColumn id="1" xr3:uid="{A8F7C69F-F4DF-4D66-BE3B-4E24F657C177}" name="Colonne1" dataDxfId="4"/>
    <tableColumn id="2" xr3:uid="{E4899BA9-7BA3-42D5-B675-A30442FBADA7}" name="Colonne2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305B2C-5661-4E0E-8D9B-69F295109411}" name="Tableau15" displayName="Tableau15" ref="B2:C6" totalsRowShown="0" headerRowBorderDxfId="2" tableBorderDxfId="1" totalsRowBorderDxfId="0">
  <autoFilter ref="B2:C6" xr:uid="{57305B2C-5661-4E0E-8D9B-69F295109411}"/>
  <tableColumns count="2">
    <tableColumn id="1" xr3:uid="{8837B646-EF2C-4431-BDFF-F67CBD2FEB8A}" name="Colonne1"/>
    <tableColumn id="2" xr3:uid="{A59C2EFE-9505-4683-AC13-F3BA7C9D39BB}" name="Colonn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FD3F-4187-4BF7-83BD-9818E517C39F}">
  <dimension ref="B2:I33"/>
  <sheetViews>
    <sheetView tabSelected="1" workbookViewId="0">
      <selection activeCell="E20" sqref="E20"/>
    </sheetView>
  </sheetViews>
  <sheetFormatPr baseColWidth="10" defaultRowHeight="14.4" x14ac:dyDescent="0.3"/>
  <cols>
    <col min="2" max="2" width="23.21875" bestFit="1" customWidth="1"/>
    <col min="3" max="4" width="20.6640625" bestFit="1" customWidth="1"/>
    <col min="5" max="5" width="22.44140625" customWidth="1"/>
    <col min="6" max="8" width="20.6640625" bestFit="1" customWidth="1"/>
  </cols>
  <sheetData>
    <row r="2" spans="2:9" x14ac:dyDescent="0.3">
      <c r="B2" s="13" t="s">
        <v>20</v>
      </c>
      <c r="C2" s="14" t="s">
        <v>21</v>
      </c>
      <c r="E2" s="13" t="s">
        <v>20</v>
      </c>
      <c r="F2" s="14" t="s">
        <v>21</v>
      </c>
    </row>
    <row r="3" spans="2:9" x14ac:dyDescent="0.3">
      <c r="B3" s="9" t="s">
        <v>0</v>
      </c>
      <c r="C3" s="11">
        <v>4000000000</v>
      </c>
      <c r="E3" s="9" t="s">
        <v>0</v>
      </c>
      <c r="F3" s="11">
        <v>1000000000</v>
      </c>
    </row>
    <row r="4" spans="2:9" x14ac:dyDescent="0.3">
      <c r="B4" s="9" t="s">
        <v>1</v>
      </c>
      <c r="C4" s="12">
        <v>0.08</v>
      </c>
      <c r="E4" s="9" t="s">
        <v>66</v>
      </c>
      <c r="F4" s="12">
        <v>7.0000000000000007E-2</v>
      </c>
      <c r="H4" s="6">
        <f>C14+D14+E14</f>
        <v>1038848000</v>
      </c>
    </row>
    <row r="5" spans="2:9" x14ac:dyDescent="0.3">
      <c r="B5" s="9" t="s">
        <v>2</v>
      </c>
      <c r="C5" s="12">
        <v>0.09</v>
      </c>
      <c r="E5" s="10" t="s">
        <v>11</v>
      </c>
      <c r="F5" s="11">
        <f>F3*(1+F4)</f>
        <v>1070000000.0000001</v>
      </c>
      <c r="H5" s="6">
        <f>C14+D14</f>
        <v>665600000</v>
      </c>
    </row>
    <row r="6" spans="2:9" x14ac:dyDescent="0.3">
      <c r="B6" s="9" t="s">
        <v>3</v>
      </c>
      <c r="C6" s="12">
        <f>6%</f>
        <v>0.06</v>
      </c>
      <c r="E6" s="15" t="s">
        <v>12</v>
      </c>
      <c r="F6" s="16">
        <f>F5-F3</f>
        <v>70000000.000000119</v>
      </c>
      <c r="H6" s="2">
        <f>C14</f>
        <v>320000000</v>
      </c>
    </row>
    <row r="7" spans="2:9" x14ac:dyDescent="0.3">
      <c r="B7" s="20" t="s">
        <v>4</v>
      </c>
      <c r="C7" s="21">
        <v>0.16</v>
      </c>
      <c r="H7" s="2">
        <v>142998626</v>
      </c>
      <c r="I7">
        <v>12000</v>
      </c>
    </row>
    <row r="8" spans="2:9" x14ac:dyDescent="0.3">
      <c r="B8" s="30"/>
      <c r="C8" s="31"/>
      <c r="H8" s="2"/>
      <c r="I8">
        <f>I7*4</f>
        <v>48000</v>
      </c>
    </row>
    <row r="9" spans="2:9" x14ac:dyDescent="0.3">
      <c r="B9" s="30"/>
      <c r="C9" s="31"/>
      <c r="H9" s="2"/>
    </row>
    <row r="11" spans="2:9" x14ac:dyDescent="0.3">
      <c r="B11" s="17" t="s">
        <v>20</v>
      </c>
      <c r="C11" s="17" t="s">
        <v>21</v>
      </c>
      <c r="D11" s="17" t="s">
        <v>22</v>
      </c>
      <c r="E11" s="17" t="s">
        <v>23</v>
      </c>
      <c r="F11" s="17" t="s">
        <v>24</v>
      </c>
      <c r="G11" s="17" t="s">
        <v>25</v>
      </c>
      <c r="H11" s="17" t="s">
        <v>26</v>
      </c>
    </row>
    <row r="12" spans="2:9" x14ac:dyDescent="0.3">
      <c r="B12" s="7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13</v>
      </c>
    </row>
    <row r="13" spans="2:9" x14ac:dyDescent="0.3">
      <c r="B13" s="3" t="s">
        <v>11</v>
      </c>
      <c r="C13" s="4">
        <f>IF(C12=0,"",C3*(1+$C$4))</f>
        <v>4320000000</v>
      </c>
      <c r="D13" s="4">
        <f>IF(D12="","",C13*(1+$C$4))</f>
        <v>4665600000</v>
      </c>
      <c r="E13" s="4">
        <f>IF(E12="","",D13*(1+$C$4))</f>
        <v>5038848000</v>
      </c>
      <c r="F13" s="4">
        <f>IF(F12="","",E13*(1+$C$4))</f>
        <v>5441955840</v>
      </c>
      <c r="G13" s="4">
        <f>IF(G12="","",F13*(1+$C$4))</f>
        <v>5877312307.2000008</v>
      </c>
      <c r="H13" s="5"/>
    </row>
    <row r="14" spans="2:9" x14ac:dyDescent="0.3">
      <c r="B14" s="3" t="s">
        <v>12</v>
      </c>
      <c r="C14" s="4">
        <f>IFERROR(C13-C3,"")</f>
        <v>320000000</v>
      </c>
      <c r="D14" s="4">
        <f>IFERROR(D13-C13,"")</f>
        <v>345600000</v>
      </c>
      <c r="E14" s="4">
        <f>IFERROR(E13-D13,"")</f>
        <v>373248000</v>
      </c>
      <c r="F14" s="4">
        <f>IFERROR(F13-E13,"")</f>
        <v>403107840</v>
      </c>
      <c r="G14" s="4">
        <f>IFERROR(G13-F13,"")</f>
        <v>435356467.20000076</v>
      </c>
      <c r="H14" s="5">
        <f>SUM(C14:G14)</f>
        <v>1877312307.2000008</v>
      </c>
      <c r="I14" s="29"/>
    </row>
    <row r="15" spans="2:9" x14ac:dyDescent="0.3">
      <c r="C15" s="6"/>
      <c r="D15" s="6"/>
      <c r="E15" s="6"/>
      <c r="F15" s="6"/>
      <c r="G15" s="6"/>
      <c r="H15" s="6"/>
    </row>
    <row r="16" spans="2:9" x14ac:dyDescent="0.3">
      <c r="B16" s="7" t="s">
        <v>14</v>
      </c>
      <c r="C16" s="8" t="str">
        <f>C12</f>
        <v>Année 1</v>
      </c>
      <c r="D16" s="8" t="str">
        <f t="shared" ref="D16:G16" si="0">D12</f>
        <v>Année 2</v>
      </c>
      <c r="E16" s="8" t="str">
        <f t="shared" si="0"/>
        <v>Année 3</v>
      </c>
      <c r="F16" s="8" t="str">
        <f t="shared" si="0"/>
        <v>Année 4</v>
      </c>
      <c r="G16" s="8" t="str">
        <f t="shared" si="0"/>
        <v>Année 5</v>
      </c>
      <c r="H16" s="8" t="s">
        <v>13</v>
      </c>
    </row>
    <row r="17" spans="2:8" x14ac:dyDescent="0.3">
      <c r="B17" s="3" t="s">
        <v>11</v>
      </c>
      <c r="C17" s="4">
        <f>IF(C16="","",C3*(1+$C$5))</f>
        <v>4360000000</v>
      </c>
      <c r="D17" s="4">
        <f>IF(D16="","",C17*(1+$C$5))</f>
        <v>4752400000</v>
      </c>
      <c r="E17" s="4">
        <f>IF(E16="","",D17*(1+$C$5))</f>
        <v>5180116000</v>
      </c>
      <c r="F17" s="4">
        <f>IF(F16="","",E17*(1+$C$5))</f>
        <v>5646326440</v>
      </c>
      <c r="G17" s="4">
        <f>IF(G16="","",F17*(1+$C$5))</f>
        <v>6154495819.6000004</v>
      </c>
      <c r="H17" s="5"/>
    </row>
    <row r="18" spans="2:8" x14ac:dyDescent="0.3">
      <c r="B18" s="3" t="s">
        <v>12</v>
      </c>
      <c r="C18" s="4">
        <f>IFERROR(C17-C3,"")</f>
        <v>360000000</v>
      </c>
      <c r="D18" s="4">
        <f>IFERROR(D17-C17,"")</f>
        <v>392400000</v>
      </c>
      <c r="E18" s="4">
        <f>IFERROR(E17-D17,"")</f>
        <v>427716000</v>
      </c>
      <c r="F18" s="4">
        <f>IFERROR(F17-E17,"")</f>
        <v>466210440</v>
      </c>
      <c r="G18" s="4">
        <f>IFERROR(G17-F17,"")</f>
        <v>508169379.60000038</v>
      </c>
      <c r="H18" s="5">
        <f>SUM(C18:G18)</f>
        <v>2154495819.6000004</v>
      </c>
    </row>
    <row r="19" spans="2:8" x14ac:dyDescent="0.3">
      <c r="C19" s="6"/>
      <c r="D19" s="6"/>
      <c r="E19" s="6"/>
      <c r="F19" s="6"/>
      <c r="G19" s="6"/>
      <c r="H19" s="6"/>
    </row>
    <row r="20" spans="2:8" x14ac:dyDescent="0.3">
      <c r="B20" s="7" t="s">
        <v>15</v>
      </c>
      <c r="C20" s="8" t="str">
        <f>C16</f>
        <v>Année 1</v>
      </c>
      <c r="D20" s="8" t="str">
        <f t="shared" ref="D20:G20" si="1">D16</f>
        <v>Année 2</v>
      </c>
      <c r="E20" s="8" t="str">
        <f t="shared" si="1"/>
        <v>Année 3</v>
      </c>
      <c r="F20" s="8" t="str">
        <f t="shared" si="1"/>
        <v>Année 4</v>
      </c>
      <c r="G20" s="8" t="str">
        <f t="shared" si="1"/>
        <v>Année 5</v>
      </c>
      <c r="H20" s="8"/>
    </row>
    <row r="21" spans="2:8" x14ac:dyDescent="0.3">
      <c r="B21" s="3" t="s">
        <v>11</v>
      </c>
      <c r="C21" s="4">
        <f>IF(C20="","",$C$3*(1+$C$6))</f>
        <v>4240000000</v>
      </c>
      <c r="D21" s="4">
        <f>IF(D20="","",$C$3*(1+$C$6))</f>
        <v>4240000000</v>
      </c>
      <c r="E21" s="4">
        <f>IF(E20="","",$C$3*(1+$C$6))</f>
        <v>4240000000</v>
      </c>
      <c r="F21" s="4">
        <f>IF(F20="","",$C$3*(1+$C$6))</f>
        <v>4240000000</v>
      </c>
      <c r="G21" s="4">
        <f>IF(G20="","",$C$3*(1+$C$6))</f>
        <v>4240000000</v>
      </c>
      <c r="H21" s="4"/>
    </row>
    <row r="22" spans="2:8" x14ac:dyDescent="0.3">
      <c r="B22" s="3" t="s">
        <v>12</v>
      </c>
      <c r="C22" s="4">
        <f>IFERROR((C21-$C$3)*(1-$C$7),"")</f>
        <v>201600000</v>
      </c>
      <c r="D22" s="4">
        <f>IFERROR((D21-$C$3)*(1-$C$7),"")</f>
        <v>201600000</v>
      </c>
      <c r="E22" s="4">
        <f>IFERROR((E21-$C$3)*(1-$C$7),"")</f>
        <v>201600000</v>
      </c>
      <c r="F22" s="4">
        <f>IFERROR((F21-$C$3)*(1-$C$7),"")</f>
        <v>201600000</v>
      </c>
      <c r="G22" s="4">
        <f>IFERROR((G21-$C$3)*(1-$C$7),"")</f>
        <v>201600000</v>
      </c>
      <c r="H22" s="5">
        <f>SUM(C22:G22)</f>
        <v>1008000000</v>
      </c>
    </row>
    <row r="23" spans="2:8" x14ac:dyDescent="0.3">
      <c r="C23" s="6"/>
      <c r="D23" s="6"/>
      <c r="E23" s="6"/>
      <c r="F23" s="6"/>
      <c r="G23" s="6"/>
      <c r="H23" s="6"/>
    </row>
    <row r="24" spans="2:8" x14ac:dyDescent="0.3">
      <c r="C24" s="6"/>
      <c r="D24" s="6"/>
      <c r="E24" s="6"/>
      <c r="F24" s="6"/>
      <c r="G24" s="6"/>
      <c r="H24" s="6"/>
    </row>
    <row r="25" spans="2:8" x14ac:dyDescent="0.3">
      <c r="B25" s="7" t="s">
        <v>16</v>
      </c>
      <c r="C25" s="8" t="str">
        <f>C12</f>
        <v>Année 1</v>
      </c>
      <c r="D25" s="8" t="str">
        <f t="shared" ref="D25:G25" si="2">D12</f>
        <v>Année 2</v>
      </c>
      <c r="E25" s="8" t="str">
        <f t="shared" si="2"/>
        <v>Année 3</v>
      </c>
      <c r="F25" s="8" t="str">
        <f t="shared" si="2"/>
        <v>Année 4</v>
      </c>
      <c r="G25" s="8" t="str">
        <f t="shared" si="2"/>
        <v>Année 5</v>
      </c>
      <c r="H25" s="8" t="s">
        <v>13</v>
      </c>
    </row>
    <row r="26" spans="2:8" x14ac:dyDescent="0.3">
      <c r="B26" s="3" t="s">
        <v>5</v>
      </c>
      <c r="C26" s="5">
        <f t="shared" ref="C26:H26" si="3">C14</f>
        <v>320000000</v>
      </c>
      <c r="D26" s="5">
        <f t="shared" si="3"/>
        <v>345600000</v>
      </c>
      <c r="E26" s="5">
        <f t="shared" si="3"/>
        <v>373248000</v>
      </c>
      <c r="F26" s="5">
        <f t="shared" si="3"/>
        <v>403107840</v>
      </c>
      <c r="G26" s="5">
        <f t="shared" si="3"/>
        <v>435356467.20000076</v>
      </c>
      <c r="H26" s="5">
        <f t="shared" si="3"/>
        <v>1877312307.2000008</v>
      </c>
    </row>
    <row r="27" spans="2:8" x14ac:dyDescent="0.3">
      <c r="B27" s="3" t="s">
        <v>15</v>
      </c>
      <c r="C27" s="5">
        <f t="shared" ref="C27:H27" si="4">C22</f>
        <v>201600000</v>
      </c>
      <c r="D27" s="5">
        <f t="shared" si="4"/>
        <v>201600000</v>
      </c>
      <c r="E27" s="5">
        <f t="shared" si="4"/>
        <v>201600000</v>
      </c>
      <c r="F27" s="5">
        <f t="shared" si="4"/>
        <v>201600000</v>
      </c>
      <c r="G27" s="5">
        <f t="shared" si="4"/>
        <v>201600000</v>
      </c>
      <c r="H27" s="5">
        <f t="shared" si="4"/>
        <v>1008000000</v>
      </c>
    </row>
    <row r="28" spans="2:8" x14ac:dyDescent="0.3">
      <c r="B28" s="7" t="s">
        <v>17</v>
      </c>
      <c r="C28" s="8">
        <f>IFERROR(C26-C27,"")</f>
        <v>118400000</v>
      </c>
      <c r="D28" s="8">
        <f>IFERROR(D26-D27,"")</f>
        <v>144000000</v>
      </c>
      <c r="E28" s="8">
        <f>IFERROR(E26-E27,"")</f>
        <v>171648000</v>
      </c>
      <c r="F28" s="8">
        <f>IFERROR(F26-F27,"")</f>
        <v>201507840</v>
      </c>
      <c r="G28" s="8">
        <f>IFERROR(G26-G27,"")</f>
        <v>233756467.20000076</v>
      </c>
      <c r="H28" s="8">
        <f>H26-H27</f>
        <v>869312307.20000076</v>
      </c>
    </row>
    <row r="29" spans="2:8" x14ac:dyDescent="0.3">
      <c r="C29" s="6"/>
      <c r="D29" s="6"/>
      <c r="E29" s="6"/>
      <c r="F29" s="6"/>
      <c r="G29" s="6"/>
      <c r="H29" s="6"/>
    </row>
    <row r="30" spans="2:8" x14ac:dyDescent="0.3">
      <c r="B30" s="7" t="s">
        <v>18</v>
      </c>
      <c r="C30" s="8" t="str">
        <f>C12</f>
        <v>Année 1</v>
      </c>
      <c r="D30" s="8" t="str">
        <f t="shared" ref="D30:G30" si="5">D12</f>
        <v>Année 2</v>
      </c>
      <c r="E30" s="8" t="str">
        <f t="shared" si="5"/>
        <v>Année 3</v>
      </c>
      <c r="F30" s="8" t="str">
        <f t="shared" si="5"/>
        <v>Année 4</v>
      </c>
      <c r="G30" s="8" t="str">
        <f t="shared" si="5"/>
        <v>Année 5</v>
      </c>
      <c r="H30" s="8" t="s">
        <v>13</v>
      </c>
    </row>
    <row r="31" spans="2:8" x14ac:dyDescent="0.3">
      <c r="B31" s="3" t="s">
        <v>14</v>
      </c>
      <c r="C31" s="5">
        <f t="shared" ref="C31:H31" si="6">C18</f>
        <v>360000000</v>
      </c>
      <c r="D31" s="5">
        <f t="shared" si="6"/>
        <v>392400000</v>
      </c>
      <c r="E31" s="5">
        <f t="shared" si="6"/>
        <v>427716000</v>
      </c>
      <c r="F31" s="5">
        <f t="shared" si="6"/>
        <v>466210440</v>
      </c>
      <c r="G31" s="5">
        <f t="shared" si="6"/>
        <v>508169379.60000038</v>
      </c>
      <c r="H31" s="5">
        <f t="shared" si="6"/>
        <v>2154495819.6000004</v>
      </c>
    </row>
    <row r="32" spans="2:8" x14ac:dyDescent="0.3">
      <c r="B32" s="3" t="s">
        <v>15</v>
      </c>
      <c r="C32" s="5">
        <f t="shared" ref="C32:H32" si="7">C22</f>
        <v>201600000</v>
      </c>
      <c r="D32" s="5">
        <f t="shared" si="7"/>
        <v>201600000</v>
      </c>
      <c r="E32" s="5">
        <f t="shared" si="7"/>
        <v>201600000</v>
      </c>
      <c r="F32" s="5">
        <f t="shared" si="7"/>
        <v>201600000</v>
      </c>
      <c r="G32" s="5">
        <f t="shared" si="7"/>
        <v>201600000</v>
      </c>
      <c r="H32" s="5">
        <f t="shared" si="7"/>
        <v>1008000000</v>
      </c>
    </row>
    <row r="33" spans="2:8" x14ac:dyDescent="0.3">
      <c r="B33" s="18" t="s">
        <v>17</v>
      </c>
      <c r="C33" s="19">
        <f>IFERROR(C31-C32,"")</f>
        <v>158400000</v>
      </c>
      <c r="D33" s="19">
        <f>IFERROR(D31-D32,"")</f>
        <v>190800000</v>
      </c>
      <c r="E33" s="19">
        <f>IFERROR(E31-E32,"")</f>
        <v>226116000</v>
      </c>
      <c r="F33" s="19">
        <f>IFERROR(F31-F32,"")</f>
        <v>264610440</v>
      </c>
      <c r="G33" s="19">
        <f>IFERROR(G31-G32,"")</f>
        <v>306569379.60000038</v>
      </c>
      <c r="H33" s="19">
        <f>H31-H32</f>
        <v>1146495819.6000004</v>
      </c>
    </row>
  </sheetData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4E46-4199-41C1-9CBE-5E62FC9F9ADA}">
  <dimension ref="B2:W37"/>
  <sheetViews>
    <sheetView workbookViewId="0">
      <selection activeCell="F3" sqref="F3"/>
    </sheetView>
  </sheetViews>
  <sheetFormatPr baseColWidth="10" defaultRowHeight="14.4" x14ac:dyDescent="0.3"/>
  <cols>
    <col min="2" max="2" width="23.21875" bestFit="1" customWidth="1"/>
    <col min="3" max="4" width="14.6640625" bestFit="1" customWidth="1"/>
    <col min="5" max="5" width="22.44140625" bestFit="1" customWidth="1"/>
    <col min="6" max="7" width="14.6640625" bestFit="1" customWidth="1"/>
    <col min="8" max="8" width="17.33203125" bestFit="1" customWidth="1"/>
    <col min="9" max="18" width="14.6640625" bestFit="1" customWidth="1"/>
    <col min="19" max="20" width="13.6640625" bestFit="1" customWidth="1"/>
    <col min="21" max="22" width="14.6640625" bestFit="1" customWidth="1"/>
  </cols>
  <sheetData>
    <row r="2" spans="2:23" x14ac:dyDescent="0.3">
      <c r="B2" s="13" t="s">
        <v>20</v>
      </c>
      <c r="C2" s="14" t="s">
        <v>21</v>
      </c>
    </row>
    <row r="3" spans="2:23" x14ac:dyDescent="0.3">
      <c r="B3" s="9" t="s">
        <v>57</v>
      </c>
      <c r="C3" s="11">
        <v>50000</v>
      </c>
      <c r="E3" s="23" t="s">
        <v>61</v>
      </c>
      <c r="F3" s="24">
        <v>30000000</v>
      </c>
    </row>
    <row r="4" spans="2:23" x14ac:dyDescent="0.3">
      <c r="B4" s="9" t="s">
        <v>19</v>
      </c>
      <c r="C4" s="11">
        <v>12</v>
      </c>
      <c r="E4" s="25" t="s">
        <v>58</v>
      </c>
      <c r="F4" s="22">
        <v>7</v>
      </c>
      <c r="I4" s="1">
        <v>3500</v>
      </c>
    </row>
    <row r="5" spans="2:23" x14ac:dyDescent="0.3">
      <c r="B5" s="10" t="s">
        <v>11</v>
      </c>
      <c r="C5" s="11">
        <f>C3*C4</f>
        <v>600000</v>
      </c>
      <c r="E5" s="26" t="s">
        <v>59</v>
      </c>
      <c r="F5" s="24"/>
      <c r="I5" s="1">
        <v>7</v>
      </c>
    </row>
    <row r="6" spans="2:23" x14ac:dyDescent="0.3">
      <c r="B6" s="15" t="s">
        <v>12</v>
      </c>
      <c r="C6" s="16">
        <f>(C5*COUNT(C17:Q17))+C9</f>
        <v>9000000</v>
      </c>
      <c r="E6" s="3" t="s">
        <v>60</v>
      </c>
      <c r="F6" s="27"/>
      <c r="I6" s="1">
        <f>I4*I5</f>
        <v>24500</v>
      </c>
    </row>
    <row r="7" spans="2:23" x14ac:dyDescent="0.3">
      <c r="C7">
        <v>15</v>
      </c>
      <c r="E7" s="26" t="s">
        <v>11</v>
      </c>
      <c r="F7" s="24">
        <f>F3*(1+C11)^F4</f>
        <v>51414728.063385621</v>
      </c>
    </row>
    <row r="8" spans="2:23" x14ac:dyDescent="0.3">
      <c r="B8" s="13" t="s">
        <v>20</v>
      </c>
      <c r="C8" s="14" t="s">
        <v>21</v>
      </c>
      <c r="E8" s="3" t="s">
        <v>12</v>
      </c>
      <c r="F8" s="27">
        <f>F7-F3</f>
        <v>21414728.063385621</v>
      </c>
      <c r="H8" s="29" t="e">
        <f>F8/F6</f>
        <v>#DIV/0!</v>
      </c>
    </row>
    <row r="9" spans="2:23" x14ac:dyDescent="0.3">
      <c r="B9" s="9" t="s">
        <v>0</v>
      </c>
      <c r="C9" s="11">
        <v>0</v>
      </c>
      <c r="H9" s="28" t="e">
        <f>H8/5</f>
        <v>#DIV/0!</v>
      </c>
    </row>
    <row r="10" spans="2:23" x14ac:dyDescent="0.3">
      <c r="B10" s="9" t="s">
        <v>1</v>
      </c>
      <c r="C10" s="12">
        <v>0.08</v>
      </c>
    </row>
    <row r="11" spans="2:23" x14ac:dyDescent="0.3">
      <c r="B11" s="9" t="s">
        <v>2</v>
      </c>
      <c r="C11" s="12">
        <v>0.08</v>
      </c>
    </row>
    <row r="12" spans="2:23" x14ac:dyDescent="0.3">
      <c r="B12" s="9" t="s">
        <v>3</v>
      </c>
      <c r="C12" s="12">
        <v>0.08</v>
      </c>
      <c r="H12" s="2">
        <f>C9*(1+C10)^C7</f>
        <v>0</v>
      </c>
    </row>
    <row r="13" spans="2:23" x14ac:dyDescent="0.3">
      <c r="B13" s="20" t="s">
        <v>4</v>
      </c>
      <c r="C13" s="21">
        <v>0</v>
      </c>
      <c r="H13" s="2">
        <f>C9*(1+C11)^C7</f>
        <v>0</v>
      </c>
    </row>
    <row r="15" spans="2:23" x14ac:dyDescent="0.3">
      <c r="B15" s="17" t="s">
        <v>20</v>
      </c>
      <c r="C15" s="17" t="s">
        <v>21</v>
      </c>
      <c r="D15" s="17" t="s">
        <v>22</v>
      </c>
      <c r="E15" s="17" t="s">
        <v>23</v>
      </c>
      <c r="F15" s="17" t="s">
        <v>24</v>
      </c>
      <c r="G15" s="17" t="s">
        <v>25</v>
      </c>
      <c r="H15" s="17" t="s">
        <v>26</v>
      </c>
      <c r="I15" s="17" t="s">
        <v>37</v>
      </c>
      <c r="J15" s="17" t="s">
        <v>38</v>
      </c>
      <c r="K15" s="17" t="s">
        <v>39</v>
      </c>
      <c r="L15" s="17" t="s">
        <v>40</v>
      </c>
      <c r="M15" s="17" t="s">
        <v>41</v>
      </c>
      <c r="N15" s="17" t="s">
        <v>42</v>
      </c>
      <c r="O15" s="17" t="s">
        <v>43</v>
      </c>
      <c r="P15" s="17" t="s">
        <v>44</v>
      </c>
      <c r="Q15" s="17" t="s">
        <v>45</v>
      </c>
      <c r="R15" s="17" t="s">
        <v>46</v>
      </c>
      <c r="S15" s="17" t="s">
        <v>47</v>
      </c>
      <c r="T15" s="17" t="s">
        <v>48</v>
      </c>
      <c r="U15" s="17" t="s">
        <v>49</v>
      </c>
      <c r="V15" s="17" t="s">
        <v>50</v>
      </c>
      <c r="W15" s="17" t="s">
        <v>51</v>
      </c>
    </row>
    <row r="16" spans="2:23" x14ac:dyDescent="0.3">
      <c r="B16" s="7" t="s">
        <v>5</v>
      </c>
      <c r="C16" s="7" t="s">
        <v>6</v>
      </c>
      <c r="D16" s="7" t="s">
        <v>7</v>
      </c>
      <c r="E16" s="7" t="s">
        <v>8</v>
      </c>
      <c r="F16" s="7" t="s">
        <v>9</v>
      </c>
      <c r="G16" s="7" t="s">
        <v>10</v>
      </c>
      <c r="H16" s="7" t="s">
        <v>27</v>
      </c>
      <c r="I16" s="7" t="s">
        <v>28</v>
      </c>
      <c r="J16" s="7" t="s">
        <v>29</v>
      </c>
      <c r="K16" s="7" t="s">
        <v>30</v>
      </c>
      <c r="L16" s="7" t="s">
        <v>31</v>
      </c>
      <c r="M16" s="7" t="s">
        <v>32</v>
      </c>
      <c r="N16" s="7" t="s">
        <v>33</v>
      </c>
      <c r="O16" s="7" t="s">
        <v>34</v>
      </c>
      <c r="P16" s="7" t="s">
        <v>35</v>
      </c>
      <c r="Q16" s="7" t="s">
        <v>36</v>
      </c>
      <c r="R16" s="7" t="s">
        <v>52</v>
      </c>
      <c r="S16" s="7" t="s">
        <v>53</v>
      </c>
      <c r="T16" s="7" t="s">
        <v>54</v>
      </c>
      <c r="U16" s="7" t="s">
        <v>55</v>
      </c>
      <c r="V16" s="7" t="s">
        <v>56</v>
      </c>
    </row>
    <row r="17" spans="2:23" x14ac:dyDescent="0.3">
      <c r="B17" s="3" t="s">
        <v>11</v>
      </c>
      <c r="C17" s="4">
        <f>IF(C16=0,"",(C9+$C$5)*(1+$C$10))</f>
        <v>648000</v>
      </c>
      <c r="D17" s="4">
        <f t="shared" ref="D17:Q17" si="0">IF(D16="","",(C17+$C$5)*(1+$C$10))</f>
        <v>1347840</v>
      </c>
      <c r="E17" s="4">
        <f t="shared" si="0"/>
        <v>2103667.2000000002</v>
      </c>
      <c r="F17" s="4">
        <f t="shared" si="0"/>
        <v>2919960.5760000004</v>
      </c>
      <c r="G17" s="4">
        <f t="shared" si="0"/>
        <v>3801557.4220800004</v>
      </c>
      <c r="H17" s="4">
        <f t="shared" si="0"/>
        <v>4753682.0158464015</v>
      </c>
      <c r="I17" s="4">
        <f t="shared" si="0"/>
        <v>5781976.5771141136</v>
      </c>
      <c r="J17" s="4">
        <f t="shared" si="0"/>
        <v>6892534.7032832429</v>
      </c>
      <c r="K17" s="4">
        <f t="shared" si="0"/>
        <v>8091937.4795459025</v>
      </c>
      <c r="L17" s="4">
        <f t="shared" si="0"/>
        <v>9387292.4779095761</v>
      </c>
      <c r="M17" s="4">
        <f t="shared" si="0"/>
        <v>10786275.876142344</v>
      </c>
      <c r="N17" s="4">
        <f t="shared" si="0"/>
        <v>12297177.946233733</v>
      </c>
      <c r="O17" s="4">
        <f t="shared" si="0"/>
        <v>13928952.181932433</v>
      </c>
      <c r="P17" s="4">
        <f t="shared" si="0"/>
        <v>15691268.356487028</v>
      </c>
      <c r="Q17" s="4">
        <f t="shared" si="0"/>
        <v>17594569.825005993</v>
      </c>
      <c r="R17" s="4"/>
    </row>
    <row r="18" spans="2:23" x14ac:dyDescent="0.3">
      <c r="B18" s="3" t="s">
        <v>12</v>
      </c>
      <c r="C18" s="4">
        <f>IFERROR(C17-(C9+C5),"")</f>
        <v>48000</v>
      </c>
      <c r="D18" s="4">
        <f t="shared" ref="D18:Q18" si="1">IFERROR(D17-(C17+$C$5),"")</f>
        <v>99840</v>
      </c>
      <c r="E18" s="4">
        <f t="shared" si="1"/>
        <v>155827.20000000019</v>
      </c>
      <c r="F18" s="4">
        <f t="shared" si="1"/>
        <v>216293.37600000016</v>
      </c>
      <c r="G18" s="4">
        <f t="shared" si="1"/>
        <v>281596.84608000005</v>
      </c>
      <c r="H18" s="4">
        <f t="shared" si="1"/>
        <v>352124.59376640059</v>
      </c>
      <c r="I18" s="4">
        <f t="shared" si="1"/>
        <v>428294.56126771215</v>
      </c>
      <c r="J18" s="4">
        <f t="shared" si="1"/>
        <v>510558.12616912927</v>
      </c>
      <c r="K18" s="4">
        <f t="shared" si="1"/>
        <v>599402.77626265958</v>
      </c>
      <c r="L18" s="4">
        <f t="shared" si="1"/>
        <v>695354.99836367369</v>
      </c>
      <c r="M18" s="4">
        <f t="shared" si="1"/>
        <v>798983.39823276736</v>
      </c>
      <c r="N18" s="4">
        <f t="shared" si="1"/>
        <v>910902.07009138912</v>
      </c>
      <c r="O18" s="4">
        <f t="shared" si="1"/>
        <v>1031774.2356987</v>
      </c>
      <c r="P18" s="4">
        <f t="shared" si="1"/>
        <v>1162316.1745545957</v>
      </c>
      <c r="Q18" s="4">
        <f t="shared" si="1"/>
        <v>1303301.4685189649</v>
      </c>
      <c r="R18" s="4">
        <f>SUM(Tableau26[[#This Row],[Colonne2]:[Colonne16]])</f>
        <v>8594569.8250059932</v>
      </c>
    </row>
    <row r="19" spans="2:23" x14ac:dyDescent="0.3">
      <c r="C19" s="6"/>
      <c r="D19" s="6"/>
      <c r="E19" s="6"/>
      <c r="F19" s="6"/>
      <c r="G19" s="6"/>
      <c r="H19" s="6"/>
    </row>
    <row r="20" spans="2:23" x14ac:dyDescent="0.3">
      <c r="B20" s="7" t="s">
        <v>14</v>
      </c>
      <c r="C20" s="8" t="str">
        <f>C16</f>
        <v>Année 1</v>
      </c>
      <c r="D20" s="8" t="str">
        <f t="shared" ref="D20:V20" si="2">D16</f>
        <v>Année 2</v>
      </c>
      <c r="E20" s="8" t="str">
        <f t="shared" si="2"/>
        <v>Année 3</v>
      </c>
      <c r="F20" s="8" t="str">
        <f t="shared" si="2"/>
        <v>Année 4</v>
      </c>
      <c r="G20" s="8" t="str">
        <f t="shared" si="2"/>
        <v>Année 5</v>
      </c>
      <c r="H20" s="8" t="str">
        <f t="shared" si="2"/>
        <v>Année 6</v>
      </c>
      <c r="I20" s="8" t="str">
        <f t="shared" si="2"/>
        <v>Année 7</v>
      </c>
      <c r="J20" s="8" t="str">
        <f t="shared" si="2"/>
        <v>Année 8</v>
      </c>
      <c r="K20" s="8" t="str">
        <f t="shared" si="2"/>
        <v>Année 9</v>
      </c>
      <c r="L20" s="8" t="str">
        <f t="shared" si="2"/>
        <v>Année 10</v>
      </c>
      <c r="M20" s="8" t="str">
        <f t="shared" si="2"/>
        <v>Année 11</v>
      </c>
      <c r="N20" s="8" t="str">
        <f t="shared" si="2"/>
        <v>Année 12</v>
      </c>
      <c r="O20" s="8" t="str">
        <f t="shared" si="2"/>
        <v>Année 13</v>
      </c>
      <c r="P20" s="8" t="str">
        <f t="shared" si="2"/>
        <v>Année 14</v>
      </c>
      <c r="Q20" s="8" t="str">
        <f t="shared" si="2"/>
        <v>Année 15</v>
      </c>
      <c r="R20" s="8" t="str">
        <f t="shared" si="2"/>
        <v>Année 16</v>
      </c>
      <c r="S20" s="8" t="str">
        <f t="shared" si="2"/>
        <v>Année 17</v>
      </c>
      <c r="T20" s="8" t="str">
        <f t="shared" si="2"/>
        <v>Année 18</v>
      </c>
      <c r="U20" s="8" t="str">
        <f t="shared" si="2"/>
        <v>Année 19</v>
      </c>
      <c r="V20" s="8" t="str">
        <f t="shared" si="2"/>
        <v>Année 20</v>
      </c>
      <c r="W20" s="8" t="s">
        <v>13</v>
      </c>
    </row>
    <row r="21" spans="2:23" x14ac:dyDescent="0.3">
      <c r="B21" s="3" t="s">
        <v>11</v>
      </c>
      <c r="C21" s="4">
        <f>IF(C20="","",(C9+C5)*(1+$C$11))</f>
        <v>648000</v>
      </c>
      <c r="D21" s="4">
        <f t="shared" ref="D21:V21" si="3">IF(D20="","",(C21+$C$5)*(1+$C$11))</f>
        <v>1347840</v>
      </c>
      <c r="E21" s="4">
        <f t="shared" si="3"/>
        <v>2103667.2000000002</v>
      </c>
      <c r="F21" s="4">
        <f t="shared" si="3"/>
        <v>2919960.5760000004</v>
      </c>
      <c r="G21" s="4">
        <f t="shared" si="3"/>
        <v>3801557.4220800004</v>
      </c>
      <c r="H21" s="4">
        <f t="shared" si="3"/>
        <v>4753682.0158464015</v>
      </c>
      <c r="I21" s="4">
        <f t="shared" si="3"/>
        <v>5781976.5771141136</v>
      </c>
      <c r="J21" s="4">
        <f t="shared" si="3"/>
        <v>6892534.7032832429</v>
      </c>
      <c r="K21" s="4">
        <f t="shared" si="3"/>
        <v>8091937.4795459025</v>
      </c>
      <c r="L21" s="4">
        <f t="shared" si="3"/>
        <v>9387292.4779095761</v>
      </c>
      <c r="M21" s="4">
        <f t="shared" si="3"/>
        <v>10786275.876142344</v>
      </c>
      <c r="N21" s="4">
        <f t="shared" si="3"/>
        <v>12297177.946233733</v>
      </c>
      <c r="O21" s="4">
        <f t="shared" si="3"/>
        <v>13928952.181932433</v>
      </c>
      <c r="P21" s="4">
        <f t="shared" si="3"/>
        <v>15691268.356487028</v>
      </c>
      <c r="Q21" s="4">
        <f t="shared" si="3"/>
        <v>17594569.825005993</v>
      </c>
      <c r="R21" s="4">
        <f t="shared" si="3"/>
        <v>19650135.411006473</v>
      </c>
      <c r="S21" s="4">
        <f t="shared" si="3"/>
        <v>21870146.243886992</v>
      </c>
      <c r="T21" s="4">
        <f t="shared" si="3"/>
        <v>24267757.943397954</v>
      </c>
      <c r="U21" s="4">
        <f t="shared" si="3"/>
        <v>26857178.578869794</v>
      </c>
      <c r="V21" s="4">
        <f t="shared" si="3"/>
        <v>29653752.865179379</v>
      </c>
    </row>
    <row r="22" spans="2:23" x14ac:dyDescent="0.3">
      <c r="B22" s="3" t="s">
        <v>12</v>
      </c>
      <c r="C22" s="4">
        <f>IFERROR(C21-(C9+C5),"")</f>
        <v>48000</v>
      </c>
      <c r="D22" s="4">
        <f t="shared" ref="D22:V22" si="4">IFERROR(D21-(C21+$C$5),"")</f>
        <v>99840</v>
      </c>
      <c r="E22" s="4">
        <f t="shared" si="4"/>
        <v>155827.20000000019</v>
      </c>
      <c r="F22" s="4">
        <f t="shared" si="4"/>
        <v>216293.37600000016</v>
      </c>
      <c r="G22" s="4">
        <f t="shared" si="4"/>
        <v>281596.84608000005</v>
      </c>
      <c r="H22" s="4">
        <f t="shared" si="4"/>
        <v>352124.59376640059</v>
      </c>
      <c r="I22" s="4">
        <f t="shared" si="4"/>
        <v>428294.56126771215</v>
      </c>
      <c r="J22" s="4">
        <f t="shared" si="4"/>
        <v>510558.12616912927</v>
      </c>
      <c r="K22" s="4">
        <f t="shared" si="4"/>
        <v>599402.77626265958</v>
      </c>
      <c r="L22" s="4">
        <f t="shared" si="4"/>
        <v>695354.99836367369</v>
      </c>
      <c r="M22" s="4">
        <f t="shared" si="4"/>
        <v>798983.39823276736</v>
      </c>
      <c r="N22" s="4">
        <f t="shared" si="4"/>
        <v>910902.07009138912</v>
      </c>
      <c r="O22" s="4">
        <f t="shared" si="4"/>
        <v>1031774.2356987</v>
      </c>
      <c r="P22" s="4">
        <f t="shared" si="4"/>
        <v>1162316.1745545957</v>
      </c>
      <c r="Q22" s="4">
        <f t="shared" si="4"/>
        <v>1303301.4685189649</v>
      </c>
      <c r="R22" s="4">
        <f t="shared" si="4"/>
        <v>1455565.5860004798</v>
      </c>
      <c r="S22" s="4">
        <f t="shared" si="4"/>
        <v>1620010.8328805193</v>
      </c>
      <c r="T22" s="4">
        <f t="shared" si="4"/>
        <v>1797611.6995109618</v>
      </c>
      <c r="U22" s="4">
        <f t="shared" si="4"/>
        <v>1989420.6354718395</v>
      </c>
      <c r="V22" s="4">
        <f t="shared" si="4"/>
        <v>2196574.286309585</v>
      </c>
      <c r="W22" s="1">
        <f>SUM(Tableau26[[#This Row],[Colonne2]:[Colonne21]])</f>
        <v>17653752.865179379</v>
      </c>
    </row>
    <row r="23" spans="2:23" x14ac:dyDescent="0.3">
      <c r="C23" s="6"/>
      <c r="D23" s="6"/>
      <c r="E23" s="6"/>
      <c r="F23" s="6"/>
      <c r="G23" s="6"/>
      <c r="H23" s="6"/>
    </row>
    <row r="24" spans="2:23" x14ac:dyDescent="0.3">
      <c r="B24" s="7" t="s">
        <v>15</v>
      </c>
      <c r="C24" s="8" t="str">
        <f>C20</f>
        <v>Année 1</v>
      </c>
      <c r="D24" s="8" t="str">
        <f>D20</f>
        <v>Année 2</v>
      </c>
      <c r="E24" s="8" t="str">
        <f>E20</f>
        <v>Année 3</v>
      </c>
      <c r="F24" s="8" t="str">
        <f>F20</f>
        <v>Année 4</v>
      </c>
      <c r="G24" s="8" t="str">
        <f>G20</f>
        <v>Année 5</v>
      </c>
      <c r="H24" s="8" t="s">
        <v>13</v>
      </c>
    </row>
    <row r="25" spans="2:23" x14ac:dyDescent="0.3">
      <c r="B25" s="3" t="s">
        <v>11</v>
      </c>
      <c r="C25" s="4">
        <f>IF(C24="","",($C$9+C5)*(1+$C$12))</f>
        <v>648000</v>
      </c>
      <c r="D25" s="4">
        <f>IF(D24="","",(C25+$C$5)*(1+$C$12))</f>
        <v>1347840</v>
      </c>
      <c r="E25" s="4">
        <f>IF(E24="","",(D25+$C$5)*(1+$C$12))</f>
        <v>2103667.2000000002</v>
      </c>
      <c r="F25" s="4">
        <f>IF(F24="","",(E25+$C$5)*(1+$C$12))</f>
        <v>2919960.5760000004</v>
      </c>
      <c r="G25" s="4">
        <f>IF(G24="","",(F25+$C$5)*(1+$C$12))</f>
        <v>3801557.4220800004</v>
      </c>
      <c r="H25" s="4"/>
    </row>
    <row r="26" spans="2:23" x14ac:dyDescent="0.3">
      <c r="B26" s="3" t="s">
        <v>12</v>
      </c>
      <c r="C26" s="4">
        <f>IFERROR((C25-($C$9+C5))*(1-$C$13),"")</f>
        <v>48000</v>
      </c>
      <c r="D26" s="4">
        <f>IFERROR((D25-(C25+$C$5))*(1-$C$13),"")</f>
        <v>99840</v>
      </c>
      <c r="E26" s="4">
        <f>IFERROR((E25-(D25+$C$5))*(1-$C$13),"")</f>
        <v>155827.20000000019</v>
      </c>
      <c r="F26" s="4">
        <f>IFERROR((F25-(E25+$C$5))*(1-$C$13),"")</f>
        <v>216293.37600000016</v>
      </c>
      <c r="G26" s="4">
        <f>IFERROR((G25-(F25+$C$5))*(1-$C$13),"")</f>
        <v>281596.84608000005</v>
      </c>
      <c r="H26" s="5">
        <f>SUM(C26:G26)</f>
        <v>801557.4220800004</v>
      </c>
    </row>
    <row r="27" spans="2:23" x14ac:dyDescent="0.3">
      <c r="C27" s="6"/>
      <c r="D27" s="6"/>
      <c r="E27" s="6"/>
      <c r="F27" s="6"/>
      <c r="G27" s="6"/>
      <c r="H27" s="6"/>
    </row>
    <row r="28" spans="2:23" x14ac:dyDescent="0.3">
      <c r="C28" s="6"/>
      <c r="D28" s="6"/>
      <c r="E28" s="6"/>
      <c r="F28" s="6"/>
      <c r="G28" s="6"/>
      <c r="H28" s="6"/>
    </row>
    <row r="29" spans="2:23" x14ac:dyDescent="0.3">
      <c r="B29" s="7" t="s">
        <v>16</v>
      </c>
      <c r="C29" s="8" t="s">
        <v>6</v>
      </c>
      <c r="D29" s="8" t="s">
        <v>7</v>
      </c>
      <c r="E29" s="8" t="s">
        <v>8</v>
      </c>
      <c r="F29" s="8" t="s">
        <v>9</v>
      </c>
      <c r="G29" s="8" t="s">
        <v>10</v>
      </c>
      <c r="H29" s="8" t="s">
        <v>13</v>
      </c>
    </row>
    <row r="30" spans="2:23" x14ac:dyDescent="0.3">
      <c r="B30" s="3" t="s">
        <v>5</v>
      </c>
      <c r="C30" s="5">
        <f t="shared" ref="C30:H30" si="5">C18</f>
        <v>48000</v>
      </c>
      <c r="D30" s="5">
        <f t="shared" si="5"/>
        <v>99840</v>
      </c>
      <c r="E30" s="5">
        <f t="shared" si="5"/>
        <v>155827.20000000019</v>
      </c>
      <c r="F30" s="5">
        <f t="shared" si="5"/>
        <v>216293.37600000016</v>
      </c>
      <c r="G30" s="5">
        <f t="shared" si="5"/>
        <v>281596.84608000005</v>
      </c>
      <c r="H30" s="5">
        <f t="shared" si="5"/>
        <v>352124.59376640059</v>
      </c>
    </row>
    <row r="31" spans="2:23" x14ac:dyDescent="0.3">
      <c r="B31" s="3" t="s">
        <v>15</v>
      </c>
      <c r="C31" s="5">
        <f t="shared" ref="C31:H31" si="6">C26</f>
        <v>48000</v>
      </c>
      <c r="D31" s="5">
        <f t="shared" si="6"/>
        <v>99840</v>
      </c>
      <c r="E31" s="5">
        <f t="shared" si="6"/>
        <v>155827.20000000019</v>
      </c>
      <c r="F31" s="5">
        <f t="shared" si="6"/>
        <v>216293.37600000016</v>
      </c>
      <c r="G31" s="5">
        <f t="shared" si="6"/>
        <v>281596.84608000005</v>
      </c>
      <c r="H31" s="5">
        <f t="shared" si="6"/>
        <v>801557.4220800004</v>
      </c>
    </row>
    <row r="32" spans="2:23" x14ac:dyDescent="0.3">
      <c r="B32" s="7" t="s">
        <v>17</v>
      </c>
      <c r="C32" s="8">
        <f>IFERROR(C30-C31,"")</f>
        <v>0</v>
      </c>
      <c r="D32" s="8">
        <f>IFERROR(D30-D31,"")</f>
        <v>0</v>
      </c>
      <c r="E32" s="8">
        <f>IFERROR(E30-E31,"")</f>
        <v>0</v>
      </c>
      <c r="F32" s="8">
        <f>IFERROR(F30-F31,"")</f>
        <v>0</v>
      </c>
      <c r="G32" s="8">
        <f>IFERROR(G30-G31,"")</f>
        <v>0</v>
      </c>
      <c r="H32" s="8">
        <f>H30-H31</f>
        <v>-449432.82831359981</v>
      </c>
    </row>
    <row r="33" spans="2:8" x14ac:dyDescent="0.3">
      <c r="C33" s="6"/>
      <c r="D33" s="6"/>
      <c r="E33" s="6"/>
      <c r="F33" s="6"/>
      <c r="G33" s="6"/>
      <c r="H33" s="6"/>
    </row>
    <row r="34" spans="2:8" x14ac:dyDescent="0.3">
      <c r="B34" s="7" t="s">
        <v>18</v>
      </c>
      <c r="C34" s="8" t="s">
        <v>6</v>
      </c>
      <c r="D34" s="8" t="s">
        <v>7</v>
      </c>
      <c r="E34" s="8" t="s">
        <v>8</v>
      </c>
      <c r="F34" s="8" t="s">
        <v>9</v>
      </c>
      <c r="G34" s="8" t="s">
        <v>10</v>
      </c>
      <c r="H34" s="8" t="s">
        <v>13</v>
      </c>
    </row>
    <row r="35" spans="2:8" x14ac:dyDescent="0.3">
      <c r="B35" s="3" t="s">
        <v>14</v>
      </c>
      <c r="C35" s="5">
        <f t="shared" ref="C35:H35" si="7">C22</f>
        <v>48000</v>
      </c>
      <c r="D35" s="5">
        <f t="shared" si="7"/>
        <v>99840</v>
      </c>
      <c r="E35" s="5">
        <f t="shared" si="7"/>
        <v>155827.20000000019</v>
      </c>
      <c r="F35" s="5">
        <f t="shared" si="7"/>
        <v>216293.37600000016</v>
      </c>
      <c r="G35" s="5">
        <f t="shared" si="7"/>
        <v>281596.84608000005</v>
      </c>
      <c r="H35" s="5">
        <f t="shared" si="7"/>
        <v>352124.59376640059</v>
      </c>
    </row>
    <row r="36" spans="2:8" x14ac:dyDescent="0.3">
      <c r="B36" s="3" t="s">
        <v>15</v>
      </c>
      <c r="C36" s="5">
        <f t="shared" ref="C36:H36" si="8">C26</f>
        <v>48000</v>
      </c>
      <c r="D36" s="5">
        <f t="shared" si="8"/>
        <v>99840</v>
      </c>
      <c r="E36" s="5">
        <f t="shared" si="8"/>
        <v>155827.20000000019</v>
      </c>
      <c r="F36" s="5">
        <f t="shared" si="8"/>
        <v>216293.37600000016</v>
      </c>
      <c r="G36" s="5">
        <f t="shared" si="8"/>
        <v>281596.84608000005</v>
      </c>
      <c r="H36" s="5">
        <f t="shared" si="8"/>
        <v>801557.4220800004</v>
      </c>
    </row>
    <row r="37" spans="2:8" x14ac:dyDescent="0.3">
      <c r="B37" s="18" t="s">
        <v>17</v>
      </c>
      <c r="C37" s="19">
        <f>IFERROR(C35-C36,"")</f>
        <v>0</v>
      </c>
      <c r="D37" s="19">
        <f>IFERROR(D35-D36,"")</f>
        <v>0</v>
      </c>
      <c r="E37" s="19">
        <f>IFERROR(E35-E36,"")</f>
        <v>0</v>
      </c>
      <c r="F37" s="19">
        <f>IFERROR(F35-F36,"")</f>
        <v>0</v>
      </c>
      <c r="G37" s="19">
        <f>IFERROR(G35-G36,"")</f>
        <v>0</v>
      </c>
      <c r="H37" s="19">
        <f>H35-H36</f>
        <v>-449432.82831359981</v>
      </c>
    </row>
  </sheetData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7256-C8A8-4FA9-85D5-B0CF4B533399}">
  <dimension ref="E1:L67"/>
  <sheetViews>
    <sheetView workbookViewId="0">
      <selection activeCell="F13" sqref="F13"/>
    </sheetView>
  </sheetViews>
  <sheetFormatPr baseColWidth="10" defaultRowHeight="14.4" x14ac:dyDescent="0.3"/>
  <cols>
    <col min="5" max="5" width="22.44140625" bestFit="1" customWidth="1"/>
    <col min="6" max="6" width="13.33203125" bestFit="1" customWidth="1"/>
    <col min="9" max="9" width="13.5546875" bestFit="1" customWidth="1"/>
    <col min="11" max="11" width="22.44140625" bestFit="1" customWidth="1"/>
    <col min="12" max="12" width="12" bestFit="1" customWidth="1"/>
  </cols>
  <sheetData>
    <row r="1" spans="5:12" x14ac:dyDescent="0.3">
      <c r="E1" t="s">
        <v>63</v>
      </c>
      <c r="F1" s="29">
        <f>F6/12</f>
        <v>5.8333333333333336E-3</v>
      </c>
      <c r="K1" t="s">
        <v>63</v>
      </c>
      <c r="L1" s="29">
        <f>L6</f>
        <v>0.09</v>
      </c>
    </row>
    <row r="3" spans="5:12" x14ac:dyDescent="0.3">
      <c r="E3" s="23" t="s">
        <v>64</v>
      </c>
      <c r="F3" s="24">
        <v>100000</v>
      </c>
      <c r="K3" s="23" t="s">
        <v>64</v>
      </c>
      <c r="L3" s="24">
        <v>100000</v>
      </c>
    </row>
    <row r="4" spans="5:12" x14ac:dyDescent="0.3">
      <c r="E4" s="25" t="s">
        <v>58</v>
      </c>
      <c r="F4" s="22">
        <v>36</v>
      </c>
      <c r="G4" s="32">
        <f>F4/12</f>
        <v>3</v>
      </c>
      <c r="K4" s="25" t="s">
        <v>58</v>
      </c>
      <c r="L4" s="22">
        <v>3</v>
      </c>
    </row>
    <row r="5" spans="5:12" x14ac:dyDescent="0.3">
      <c r="E5" s="26" t="s">
        <v>57</v>
      </c>
      <c r="F5" s="24">
        <v>25000</v>
      </c>
      <c r="I5">
        <v>60</v>
      </c>
      <c r="K5" s="26" t="s">
        <v>57</v>
      </c>
      <c r="L5" s="24">
        <v>50000</v>
      </c>
    </row>
    <row r="6" spans="5:12" x14ac:dyDescent="0.3">
      <c r="E6" s="3" t="s">
        <v>62</v>
      </c>
      <c r="F6" s="33">
        <v>7.0000000000000007E-2</v>
      </c>
      <c r="K6" s="3" t="s">
        <v>62</v>
      </c>
      <c r="L6" s="33">
        <v>0.09</v>
      </c>
    </row>
    <row r="7" spans="5:12" x14ac:dyDescent="0.3">
      <c r="E7" s="26" t="s">
        <v>60</v>
      </c>
      <c r="F7" s="24">
        <f>F5*F4+F3</f>
        <v>1000000</v>
      </c>
      <c r="K7" s="26" t="s">
        <v>60</v>
      </c>
      <c r="L7" s="24">
        <f>L5*L4+L3</f>
        <v>250000</v>
      </c>
    </row>
    <row r="8" spans="5:12" x14ac:dyDescent="0.3">
      <c r="E8" s="3" t="s">
        <v>12</v>
      </c>
      <c r="F8" s="27">
        <f>F3*(1+F1)^F4+F5*(((1+F1)^F4-1)/F1)*(1+F1)</f>
        <v>1127368.2161928781</v>
      </c>
      <c r="H8" s="32">
        <f>F3*(1+F6)^G4</f>
        <v>122504.30000000002</v>
      </c>
      <c r="K8" s="3" t="s">
        <v>12</v>
      </c>
      <c r="L8" s="27">
        <f>L5*(((1+L6)^3-1)/L6)*(1+L6)</f>
        <v>178656.45000000013</v>
      </c>
    </row>
    <row r="9" spans="5:12" x14ac:dyDescent="0.3">
      <c r="E9" s="26" t="s">
        <v>65</v>
      </c>
      <c r="F9" s="24">
        <f>F8-F7</f>
        <v>127368.21619287808</v>
      </c>
      <c r="G9" s="29">
        <f>F9/F7</f>
        <v>0.12736821619287808</v>
      </c>
      <c r="K9" s="26" t="s">
        <v>65</v>
      </c>
      <c r="L9" s="24">
        <f>L8-L7</f>
        <v>-71343.549999999872</v>
      </c>
    </row>
    <row r="12" spans="5:12" x14ac:dyDescent="0.3">
      <c r="F12" s="29">
        <f>F9/F7</f>
        <v>0.12736821619287808</v>
      </c>
    </row>
    <row r="13" spans="5:12" x14ac:dyDescent="0.3">
      <c r="F13" s="29">
        <f>F12/3</f>
        <v>4.2456072064292694E-2</v>
      </c>
      <c r="K13" t="s">
        <v>63</v>
      </c>
      <c r="L13" s="29">
        <f>L18</f>
        <v>0.08</v>
      </c>
    </row>
    <row r="15" spans="5:12" x14ac:dyDescent="0.3">
      <c r="K15" s="23" t="s">
        <v>64</v>
      </c>
      <c r="L15" s="24"/>
    </row>
    <row r="16" spans="5:12" x14ac:dyDescent="0.3">
      <c r="K16" s="25" t="s">
        <v>58</v>
      </c>
      <c r="L16" s="22">
        <v>3</v>
      </c>
    </row>
    <row r="17" spans="5:12" x14ac:dyDescent="0.3">
      <c r="H17">
        <v>20</v>
      </c>
      <c r="K17" s="26" t="s">
        <v>57</v>
      </c>
      <c r="L17" s="24">
        <v>30000000</v>
      </c>
    </row>
    <row r="18" spans="5:12" x14ac:dyDescent="0.3">
      <c r="H18">
        <v>20</v>
      </c>
      <c r="K18" s="3" t="s">
        <v>62</v>
      </c>
      <c r="L18" s="33">
        <v>0.08</v>
      </c>
    </row>
    <row r="19" spans="5:12" x14ac:dyDescent="0.3">
      <c r="H19">
        <v>20</v>
      </c>
      <c r="K19" s="26" t="s">
        <v>60</v>
      </c>
      <c r="L19" s="24">
        <f>L17*L16+L15</f>
        <v>90000000</v>
      </c>
    </row>
    <row r="20" spans="5:12" x14ac:dyDescent="0.3">
      <c r="E20" s="32">
        <f>F3/12</f>
        <v>8333.3333333333339</v>
      </c>
      <c r="H20">
        <v>30</v>
      </c>
      <c r="K20" s="3" t="s">
        <v>12</v>
      </c>
      <c r="L20" s="27">
        <f>L17*(((1+L18)^3-1)/L18)*(1+L18)</f>
        <v>105183360.00000007</v>
      </c>
    </row>
    <row r="21" spans="5:12" x14ac:dyDescent="0.3">
      <c r="H21">
        <v>50</v>
      </c>
      <c r="K21" s="26" t="s">
        <v>65</v>
      </c>
      <c r="L21" s="24">
        <f>L20-L19</f>
        <v>15183360.000000075</v>
      </c>
    </row>
    <row r="22" spans="5:12" x14ac:dyDescent="0.3">
      <c r="H22">
        <v>370</v>
      </c>
      <c r="I22">
        <v>5000</v>
      </c>
    </row>
    <row r="23" spans="5:12" x14ac:dyDescent="0.3">
      <c r="H23">
        <v>200</v>
      </c>
      <c r="I23">
        <v>5000</v>
      </c>
    </row>
    <row r="24" spans="5:12" x14ac:dyDescent="0.3">
      <c r="H24">
        <f>SUM(H17:H23)</f>
        <v>710</v>
      </c>
      <c r="I24">
        <f>SUM(I22:I23)</f>
        <v>10000</v>
      </c>
    </row>
    <row r="25" spans="5:12" x14ac:dyDescent="0.3">
      <c r="H25">
        <f>H24*100</f>
        <v>71000</v>
      </c>
      <c r="I25">
        <f>H25+I24</f>
        <v>81000</v>
      </c>
    </row>
    <row r="34" spans="5:11" x14ac:dyDescent="0.3">
      <c r="G34">
        <v>9</v>
      </c>
      <c r="H34">
        <f>G34*2</f>
        <v>18</v>
      </c>
    </row>
    <row r="35" spans="5:11" x14ac:dyDescent="0.3">
      <c r="G35">
        <v>10.33</v>
      </c>
      <c r="H35">
        <f>G35</f>
        <v>10.33</v>
      </c>
    </row>
    <row r="36" spans="5:11" x14ac:dyDescent="0.3">
      <c r="H36">
        <f>SUM(H34:H35)</f>
        <v>28.33</v>
      </c>
    </row>
    <row r="37" spans="5:11" x14ac:dyDescent="0.3">
      <c r="H37">
        <f>H36/3</f>
        <v>9.4433333333333334</v>
      </c>
    </row>
    <row r="40" spans="5:11" x14ac:dyDescent="0.3">
      <c r="F40">
        <v>1</v>
      </c>
      <c r="G40">
        <v>2</v>
      </c>
    </row>
    <row r="41" spans="5:11" x14ac:dyDescent="0.3">
      <c r="E41" t="s">
        <v>67</v>
      </c>
      <c r="F41">
        <v>13</v>
      </c>
      <c r="G41">
        <v>13</v>
      </c>
      <c r="H41">
        <f>G41*$G$40</f>
        <v>26</v>
      </c>
      <c r="I41" s="34">
        <f>(F41+H41)/3</f>
        <v>13</v>
      </c>
    </row>
    <row r="42" spans="5:11" x14ac:dyDescent="0.3">
      <c r="E42" t="s">
        <v>68</v>
      </c>
      <c r="F42">
        <v>14</v>
      </c>
      <c r="G42">
        <v>14</v>
      </c>
      <c r="H42">
        <f t="shared" ref="H42:H44" si="0">G42*$G$40</f>
        <v>28</v>
      </c>
      <c r="I42" s="34">
        <f t="shared" ref="I42:I44" si="1">(F42+H42)/3</f>
        <v>14</v>
      </c>
    </row>
    <row r="43" spans="5:11" x14ac:dyDescent="0.3">
      <c r="E43" t="s">
        <v>69</v>
      </c>
      <c r="F43">
        <v>14</v>
      </c>
      <c r="G43">
        <v>13</v>
      </c>
      <c r="H43">
        <f t="shared" si="0"/>
        <v>26</v>
      </c>
      <c r="I43" s="34">
        <f t="shared" si="1"/>
        <v>13.333333333333334</v>
      </c>
    </row>
    <row r="44" spans="5:11" x14ac:dyDescent="0.3">
      <c r="E44" t="s">
        <v>70</v>
      </c>
      <c r="F44">
        <v>12</v>
      </c>
      <c r="G44">
        <v>12</v>
      </c>
      <c r="H44">
        <f t="shared" si="0"/>
        <v>24</v>
      </c>
      <c r="I44" s="34">
        <f t="shared" si="1"/>
        <v>12</v>
      </c>
    </row>
    <row r="47" spans="5:11" x14ac:dyDescent="0.3">
      <c r="F47">
        <v>1</v>
      </c>
      <c r="G47">
        <v>2</v>
      </c>
    </row>
    <row r="48" spans="5:11" x14ac:dyDescent="0.3">
      <c r="E48" t="s">
        <v>67</v>
      </c>
      <c r="F48">
        <v>15.5</v>
      </c>
      <c r="G48">
        <v>16</v>
      </c>
      <c r="H48">
        <f>G48*$G$47</f>
        <v>32</v>
      </c>
      <c r="I48" s="35">
        <f>(F48+H48)/3</f>
        <v>15.833333333333334</v>
      </c>
      <c r="K48">
        <v>63.52</v>
      </c>
    </row>
    <row r="49" spans="5:11" x14ac:dyDescent="0.3">
      <c r="E49" t="s">
        <v>68</v>
      </c>
      <c r="F49">
        <v>13.5</v>
      </c>
      <c r="G49">
        <v>14</v>
      </c>
      <c r="H49">
        <f t="shared" ref="H49:H51" si="2">G49*$G$47</f>
        <v>28</v>
      </c>
      <c r="I49" s="35">
        <f t="shared" ref="I49:I51" si="3">(F49+H49)/3</f>
        <v>13.833333333333334</v>
      </c>
      <c r="K49">
        <f>K48/4</f>
        <v>15.88</v>
      </c>
    </row>
    <row r="50" spans="5:11" x14ac:dyDescent="0.3">
      <c r="E50" t="s">
        <v>69</v>
      </c>
      <c r="F50">
        <v>15.88</v>
      </c>
      <c r="G50">
        <v>16</v>
      </c>
      <c r="H50">
        <f t="shared" si="2"/>
        <v>32</v>
      </c>
      <c r="I50" s="35">
        <f t="shared" si="3"/>
        <v>15.96</v>
      </c>
    </row>
    <row r="51" spans="5:11" x14ac:dyDescent="0.3">
      <c r="E51" t="s">
        <v>70</v>
      </c>
      <c r="F51">
        <v>15.83</v>
      </c>
      <c r="G51">
        <v>16.25</v>
      </c>
      <c r="H51">
        <f t="shared" si="2"/>
        <v>32.5</v>
      </c>
      <c r="I51" s="35">
        <f t="shared" si="3"/>
        <v>16.11</v>
      </c>
    </row>
    <row r="59" spans="5:11" x14ac:dyDescent="0.3">
      <c r="G59" s="1">
        <v>5500</v>
      </c>
    </row>
    <row r="60" spans="5:11" x14ac:dyDescent="0.3">
      <c r="G60" s="1">
        <v>12000</v>
      </c>
    </row>
    <row r="61" spans="5:11" x14ac:dyDescent="0.3">
      <c r="G61" s="1">
        <v>3500</v>
      </c>
    </row>
    <row r="62" spans="5:11" x14ac:dyDescent="0.3">
      <c r="G62" s="1">
        <v>7000</v>
      </c>
    </row>
    <row r="63" spans="5:11" x14ac:dyDescent="0.3">
      <c r="G63" s="1">
        <v>6500</v>
      </c>
    </row>
    <row r="64" spans="5:11" x14ac:dyDescent="0.3">
      <c r="G64" s="1">
        <v>2500</v>
      </c>
    </row>
    <row r="65" spans="7:7" x14ac:dyDescent="0.3">
      <c r="G65" s="1">
        <v>100</v>
      </c>
    </row>
    <row r="66" spans="7:7" x14ac:dyDescent="0.3">
      <c r="G66" s="1">
        <v>3500</v>
      </c>
    </row>
    <row r="67" spans="7:7" x14ac:dyDescent="0.3">
      <c r="G67" s="1">
        <f>SUM(G59:G66)</f>
        <v>40600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08d90d3-9afd-44ad-855a-42752a3a4510}" enabled="1" method="Privileged" siteId="{abee7908-bd4a-4a23-856c-3249f688f0d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Koffi</dc:creator>
  <cp:lastModifiedBy>Ahmed Koffi</cp:lastModifiedBy>
  <dcterms:created xsi:type="dcterms:W3CDTF">2025-04-02T06:17:53Z</dcterms:created>
  <dcterms:modified xsi:type="dcterms:W3CDTF">2025-10-28T12:50:17Z</dcterms:modified>
</cp:coreProperties>
</file>