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" sheetId="1" r:id="rId4"/>
    <sheet state="visible" name="My Portfolio" sheetId="2" r:id="rId5"/>
  </sheets>
  <definedNames>
    <definedName localSheetId="0" name="muvec">Portfolio!$J$13:$M$17</definedName>
    <definedName localSheetId="0" name="bvecep">Portfolio!$BF$3:$BF$9</definedName>
    <definedName localSheetId="0" name="solver_lhs2">Portfolio!$BQ$8</definedName>
    <definedName localSheetId="0" name="epwt">Portfolio!$BJ$2:$BJ$6</definedName>
    <definedName localSheetId="0" name="rfa">Portfolio!$CA$23</definedName>
    <definedName name="amatgmv">'My Portfolio'!$AH$3:$AM$8</definedName>
    <definedName name="amatep">'My Portfolio'!$AX$3:$BD$9</definedName>
    <definedName name="adenter">'My Portfolio'!$B$3:$B$62</definedName>
    <definedName name="evec">'My Portfolio'!$O$3:$S$62</definedName>
    <definedName name="rfp">'My Portfolio'!$CH$22</definedName>
    <definedName name="epwt3">'My Portfolio'!$BX$2:$BX$6</definedName>
    <definedName name="muvec">'My Portfolio'!$J$13:$M$17</definedName>
    <definedName name="bvecep">'My Portfolio'!$BF$3:$BF$9</definedName>
    <definedName name="currwt">'My Portfolio'!$AC$2:$AC$6</definedName>
    <definedName localSheetId="0" name="gmvwt">Portfolio!$AS$2:$AS$6</definedName>
    <definedName name="onevec">'My Portfolio'!$CC$2:$CC$6</definedName>
    <definedName name="covmat">'My Portfolio'!$V$3:$Z$7</definedName>
    <definedName localSheetId="0" name="rfp">Portfolio!$CA$22</definedName>
    <definedName localSheetId="0" name="currwt">Portfolio!$AC$2:$AC$6</definedName>
    <definedName name="epwt">'My Portfolio'!$BJ$2:$BJ$6</definedName>
    <definedName localSheetId="0" name="amatep">Portfolio!$AX$3:$BD$9</definedName>
    <definedName localSheetId="0" name="solver_lhs1">Portfolio!$CG$8</definedName>
    <definedName localSheetId="0" name="solver_opt">Portfolio!$CG$12</definedName>
    <definedName localSheetId="0" name="covmat">Portfolio!$V$3:$Z$7</definedName>
    <definedName localSheetId="1" name="solver_adj">'My Portfolio'!$BX$2:$BX$6</definedName>
    <definedName localSheetId="0" name="onevec">Portfolio!$BV$2:$BV$6</definedName>
    <definedName name="gmvwt">'My Portfolio'!$AS$2:$AS$6</definedName>
    <definedName name="rfa">'My Portfolio'!$CH$23</definedName>
    <definedName localSheetId="1" name="solver_lhs2">'My Portfolio'!$BQ$8</definedName>
    <definedName name="opwt2">Portfolio!$CG$2:$CG$6</definedName>
    <definedName name="epwt2">'My Portfolio'!$BQ$2:$BQ$6</definedName>
    <definedName name="ticker">'My Portfolio'!$B$2:$F$2</definedName>
    <definedName localSheetId="1" name="solver_opt">'My Portfolio'!$BX$12</definedName>
    <definedName localSheetId="0" name="opwt">Portfolio!$CA$2:$CA$6</definedName>
    <definedName localSheetId="0" name="adenter">Portfolio!$B$3:$B$62</definedName>
    <definedName localSheetId="0" name="bvecgmv">Portfolio!$AO$3:$AO$8</definedName>
    <definedName name="bvecgmv">'My Portfolio'!$AO$3:$AO$8</definedName>
    <definedName localSheetId="0" name="evec">Portfolio!$O$3:$S$62</definedName>
    <definedName localSheetId="0" name="ticker">Portfolio!$B$2:$F$2</definedName>
    <definedName localSheetId="0" name="amatgmv">Portfolio!$AH$3:$AM$8</definedName>
    <definedName localSheetId="1" name="solver_lhs1">'My Portfolio'!$BX$8</definedName>
    <definedName localSheetId="0" name="epwt2">Portfolio!$BQ$2:$BQ$6</definedName>
    <definedName localSheetId="0" name="solver_adj">Portfolio!$CG$2:$CG$6</definedName>
    <definedName name="opwt">'My Portfolio'!$CH$2:$CH$6</definedName>
  </definedNames>
  <calcPr/>
</workbook>
</file>

<file path=xl/sharedStrings.xml><?xml version="1.0" encoding="utf-8"?>
<sst xmlns="http://schemas.openxmlformats.org/spreadsheetml/2006/main" count="461" uniqueCount="77">
  <si>
    <t>Tickers</t>
  </si>
  <si>
    <t>Statistics</t>
  </si>
  <si>
    <r>
      <rPr>
        <rFont val="Calibri"/>
        <b/>
        <color theme="1"/>
        <sz val="12.0"/>
        <u/>
      </rPr>
      <t>De-Meaned returns</t>
    </r>
    <r>
      <rPr>
        <rFont val="Calibri"/>
        <b/>
        <i/>
        <color theme="1"/>
        <sz val="12.0"/>
        <u/>
      </rPr>
      <t xml:space="preserve"> (evec)</t>
    </r>
  </si>
  <si>
    <r>
      <rPr>
        <rFont val="Calibri"/>
        <b/>
        <color theme="1"/>
        <sz val="12.0"/>
        <u/>
      </rPr>
      <t xml:space="preserve">Covariance matrix </t>
    </r>
    <r>
      <rPr>
        <rFont val="Calibri"/>
        <b/>
        <i/>
        <color theme="1"/>
        <sz val="12.0"/>
        <u/>
      </rPr>
      <t>(covmat)</t>
    </r>
  </si>
  <si>
    <r>
      <rPr>
        <rFont val="Calibri"/>
        <b/>
        <color theme="1"/>
        <sz val="12.0"/>
        <u/>
      </rPr>
      <t xml:space="preserve">Equally weighted portfolio </t>
    </r>
    <r>
      <rPr>
        <rFont val="Calibri"/>
        <b/>
        <i/>
        <color theme="1"/>
        <sz val="12.0"/>
        <u/>
      </rPr>
      <t>(currwt)</t>
    </r>
  </si>
  <si>
    <t>A-Matrix (GMV)</t>
  </si>
  <si>
    <t>B Vector (GMV)</t>
  </si>
  <si>
    <r>
      <rPr>
        <rFont val="Calibri"/>
        <b/>
        <color theme="1"/>
        <sz val="12.0"/>
        <u/>
      </rPr>
      <t xml:space="preserve">GMV portfolio </t>
    </r>
    <r>
      <rPr>
        <rFont val="Calibri"/>
        <b/>
        <i/>
        <color theme="1"/>
        <sz val="12.0"/>
        <u/>
      </rPr>
      <t>(gmvwt)</t>
    </r>
  </si>
  <si>
    <t>A-Matrix (EP)</t>
  </si>
  <si>
    <t>B Vector (EP)</t>
  </si>
  <si>
    <r>
      <rPr>
        <rFont val="Calibri"/>
        <b/>
        <color theme="1"/>
        <sz val="12.0"/>
        <u/>
      </rPr>
      <t xml:space="preserve">Efficient portfolio </t>
    </r>
    <r>
      <rPr>
        <rFont val="Calibri"/>
        <b/>
        <i/>
        <color theme="1"/>
        <sz val="12.0"/>
        <u/>
      </rPr>
      <t>(epwt)</t>
    </r>
  </si>
  <si>
    <t>Minimizing StdDev</t>
  </si>
  <si>
    <r>
      <rPr>
        <rFont val="Calibri"/>
        <b/>
        <color theme="1"/>
        <sz val="12.0"/>
        <u/>
      </rPr>
      <t xml:space="preserve">Efficient portfolio </t>
    </r>
    <r>
      <rPr>
        <rFont val="Calibri"/>
        <b/>
        <i/>
        <color theme="1"/>
        <sz val="12.0"/>
        <u/>
      </rPr>
      <t>(epwt)</t>
    </r>
  </si>
  <si>
    <t>Maximizing Er</t>
  </si>
  <si>
    <t>One Vector (onevec)</t>
  </si>
  <si>
    <r>
      <rPr>
        <rFont val="Calibri"/>
        <b/>
        <color theme="1"/>
        <sz val="12.0"/>
        <u/>
      </rPr>
      <t xml:space="preserve">Optimal portfolio </t>
    </r>
    <r>
      <rPr>
        <rFont val="Calibri"/>
        <b/>
        <i/>
        <color theme="1"/>
        <sz val="12.0"/>
        <u/>
      </rPr>
      <t>(opwt)</t>
    </r>
  </si>
  <si>
    <r>
      <rPr>
        <rFont val="Calibri"/>
        <b/>
        <color theme="1"/>
        <sz val="12.0"/>
        <u/>
      </rPr>
      <t xml:space="preserve">Optimal portfolio </t>
    </r>
    <r>
      <rPr>
        <rFont val="Calibri"/>
        <b/>
        <i/>
        <color theme="1"/>
        <sz val="12.0"/>
        <u/>
      </rPr>
      <t>(opwt)</t>
    </r>
  </si>
  <si>
    <t>Efficient Frontier Construction</t>
  </si>
  <si>
    <t>Periodic</t>
  </si>
  <si>
    <t xml:space="preserve">Annual </t>
  </si>
  <si>
    <t>Ideal Combinations</t>
  </si>
  <si>
    <t>Capital Allocation Line</t>
  </si>
  <si>
    <t>Date</t>
  </si>
  <si>
    <t>BAC</t>
  </si>
  <si>
    <t>BTC-USD</t>
  </si>
  <si>
    <t>GC=F</t>
  </si>
  <si>
    <t>TSLA</t>
  </si>
  <si>
    <t>VOO</t>
  </si>
  <si>
    <t>wGMV</t>
  </si>
  <si>
    <t>wEP</t>
  </si>
  <si>
    <t>Er</t>
  </si>
  <si>
    <t>StdDev</t>
  </si>
  <si>
    <t>rF</t>
  </si>
  <si>
    <t>Average</t>
  </si>
  <si>
    <t>Std Deviation</t>
  </si>
  <si>
    <t>Skew</t>
  </si>
  <si>
    <t>Kurtosis</t>
  </si>
  <si>
    <t>Variance</t>
  </si>
  <si>
    <t>Avg Yearly ret</t>
  </si>
  <si>
    <t>sum</t>
  </si>
  <si>
    <t>Var Yearly</t>
  </si>
  <si>
    <t>w*R or w*mu</t>
  </si>
  <si>
    <t>w'Sw</t>
  </si>
  <si>
    <t>MUVEC</t>
  </si>
  <si>
    <t>SR</t>
  </si>
  <si>
    <t>Er-Rf/StdDev</t>
  </si>
  <si>
    <t>Annual</t>
  </si>
  <si>
    <t>w*Mu * 12</t>
  </si>
  <si>
    <t>w'Sw * sqrt 12</t>
  </si>
  <si>
    <t>Ann Er-Ann Rf / Ann StdDev</t>
  </si>
  <si>
    <t>Market Assumptions</t>
  </si>
  <si>
    <t>RiskFreeReturn</t>
  </si>
  <si>
    <t>Probability of Loss (one-year)</t>
  </si>
  <si>
    <t>Enter your rates</t>
  </si>
  <si>
    <t>APR</t>
  </si>
  <si>
    <t>Current Portfolio</t>
  </si>
  <si>
    <t>Efficient Portfolio 1</t>
  </si>
  <si>
    <t>Efficient Portfolio 2</t>
  </si>
  <si>
    <t>Optimal</t>
  </si>
  <si>
    <t>Annual Expected Return</t>
  </si>
  <si>
    <t>Annual SD</t>
  </si>
  <si>
    <t>Sharpe</t>
  </si>
  <si>
    <r>
      <rPr>
        <rFont val="Calibri"/>
        <b/>
        <color theme="1"/>
        <sz val="12.0"/>
        <u/>
      </rPr>
      <t>De-Meaned returns</t>
    </r>
    <r>
      <rPr>
        <rFont val="Calibri"/>
        <b/>
        <i/>
        <color theme="1"/>
        <sz val="12.0"/>
        <u/>
      </rPr>
      <t xml:space="preserve"> (evec)</t>
    </r>
  </si>
  <si>
    <r>
      <rPr>
        <rFont val="Calibri"/>
        <b/>
        <color theme="1"/>
        <sz val="12.0"/>
        <u/>
      </rPr>
      <t xml:space="preserve">Covariance matrix </t>
    </r>
    <r>
      <rPr>
        <rFont val="Calibri"/>
        <b/>
        <i/>
        <color theme="1"/>
        <sz val="12.0"/>
        <u/>
      </rPr>
      <t>(covmat)</t>
    </r>
  </si>
  <si>
    <r>
      <rPr>
        <rFont val="Calibri"/>
        <b/>
        <color theme="1"/>
        <sz val="12.0"/>
        <u/>
      </rPr>
      <t xml:space="preserve">Equally weighted portfolio </t>
    </r>
    <r>
      <rPr>
        <rFont val="Calibri"/>
        <b/>
        <i/>
        <color theme="1"/>
        <sz val="12.0"/>
        <u/>
      </rPr>
      <t>(currwt)</t>
    </r>
  </si>
  <si>
    <r>
      <rPr>
        <rFont val="Calibri"/>
        <b/>
        <color theme="1"/>
        <sz val="12.0"/>
        <u/>
      </rPr>
      <t xml:space="preserve">GMV portfolio </t>
    </r>
    <r>
      <rPr>
        <rFont val="Calibri"/>
        <b/>
        <i/>
        <color theme="1"/>
        <sz val="12.0"/>
        <u/>
      </rPr>
      <t>(gmvwt)</t>
    </r>
  </si>
  <si>
    <r>
      <rPr>
        <rFont val="Calibri"/>
        <b/>
        <color theme="1"/>
        <sz val="12.0"/>
        <u/>
      </rPr>
      <t xml:space="preserve">Efficient portfolio </t>
    </r>
    <r>
      <rPr>
        <rFont val="Calibri"/>
        <b/>
        <i/>
        <color theme="1"/>
        <sz val="12.0"/>
        <u/>
      </rPr>
      <t>(epwt)</t>
    </r>
  </si>
  <si>
    <r>
      <rPr>
        <rFont val="Calibri"/>
        <b/>
        <color theme="1"/>
        <sz val="12.0"/>
        <u/>
      </rPr>
      <t xml:space="preserve">Efficient portfolio </t>
    </r>
    <r>
      <rPr>
        <rFont val="Calibri"/>
        <b/>
        <i/>
        <color theme="1"/>
        <sz val="12.0"/>
        <u/>
      </rPr>
      <t>(epwt2)</t>
    </r>
  </si>
  <si>
    <r>
      <rPr>
        <rFont val="Calibri"/>
        <b/>
        <color theme="1"/>
        <sz val="12.0"/>
        <u/>
      </rPr>
      <t xml:space="preserve">Efficient portfolio </t>
    </r>
    <r>
      <rPr>
        <rFont val="Calibri"/>
        <b/>
        <i/>
        <color theme="1"/>
        <sz val="12.0"/>
        <u/>
      </rPr>
      <t>(epwt3)</t>
    </r>
  </si>
  <si>
    <t>Maximizing SR</t>
  </si>
  <si>
    <r>
      <rPr>
        <rFont val="Calibri"/>
        <b/>
        <color theme="1"/>
        <sz val="12.0"/>
        <u/>
      </rPr>
      <t xml:space="preserve">Optimal portfolio </t>
    </r>
    <r>
      <rPr>
        <rFont val="Calibri"/>
        <b/>
        <i/>
        <color theme="1"/>
        <sz val="12.0"/>
        <u/>
      </rPr>
      <t>(opwt)</t>
    </r>
  </si>
  <si>
    <t>ADANIENT.NS</t>
  </si>
  <si>
    <t>ADANIPOWER.NS</t>
  </si>
  <si>
    <t>JSWENERGY.NS</t>
  </si>
  <si>
    <t>LAURUSLABS.NS</t>
  </si>
  <si>
    <t>VEDL.NS</t>
  </si>
  <si>
    <t>wORP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</si>
</sst>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0.000%"/>
    <numFmt numFmtId="166" formatCode="0.0000%"/>
    <numFmt numFmtId="167" formatCode="_(* #,##0.0000_);_(* \(#,##0.0000\);_(* &quot;-&quot;??_);_(@_)"/>
    <numFmt numFmtId="168" formatCode="0.000000000000000%"/>
    <numFmt numFmtId="169" formatCode="_(* #,##0.00_);_(* \(#,##0.00\);_(* &quot;-&quot;??_);_(@_)"/>
  </numFmts>
  <fonts count="19">
    <font>
      <sz val="11.0"/>
      <color theme="1"/>
      <name val="Calibri"/>
      <scheme val="minor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/>
    <font>
      <b/>
      <u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i/>
      <sz val="11.0"/>
      <color theme="1"/>
      <name val="Calibri"/>
    </font>
    <font>
      <sz val="9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2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Border="1" applyFill="1" applyFont="1"/>
    <xf borderId="2" fillId="2" fontId="4" numFmtId="0" xfId="0" applyAlignment="1" applyBorder="1" applyFont="1">
      <alignment horizontal="left"/>
    </xf>
    <xf borderId="3" fillId="0" fontId="5" numFmtId="0" xfId="0" applyBorder="1" applyFont="1"/>
    <xf borderId="4" fillId="0" fontId="5" numFmtId="0" xfId="0" applyBorder="1" applyFont="1"/>
    <xf borderId="1" fillId="3" fontId="6" numFmtId="0" xfId="0" applyBorder="1" applyFill="1" applyFont="1"/>
    <xf borderId="2" fillId="3" fontId="7" numFmtId="0" xfId="0" applyAlignment="1" applyBorder="1" applyFont="1">
      <alignment horizontal="center"/>
    </xf>
    <xf borderId="1" fillId="4" fontId="8" numFmtId="0" xfId="0" applyBorder="1" applyFill="1" applyFont="1"/>
    <xf borderId="2" fillId="4" fontId="9" numFmtId="0" xfId="0" applyAlignment="1" applyBorder="1" applyFont="1">
      <alignment horizontal="center"/>
    </xf>
    <xf borderId="0" fillId="0" fontId="10" numFmtId="0" xfId="0" applyAlignment="1" applyFont="1">
      <alignment horizontal="left"/>
    </xf>
    <xf borderId="1" fillId="5" fontId="11" numFmtId="0" xfId="0" applyBorder="1" applyFill="1" applyFont="1"/>
    <xf borderId="2" fillId="5" fontId="12" numFmtId="0" xfId="0" applyAlignment="1" applyBorder="1" applyFont="1">
      <alignment horizontal="center"/>
    </xf>
    <xf borderId="0" fillId="0" fontId="13" numFmtId="0" xfId="0" applyFont="1"/>
    <xf borderId="1" fillId="2" fontId="13" numFmtId="0" xfId="0" applyBorder="1" applyFont="1"/>
    <xf borderId="1" fillId="2" fontId="14" numFmtId="9" xfId="0" applyBorder="1" applyFont="1" applyNumberFormat="1"/>
    <xf borderId="1" fillId="3" fontId="13" numFmtId="0" xfId="0" applyBorder="1" applyFont="1"/>
    <xf borderId="1" fillId="3" fontId="14" numFmtId="9" xfId="0" applyBorder="1" applyFont="1" applyNumberFormat="1"/>
    <xf borderId="1" fillId="4" fontId="13" numFmtId="0" xfId="0" applyBorder="1" applyFont="1"/>
    <xf borderId="1" fillId="4" fontId="14" numFmtId="9" xfId="0" applyBorder="1" applyFont="1" applyNumberFormat="1"/>
    <xf borderId="0" fillId="0" fontId="15" numFmtId="0" xfId="0" applyFont="1"/>
    <xf borderId="1" fillId="5" fontId="13" numFmtId="0" xfId="0" applyBorder="1" applyFont="1"/>
    <xf borderId="1" fillId="5" fontId="14" numFmtId="9" xfId="0" applyBorder="1" applyFont="1" applyNumberFormat="1"/>
    <xf borderId="0" fillId="0" fontId="14" numFmtId="14" xfId="0" applyFont="1" applyNumberFormat="1"/>
    <xf borderId="0" fillId="0" fontId="16" numFmtId="0" xfId="0" applyFont="1"/>
    <xf borderId="1" fillId="6" fontId="14" numFmtId="0" xfId="0" applyBorder="1" applyFill="1" applyFont="1"/>
    <xf borderId="1" fillId="2" fontId="14" numFmtId="0" xfId="0" applyBorder="1" applyFont="1"/>
    <xf borderId="1" fillId="3" fontId="14" numFmtId="0" xfId="0" applyBorder="1" applyFont="1"/>
    <xf borderId="1" fillId="4" fontId="14" numFmtId="0" xfId="0" applyBorder="1" applyFont="1"/>
    <xf borderId="1" fillId="5" fontId="14" numFmtId="0" xfId="0" applyBorder="1" applyFont="1"/>
    <xf borderId="0" fillId="0" fontId="14" numFmtId="9" xfId="0" applyFont="1" applyNumberFormat="1"/>
    <xf borderId="0" fillId="0" fontId="14" numFmtId="164" xfId="0" applyFont="1" applyNumberFormat="1"/>
    <xf borderId="0" fillId="0" fontId="15" numFmtId="9" xfId="0" applyFont="1" applyNumberFormat="1"/>
    <xf borderId="0" fillId="0" fontId="13" numFmtId="165" xfId="0" applyFont="1" applyNumberFormat="1"/>
    <xf borderId="0" fillId="0" fontId="14" numFmtId="10" xfId="0" applyFont="1" applyNumberFormat="1"/>
    <xf borderId="0" fillId="0" fontId="14" numFmtId="165" xfId="0" applyFont="1" applyNumberFormat="1"/>
    <xf borderId="0" fillId="7" fontId="16" numFmtId="0" xfId="0" applyFill="1" applyFont="1"/>
    <xf borderId="0" fillId="7" fontId="15" numFmtId="0" xfId="0" applyFont="1"/>
    <xf borderId="1" fillId="7" fontId="14" numFmtId="0" xfId="0" applyBorder="1" applyFont="1"/>
    <xf borderId="5" fillId="2" fontId="14" numFmtId="0" xfId="0" applyBorder="1" applyFont="1"/>
    <xf borderId="5" fillId="2" fontId="14" numFmtId="9" xfId="0" applyBorder="1" applyFont="1" applyNumberFormat="1"/>
    <xf borderId="5" fillId="3" fontId="14" numFmtId="0" xfId="0" applyBorder="1" applyFont="1"/>
    <xf borderId="5" fillId="3" fontId="14" numFmtId="9" xfId="0" applyBorder="1" applyFont="1" applyNumberFormat="1"/>
    <xf borderId="5" fillId="4" fontId="14" numFmtId="0" xfId="0" applyBorder="1" applyFont="1"/>
    <xf borderId="5" fillId="4" fontId="14" numFmtId="9" xfId="0" applyBorder="1" applyFont="1" applyNumberFormat="1"/>
    <xf borderId="5" fillId="5" fontId="14" numFmtId="0" xfId="0" applyBorder="1" applyFont="1"/>
    <xf borderId="5" fillId="5" fontId="14" numFmtId="9" xfId="0" applyBorder="1" applyFont="1" applyNumberFormat="1"/>
    <xf borderId="6" fillId="2" fontId="13" numFmtId="0" xfId="0" applyAlignment="1" applyBorder="1" applyFont="1">
      <alignment horizontal="center" vertical="center"/>
    </xf>
    <xf borderId="7" fillId="2" fontId="14" numFmtId="0" xfId="0" applyBorder="1" applyFont="1"/>
    <xf borderId="8" fillId="2" fontId="14" numFmtId="166" xfId="0" applyBorder="1" applyFont="1" applyNumberFormat="1"/>
    <xf borderId="6" fillId="3" fontId="13" numFmtId="0" xfId="0" applyAlignment="1" applyBorder="1" applyFont="1">
      <alignment horizontal="center" vertical="center"/>
    </xf>
    <xf borderId="7" fillId="3" fontId="14" numFmtId="0" xfId="0" applyBorder="1" applyFont="1"/>
    <xf borderId="8" fillId="3" fontId="14" numFmtId="166" xfId="0" applyBorder="1" applyFont="1" applyNumberFormat="1"/>
    <xf borderId="6" fillId="4" fontId="13" numFmtId="0" xfId="0" applyAlignment="1" applyBorder="1" applyFont="1">
      <alignment horizontal="center" vertical="center"/>
    </xf>
    <xf borderId="7" fillId="4" fontId="14" numFmtId="0" xfId="0" applyBorder="1" applyFont="1"/>
    <xf borderId="8" fillId="4" fontId="14" numFmtId="165" xfId="0" applyBorder="1" applyFont="1" applyNumberFormat="1"/>
    <xf borderId="8" fillId="4" fontId="13" numFmtId="165" xfId="0" applyBorder="1" applyFont="1" applyNumberFormat="1"/>
    <xf borderId="6" fillId="5" fontId="13" numFmtId="0" xfId="0" applyAlignment="1" applyBorder="1" applyFont="1">
      <alignment horizontal="center" vertical="center"/>
    </xf>
    <xf borderId="7" fillId="5" fontId="14" numFmtId="0" xfId="0" applyBorder="1" applyFont="1"/>
    <xf borderId="8" fillId="5" fontId="14" numFmtId="165" xfId="0" applyBorder="1" applyFont="1" applyNumberFormat="1"/>
    <xf borderId="9" fillId="0" fontId="5" numFmtId="0" xfId="0" applyBorder="1" applyFont="1"/>
    <xf borderId="10" fillId="2" fontId="14" numFmtId="0" xfId="0" applyBorder="1" applyFont="1"/>
    <xf borderId="11" fillId="2" fontId="14" numFmtId="166" xfId="0" applyBorder="1" applyFont="1" applyNumberFormat="1"/>
    <xf borderId="10" fillId="3" fontId="14" numFmtId="0" xfId="0" applyBorder="1" applyFont="1"/>
    <xf borderId="11" fillId="3" fontId="14" numFmtId="166" xfId="0" applyBorder="1" applyFont="1" applyNumberFormat="1"/>
    <xf borderId="10" fillId="4" fontId="14" numFmtId="0" xfId="0" applyBorder="1" applyFont="1"/>
    <xf borderId="11" fillId="4" fontId="13" numFmtId="10" xfId="0" applyBorder="1" applyFont="1" applyNumberFormat="1"/>
    <xf borderId="11" fillId="4" fontId="14" numFmtId="10" xfId="0" applyBorder="1" applyFont="1" applyNumberFormat="1"/>
    <xf borderId="10" fillId="5" fontId="14" numFmtId="0" xfId="0" applyBorder="1" applyFont="1"/>
    <xf borderId="11" fillId="5" fontId="14" numFmtId="165" xfId="0" applyBorder="1" applyFont="1" applyNumberFormat="1"/>
    <xf borderId="0" fillId="0" fontId="13" numFmtId="0" xfId="0" applyAlignment="1" applyFont="1">
      <alignment horizontal="center"/>
    </xf>
    <xf borderId="12" fillId="0" fontId="5" numFmtId="0" xfId="0" applyBorder="1" applyFont="1"/>
    <xf borderId="13" fillId="2" fontId="14" numFmtId="0" xfId="0" applyBorder="1" applyFont="1"/>
    <xf borderId="14" fillId="2" fontId="14" numFmtId="9" xfId="0" applyBorder="1" applyFont="1" applyNumberFormat="1"/>
    <xf borderId="13" fillId="3" fontId="14" numFmtId="0" xfId="0" applyBorder="1" applyFont="1"/>
    <xf borderId="14" fillId="3" fontId="14" numFmtId="9" xfId="0" applyBorder="1" applyFont="1" applyNumberFormat="1"/>
    <xf borderId="13" fillId="4" fontId="14" numFmtId="0" xfId="0" applyBorder="1" applyFont="1"/>
    <xf borderId="14" fillId="4" fontId="14" numFmtId="167" xfId="0" applyBorder="1" applyFont="1" applyNumberFormat="1"/>
    <xf borderId="13" fillId="5" fontId="14" numFmtId="0" xfId="0" applyBorder="1" applyFont="1"/>
    <xf borderId="14" fillId="5" fontId="14" numFmtId="167" xfId="0" applyBorder="1" applyFont="1" applyNumberFormat="1"/>
    <xf borderId="14" fillId="5" fontId="13" numFmtId="167" xfId="0" applyBorder="1" applyFont="1" applyNumberFormat="1"/>
    <xf borderId="1" fillId="4" fontId="14" numFmtId="10" xfId="0" applyBorder="1" applyFont="1" applyNumberFormat="1"/>
    <xf borderId="0" fillId="0" fontId="14" numFmtId="168" xfId="0" applyFont="1" applyNumberFormat="1"/>
    <xf borderId="8" fillId="3" fontId="14" numFmtId="165" xfId="0" applyBorder="1" applyFont="1" applyNumberFormat="1"/>
    <xf borderId="11" fillId="3" fontId="14" numFmtId="165" xfId="0" applyBorder="1" applyFont="1" applyNumberFormat="1"/>
    <xf borderId="11" fillId="4" fontId="14" numFmtId="165" xfId="0" applyBorder="1" applyFont="1" applyNumberFormat="1"/>
    <xf borderId="2" fillId="2" fontId="13" numFmtId="0" xfId="0" applyAlignment="1" applyBorder="1" applyFont="1">
      <alignment horizontal="center"/>
    </xf>
    <xf borderId="2" fillId="3" fontId="13" numFmtId="0" xfId="0" applyAlignment="1" applyBorder="1" applyFont="1">
      <alignment horizontal="center"/>
    </xf>
    <xf borderId="2" fillId="4" fontId="13" numFmtId="0" xfId="0" applyAlignment="1" applyBorder="1" applyFont="1">
      <alignment horizontal="center"/>
    </xf>
    <xf borderId="2" fillId="5" fontId="13" numFmtId="0" xfId="0" applyAlignment="1" applyBorder="1" applyFont="1">
      <alignment horizontal="center"/>
    </xf>
    <xf borderId="2" fillId="2" fontId="17" numFmtId="0" xfId="0" applyAlignment="1" applyBorder="1" applyFont="1">
      <alignment horizontal="center"/>
    </xf>
    <xf borderId="2" fillId="3" fontId="17" numFmtId="0" xfId="0" applyAlignment="1" applyBorder="1" applyFont="1">
      <alignment horizontal="center"/>
    </xf>
    <xf borderId="2" fillId="4" fontId="17" numFmtId="0" xfId="0" applyAlignment="1" applyBorder="1" applyFont="1">
      <alignment horizontal="center"/>
    </xf>
    <xf borderId="2" fillId="5" fontId="17" numFmtId="0" xfId="0" applyAlignment="1" applyBorder="1" applyFont="1">
      <alignment horizontal="center"/>
    </xf>
    <xf borderId="8" fillId="4" fontId="14" numFmtId="166" xfId="0" applyBorder="1" applyFont="1" applyNumberFormat="1"/>
    <xf borderId="15" fillId="0" fontId="14" numFmtId="0" xfId="0" applyAlignment="1" applyBorder="1" applyFont="1">
      <alignment horizontal="center"/>
    </xf>
    <xf borderId="16" fillId="0" fontId="5" numFmtId="0" xfId="0" applyBorder="1" applyFont="1"/>
    <xf borderId="17" fillId="0" fontId="5" numFmtId="0" xfId="0" applyBorder="1" applyFont="1"/>
    <xf borderId="14" fillId="2" fontId="14" numFmtId="166" xfId="0" applyBorder="1" applyFont="1" applyNumberFormat="1"/>
    <xf borderId="14" fillId="3" fontId="14" numFmtId="165" xfId="0" applyBorder="1" applyFont="1" applyNumberFormat="1"/>
    <xf borderId="14" fillId="4" fontId="14" numFmtId="166" xfId="0" applyBorder="1" applyFont="1" applyNumberFormat="1"/>
    <xf borderId="14" fillId="5" fontId="14" numFmtId="165" xfId="0" applyBorder="1" applyFont="1" applyNumberFormat="1"/>
    <xf borderId="1" fillId="5" fontId="18" numFmtId="0" xfId="0" applyBorder="1" applyFont="1"/>
    <xf borderId="18" fillId="0" fontId="14" numFmtId="165" xfId="0" applyBorder="1" applyFont="1" applyNumberFormat="1"/>
    <xf borderId="19" fillId="0" fontId="14" numFmtId="0" xfId="0" applyBorder="1" applyFont="1"/>
    <xf borderId="18" fillId="0" fontId="14" numFmtId="0" xfId="0" applyBorder="1" applyFont="1"/>
    <xf borderId="19" fillId="0" fontId="14" numFmtId="165" xfId="0" applyBorder="1" applyFont="1" applyNumberFormat="1"/>
    <xf borderId="0" fillId="0" fontId="14" numFmtId="169" xfId="0" applyFont="1" applyNumberFormat="1"/>
    <xf borderId="20" fillId="0" fontId="14" numFmtId="0" xfId="0" applyBorder="1" applyFont="1"/>
    <xf borderId="21" fillId="0" fontId="14" numFmtId="10" xfId="0" applyBorder="1" applyFont="1" applyNumberFormat="1"/>
    <xf borderId="22" fillId="0" fontId="14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2329443"/>
        <c:axId val="1221086090"/>
      </c:scatterChart>
      <c:valAx>
        <c:axId val="1023294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21086090"/>
      </c:valAx>
      <c:valAx>
        <c:axId val="122108609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0232944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9145504"/>
        <c:axId val="239528210"/>
      </c:scatterChart>
      <c:valAx>
        <c:axId val="91455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39528210"/>
      </c:valAx>
      <c:valAx>
        <c:axId val="23952821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145504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119</xdr:col>
      <xdr:colOff>266700</xdr:colOff>
      <xdr:row>2</xdr:row>
      <xdr:rowOff>133350</xdr:rowOff>
    </xdr:from>
    <xdr:ext cx="437197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121</xdr:col>
      <xdr:colOff>266700</xdr:colOff>
      <xdr:row>2</xdr:row>
      <xdr:rowOff>133350</xdr:rowOff>
    </xdr:from>
    <xdr:ext cx="4371975" cy="27146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0" width="8.71"/>
    <col customWidth="1" min="21" max="21" width="13.0"/>
    <col customWidth="1" min="22" max="27" width="8.71"/>
    <col customWidth="1" min="28" max="28" width="10.43"/>
    <col customWidth="1" min="29" max="29" width="8.71"/>
    <col customWidth="1" min="30" max="30" width="12.14"/>
    <col customWidth="1" min="31" max="61" width="8.71"/>
    <col customWidth="1" min="62" max="62" width="11.29"/>
    <col customWidth="1" min="63" max="68" width="8.71"/>
    <col customWidth="1" min="69" max="69" width="11.29"/>
    <col customWidth="1" min="70" max="74" width="8.71"/>
    <col customWidth="1" min="75" max="75" width="20.29"/>
    <col customWidth="1" min="76" max="78" width="8.71"/>
    <col customWidth="1" min="79" max="79" width="11.86"/>
    <col customWidth="1" min="80" max="84" width="8.71"/>
    <col customWidth="1" min="85" max="85" width="11.86"/>
    <col customWidth="1" min="86" max="115" width="8.71"/>
    <col customWidth="1" hidden="1" min="116" max="116" width="4.71"/>
    <col customWidth="1" hidden="1" min="117" max="117" width="5.14"/>
    <col customWidth="1" min="118" max="127" width="8.71"/>
  </cols>
  <sheetData>
    <row r="1" ht="14.25" customHeight="1">
      <c r="A1" s="1"/>
      <c r="B1" s="2" t="s">
        <v>0</v>
      </c>
      <c r="G1" s="1"/>
      <c r="H1" s="1"/>
      <c r="I1" s="2" t="s">
        <v>1</v>
      </c>
      <c r="N1" s="1"/>
      <c r="O1" s="2" t="s">
        <v>2</v>
      </c>
      <c r="T1" s="1"/>
      <c r="U1" s="2" t="s">
        <v>3</v>
      </c>
      <c r="AA1" s="3">
        <v>1.0</v>
      </c>
      <c r="AB1" s="4" t="s">
        <v>4</v>
      </c>
      <c r="AC1" s="5"/>
      <c r="AD1" s="6"/>
      <c r="AE1" s="3"/>
      <c r="AF1" s="3"/>
      <c r="AG1" s="1"/>
      <c r="AH1" s="2" t="s">
        <v>5</v>
      </c>
      <c r="AM1" s="1"/>
      <c r="AN1" s="1"/>
      <c r="AO1" s="1" t="s">
        <v>6</v>
      </c>
      <c r="AP1" s="1"/>
      <c r="AQ1" s="7">
        <v>2.0</v>
      </c>
      <c r="AR1" s="8" t="s">
        <v>7</v>
      </c>
      <c r="AS1" s="5"/>
      <c r="AT1" s="6"/>
      <c r="AU1" s="7"/>
      <c r="AV1" s="7"/>
      <c r="AW1" s="1"/>
      <c r="AX1" s="2" t="s">
        <v>8</v>
      </c>
      <c r="BC1" s="1"/>
      <c r="BD1" s="1"/>
      <c r="BE1" s="1"/>
      <c r="BF1" s="1" t="s">
        <v>9</v>
      </c>
      <c r="BG1" s="1"/>
      <c r="BH1" s="9">
        <v>3.0</v>
      </c>
      <c r="BI1" s="10" t="s">
        <v>10</v>
      </c>
      <c r="BJ1" s="5"/>
      <c r="BK1" s="6"/>
      <c r="BL1" s="9" t="s">
        <v>11</v>
      </c>
      <c r="BM1" s="9"/>
      <c r="BN1" s="1"/>
      <c r="BO1" s="9">
        <v>3.0</v>
      </c>
      <c r="BP1" s="10" t="s">
        <v>12</v>
      </c>
      <c r="BQ1" s="5"/>
      <c r="BR1" s="6"/>
      <c r="BS1" s="9" t="s">
        <v>13</v>
      </c>
      <c r="BT1" s="9"/>
      <c r="BU1" s="1"/>
      <c r="BV1" s="11" t="s">
        <v>14</v>
      </c>
      <c r="BX1" s="1"/>
      <c r="BY1" s="12">
        <v>4.0</v>
      </c>
      <c r="BZ1" s="13" t="s">
        <v>15</v>
      </c>
      <c r="CA1" s="5"/>
      <c r="CB1" s="6"/>
      <c r="CC1" s="12"/>
      <c r="CD1" s="12"/>
      <c r="CE1" s="12">
        <v>4.0</v>
      </c>
      <c r="CF1" s="13" t="s">
        <v>16</v>
      </c>
      <c r="CG1" s="5"/>
      <c r="CH1" s="6"/>
      <c r="CI1" s="12"/>
      <c r="CJ1" s="12"/>
      <c r="CK1" s="1"/>
      <c r="CL1" s="1"/>
      <c r="CM1" s="1" t="s">
        <v>17</v>
      </c>
      <c r="CN1" s="1"/>
      <c r="CO1" s="1"/>
      <c r="CP1" s="1"/>
      <c r="CQ1" s="1"/>
      <c r="CR1" s="1"/>
      <c r="CS1" s="1"/>
      <c r="CT1" s="2" t="s">
        <v>18</v>
      </c>
      <c r="CV1" s="2" t="s">
        <v>19</v>
      </c>
      <c r="CX1" s="2"/>
      <c r="CY1" s="1"/>
      <c r="CZ1" s="1" t="s">
        <v>20</v>
      </c>
      <c r="DA1" s="1"/>
      <c r="DB1" s="1"/>
      <c r="DC1" s="1"/>
      <c r="DD1" s="1"/>
      <c r="DE1" s="1"/>
      <c r="DF1" s="2"/>
      <c r="DG1" s="2" t="s">
        <v>18</v>
      </c>
      <c r="DI1" s="2" t="s">
        <v>19</v>
      </c>
      <c r="DK1" s="2"/>
      <c r="DL1" s="11" t="s">
        <v>21</v>
      </c>
      <c r="DN1" s="2"/>
      <c r="DO1" s="1"/>
      <c r="DP1" s="1"/>
      <c r="DQ1" s="1"/>
      <c r="DR1" s="1"/>
      <c r="DS1" s="1"/>
      <c r="DT1" s="1"/>
      <c r="DU1" s="1"/>
      <c r="DV1" s="1"/>
      <c r="DW1" s="1"/>
    </row>
    <row r="2" ht="14.25" customHeight="1">
      <c r="A2" s="14" t="s">
        <v>22</v>
      </c>
      <c r="B2" s="14" t="s">
        <v>23</v>
      </c>
      <c r="C2" s="14" t="s">
        <v>24</v>
      </c>
      <c r="D2" s="14" t="s">
        <v>25</v>
      </c>
      <c r="E2" s="14" t="s">
        <v>26</v>
      </c>
      <c r="F2" s="14" t="s">
        <v>27</v>
      </c>
      <c r="G2" s="14"/>
      <c r="H2" s="14"/>
      <c r="I2" s="14" t="str">
        <f t="array" ref="I2:M2">Portfolio!ticker</f>
        <v>BAC</v>
      </c>
      <c r="J2" s="14" t="s">
        <v>24</v>
      </c>
      <c r="K2" s="14" t="s">
        <v>25</v>
      </c>
      <c r="L2" s="14" t="s">
        <v>26</v>
      </c>
      <c r="M2" s="14" t="s">
        <v>27</v>
      </c>
      <c r="N2" s="14"/>
      <c r="O2" s="14" t="str">
        <f t="array" ref="O2:S2">Portfolio!ticker</f>
        <v>BAC</v>
      </c>
      <c r="P2" s="14" t="s">
        <v>24</v>
      </c>
      <c r="Q2" s="14" t="s">
        <v>25</v>
      </c>
      <c r="R2" s="14" t="s">
        <v>26</v>
      </c>
      <c r="S2" s="14" t="s">
        <v>27</v>
      </c>
      <c r="T2" s="14"/>
      <c r="U2" s="14"/>
      <c r="V2" s="14" t="str">
        <f t="array" ref="V2:Z2">Portfolio!ticker</f>
        <v>BAC</v>
      </c>
      <c r="W2" s="14" t="s">
        <v>24</v>
      </c>
      <c r="X2" s="14" t="s">
        <v>25</v>
      </c>
      <c r="Y2" s="14" t="s">
        <v>26</v>
      </c>
      <c r="Z2" s="14" t="s">
        <v>27</v>
      </c>
      <c r="AA2" s="15"/>
      <c r="AB2" s="15" t="str">
        <f t="array" ref="AB2:AB6">TRANSPOSE(Portfolio!ticker)</f>
        <v>BAC</v>
      </c>
      <c r="AC2" s="16">
        <v>0.2</v>
      </c>
      <c r="AD2" s="15"/>
      <c r="AE2" s="15"/>
      <c r="AF2" s="15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7"/>
      <c r="AR2" s="17" t="str">
        <f t="array" ref="AR2:AR6">TRANSPOSE(Portfolio!ticker)</f>
        <v>BAC</v>
      </c>
      <c r="AS2" s="18">
        <f t="array" ref="AS2:AS6">MMULT(MINVERSE(Portfolio!amatgmv),Portfolio!bvecgmv)</f>
        <v>0.02111890738</v>
      </c>
      <c r="AT2" s="17"/>
      <c r="AU2" s="17"/>
      <c r="AV2" s="17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9"/>
      <c r="BI2" s="19" t="str">
        <f t="array" ref="BI2:BI6">TRANSPOSE(Portfolio!ticker)</f>
        <v>BAC</v>
      </c>
      <c r="BJ2" s="20">
        <f t="array" ref="BJ2:BJ6">MMULT(MINVERSE(Portfolio!amatep),Portfolio!bvecep)</f>
        <v>-0.1553448978</v>
      </c>
      <c r="BK2" s="19"/>
      <c r="BL2" s="19"/>
      <c r="BM2" s="19"/>
      <c r="BN2" s="14"/>
      <c r="BO2" s="19"/>
      <c r="BP2" s="19" t="str">
        <f t="array" ref="BP2:BP6">TRANSPOSE(Portfolio!ticker)</f>
        <v>BAC</v>
      </c>
      <c r="BQ2" s="20">
        <v>0.0</v>
      </c>
      <c r="BR2" s="19"/>
      <c r="BS2" s="19"/>
      <c r="BT2" s="19"/>
      <c r="BU2" s="14"/>
      <c r="BV2" s="21">
        <v>1.0</v>
      </c>
      <c r="BW2" s="14"/>
      <c r="BX2" s="14"/>
      <c r="BY2" s="22"/>
      <c r="BZ2" s="22" t="str">
        <f t="array" ref="BZ2:BZ6">TRANSPOSE(Portfolio!ticker)</f>
        <v>BAC</v>
      </c>
      <c r="CA2" s="23">
        <f t="array" ref="CA2:CA6">MMULT(MINVERSE(Portfolio!covmat),(Portfolio!muvec-Portfolio!rfp))/MMULT(MMULT(TRANSPOSE(Portfolio!onevec),MINVERSE(Portfolio!covmat)),(Portfolio!muvec-Portfolio!rfp))</f>
        <v>-0.1852681954</v>
      </c>
      <c r="CB2" s="22"/>
      <c r="CC2" s="22"/>
      <c r="CD2" s="22"/>
      <c r="CE2" s="22"/>
      <c r="CF2" s="22" t="str">
        <f t="array" ref="CF2:CF6">TRANSPOSE(Portfolio!ticker)</f>
        <v>BAC</v>
      </c>
      <c r="CG2" s="23">
        <v>-0.18525078177856497</v>
      </c>
      <c r="CH2" s="22"/>
      <c r="CI2" s="22"/>
      <c r="CJ2" s="22"/>
      <c r="CK2" s="14"/>
      <c r="CL2" s="14" t="s">
        <v>28</v>
      </c>
      <c r="CM2" s="14" t="s">
        <v>29</v>
      </c>
      <c r="CN2" s="14" t="str">
        <f t="array" ref="CN2:CR2">Portfolio!ticker</f>
        <v>BAC</v>
      </c>
      <c r="CO2" s="14" t="s">
        <v>24</v>
      </c>
      <c r="CP2" s="14" t="s">
        <v>25</v>
      </c>
      <c r="CQ2" s="14" t="s">
        <v>26</v>
      </c>
      <c r="CR2" s="14" t="s">
        <v>27</v>
      </c>
      <c r="CS2" s="14"/>
      <c r="CT2" s="14" t="s">
        <v>30</v>
      </c>
      <c r="CU2" s="14" t="s">
        <v>31</v>
      </c>
      <c r="CV2" s="14" t="s">
        <v>30</v>
      </c>
      <c r="CW2" s="14" t="s">
        <v>31</v>
      </c>
      <c r="CX2" s="14"/>
      <c r="CY2" s="14" t="s">
        <v>29</v>
      </c>
      <c r="CZ2" s="14" t="s">
        <v>32</v>
      </c>
      <c r="DA2" s="14" t="str">
        <f t="array" ref="DA2:DE2">Portfolio!ticker</f>
        <v>BAC</v>
      </c>
      <c r="DB2" s="14" t="s">
        <v>24</v>
      </c>
      <c r="DC2" s="14" t="s">
        <v>25</v>
      </c>
      <c r="DD2" s="14" t="s">
        <v>26</v>
      </c>
      <c r="DE2" s="14" t="s">
        <v>27</v>
      </c>
      <c r="DF2" s="14"/>
      <c r="DG2" s="14" t="s">
        <v>31</v>
      </c>
      <c r="DH2" s="14" t="s">
        <v>30</v>
      </c>
      <c r="DI2" s="14" t="s">
        <v>31</v>
      </c>
      <c r="DJ2" s="14" t="s">
        <v>30</v>
      </c>
      <c r="DK2" s="14"/>
      <c r="DL2" s="14" t="s">
        <v>30</v>
      </c>
      <c r="DM2" s="14" t="s">
        <v>31</v>
      </c>
      <c r="DN2" s="14"/>
      <c r="DO2" s="14"/>
      <c r="DP2" s="14"/>
      <c r="DQ2" s="14"/>
      <c r="DR2" s="14"/>
      <c r="DS2" s="14"/>
      <c r="DT2" s="14"/>
      <c r="DU2" s="14"/>
      <c r="DV2" s="14"/>
      <c r="DW2" s="14"/>
    </row>
    <row r="3" ht="14.25" customHeight="1">
      <c r="A3" s="24">
        <v>45139.0</v>
      </c>
      <c r="B3" s="21">
        <v>-0.0253124833106994</v>
      </c>
      <c r="C3" s="21">
        <v>-0.00267369298983144</v>
      </c>
      <c r="D3" s="21">
        <v>-0.0167977546744163</v>
      </c>
      <c r="E3" s="21">
        <v>-0.0498073979367683</v>
      </c>
      <c r="F3" s="21">
        <v>-0.0169011730420994</v>
      </c>
      <c r="H3" s="25" t="s">
        <v>33</v>
      </c>
      <c r="I3" s="21">
        <f t="shared" ref="I3:M3" si="1">AVERAGE(B3:B62)</f>
        <v>0.006701106405</v>
      </c>
      <c r="J3" s="21">
        <f t="shared" si="1"/>
        <v>0.04508259406</v>
      </c>
      <c r="K3" s="21">
        <f t="shared" si="1"/>
        <v>0.008667376445</v>
      </c>
      <c r="L3" s="21">
        <f t="shared" si="1"/>
        <v>0.0644614164</v>
      </c>
      <c r="M3" s="21">
        <f t="shared" si="1"/>
        <v>0.01030795835</v>
      </c>
      <c r="O3" s="21">
        <f t="shared" ref="O3:S3" si="2">B3-I$3</f>
        <v>-0.03201358972</v>
      </c>
      <c r="P3" s="21">
        <f t="shared" si="2"/>
        <v>-0.04775628705</v>
      </c>
      <c r="Q3" s="21">
        <f t="shared" si="2"/>
        <v>-0.02546513112</v>
      </c>
      <c r="R3" s="21">
        <f t="shared" si="2"/>
        <v>-0.1142688143</v>
      </c>
      <c r="S3" s="21">
        <f t="shared" si="2"/>
        <v>-0.02720913139</v>
      </c>
      <c r="U3" s="14" t="str">
        <f t="array" ref="U3:U7">TRANSPOSE(Portfolio!ticker)</f>
        <v>BAC</v>
      </c>
      <c r="V3" s="26">
        <f t="array" ref="V3:Z7">MMULT(TRANSPOSE(Portfolio!evec),Portfolio!evec)/(COUNT(Portfolio!adenter)-1)</f>
        <v>0.009231943735</v>
      </c>
      <c r="W3" s="21">
        <v>0.006672870832584323</v>
      </c>
      <c r="X3" s="21">
        <v>-6.628346857319533E-5</v>
      </c>
      <c r="Y3" s="21">
        <v>0.006897716825326271</v>
      </c>
      <c r="Z3" s="21">
        <v>0.004212051827305294</v>
      </c>
      <c r="AA3" s="27"/>
      <c r="AB3" s="15" t="s">
        <v>24</v>
      </c>
      <c r="AC3" s="16">
        <v>0.2</v>
      </c>
      <c r="AD3" s="27"/>
      <c r="AE3" s="27"/>
      <c r="AF3" s="27"/>
      <c r="AH3" s="21">
        <f t="array" ref="AH3:AL7">2*Portfolio!covmat</f>
        <v>0.01846388747</v>
      </c>
      <c r="AI3" s="21">
        <v>0.013345741665168645</v>
      </c>
      <c r="AJ3" s="21">
        <v>-1.3256693714639066E-4</v>
      </c>
      <c r="AK3" s="21">
        <v>0.013795433650652542</v>
      </c>
      <c r="AL3" s="21">
        <v>0.008424103654610588</v>
      </c>
      <c r="AM3" s="21">
        <v>1.0</v>
      </c>
      <c r="AO3" s="21">
        <v>0.0</v>
      </c>
      <c r="AQ3" s="28"/>
      <c r="AR3" s="17" t="s">
        <v>24</v>
      </c>
      <c r="AS3" s="18">
        <v>-0.01925933876626892</v>
      </c>
      <c r="AT3" s="28"/>
      <c r="AU3" s="28"/>
      <c r="AV3" s="28"/>
      <c r="AX3" s="21">
        <f t="array" ref="AX3:BC8">Portfolio!amatgmv</f>
        <v>0.01846388747</v>
      </c>
      <c r="AY3" s="21">
        <v>0.013345741665168645</v>
      </c>
      <c r="AZ3" s="21">
        <v>-1.3256693714639066E-4</v>
      </c>
      <c r="BA3" s="21">
        <v>0.013795433650652542</v>
      </c>
      <c r="BB3" s="21">
        <v>0.008424103654610588</v>
      </c>
      <c r="BC3" s="21">
        <v>1.0</v>
      </c>
      <c r="BD3" s="21">
        <f t="array" ref="BD3:BD7">Portfolio!muvec</f>
        <v>0.006701106405</v>
      </c>
      <c r="BF3" s="21">
        <v>0.0</v>
      </c>
      <c r="BH3" s="29"/>
      <c r="BI3" s="19" t="s">
        <v>24</v>
      </c>
      <c r="BJ3" s="20">
        <v>0.12217357767028253</v>
      </c>
      <c r="BK3" s="29"/>
      <c r="BL3" s="29"/>
      <c r="BM3" s="29"/>
      <c r="BO3" s="29"/>
      <c r="BP3" s="19" t="s">
        <v>24</v>
      </c>
      <c r="BQ3" s="20">
        <v>0.14159727635407585</v>
      </c>
      <c r="BR3" s="29"/>
      <c r="BS3" s="29"/>
      <c r="BT3" s="29"/>
      <c r="BV3" s="21">
        <v>1.0</v>
      </c>
      <c r="BY3" s="30"/>
      <c r="BZ3" s="22" t="s">
        <v>24</v>
      </c>
      <c r="CA3" s="23">
        <v>0.146156621893051</v>
      </c>
      <c r="CB3" s="30"/>
      <c r="CC3" s="30"/>
      <c r="CD3" s="30"/>
      <c r="CE3" s="30"/>
      <c r="CF3" s="22" t="s">
        <v>24</v>
      </c>
      <c r="CG3" s="23">
        <v>0.14615469216134036</v>
      </c>
      <c r="CH3" s="30"/>
      <c r="CI3" s="30"/>
      <c r="CJ3" s="30"/>
      <c r="CL3" s="31">
        <v>1.0</v>
      </c>
      <c r="CM3" s="32">
        <f t="shared" ref="CM3:CM97" si="5">1-CL3</f>
        <v>0</v>
      </c>
      <c r="CN3" s="33">
        <f t="array" ref="CN3:CR3">TRANSPOSE(CL3*Portfolio!gmvwt+CM3*Portfolio!epwt2)</f>
        <v>0.02111890738</v>
      </c>
      <c r="CO3" s="33">
        <v>-0.01925933876626892</v>
      </c>
      <c r="CP3" s="33">
        <v>0.7278166587688698</v>
      </c>
      <c r="CQ3" s="33">
        <v>-0.0348867946688631</v>
      </c>
      <c r="CR3" s="33">
        <v>0.3052105672847954</v>
      </c>
      <c r="CT3" s="34" t="str">
        <f t="array" ref="CT3:CU3">MMULT((CN3:CR3),Portfolio!muvec)</f>
        <v>#REF!</v>
      </c>
      <c r="CU3" s="34">
        <f t="array" ref="CU3">SQRT(MMULT(MMULT((CN3:CR3),Portfolio!covmat),TRANSPOSE(CN3:CR3)))</f>
        <v>0.03260574749</v>
      </c>
      <c r="CV3" s="35" t="str">
        <f t="shared" ref="CV3:CV97" si="6">CT3*12</f>
        <v>#REF!</v>
      </c>
      <c r="CW3" s="36">
        <f t="shared" ref="CW3:CW97" si="7">CU3*SQRT(12)</f>
        <v>0.1129496225</v>
      </c>
      <c r="CX3" s="36"/>
      <c r="CY3" s="31">
        <v>1.0</v>
      </c>
      <c r="CZ3" s="32">
        <f t="shared" ref="CZ3:CZ97" si="8">1-CY3</f>
        <v>0</v>
      </c>
      <c r="DA3" s="33">
        <f t="array" ref="DA3:DE3">TRANSPOSE(CY3*Portfolio!epwt2)</f>
        <v>0</v>
      </c>
      <c r="DB3" s="33">
        <v>0.14159727635407585</v>
      </c>
      <c r="DC3" s="33">
        <v>0.5472410287573121</v>
      </c>
      <c r="DD3" s="33">
        <v>0.31116169490335926</v>
      </c>
      <c r="DE3" s="33">
        <v>0.0</v>
      </c>
      <c r="DF3" s="35"/>
      <c r="DG3" s="36">
        <f t="array" ref="DG3">SQRT(MMULT(MMULT(DA3:DE3,Portfolio!covmat), TRANSPOSE(DA3:DE3)))</f>
        <v>0.09118781296</v>
      </c>
      <c r="DH3" s="36">
        <f t="array" ref="DH3">MMULT((DA3:DE3),Portfolio!muvec) + CZ3*Portfolio!rfp</f>
        <v>0.03118464011</v>
      </c>
      <c r="DI3" s="36">
        <f t="shared" ref="DI3:DI43" si="9">DG3*SQRT(12)</f>
        <v>0.3158838502</v>
      </c>
      <c r="DJ3" s="35">
        <f t="shared" ref="DJ3:DJ43" si="10">DH3*12</f>
        <v>0.3742156814</v>
      </c>
      <c r="DK3" s="36"/>
      <c r="DL3" s="36" t="str">
        <f t="shared" ref="DL3:DL43" si="11">CM3*CV3+CL3*$AC$23</f>
        <v>#REF!</v>
      </c>
      <c r="DM3" s="36">
        <f t="shared" ref="DM3:DM43" si="12">CM3*CW3</f>
        <v>0</v>
      </c>
      <c r="DN3" s="36"/>
    </row>
    <row r="4" ht="14.25" customHeight="1">
      <c r="A4" s="24">
        <v>45108.0</v>
      </c>
      <c r="B4" s="21">
        <v>0.124271514675853</v>
      </c>
      <c r="C4" s="21">
        <v>-0.0409203765128871</v>
      </c>
      <c r="D4" s="21">
        <v>0.0257144474737684</v>
      </c>
      <c r="E4" s="21">
        <v>0.0216220495077981</v>
      </c>
      <c r="F4" s="21">
        <v>0.0369609931950958</v>
      </c>
      <c r="H4" s="37" t="s">
        <v>34</v>
      </c>
      <c r="I4" s="38">
        <f t="shared" ref="I4:M4" si="3">_xlfn.STDEV.S(B3:B62)</f>
        <v>0.0960830044</v>
      </c>
      <c r="J4" s="38">
        <f t="shared" si="3"/>
        <v>0.2127281648</v>
      </c>
      <c r="K4" s="38">
        <f t="shared" si="3"/>
        <v>0.03684642084</v>
      </c>
      <c r="L4" s="38">
        <f t="shared" si="3"/>
        <v>0.2214760426</v>
      </c>
      <c r="M4" s="38">
        <f t="shared" si="3"/>
        <v>0.05522065739</v>
      </c>
      <c r="N4" s="38"/>
      <c r="O4" s="21">
        <f t="shared" ref="O4:S4" si="4">B4-I$3</f>
        <v>0.1175704083</v>
      </c>
      <c r="P4" s="21">
        <f t="shared" si="4"/>
        <v>-0.08600297057</v>
      </c>
      <c r="Q4" s="21">
        <f t="shared" si="4"/>
        <v>0.01704707103</v>
      </c>
      <c r="R4" s="21">
        <f t="shared" si="4"/>
        <v>-0.04283936689</v>
      </c>
      <c r="S4" s="21">
        <f t="shared" si="4"/>
        <v>0.02665303485</v>
      </c>
      <c r="U4" s="14" t="s">
        <v>24</v>
      </c>
      <c r="V4" s="21">
        <v>0.006672870832584323</v>
      </c>
      <c r="W4" s="26">
        <v>0.0452532720805262</v>
      </c>
      <c r="X4" s="21">
        <v>0.0012182290904669483</v>
      </c>
      <c r="Y4" s="21">
        <v>0.017806007178608554</v>
      </c>
      <c r="Z4" s="21">
        <v>0.00500738303100544</v>
      </c>
      <c r="AA4" s="27"/>
      <c r="AB4" s="15" t="s">
        <v>25</v>
      </c>
      <c r="AC4" s="16">
        <v>0.2</v>
      </c>
      <c r="AD4" s="27"/>
      <c r="AE4" s="27"/>
      <c r="AF4" s="27"/>
      <c r="AH4" s="21">
        <v>0.013345741665168645</v>
      </c>
      <c r="AI4" s="21">
        <v>0.0905065441610524</v>
      </c>
      <c r="AJ4" s="21">
        <v>0.0024364581809338966</v>
      </c>
      <c r="AK4" s="21">
        <v>0.03561201435721711</v>
      </c>
      <c r="AL4" s="21">
        <v>0.01001476606201088</v>
      </c>
      <c r="AM4" s="21">
        <v>1.0</v>
      </c>
      <c r="AO4" s="21">
        <v>0.0</v>
      </c>
      <c r="AQ4" s="28"/>
      <c r="AR4" s="17" t="s">
        <v>25</v>
      </c>
      <c r="AS4" s="18">
        <v>0.7278166587688698</v>
      </c>
      <c r="AT4" s="28"/>
      <c r="AU4" s="28"/>
      <c r="AV4" s="28"/>
      <c r="AX4" s="21">
        <v>0.013345741665168645</v>
      </c>
      <c r="AY4" s="21">
        <v>0.0905065441610524</v>
      </c>
      <c r="AZ4" s="21">
        <v>0.0024364581809338966</v>
      </c>
      <c r="BA4" s="21">
        <v>0.03561201435721711</v>
      </c>
      <c r="BB4" s="21">
        <v>0.01001476606201088</v>
      </c>
      <c r="BC4" s="21">
        <v>1.0</v>
      </c>
      <c r="BD4" s="21">
        <v>0.04508259406077373</v>
      </c>
      <c r="BF4" s="21">
        <v>0.0</v>
      </c>
      <c r="BH4" s="29"/>
      <c r="BI4" s="19" t="s">
        <v>25</v>
      </c>
      <c r="BJ4" s="20">
        <v>0.7649489899086406</v>
      </c>
      <c r="BK4" s="29"/>
      <c r="BL4" s="29"/>
      <c r="BM4" s="29"/>
      <c r="BO4" s="29"/>
      <c r="BP4" s="19" t="s">
        <v>25</v>
      </c>
      <c r="BQ4" s="20">
        <v>0.5472410287573121</v>
      </c>
      <c r="BR4" s="29"/>
      <c r="BS4" s="29"/>
      <c r="BT4" s="29"/>
      <c r="BV4" s="21">
        <v>1.0</v>
      </c>
      <c r="BY4" s="30"/>
      <c r="BZ4" s="22" t="s">
        <v>25</v>
      </c>
      <c r="CA4" s="23">
        <v>0.7712455887645309</v>
      </c>
      <c r="CB4" s="30"/>
      <c r="CC4" s="30"/>
      <c r="CD4" s="30"/>
      <c r="CE4" s="30"/>
      <c r="CF4" s="22" t="s">
        <v>25</v>
      </c>
      <c r="CG4" s="23">
        <v>0.7712321566434925</v>
      </c>
      <c r="CH4" s="30"/>
      <c r="CI4" s="30"/>
      <c r="CJ4" s="30"/>
      <c r="CL4" s="32">
        <v>0.98</v>
      </c>
      <c r="CM4" s="32">
        <f t="shared" si="5"/>
        <v>0.02</v>
      </c>
      <c r="CN4" s="33">
        <f t="array" ref="CN4:CR4">TRANSPOSE(CL4*Portfolio!gmvwt+CM4*Portfolio!epwt2)</f>
        <v>0.02069652923</v>
      </c>
      <c r="CO4" s="33">
        <v>-0.01604220646386202</v>
      </c>
      <c r="CP4" s="33">
        <v>0.7242051461686386</v>
      </c>
      <c r="CQ4" s="33">
        <v>-0.027965824877418645</v>
      </c>
      <c r="CR4" s="33">
        <v>0.2991063559390995</v>
      </c>
      <c r="CT4" s="36" t="str">
        <f t="array" ref="CT4:CU4">MMULT((CN4:CR4),Portfolio!muvec)</f>
        <v>#REF!</v>
      </c>
      <c r="CU4" s="36">
        <f t="array" ref="CU4">SQRT(MMULT(MMULT((CN4:CR4),Portfolio!covmat),TRANSPOSE(CN4:CR4)))</f>
        <v>0.03265020065</v>
      </c>
      <c r="CV4" s="35" t="str">
        <f t="shared" si="6"/>
        <v>#REF!</v>
      </c>
      <c r="CW4" s="36">
        <f t="shared" si="7"/>
        <v>0.1131036128</v>
      </c>
      <c r="CX4" s="36"/>
      <c r="CY4" s="32">
        <v>0.975</v>
      </c>
      <c r="CZ4" s="32">
        <f t="shared" si="8"/>
        <v>0.025</v>
      </c>
      <c r="DA4" s="33">
        <f t="array" ref="DA4:DE4">TRANSPOSE(CY4*Portfolio!epwt2)</f>
        <v>0</v>
      </c>
      <c r="DB4" s="33">
        <v>0.13805734444522394</v>
      </c>
      <c r="DC4" s="33">
        <v>0.5335600030383792</v>
      </c>
      <c r="DD4" s="33">
        <v>0.3033826525307753</v>
      </c>
      <c r="DE4" s="33">
        <v>0.0</v>
      </c>
      <c r="DF4" s="35"/>
      <c r="DG4" s="36">
        <f t="array" ref="DG4">SQRT(MMULT(MMULT(DA4:DE4,Portfolio!covmat), TRANSPOSE(DA4:DE4)))</f>
        <v>0.08890811764</v>
      </c>
      <c r="DH4" s="36">
        <f t="array" ref="DH4">MMULT((DA4:DE4),Portfolio!muvec) + CZ4*Portfolio!rfp</f>
        <v>0.03046752411</v>
      </c>
      <c r="DI4" s="36">
        <f t="shared" si="9"/>
        <v>0.3079867539</v>
      </c>
      <c r="DJ4" s="35">
        <f t="shared" si="10"/>
        <v>0.3656102893</v>
      </c>
      <c r="DK4" s="36"/>
      <c r="DL4" s="36" t="str">
        <f t="shared" si="11"/>
        <v>#REF!</v>
      </c>
      <c r="DM4" s="36">
        <f t="shared" si="12"/>
        <v>0.002262072256</v>
      </c>
      <c r="DN4" s="36"/>
    </row>
    <row r="5" ht="14.25" customHeight="1">
      <c r="A5" s="24">
        <v>45078.0</v>
      </c>
      <c r="B5" s="21">
        <v>0.0323856986634238</v>
      </c>
      <c r="C5" s="21">
        <v>0.11967798146804</v>
      </c>
      <c r="D5" s="21">
        <v>-0.0217933949264522</v>
      </c>
      <c r="E5" s="21">
        <v>0.283626726892731</v>
      </c>
      <c r="F5" s="21">
        <v>0.0609288431921988</v>
      </c>
      <c r="H5" s="37" t="s">
        <v>35</v>
      </c>
      <c r="I5" s="38">
        <f t="shared" ref="I5:M5" si="13">SKEW(B3:B62)</f>
        <v>-0.2500355126</v>
      </c>
      <c r="J5" s="38">
        <f t="shared" si="13"/>
        <v>0.4110827384</v>
      </c>
      <c r="K5" s="38">
        <f t="shared" si="13"/>
        <v>0.4443965062</v>
      </c>
      <c r="L5" s="38">
        <f t="shared" si="13"/>
        <v>0.8121167345</v>
      </c>
      <c r="M5" s="38">
        <f t="shared" si="13"/>
        <v>-0.3866192185</v>
      </c>
      <c r="N5" s="38"/>
      <c r="O5" s="21">
        <f t="shared" ref="O5:S5" si="14">B5-I$3</f>
        <v>0.02568459226</v>
      </c>
      <c r="P5" s="21">
        <f t="shared" si="14"/>
        <v>0.07459538741</v>
      </c>
      <c r="Q5" s="21">
        <f t="shared" si="14"/>
        <v>-0.03046077137</v>
      </c>
      <c r="R5" s="21">
        <f t="shared" si="14"/>
        <v>0.2191653105</v>
      </c>
      <c r="S5" s="21">
        <f t="shared" si="14"/>
        <v>0.05062088484</v>
      </c>
      <c r="U5" s="14" t="s">
        <v>25</v>
      </c>
      <c r="V5" s="21">
        <v>-6.628346857319533E-5</v>
      </c>
      <c r="W5" s="21">
        <v>0.0012182290904669483</v>
      </c>
      <c r="X5" s="26">
        <v>0.0013576587287451192</v>
      </c>
      <c r="Y5" s="21">
        <v>0.0014511653162006036</v>
      </c>
      <c r="Z5" s="21">
        <v>4.930915677872571E-4</v>
      </c>
      <c r="AA5" s="27"/>
      <c r="AB5" s="15" t="s">
        <v>26</v>
      </c>
      <c r="AC5" s="16">
        <v>0.2</v>
      </c>
      <c r="AD5" s="27"/>
      <c r="AE5" s="27"/>
      <c r="AF5" s="27"/>
      <c r="AH5" s="21">
        <v>-1.3256693714639066E-4</v>
      </c>
      <c r="AI5" s="21">
        <v>0.0024364581809338966</v>
      </c>
      <c r="AJ5" s="21">
        <v>0.0027153174574902385</v>
      </c>
      <c r="AK5" s="21">
        <v>0.002902330632401207</v>
      </c>
      <c r="AL5" s="21">
        <v>9.861831355745141E-4</v>
      </c>
      <c r="AM5" s="21">
        <v>1.0</v>
      </c>
      <c r="AO5" s="21">
        <v>0.0</v>
      </c>
      <c r="AQ5" s="28"/>
      <c r="AR5" s="17" t="s">
        <v>26</v>
      </c>
      <c r="AS5" s="18">
        <v>-0.0348867946688631</v>
      </c>
      <c r="AT5" s="28"/>
      <c r="AU5" s="28"/>
      <c r="AV5" s="28"/>
      <c r="AX5" s="21">
        <v>-1.3256693714639066E-4</v>
      </c>
      <c r="AY5" s="21">
        <v>0.0024364581809338966</v>
      </c>
      <c r="AZ5" s="21">
        <v>0.0027153174574902385</v>
      </c>
      <c r="BA5" s="21">
        <v>0.002902330632401207</v>
      </c>
      <c r="BB5" s="21">
        <v>9.861831355745141E-4</v>
      </c>
      <c r="BC5" s="21">
        <v>1.0</v>
      </c>
      <c r="BD5" s="21">
        <v>0.008667376444851129</v>
      </c>
      <c r="BF5" s="21">
        <v>0.0</v>
      </c>
      <c r="BH5" s="29"/>
      <c r="BI5" s="19" t="s">
        <v>26</v>
      </c>
      <c r="BJ5" s="20">
        <v>0.24342389616688087</v>
      </c>
      <c r="BK5" s="29"/>
      <c r="BL5" s="29"/>
      <c r="BM5" s="29"/>
      <c r="BO5" s="29"/>
      <c r="BP5" s="19" t="s">
        <v>26</v>
      </c>
      <c r="BQ5" s="20">
        <v>0.31116169490335926</v>
      </c>
      <c r="BR5" s="29"/>
      <c r="BS5" s="29"/>
      <c r="BT5" s="29"/>
      <c r="BV5" s="21">
        <v>1.0</v>
      </c>
      <c r="BY5" s="30"/>
      <c r="BZ5" s="22" t="s">
        <v>26</v>
      </c>
      <c r="CA5" s="23">
        <v>0.29061756065570765</v>
      </c>
      <c r="CB5" s="30"/>
      <c r="CC5" s="30"/>
      <c r="CD5" s="30"/>
      <c r="CE5" s="30"/>
      <c r="CF5" s="22" t="s">
        <v>26</v>
      </c>
      <c r="CG5" s="23">
        <v>0.2906159010383282</v>
      </c>
      <c r="CH5" s="30"/>
      <c r="CI5" s="30"/>
      <c r="CJ5" s="30"/>
      <c r="CL5" s="31">
        <v>0.96</v>
      </c>
      <c r="CM5" s="32">
        <f t="shared" si="5"/>
        <v>0.04</v>
      </c>
      <c r="CN5" s="33">
        <f t="array" ref="CN5:CR5">TRANSPOSE(CL5*Portfolio!gmvwt+CM5*Portfolio!epwt2)</f>
        <v>0.02027415109</v>
      </c>
      <c r="CO5" s="33">
        <v>-0.012825074161455122</v>
      </c>
      <c r="CP5" s="33">
        <v>0.7205936335684074</v>
      </c>
      <c r="CQ5" s="33">
        <v>-0.021044855085974194</v>
      </c>
      <c r="CR5" s="33">
        <v>0.29300214459340357</v>
      </c>
      <c r="CT5" s="36" t="str">
        <f t="array" ref="CT5:CU5">MMULT((CN5:CR5),Portfolio!muvec)</f>
        <v>#REF!</v>
      </c>
      <c r="CU5" s="36">
        <f t="array" ref="CU5">SQRT(MMULT(MMULT((CN5:CR5),Portfolio!covmat),TRANSPOSE(CN5:CR5)))</f>
        <v>0.03278319846</v>
      </c>
      <c r="CV5" s="35" t="str">
        <f t="shared" si="6"/>
        <v>#REF!</v>
      </c>
      <c r="CW5" s="36">
        <f t="shared" si="7"/>
        <v>0.1135643307</v>
      </c>
      <c r="CX5" s="36"/>
      <c r="CY5" s="31">
        <v>0.95</v>
      </c>
      <c r="CZ5" s="32">
        <f t="shared" si="8"/>
        <v>0.05</v>
      </c>
      <c r="DA5" s="33">
        <f t="array" ref="DA5:DE5">TRANSPOSE(CY5*Portfolio!epwt2)</f>
        <v>0</v>
      </c>
      <c r="DB5" s="33">
        <v>0.13451741253637206</v>
      </c>
      <c r="DC5" s="33">
        <v>0.5198789773194464</v>
      </c>
      <c r="DD5" s="33">
        <v>0.2956036101581913</v>
      </c>
      <c r="DE5" s="33">
        <v>0.0</v>
      </c>
      <c r="DF5" s="35"/>
      <c r="DG5" s="36">
        <f t="array" ref="DG5">SQRT(MMULT(MMULT(DA5:DE5,Portfolio!covmat), TRANSPOSE(DA5:DE5)))</f>
        <v>0.08662842231</v>
      </c>
      <c r="DH5" s="36">
        <f t="array" ref="DH5">MMULT((DA5:DE5),Portfolio!muvec) + CZ5*Portfolio!rfp</f>
        <v>0.02975040811</v>
      </c>
      <c r="DI5" s="36">
        <f t="shared" si="9"/>
        <v>0.3000896576</v>
      </c>
      <c r="DJ5" s="35">
        <f t="shared" si="10"/>
        <v>0.3570048973</v>
      </c>
      <c r="DK5" s="36"/>
      <c r="DL5" s="36" t="str">
        <f t="shared" si="11"/>
        <v>#REF!</v>
      </c>
      <c r="DM5" s="36">
        <f t="shared" si="12"/>
        <v>0.004542573229</v>
      </c>
      <c r="DN5" s="36"/>
    </row>
    <row r="6" ht="14.25" customHeight="1">
      <c r="A6" s="24">
        <v>45047.0</v>
      </c>
      <c r="B6" s="21">
        <v>-0.0508879240296461</v>
      </c>
      <c r="C6" s="21">
        <v>-0.070011342199917</v>
      </c>
      <c r="D6" s="21">
        <v>-0.013165143205512</v>
      </c>
      <c r="E6" s="21">
        <v>0.241129546015961</v>
      </c>
      <c r="F6" s="21">
        <v>0.00481619849108261</v>
      </c>
      <c r="H6" s="37" t="s">
        <v>36</v>
      </c>
      <c r="I6" s="38">
        <f t="shared" ref="I6:M6" si="15">KURT(B3:B62)</f>
        <v>-0.1327918352</v>
      </c>
      <c r="J6" s="38">
        <f t="shared" si="15"/>
        <v>-0.09219784672</v>
      </c>
      <c r="K6" s="38">
        <f t="shared" si="15"/>
        <v>-0.04063944627</v>
      </c>
      <c r="L6" s="38">
        <f t="shared" si="15"/>
        <v>0.4400918633</v>
      </c>
      <c r="M6" s="38">
        <f t="shared" si="15"/>
        <v>-0.1111024058</v>
      </c>
      <c r="N6" s="38"/>
      <c r="O6" s="21">
        <f t="shared" ref="O6:S6" si="16">B6-I$3</f>
        <v>-0.05758903043</v>
      </c>
      <c r="P6" s="21">
        <f t="shared" si="16"/>
        <v>-0.1150939363</v>
      </c>
      <c r="Q6" s="21">
        <f t="shared" si="16"/>
        <v>-0.02183251965</v>
      </c>
      <c r="R6" s="21">
        <f t="shared" si="16"/>
        <v>0.1766681296</v>
      </c>
      <c r="S6" s="21">
        <f t="shared" si="16"/>
        <v>-0.005491759858</v>
      </c>
      <c r="U6" s="14" t="s">
        <v>26</v>
      </c>
      <c r="V6" s="21">
        <v>0.006897716825326271</v>
      </c>
      <c r="W6" s="21">
        <v>0.017806007178608554</v>
      </c>
      <c r="X6" s="21">
        <v>0.0014511653162006036</v>
      </c>
      <c r="Y6" s="26">
        <v>0.04905163742796071</v>
      </c>
      <c r="Z6" s="21">
        <v>0.006275885462240192</v>
      </c>
      <c r="AA6" s="27"/>
      <c r="AB6" s="15" t="s">
        <v>27</v>
      </c>
      <c r="AC6" s="16">
        <v>0.2</v>
      </c>
      <c r="AD6" s="27"/>
      <c r="AE6" s="27"/>
      <c r="AF6" s="27"/>
      <c r="AH6" s="21">
        <v>0.013795433650652542</v>
      </c>
      <c r="AI6" s="21">
        <v>0.03561201435721711</v>
      </c>
      <c r="AJ6" s="21">
        <v>0.002902330632401207</v>
      </c>
      <c r="AK6" s="21">
        <v>0.09810327485592142</v>
      </c>
      <c r="AL6" s="21">
        <v>0.012551770924480383</v>
      </c>
      <c r="AM6" s="21">
        <v>1.0</v>
      </c>
      <c r="AO6" s="21">
        <v>0.0</v>
      </c>
      <c r="AQ6" s="28"/>
      <c r="AR6" s="17" t="s">
        <v>27</v>
      </c>
      <c r="AS6" s="18">
        <v>0.3052105672847954</v>
      </c>
      <c r="AT6" s="28"/>
      <c r="AU6" s="28"/>
      <c r="AV6" s="28"/>
      <c r="AX6" s="21">
        <v>0.013795433650652542</v>
      </c>
      <c r="AY6" s="21">
        <v>0.03561201435721711</v>
      </c>
      <c r="AZ6" s="21">
        <v>0.002902330632401207</v>
      </c>
      <c r="BA6" s="21">
        <v>0.09810327485592142</v>
      </c>
      <c r="BB6" s="21">
        <v>0.012551770924480383</v>
      </c>
      <c r="BC6" s="21">
        <v>1.0</v>
      </c>
      <c r="BD6" s="21">
        <v>0.0644614163993917</v>
      </c>
      <c r="BF6" s="21">
        <v>0.0</v>
      </c>
      <c r="BH6" s="29"/>
      <c r="BI6" s="19" t="s">
        <v>27</v>
      </c>
      <c r="BJ6" s="20">
        <v>0.024798434065972097</v>
      </c>
      <c r="BK6" s="29"/>
      <c r="BL6" s="29"/>
      <c r="BM6" s="29"/>
      <c r="BO6" s="29"/>
      <c r="BP6" s="19" t="s">
        <v>27</v>
      </c>
      <c r="BQ6" s="20">
        <v>0.0</v>
      </c>
      <c r="BR6" s="29"/>
      <c r="BS6" s="29"/>
      <c r="BT6" s="29"/>
      <c r="BV6" s="21">
        <v>1.0</v>
      </c>
      <c r="BY6" s="30"/>
      <c r="BZ6" s="22" t="s">
        <v>27</v>
      </c>
      <c r="CA6" s="23">
        <v>-0.02275157593898218</v>
      </c>
      <c r="CB6" s="30"/>
      <c r="CC6" s="30"/>
      <c r="CD6" s="30"/>
      <c r="CE6" s="30"/>
      <c r="CF6" s="22" t="s">
        <v>27</v>
      </c>
      <c r="CG6" s="23">
        <v>-0.022751969011786857</v>
      </c>
      <c r="CH6" s="30"/>
      <c r="CI6" s="30"/>
      <c r="CJ6" s="30"/>
      <c r="CL6" s="31">
        <v>0.94</v>
      </c>
      <c r="CM6" s="32">
        <f t="shared" si="5"/>
        <v>0.06</v>
      </c>
      <c r="CN6" s="33">
        <f t="array" ref="CN6:CR6">TRANSPOSE(CL6*Portfolio!gmvwt+CM6*Portfolio!epwt2)</f>
        <v>0.01985177294</v>
      </c>
      <c r="CO6" s="33">
        <v>-0.009607941859048227</v>
      </c>
      <c r="CP6" s="33">
        <v>0.7169821209681764</v>
      </c>
      <c r="CQ6" s="33">
        <v>-0.01412388529452974</v>
      </c>
      <c r="CR6" s="33">
        <v>0.2868979332477077</v>
      </c>
      <c r="CT6" s="36" t="str">
        <f t="array" ref="CT6:CU6">MMULT((CN6:CR6),Portfolio!muvec)</f>
        <v>#REF!</v>
      </c>
      <c r="CU6" s="36">
        <f t="array" ref="CU6">SQRT(MMULT(MMULT((CN6:CR6),Portfolio!covmat),TRANSPOSE(CN6:CR6)))</f>
        <v>0.03300367049</v>
      </c>
      <c r="CV6" s="35" t="str">
        <f t="shared" si="6"/>
        <v>#REF!</v>
      </c>
      <c r="CW6" s="36">
        <f t="shared" si="7"/>
        <v>0.1143280683</v>
      </c>
      <c r="CX6" s="36"/>
      <c r="CY6" s="32">
        <v>0.925</v>
      </c>
      <c r="CZ6" s="32">
        <f t="shared" si="8"/>
        <v>0.075</v>
      </c>
      <c r="DA6" s="33">
        <f t="array" ref="DA6:DE6">TRANSPOSE(CY6*Portfolio!epwt2)</f>
        <v>0</v>
      </c>
      <c r="DB6" s="33">
        <v>0.13097748062752015</v>
      </c>
      <c r="DC6" s="33">
        <v>0.5061979516005137</v>
      </c>
      <c r="DD6" s="33">
        <v>0.28782456778560733</v>
      </c>
      <c r="DE6" s="33">
        <v>0.0</v>
      </c>
      <c r="DF6" s="35"/>
      <c r="DG6" s="36">
        <f t="array" ref="DG6">SQRT(MMULT(MMULT(DA6:DE6,Portfolio!covmat), TRANSPOSE(DA6:DE6)))</f>
        <v>0.08434872699</v>
      </c>
      <c r="DH6" s="36">
        <f t="array" ref="DH6">MMULT((DA6:DE6),Portfolio!muvec) + CZ6*Portfolio!rfp</f>
        <v>0.02903329211</v>
      </c>
      <c r="DI6" s="36">
        <f t="shared" si="9"/>
        <v>0.2921925614</v>
      </c>
      <c r="DJ6" s="35">
        <f t="shared" si="10"/>
        <v>0.3483995053</v>
      </c>
      <c r="DK6" s="36"/>
      <c r="DL6" s="36" t="str">
        <f t="shared" si="11"/>
        <v>#REF!</v>
      </c>
      <c r="DM6" s="36">
        <f t="shared" si="12"/>
        <v>0.006859684096</v>
      </c>
      <c r="DN6" s="36"/>
    </row>
    <row r="7" ht="14.25" customHeight="1">
      <c r="A7" s="24">
        <v>45017.0</v>
      </c>
      <c r="B7" s="21">
        <v>0.0304162273645369</v>
      </c>
      <c r="C7" s="21">
        <v>0.0277515564107333</v>
      </c>
      <c r="D7" s="21">
        <v>0.0107160871436959</v>
      </c>
      <c r="E7" s="21">
        <v>-0.207991939452632</v>
      </c>
      <c r="F7" s="21">
        <v>0.0200841213489355</v>
      </c>
      <c r="H7" s="37" t="s">
        <v>37</v>
      </c>
      <c r="I7" s="39">
        <f t="shared" ref="I7:M7" si="17">_xlfn.VAR.S(B3:B62)</f>
        <v>0.009231943735</v>
      </c>
      <c r="J7" s="39">
        <f t="shared" si="17"/>
        <v>0.04525327208</v>
      </c>
      <c r="K7" s="39">
        <f t="shared" si="17"/>
        <v>0.001357658729</v>
      </c>
      <c r="L7" s="39">
        <f t="shared" si="17"/>
        <v>0.04905163743</v>
      </c>
      <c r="M7" s="39">
        <f t="shared" si="17"/>
        <v>0.003049321003</v>
      </c>
      <c r="N7" s="38"/>
      <c r="O7" s="21">
        <f t="shared" ref="O7:S7" si="18">B7-I$3</f>
        <v>0.02371512096</v>
      </c>
      <c r="P7" s="21">
        <f t="shared" si="18"/>
        <v>-0.01733103765</v>
      </c>
      <c r="Q7" s="21">
        <f t="shared" si="18"/>
        <v>0.002048710699</v>
      </c>
      <c r="R7" s="21">
        <f t="shared" si="18"/>
        <v>-0.2724533559</v>
      </c>
      <c r="S7" s="21">
        <f t="shared" si="18"/>
        <v>0.009776163</v>
      </c>
      <c r="U7" s="14" t="s">
        <v>27</v>
      </c>
      <c r="V7" s="21">
        <v>0.004212051827305294</v>
      </c>
      <c r="W7" s="21">
        <v>0.00500738303100544</v>
      </c>
      <c r="X7" s="21">
        <v>4.930915677872571E-4</v>
      </c>
      <c r="Y7" s="21">
        <v>0.006275885462240192</v>
      </c>
      <c r="Z7" s="26">
        <v>0.0030493210027566662</v>
      </c>
      <c r="AA7" s="27"/>
      <c r="AB7" s="27"/>
      <c r="AC7" s="27"/>
      <c r="AD7" s="27"/>
      <c r="AE7" s="27"/>
      <c r="AF7" s="27"/>
      <c r="AH7" s="21">
        <v>0.008424103654610588</v>
      </c>
      <c r="AI7" s="21">
        <v>0.01001476606201088</v>
      </c>
      <c r="AJ7" s="21">
        <v>9.861831355745141E-4</v>
      </c>
      <c r="AK7" s="21">
        <v>0.012551770924480383</v>
      </c>
      <c r="AL7" s="21">
        <v>0.0060986420055133325</v>
      </c>
      <c r="AM7" s="21">
        <v>1.0</v>
      </c>
      <c r="AO7" s="21">
        <v>0.0</v>
      </c>
      <c r="AQ7" s="28"/>
      <c r="AR7" s="28"/>
      <c r="AS7" s="28"/>
      <c r="AT7" s="28"/>
      <c r="AU7" s="28"/>
      <c r="AV7" s="28"/>
      <c r="AX7" s="21">
        <v>0.008424103654610588</v>
      </c>
      <c r="AY7" s="21">
        <v>0.01001476606201088</v>
      </c>
      <c r="AZ7" s="21">
        <v>9.861831355745141E-4</v>
      </c>
      <c r="BA7" s="21">
        <v>0.012551770924480383</v>
      </c>
      <c r="BB7" s="21">
        <v>0.0060986420055133325</v>
      </c>
      <c r="BC7" s="21">
        <v>1.0</v>
      </c>
      <c r="BD7" s="21">
        <v>0.010307958348608716</v>
      </c>
      <c r="BF7" s="21">
        <v>0.0</v>
      </c>
      <c r="BH7" s="29"/>
      <c r="BI7" s="29"/>
      <c r="BJ7" s="29"/>
      <c r="BK7" s="29"/>
      <c r="BL7" s="29"/>
      <c r="BM7" s="29"/>
      <c r="BO7" s="29"/>
      <c r="BP7" s="29"/>
      <c r="BQ7" s="29"/>
      <c r="BR7" s="29"/>
      <c r="BS7" s="29"/>
      <c r="BT7" s="29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L7" s="32">
        <v>0.92</v>
      </c>
      <c r="CM7" s="32">
        <f t="shared" si="5"/>
        <v>0.08</v>
      </c>
      <c r="CN7" s="33">
        <f t="array" ref="CN7:CR7">TRANSPOSE(CL7*Portfolio!gmvwt+CM7*Portfolio!epwt2)</f>
        <v>0.01942939479</v>
      </c>
      <c r="CO7" s="33">
        <v>-0.006390809556641345</v>
      </c>
      <c r="CP7" s="33">
        <v>0.7133706083679452</v>
      </c>
      <c r="CQ7" s="33">
        <v>-0.007202915503085324</v>
      </c>
      <c r="CR7" s="33">
        <v>0.2807937219020118</v>
      </c>
      <c r="CT7" s="36" t="str">
        <f t="array" ref="CT7:CU7">MMULT((CN7:CR7),Portfolio!muvec)</f>
        <v>#REF!</v>
      </c>
      <c r="CU7" s="36">
        <f t="array" ref="CU7">SQRT(MMULT(MMULT((CN7:CR7),Portfolio!covmat),TRANSPOSE(CN7:CR7)))</f>
        <v>0.03330987987</v>
      </c>
      <c r="CV7" s="35" t="str">
        <f t="shared" si="6"/>
        <v>#REF!</v>
      </c>
      <c r="CW7" s="36">
        <f t="shared" si="7"/>
        <v>0.1153888087</v>
      </c>
      <c r="CX7" s="36"/>
      <c r="CY7" s="31">
        <v>0.9</v>
      </c>
      <c r="CZ7" s="32">
        <f t="shared" si="8"/>
        <v>0.1</v>
      </c>
      <c r="DA7" s="33">
        <f t="array" ref="DA7:DE7">TRANSPOSE(CY7*Portfolio!epwt2)</f>
        <v>0</v>
      </c>
      <c r="DB7" s="33">
        <v>0.12743754871866828</v>
      </c>
      <c r="DC7" s="33">
        <v>0.49251692588158086</v>
      </c>
      <c r="DD7" s="33">
        <v>0.28004552541302336</v>
      </c>
      <c r="DE7" s="33">
        <v>0.0</v>
      </c>
      <c r="DF7" s="35"/>
      <c r="DG7" s="36">
        <f t="array" ref="DG7">SQRT(MMULT(MMULT(DA7:DE7,Portfolio!covmat), TRANSPOSE(DA7:DE7)))</f>
        <v>0.08206903166</v>
      </c>
      <c r="DH7" s="36">
        <f t="array" ref="DH7">MMULT((DA7:DE7),Portfolio!muvec) + CZ7*Portfolio!rfp</f>
        <v>0.0283161761</v>
      </c>
      <c r="DI7" s="36">
        <f t="shared" si="9"/>
        <v>0.2842954651</v>
      </c>
      <c r="DJ7" s="35">
        <f t="shared" si="10"/>
        <v>0.3397941132</v>
      </c>
      <c r="DK7" s="36"/>
      <c r="DL7" s="36" t="str">
        <f t="shared" si="11"/>
        <v>#REF!</v>
      </c>
      <c r="DM7" s="36">
        <f t="shared" si="12"/>
        <v>0.009231104693</v>
      </c>
      <c r="DN7" s="36"/>
    </row>
    <row r="8" ht="14.25" customHeight="1">
      <c r="A8" s="24">
        <v>44986.0</v>
      </c>
      <c r="B8" s="21">
        <v>-0.16618068811539</v>
      </c>
      <c r="C8" s="21">
        <v>0.230312759330191</v>
      </c>
      <c r="D8" s="21">
        <v>0.0766034084508378</v>
      </c>
      <c r="E8" s="21">
        <v>0.00850712139849463</v>
      </c>
      <c r="F8" s="21">
        <v>0.0328471972917896</v>
      </c>
      <c r="H8" s="37" t="s">
        <v>38</v>
      </c>
      <c r="I8" s="39">
        <f t="shared" ref="I8:M8" si="19">I3*12</f>
        <v>0.08041327686</v>
      </c>
      <c r="J8" s="39">
        <f t="shared" si="19"/>
        <v>0.5409911287</v>
      </c>
      <c r="K8" s="39">
        <f t="shared" si="19"/>
        <v>0.1040085173</v>
      </c>
      <c r="L8" s="39">
        <f t="shared" si="19"/>
        <v>0.7735369968</v>
      </c>
      <c r="M8" s="39">
        <f t="shared" si="19"/>
        <v>0.1236955002</v>
      </c>
      <c r="N8" s="38"/>
      <c r="O8" s="21">
        <f t="shared" ref="O8:S8" si="20">B8-I$3</f>
        <v>-0.1728817945</v>
      </c>
      <c r="P8" s="21">
        <f t="shared" si="20"/>
        <v>0.1852301653</v>
      </c>
      <c r="Q8" s="21">
        <f t="shared" si="20"/>
        <v>0.06793603201</v>
      </c>
      <c r="R8" s="21">
        <f t="shared" si="20"/>
        <v>-0.055954295</v>
      </c>
      <c r="S8" s="21">
        <f t="shared" si="20"/>
        <v>0.02253923894</v>
      </c>
      <c r="AA8" s="27"/>
      <c r="AB8" s="40" t="s">
        <v>39</v>
      </c>
      <c r="AC8" s="41">
        <f>SUM(AC2:AC7)</f>
        <v>1</v>
      </c>
      <c r="AD8" s="27"/>
      <c r="AE8" s="27"/>
      <c r="AF8" s="27"/>
      <c r="AH8" s="21">
        <v>1.0</v>
      </c>
      <c r="AI8" s="21">
        <v>1.0</v>
      </c>
      <c r="AJ8" s="21">
        <v>1.0</v>
      </c>
      <c r="AK8" s="21">
        <v>1.0</v>
      </c>
      <c r="AL8" s="21">
        <v>1.0</v>
      </c>
      <c r="AM8" s="21">
        <v>0.0</v>
      </c>
      <c r="AO8" s="21">
        <v>1.0</v>
      </c>
      <c r="AQ8" s="28"/>
      <c r="AR8" s="42" t="s">
        <v>39</v>
      </c>
      <c r="AS8" s="43">
        <f>SUM(AS2:AS7)</f>
        <v>1</v>
      </c>
      <c r="AT8" s="28"/>
      <c r="AU8" s="28"/>
      <c r="AV8" s="28"/>
      <c r="AX8" s="21">
        <v>1.0</v>
      </c>
      <c r="AY8" s="21">
        <v>1.0</v>
      </c>
      <c r="AZ8" s="21">
        <v>1.0</v>
      </c>
      <c r="BA8" s="21">
        <v>1.0</v>
      </c>
      <c r="BB8" s="21">
        <v>1.0</v>
      </c>
      <c r="BC8" s="21">
        <v>0.0</v>
      </c>
      <c r="BD8" s="21">
        <v>0.0</v>
      </c>
      <c r="BF8" s="21">
        <v>1.0</v>
      </c>
      <c r="BH8" s="29"/>
      <c r="BI8" s="44" t="s">
        <v>39</v>
      </c>
      <c r="BJ8" s="45">
        <f>SUM(BJ2:BJ7)</f>
        <v>1</v>
      </c>
      <c r="BK8" s="29"/>
      <c r="BL8" s="29"/>
      <c r="BM8" s="29"/>
      <c r="BO8" s="29"/>
      <c r="BP8" s="44" t="s">
        <v>39</v>
      </c>
      <c r="BQ8" s="45">
        <f>SUM(BQ2:BQ7)</f>
        <v>1</v>
      </c>
      <c r="BR8" s="29"/>
      <c r="BS8" s="29"/>
      <c r="BT8" s="29"/>
      <c r="BY8" s="30"/>
      <c r="BZ8" s="46" t="s">
        <v>39</v>
      </c>
      <c r="CA8" s="47">
        <f>SUM(CA2:CA7)</f>
        <v>1</v>
      </c>
      <c r="CB8" s="30"/>
      <c r="CC8" s="30"/>
      <c r="CD8" s="30"/>
      <c r="CE8" s="30"/>
      <c r="CF8" s="46" t="s">
        <v>39</v>
      </c>
      <c r="CG8" s="47">
        <f>SUM(CG2:CG7)</f>
        <v>0.9999999991</v>
      </c>
      <c r="CH8" s="30"/>
      <c r="CI8" s="30"/>
      <c r="CJ8" s="30"/>
      <c r="CL8" s="31">
        <v>0.9</v>
      </c>
      <c r="CM8" s="32">
        <f t="shared" si="5"/>
        <v>0.1</v>
      </c>
      <c r="CN8" s="33">
        <f t="array" ref="CN8:CR8">TRANSPOSE(CL8*Portfolio!gmvwt+CM8*Portfolio!epwt2)</f>
        <v>0.01900701664</v>
      </c>
      <c r="CO8" s="33">
        <v>-0.003173677254234449</v>
      </c>
      <c r="CP8" s="33">
        <v>0.709759095767714</v>
      </c>
      <c r="CQ8" s="33">
        <v>-2.819457116408734E-4</v>
      </c>
      <c r="CR8" s="33">
        <v>0.27468951055631585</v>
      </c>
      <c r="CT8" s="36" t="str">
        <f t="array" ref="CT8:CU8">MMULT((CN8:CR8),Portfolio!muvec)</f>
        <v>#REF!</v>
      </c>
      <c r="CU8" s="36">
        <f t="array" ref="CU8">SQRT(MMULT(MMULT((CN8:CR8),Portfolio!covmat),TRANSPOSE(CN8:CR8)))</f>
        <v>0.03369948952</v>
      </c>
      <c r="CV8" s="35" t="str">
        <f t="shared" si="6"/>
        <v>#REF!</v>
      </c>
      <c r="CW8" s="36">
        <f t="shared" si="7"/>
        <v>0.1167384561</v>
      </c>
      <c r="CX8" s="36"/>
      <c r="CY8" s="32">
        <v>0.875</v>
      </c>
      <c r="CZ8" s="32">
        <f t="shared" si="8"/>
        <v>0.125</v>
      </c>
      <c r="DA8" s="33">
        <f t="array" ref="DA8:DE8">TRANSPOSE(CY8*Portfolio!epwt2)</f>
        <v>0</v>
      </c>
      <c r="DB8" s="33">
        <v>0.12389761680981637</v>
      </c>
      <c r="DC8" s="33">
        <v>0.47883590016264804</v>
      </c>
      <c r="DD8" s="33">
        <v>0.2722664830404394</v>
      </c>
      <c r="DE8" s="33">
        <v>0.0</v>
      </c>
      <c r="DF8" s="35"/>
      <c r="DG8" s="36">
        <f t="array" ref="DG8">SQRT(MMULT(MMULT(DA8:DE8,Portfolio!covmat), TRANSPOSE(DA8:DE8)))</f>
        <v>0.07978933634</v>
      </c>
      <c r="DH8" s="36">
        <f t="array" ref="DH8">MMULT((DA8:DE8),Portfolio!muvec) + CZ8*Portfolio!rfp</f>
        <v>0.0275990601</v>
      </c>
      <c r="DI8" s="36">
        <f t="shared" si="9"/>
        <v>0.2763983689</v>
      </c>
      <c r="DJ8" s="35">
        <f t="shared" si="10"/>
        <v>0.3311887212</v>
      </c>
      <c r="DK8" s="36"/>
      <c r="DL8" s="36" t="str">
        <f t="shared" si="11"/>
        <v>#REF!</v>
      </c>
      <c r="DM8" s="36">
        <f t="shared" si="12"/>
        <v>0.01167384561</v>
      </c>
      <c r="DN8" s="36"/>
    </row>
    <row r="9" ht="14.25" customHeight="1">
      <c r="A9" s="24">
        <v>44958.0</v>
      </c>
      <c r="B9" s="21">
        <v>-0.0332582224395049</v>
      </c>
      <c r="C9" s="21">
        <v>3.48771067329778E-4</v>
      </c>
      <c r="D9" s="21">
        <v>0.00505581881027294</v>
      </c>
      <c r="E9" s="21">
        <v>0.187564976701321</v>
      </c>
      <c r="F9" s="21">
        <v>-0.0249839504809006</v>
      </c>
      <c r="H9" s="37" t="s">
        <v>40</v>
      </c>
      <c r="I9" s="38">
        <f t="shared" ref="I9:M9" si="21">I7*12</f>
        <v>0.1107833248</v>
      </c>
      <c r="J9" s="38">
        <f t="shared" si="21"/>
        <v>0.543039265</v>
      </c>
      <c r="K9" s="38">
        <f t="shared" si="21"/>
        <v>0.01629190474</v>
      </c>
      <c r="L9" s="38">
        <f t="shared" si="21"/>
        <v>0.5886196491</v>
      </c>
      <c r="M9" s="38">
        <f t="shared" si="21"/>
        <v>0.03659185203</v>
      </c>
      <c r="N9" s="38"/>
      <c r="O9" s="21">
        <f t="shared" ref="O9:S9" si="22">B9-I$3</f>
        <v>-0.03995932884</v>
      </c>
      <c r="P9" s="21">
        <f t="shared" si="22"/>
        <v>-0.04473382299</v>
      </c>
      <c r="Q9" s="21">
        <f t="shared" si="22"/>
        <v>-0.003611557635</v>
      </c>
      <c r="R9" s="21">
        <f t="shared" si="22"/>
        <v>0.1231035603</v>
      </c>
      <c r="S9" s="21">
        <f t="shared" si="22"/>
        <v>-0.03529190883</v>
      </c>
      <c r="AA9" s="27"/>
      <c r="AB9" s="27"/>
      <c r="AC9" s="27"/>
      <c r="AD9" s="27"/>
      <c r="AE9" s="27"/>
      <c r="AF9" s="27"/>
      <c r="AQ9" s="28"/>
      <c r="AR9" s="28"/>
      <c r="AS9" s="28"/>
      <c r="AT9" s="28"/>
      <c r="AU9" s="28"/>
      <c r="AV9" s="28"/>
      <c r="AX9" s="21">
        <f t="array" ref="AX9:BB9">TRANSPOSE(Portfolio!muvec)</f>
        <v>0.006701106405</v>
      </c>
      <c r="AY9" s="21">
        <v>0.04508259406077373</v>
      </c>
      <c r="AZ9" s="21">
        <v>0.008667376444851129</v>
      </c>
      <c r="BA9" s="21">
        <v>0.0644614163993917</v>
      </c>
      <c r="BB9" s="21">
        <v>0.010307958348608716</v>
      </c>
      <c r="BC9" s="21">
        <v>0.0</v>
      </c>
      <c r="BD9" s="21">
        <v>0.0</v>
      </c>
      <c r="BF9" s="35">
        <f>AC10</f>
        <v>0.02704409033</v>
      </c>
      <c r="BH9" s="29"/>
      <c r="BI9" s="29"/>
      <c r="BJ9" s="29"/>
      <c r="BK9" s="29"/>
      <c r="BL9" s="29"/>
      <c r="BM9" s="29"/>
      <c r="BO9" s="29"/>
      <c r="BP9" s="29"/>
      <c r="BQ9" s="29"/>
      <c r="BR9" s="29"/>
      <c r="BS9" s="29"/>
      <c r="BT9" s="29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L9" s="31">
        <v>0.88</v>
      </c>
      <c r="CM9" s="32">
        <f t="shared" si="5"/>
        <v>0.12</v>
      </c>
      <c r="CN9" s="33">
        <f t="array" ref="CN9:CR9">TRANSPOSE(CL9*Portfolio!gmvwt+CM9*Portfolio!epwt2)</f>
        <v>0.0185846385</v>
      </c>
      <c r="CO9" s="33">
        <v>4.345504817244994E-5</v>
      </c>
      <c r="CP9" s="33">
        <v>0.7061475831674829</v>
      </c>
      <c r="CQ9" s="33">
        <v>0.006639024079803577</v>
      </c>
      <c r="CR9" s="33">
        <v>0.26858529921061997</v>
      </c>
      <c r="CT9" s="36" t="str">
        <f t="array" ref="CT9:CU9">MMULT((CN9:CR9),Portfolio!muvec)</f>
        <v>#REF!</v>
      </c>
      <c r="CU9" s="36">
        <f t="array" ref="CU9">SQRT(MMULT(MMULT((CN9:CR9),Portfolio!covmat),TRANSPOSE(CN9:CR9)))</f>
        <v>0.03416964672</v>
      </c>
      <c r="CV9" s="35" t="str">
        <f t="shared" si="6"/>
        <v>#REF!</v>
      </c>
      <c r="CW9" s="36">
        <f t="shared" si="7"/>
        <v>0.1183671284</v>
      </c>
      <c r="CX9" s="36"/>
      <c r="CY9" s="31">
        <v>0.85</v>
      </c>
      <c r="CZ9" s="32">
        <f t="shared" si="8"/>
        <v>0.15</v>
      </c>
      <c r="DA9" s="33">
        <f t="array" ref="DA9:DE9">TRANSPOSE(CY9*Portfolio!epwt2)</f>
        <v>0</v>
      </c>
      <c r="DB9" s="33">
        <v>0.12035768490096446</v>
      </c>
      <c r="DC9" s="33">
        <v>0.4651548744437152</v>
      </c>
      <c r="DD9" s="33">
        <v>0.26448744066785534</v>
      </c>
      <c r="DE9" s="33">
        <v>0.0</v>
      </c>
      <c r="DF9" s="35"/>
      <c r="DG9" s="36">
        <f t="array" ref="DG9">SQRT(MMULT(MMULT(DA9:DE9,Portfolio!covmat), TRANSPOSE(DA9:DE9)))</f>
        <v>0.07750964102</v>
      </c>
      <c r="DH9" s="36">
        <f t="array" ref="DH9">MMULT((DA9:DE9),Portfolio!muvec) + CZ9*Portfolio!rfp</f>
        <v>0.0268819441</v>
      </c>
      <c r="DI9" s="36">
        <f t="shared" si="9"/>
        <v>0.2685012726</v>
      </c>
      <c r="DJ9" s="35">
        <f t="shared" si="10"/>
        <v>0.3225833292</v>
      </c>
      <c r="DK9" s="36"/>
      <c r="DL9" s="36" t="str">
        <f t="shared" si="11"/>
        <v>#REF!</v>
      </c>
      <c r="DM9" s="36">
        <f t="shared" si="12"/>
        <v>0.01420405541</v>
      </c>
      <c r="DN9" s="36"/>
    </row>
    <row r="10" ht="14.25" customHeight="1">
      <c r="A10" s="24">
        <v>44927.0</v>
      </c>
      <c r="B10" s="21">
        <v>0.0775189525340702</v>
      </c>
      <c r="C10" s="21">
        <v>0.398355562196792</v>
      </c>
      <c r="D10" s="21">
        <v>0.0</v>
      </c>
      <c r="E10" s="21">
        <v>0.406234784799109</v>
      </c>
      <c r="F10" s="21">
        <v>0.067992230635778</v>
      </c>
      <c r="H10" s="38"/>
      <c r="I10" s="38"/>
      <c r="J10" s="38"/>
      <c r="K10" s="38"/>
      <c r="L10" s="38"/>
      <c r="M10" s="38"/>
      <c r="N10" s="38"/>
      <c r="O10" s="21">
        <f t="shared" ref="O10:S10" si="23">B10-I$3</f>
        <v>0.07081784613</v>
      </c>
      <c r="P10" s="21">
        <f t="shared" si="23"/>
        <v>0.3532729681</v>
      </c>
      <c r="Q10" s="21">
        <f t="shared" si="23"/>
        <v>-0.008667376445</v>
      </c>
      <c r="R10" s="21">
        <f t="shared" si="23"/>
        <v>0.3417733684</v>
      </c>
      <c r="S10" s="21">
        <f t="shared" si="23"/>
        <v>0.05768427229</v>
      </c>
      <c r="AA10" s="48" t="s">
        <v>18</v>
      </c>
      <c r="AB10" s="49" t="s">
        <v>30</v>
      </c>
      <c r="AC10" s="50">
        <f t="array" ref="AC10">MMULT(TRANSPOSE(Portfolio!currwt),Portfolio!muvec)</f>
        <v>0.02704409033</v>
      </c>
      <c r="AD10" s="27" t="s">
        <v>41</v>
      </c>
      <c r="AE10" s="27"/>
      <c r="AF10" s="27"/>
      <c r="AQ10" s="51" t="s">
        <v>18</v>
      </c>
      <c r="AR10" s="52" t="s">
        <v>30</v>
      </c>
      <c r="AS10" s="53">
        <f t="array" ref="AS10">MMULT(TRANSPOSE(Portfolio!gmvwt),Portfolio!muvec)</f>
        <v>0.006478765676</v>
      </c>
      <c r="AT10" s="28" t="s">
        <v>41</v>
      </c>
      <c r="AU10" s="28"/>
      <c r="AV10" s="28"/>
      <c r="BH10" s="54" t="s">
        <v>18</v>
      </c>
      <c r="BI10" s="55" t="s">
        <v>30</v>
      </c>
      <c r="BJ10" s="56">
        <f t="array" ref="BJ10">MMULT(TRANSPOSE(Portfolio!epwt),Portfolio!muvec)</f>
        <v>0.02704409033</v>
      </c>
      <c r="BK10" s="29" t="s">
        <v>41</v>
      </c>
      <c r="BL10" s="29"/>
      <c r="BM10" s="29"/>
      <c r="BO10" s="54" t="s">
        <v>18</v>
      </c>
      <c r="BP10" s="55" t="s">
        <v>30</v>
      </c>
      <c r="BQ10" s="57">
        <f t="array" ref="BQ10">MMULT(TRANSPOSE(Portfolio!epwt2),Portfolio!muvec)</f>
        <v>0.03118464011</v>
      </c>
      <c r="BR10" s="29" t="s">
        <v>41</v>
      </c>
      <c r="BS10" s="29"/>
      <c r="BT10" s="29"/>
      <c r="BY10" s="58" t="s">
        <v>18</v>
      </c>
      <c r="BZ10" s="59" t="s">
        <v>30</v>
      </c>
      <c r="CA10" s="60">
        <f t="array" ref="CA10">MMULT(TRANSPOSE(Portfolio!opwt),Portfolio!muvec)</f>
        <v>0.03053139091</v>
      </c>
      <c r="CB10" s="30" t="s">
        <v>41</v>
      </c>
      <c r="CC10" s="30"/>
      <c r="CD10" s="30"/>
      <c r="CE10" s="58" t="s">
        <v>18</v>
      </c>
      <c r="CF10" s="59" t="s">
        <v>30</v>
      </c>
      <c r="CG10" s="60">
        <f t="array" ref="CG10">MMULT(TRANSPOSE(opwt2),Portfolio!muvec)</f>
        <v>0.03053119314</v>
      </c>
      <c r="CH10" s="30" t="s">
        <v>41</v>
      </c>
      <c r="CI10" s="30"/>
      <c r="CJ10" s="30"/>
      <c r="CL10" s="32">
        <v>0.86</v>
      </c>
      <c r="CM10" s="32">
        <f t="shared" si="5"/>
        <v>0.14</v>
      </c>
      <c r="CN10" s="33">
        <f t="array" ref="CN10:CR10">TRANSPOSE(CL10*Portfolio!gmvwt+CM10*Portfolio!epwt2)</f>
        <v>0.01816226035</v>
      </c>
      <c r="CO10" s="33">
        <v>0.003260587350579349</v>
      </c>
      <c r="CP10" s="33">
        <v>0.7025360705672518</v>
      </c>
      <c r="CQ10" s="33">
        <v>0.013559993871248031</v>
      </c>
      <c r="CR10" s="33">
        <v>0.262481087864924</v>
      </c>
      <c r="CT10" s="36" t="str">
        <f t="array" ref="CT10:CU10">MMULT((CN10:CR10),Portfolio!muvec)</f>
        <v>#REF!</v>
      </c>
      <c r="CU10" s="36">
        <f t="array" ref="CU10">SQRT(MMULT(MMULT((CN10:CR10),Portfolio!covmat),TRANSPOSE(CN10:CR10)))</f>
        <v>0.03471707916</v>
      </c>
      <c r="CV10" s="35" t="str">
        <f t="shared" si="6"/>
        <v>#REF!</v>
      </c>
      <c r="CW10" s="36">
        <f t="shared" si="7"/>
        <v>0.12026349</v>
      </c>
      <c r="CX10" s="36"/>
      <c r="CY10" s="32">
        <v>0.825</v>
      </c>
      <c r="CZ10" s="32">
        <f t="shared" si="8"/>
        <v>0.175</v>
      </c>
      <c r="DA10" s="33">
        <f t="array" ref="DA10:DE10">TRANSPOSE(CY10*Portfolio!epwt2)</f>
        <v>0</v>
      </c>
      <c r="DB10" s="33">
        <v>0.11681775299211257</v>
      </c>
      <c r="DC10" s="33">
        <v>0.4514738487247824</v>
      </c>
      <c r="DD10" s="33">
        <v>0.25670839829527137</v>
      </c>
      <c r="DE10" s="33">
        <v>0.0</v>
      </c>
      <c r="DF10" s="35"/>
      <c r="DG10" s="36">
        <f t="array" ref="DG10">SQRT(MMULT(MMULT(DA10:DE10,Portfolio!covmat), TRANSPOSE(DA10:DE10)))</f>
        <v>0.07522994569</v>
      </c>
      <c r="DH10" s="36">
        <f t="array" ref="DH10">MMULT((DA10:DE10),Portfolio!muvec) + CZ10*Portfolio!rfp</f>
        <v>0.02616482809</v>
      </c>
      <c r="DI10" s="36">
        <f t="shared" si="9"/>
        <v>0.2606041764</v>
      </c>
      <c r="DJ10" s="35">
        <f t="shared" si="10"/>
        <v>0.3139779371</v>
      </c>
      <c r="DK10" s="36"/>
      <c r="DL10" s="36" t="str">
        <f t="shared" si="11"/>
        <v>#REF!</v>
      </c>
      <c r="DM10" s="36">
        <f t="shared" si="12"/>
        <v>0.0168368886</v>
      </c>
      <c r="DN10" s="36"/>
    </row>
    <row r="11" ht="14.25" customHeight="1">
      <c r="A11" s="24">
        <v>44896.0</v>
      </c>
      <c r="B11" s="21">
        <v>-0.124966858034733</v>
      </c>
      <c r="C11" s="21">
        <v>-0.0361748498857719</v>
      </c>
      <c r="D11" s="21">
        <v>0.0422107395027921</v>
      </c>
      <c r="E11" s="21">
        <v>-0.367334349070785</v>
      </c>
      <c r="F11" s="21">
        <v>-0.0618174533512129</v>
      </c>
      <c r="O11" s="21">
        <f t="shared" ref="O11:S11" si="24">B11-I$3</f>
        <v>-0.1316679644</v>
      </c>
      <c r="P11" s="21">
        <f t="shared" si="24"/>
        <v>-0.08125744395</v>
      </c>
      <c r="Q11" s="21">
        <f t="shared" si="24"/>
        <v>0.03354336306</v>
      </c>
      <c r="R11" s="21">
        <f t="shared" si="24"/>
        <v>-0.4317957655</v>
      </c>
      <c r="S11" s="21">
        <f t="shared" si="24"/>
        <v>-0.0721254117</v>
      </c>
      <c r="AA11" s="61"/>
      <c r="AB11" s="62" t="s">
        <v>31</v>
      </c>
      <c r="AC11" s="63">
        <f t="array" ref="AC11">SQRT(MMULT(MMULT(TRANSPOSE(Portfolio!currwt),Portfolio!covmat),Portfolio!currwt))</f>
        <v>0.09118773345</v>
      </c>
      <c r="AD11" s="27" t="s">
        <v>42</v>
      </c>
      <c r="AE11" s="27"/>
      <c r="AF11" s="27"/>
      <c r="AQ11" s="61"/>
      <c r="AR11" s="64" t="s">
        <v>31</v>
      </c>
      <c r="AS11" s="65">
        <f t="array" ref="AS11">SQRT(MMULT(MMULT(TRANSPOSE(Portfolio!gmvwt),Portfolio!covmat),Portfolio!gmvwt))</f>
        <v>0.03260574749</v>
      </c>
      <c r="AT11" s="28" t="s">
        <v>42</v>
      </c>
      <c r="AU11" s="28"/>
      <c r="AV11" s="28"/>
      <c r="BH11" s="61"/>
      <c r="BI11" s="66" t="s">
        <v>31</v>
      </c>
      <c r="BJ11" s="67">
        <f t="array" ref="BJ11">SQRT(MMULT(MMULT(TRANSPOSE(Portfolio!epwt),Portfolio!covmat),Portfolio!epwt))</f>
        <v>0.07590467648</v>
      </c>
      <c r="BK11" s="29" t="s">
        <v>42</v>
      </c>
      <c r="BL11" s="29"/>
      <c r="BM11" s="29"/>
      <c r="BO11" s="61"/>
      <c r="BP11" s="66" t="s">
        <v>31</v>
      </c>
      <c r="BQ11" s="68">
        <f t="array" ref="BQ11">SQRT(MMULT(MMULT(TRANSPOSE(Portfolio!epwt2),Portfolio!covmat),Portfolio!epwt2))</f>
        <v>0.09118781296</v>
      </c>
      <c r="BR11" s="29" t="s">
        <v>42</v>
      </c>
      <c r="BS11" s="29"/>
      <c r="BT11" s="29"/>
      <c r="BY11" s="61"/>
      <c r="BZ11" s="69" t="s">
        <v>31</v>
      </c>
      <c r="CA11" s="70">
        <f t="array" ref="CA11">SQRT(MMULT(MMULT(TRANSPOSE(Portfolio!opwt),Portfolio!covmat),Portfolio!opwt))</f>
        <v>0.086545064</v>
      </c>
      <c r="CB11" s="30" t="s">
        <v>42</v>
      </c>
      <c r="CC11" s="30"/>
      <c r="CD11" s="30"/>
      <c r="CE11" s="61"/>
      <c r="CF11" s="69" t="s">
        <v>31</v>
      </c>
      <c r="CG11" s="70">
        <f t="array" ref="CG11">SQRT(MMULT(MMULT(TRANSPOSE(opwt2),Portfolio!covmat),opwt2))</f>
        <v>0.08654445345</v>
      </c>
      <c r="CH11" s="30" t="s">
        <v>42</v>
      </c>
      <c r="CI11" s="30"/>
      <c r="CJ11" s="30"/>
      <c r="CL11" s="31">
        <v>0.84</v>
      </c>
      <c r="CM11" s="32">
        <f t="shared" si="5"/>
        <v>0.16</v>
      </c>
      <c r="CN11" s="33">
        <f t="array" ref="CN11:CR11">TRANSPOSE(CL11*Portfolio!gmvwt+CM11*Portfolio!epwt2)</f>
        <v>0.0177398822</v>
      </c>
      <c r="CO11" s="33">
        <v>0.006477719652986248</v>
      </c>
      <c r="CP11" s="33">
        <v>0.6989245579670206</v>
      </c>
      <c r="CQ11" s="33">
        <v>0.020480963662692486</v>
      </c>
      <c r="CR11" s="33">
        <v>0.25637687651922814</v>
      </c>
      <c r="CT11" s="36" t="str">
        <f t="array" ref="CT11:CU11">MMULT((CN11:CR11),Portfolio!muvec)</f>
        <v>#REF!</v>
      </c>
      <c r="CU11" s="36">
        <f t="array" ref="CU11">SQRT(MMULT(MMULT((CN11:CR11),Portfolio!covmat),TRANSPOSE(CN11:CR11)))</f>
        <v>0.03533819577</v>
      </c>
      <c r="CV11" s="35" t="str">
        <f t="shared" si="6"/>
        <v>#REF!</v>
      </c>
      <c r="CW11" s="36">
        <f t="shared" si="7"/>
        <v>0.122415101</v>
      </c>
      <c r="CX11" s="36"/>
      <c r="CY11" s="31">
        <v>0.8</v>
      </c>
      <c r="CZ11" s="32">
        <f t="shared" si="8"/>
        <v>0.2</v>
      </c>
      <c r="DA11" s="33">
        <f t="array" ref="DA11:DE11">TRANSPOSE(CY11*Portfolio!epwt2)</f>
        <v>0</v>
      </c>
      <c r="DB11" s="33">
        <v>0.11327782108326068</v>
      </c>
      <c r="DC11" s="33">
        <v>0.43779282300584965</v>
      </c>
      <c r="DD11" s="33">
        <v>0.24892935592268742</v>
      </c>
      <c r="DE11" s="33">
        <v>0.0</v>
      </c>
      <c r="DF11" s="35"/>
      <c r="DG11" s="36">
        <f t="array" ref="DG11">SQRT(MMULT(MMULT(DA11:DE11,Portfolio!covmat), TRANSPOSE(DA11:DE11)))</f>
        <v>0.07295025037</v>
      </c>
      <c r="DH11" s="36">
        <f t="array" ref="DH11">MMULT((DA11:DE11),Portfolio!muvec) + CZ11*Portfolio!rfp</f>
        <v>0.02544771209</v>
      </c>
      <c r="DI11" s="36">
        <f t="shared" si="9"/>
        <v>0.2527070801</v>
      </c>
      <c r="DJ11" s="35">
        <f t="shared" si="10"/>
        <v>0.3053725451</v>
      </c>
      <c r="DK11" s="36"/>
      <c r="DL11" s="36" t="str">
        <f t="shared" si="11"/>
        <v>#REF!</v>
      </c>
      <c r="DM11" s="36">
        <f t="shared" si="12"/>
        <v>0.01958641617</v>
      </c>
      <c r="DN11" s="36"/>
    </row>
    <row r="12" ht="14.25" customHeight="1">
      <c r="A12" s="24">
        <v>44866.0</v>
      </c>
      <c r="B12" s="21">
        <v>0.050221907791345</v>
      </c>
      <c r="C12" s="21">
        <v>-0.162336251490875</v>
      </c>
      <c r="D12" s="21">
        <v>0.0673023864189821</v>
      </c>
      <c r="E12" s="21">
        <v>-0.144326260467952</v>
      </c>
      <c r="F12" s="21">
        <v>0.0550499613819388</v>
      </c>
      <c r="I12" s="71" t="s">
        <v>43</v>
      </c>
      <c r="O12" s="21">
        <f t="shared" ref="O12:S12" si="25">B12-I$3</f>
        <v>0.04352080139</v>
      </c>
      <c r="P12" s="21">
        <f t="shared" si="25"/>
        <v>-0.2074188456</v>
      </c>
      <c r="Q12" s="21">
        <f t="shared" si="25"/>
        <v>0.05863500997</v>
      </c>
      <c r="R12" s="21">
        <f t="shared" si="25"/>
        <v>-0.2087876769</v>
      </c>
      <c r="S12" s="21">
        <f t="shared" si="25"/>
        <v>0.04474200303</v>
      </c>
      <c r="AA12" s="72"/>
      <c r="AB12" s="73" t="s">
        <v>44</v>
      </c>
      <c r="AC12" s="74">
        <f>(AC10-AC22)/AC11</f>
        <v>0.26916</v>
      </c>
      <c r="AD12" s="27" t="s">
        <v>45</v>
      </c>
      <c r="AE12" s="27"/>
      <c r="AF12" s="27"/>
      <c r="AQ12" s="72"/>
      <c r="AR12" s="75" t="s">
        <v>44</v>
      </c>
      <c r="AS12" s="76">
        <f>(AS10-AS22)/AS11</f>
        <v>0.1220265132</v>
      </c>
      <c r="AT12" s="28" t="s">
        <v>45</v>
      </c>
      <c r="AU12" s="28"/>
      <c r="AV12" s="28"/>
      <c r="BH12" s="72"/>
      <c r="BI12" s="77" t="s">
        <v>44</v>
      </c>
      <c r="BJ12" s="78">
        <f>(BJ10-BJ22)/BJ11</f>
        <v>0.3233541261</v>
      </c>
      <c r="BK12" s="29" t="s">
        <v>45</v>
      </c>
      <c r="BL12" s="29"/>
      <c r="BM12" s="29"/>
      <c r="BO12" s="72"/>
      <c r="BP12" s="77" t="s">
        <v>44</v>
      </c>
      <c r="BQ12" s="78">
        <f>(BQ10-BQ22)/BQ11</f>
        <v>0.3145665981</v>
      </c>
      <c r="BR12" s="29" t="s">
        <v>45</v>
      </c>
      <c r="BS12" s="29"/>
      <c r="BT12" s="29"/>
      <c r="BY12" s="72"/>
      <c r="BZ12" s="79" t="s">
        <v>44</v>
      </c>
      <c r="CA12" s="80">
        <f>(CA10-CA22)/CA11</f>
        <v>0.3238935834</v>
      </c>
      <c r="CB12" s="30" t="s">
        <v>45</v>
      </c>
      <c r="CC12" s="30"/>
      <c r="CD12" s="30"/>
      <c r="CE12" s="72"/>
      <c r="CF12" s="79" t="s">
        <v>44</v>
      </c>
      <c r="CG12" s="81">
        <f>(CG10-CG22)/CG11</f>
        <v>0.3238935833</v>
      </c>
      <c r="CH12" s="30" t="s">
        <v>45</v>
      </c>
      <c r="CI12" s="30"/>
      <c r="CJ12" s="30"/>
      <c r="CL12" s="31">
        <v>0.82</v>
      </c>
      <c r="CM12" s="32">
        <f t="shared" si="5"/>
        <v>0.18</v>
      </c>
      <c r="CN12" s="33">
        <f t="array" ref="CN12:CR12">TRANSPOSE(CL12*Portfolio!gmvwt+CM12*Portfolio!epwt2)</f>
        <v>0.01731750405</v>
      </c>
      <c r="CO12" s="33">
        <v>0.009694851955393147</v>
      </c>
      <c r="CP12" s="33">
        <v>0.6953130453667894</v>
      </c>
      <c r="CQ12" s="33">
        <v>0.02740193345413694</v>
      </c>
      <c r="CR12" s="33">
        <v>0.2502726651735322</v>
      </c>
      <c r="CT12" s="36" t="str">
        <f t="array" ref="CT12:CU12">MMULT((CN12:CR12),Portfolio!muvec)</f>
        <v>#REF!</v>
      </c>
      <c r="CU12" s="36">
        <f t="array" ref="CU12">SQRT(MMULT(MMULT((CN12:CR12),Portfolio!covmat),TRANSPOSE(CN12:CR12)))</f>
        <v>0.03602918596</v>
      </c>
      <c r="CV12" s="35" t="str">
        <f t="shared" si="6"/>
        <v>#REF!</v>
      </c>
      <c r="CW12" s="36">
        <f t="shared" si="7"/>
        <v>0.1248087613</v>
      </c>
      <c r="CX12" s="36"/>
      <c r="CY12" s="32">
        <v>0.775</v>
      </c>
      <c r="CZ12" s="32">
        <f t="shared" si="8"/>
        <v>0.225</v>
      </c>
      <c r="DA12" s="33">
        <f t="array" ref="DA12:DE12">TRANSPOSE(CY12*Portfolio!epwt2)</f>
        <v>0</v>
      </c>
      <c r="DB12" s="33">
        <v>0.10973788917440878</v>
      </c>
      <c r="DC12" s="33">
        <v>0.42411179728691684</v>
      </c>
      <c r="DD12" s="33">
        <v>0.24115031355010344</v>
      </c>
      <c r="DE12" s="33">
        <v>0.0</v>
      </c>
      <c r="DF12" s="35"/>
      <c r="DG12" s="36">
        <f t="array" ref="DG12">SQRT(MMULT(MMULT(DA12:DE12,Portfolio!covmat), TRANSPOSE(DA12:DE12)))</f>
        <v>0.07067055504</v>
      </c>
      <c r="DH12" s="36">
        <f t="array" ref="DH12">MMULT((DA12:DE12),Portfolio!muvec) + CZ12*Portfolio!rfp</f>
        <v>0.02473059609</v>
      </c>
      <c r="DI12" s="36">
        <f t="shared" si="9"/>
        <v>0.2448099839</v>
      </c>
      <c r="DJ12" s="35">
        <f t="shared" si="10"/>
        <v>0.2967671531</v>
      </c>
      <c r="DK12" s="36"/>
      <c r="DL12" s="36" t="str">
        <f t="shared" si="11"/>
        <v>#REF!</v>
      </c>
      <c r="DM12" s="36">
        <f t="shared" si="12"/>
        <v>0.02246557703</v>
      </c>
      <c r="DN12" s="36"/>
    </row>
    <row r="13" ht="14.25" customHeight="1">
      <c r="A13" s="24">
        <v>44835.0</v>
      </c>
      <c r="B13" s="21">
        <v>0.201240378471129</v>
      </c>
      <c r="C13" s="21">
        <v>0.0547548335141876</v>
      </c>
      <c r="D13" s="21">
        <v>-0.015940808235575</v>
      </c>
      <c r="E13" s="21">
        <v>-0.142167791569716</v>
      </c>
      <c r="F13" s="21">
        <v>0.0859321428176265</v>
      </c>
      <c r="I13" s="14" t="str">
        <f t="array" ref="I13:M17">TRANSPOSE(I2:M6)</f>
        <v>BAC</v>
      </c>
      <c r="J13" s="21">
        <v>0.006701106405313263</v>
      </c>
      <c r="K13" s="21">
        <v>0.09608300440326563</v>
      </c>
      <c r="L13" s="21">
        <v>-0.2500355125854811</v>
      </c>
      <c r="M13" s="21">
        <v>-0.13279183516668613</v>
      </c>
      <c r="O13" s="21">
        <f t="shared" ref="O13:S13" si="26">B13-I$3</f>
        <v>0.1945392721</v>
      </c>
      <c r="P13" s="21">
        <f t="shared" si="26"/>
        <v>0.009672239453</v>
      </c>
      <c r="Q13" s="21">
        <f t="shared" si="26"/>
        <v>-0.02460818468</v>
      </c>
      <c r="R13" s="21">
        <f t="shared" si="26"/>
        <v>-0.206629208</v>
      </c>
      <c r="S13" s="21">
        <f t="shared" si="26"/>
        <v>0.07562418447</v>
      </c>
      <c r="AA13" s="27"/>
      <c r="AB13" s="27"/>
      <c r="AC13" s="27"/>
      <c r="AD13" s="27"/>
      <c r="AE13" s="27"/>
      <c r="AF13" s="27"/>
      <c r="AQ13" s="28"/>
      <c r="AR13" s="28"/>
      <c r="AS13" s="28"/>
      <c r="AT13" s="28"/>
      <c r="AU13" s="28"/>
      <c r="AV13" s="28"/>
      <c r="BH13" s="29"/>
      <c r="BI13" s="29"/>
      <c r="BJ13" s="29"/>
      <c r="BK13" s="29"/>
      <c r="BL13" s="29"/>
      <c r="BM13" s="29"/>
      <c r="BO13" s="29"/>
      <c r="BP13" s="29"/>
      <c r="BQ13" s="29"/>
      <c r="BR13" s="29"/>
      <c r="BS13" s="29"/>
      <c r="BT13" s="29"/>
      <c r="BW13" s="35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L13" s="31">
        <v>0.8</v>
      </c>
      <c r="CM13" s="32">
        <f t="shared" si="5"/>
        <v>0.2</v>
      </c>
      <c r="CN13" s="33">
        <f t="array" ref="CN13:CR13">TRANSPOSE(CL13*Portfolio!gmvwt+CM13*Portfolio!epwt2)</f>
        <v>0.01689512591</v>
      </c>
      <c r="CO13" s="33">
        <v>0.012911984257800026</v>
      </c>
      <c r="CP13" s="33">
        <v>0.6917015327665583</v>
      </c>
      <c r="CQ13" s="33">
        <v>0.034322903245581356</v>
      </c>
      <c r="CR13" s="33">
        <v>0.24416845382783633</v>
      </c>
      <c r="CT13" s="36" t="str">
        <f t="array" ref="CT13:CU13">MMULT((CN13:CR13),Portfolio!muvec)</f>
        <v>#REF!</v>
      </c>
      <c r="CU13" s="36">
        <f t="array" ref="CU13">SQRT(MMULT(MMULT((CN13:CR13),Portfolio!covmat),TRANSPOSE(CN13:CR13)))</f>
        <v>0.03678611243</v>
      </c>
      <c r="CV13" s="35" t="str">
        <f t="shared" si="6"/>
        <v>#REF!</v>
      </c>
      <c r="CW13" s="36">
        <f t="shared" si="7"/>
        <v>0.1274308315</v>
      </c>
      <c r="CX13" s="36"/>
      <c r="CY13" s="31">
        <v>0.75</v>
      </c>
      <c r="CZ13" s="32">
        <f t="shared" si="8"/>
        <v>0.25</v>
      </c>
      <c r="DA13" s="33">
        <f t="array" ref="DA13:DE13">TRANSPOSE(CY13*Portfolio!epwt2)</f>
        <v>0</v>
      </c>
      <c r="DB13" s="33">
        <v>0.10619795726555689</v>
      </c>
      <c r="DC13" s="33">
        <v>0.410430771567984</v>
      </c>
      <c r="DD13" s="33">
        <v>0.23337127117751943</v>
      </c>
      <c r="DE13" s="33">
        <v>0.0</v>
      </c>
      <c r="DF13" s="35"/>
      <c r="DG13" s="36">
        <f t="array" ref="DG13">SQRT(MMULT(MMULT(DA13:DE13,Portfolio!covmat), TRANSPOSE(DA13:DE13)))</f>
        <v>0.06839085972</v>
      </c>
      <c r="DH13" s="36">
        <f t="array" ref="DH13">MMULT((DA13:DE13),Portfolio!muvec) + CZ13*Portfolio!rfp</f>
        <v>0.02401348009</v>
      </c>
      <c r="DI13" s="36">
        <f t="shared" si="9"/>
        <v>0.2369128876</v>
      </c>
      <c r="DJ13" s="35">
        <f t="shared" si="10"/>
        <v>0.288161761</v>
      </c>
      <c r="DK13" s="36"/>
      <c r="DL13" s="36" t="str">
        <f t="shared" si="11"/>
        <v>#REF!</v>
      </c>
      <c r="DM13" s="36">
        <f t="shared" si="12"/>
        <v>0.0254861663</v>
      </c>
      <c r="DN13" s="36"/>
    </row>
    <row r="14" ht="14.25" customHeight="1">
      <c r="A14" s="24">
        <v>44805.0</v>
      </c>
      <c r="B14" s="21">
        <v>-0.101457985284911</v>
      </c>
      <c r="C14" s="21">
        <v>-0.0308220395755521</v>
      </c>
      <c r="D14" s="21">
        <v>-0.0294255155168553</v>
      </c>
      <c r="E14" s="21">
        <v>-0.0375892961147525</v>
      </c>
      <c r="F14" s="21">
        <v>-0.0959657471777721</v>
      </c>
      <c r="I14" s="14" t="s">
        <v>24</v>
      </c>
      <c r="J14" s="21">
        <v>0.04508259406077373</v>
      </c>
      <c r="K14" s="21">
        <v>0.21272816475616527</v>
      </c>
      <c r="L14" s="21">
        <v>0.41108273842579157</v>
      </c>
      <c r="M14" s="21">
        <v>-0.09219784672108888</v>
      </c>
      <c r="O14" s="21">
        <f t="shared" ref="O14:S14" si="27">B14-I$3</f>
        <v>-0.1081590917</v>
      </c>
      <c r="P14" s="21">
        <f t="shared" si="27"/>
        <v>-0.07590463364</v>
      </c>
      <c r="Q14" s="21">
        <f t="shared" si="27"/>
        <v>-0.03809289196</v>
      </c>
      <c r="R14" s="21">
        <f t="shared" si="27"/>
        <v>-0.1020507125</v>
      </c>
      <c r="S14" s="21">
        <f t="shared" si="27"/>
        <v>-0.1062737055</v>
      </c>
      <c r="AA14" s="27"/>
      <c r="AB14" s="27"/>
      <c r="AC14" s="27"/>
      <c r="AD14" s="27"/>
      <c r="AE14" s="27"/>
      <c r="AF14" s="27"/>
      <c r="AQ14" s="28"/>
      <c r="AR14" s="28"/>
      <c r="AS14" s="28"/>
      <c r="AT14" s="28"/>
      <c r="AU14" s="28"/>
      <c r="AV14" s="28"/>
      <c r="BH14" s="29"/>
      <c r="BI14" s="29"/>
      <c r="BJ14" s="82"/>
      <c r="BK14" s="29"/>
      <c r="BL14" s="29"/>
      <c r="BM14" s="29"/>
      <c r="BO14" s="29"/>
      <c r="BP14" s="29"/>
      <c r="BQ14" s="82"/>
      <c r="BR14" s="29"/>
      <c r="BS14" s="29"/>
      <c r="BT14" s="29"/>
      <c r="BW14" s="83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L14" s="32">
        <v>0.78</v>
      </c>
      <c r="CM14" s="32">
        <f t="shared" si="5"/>
        <v>0.22</v>
      </c>
      <c r="CN14" s="33">
        <f t="array" ref="CN14:CR14">TRANSPOSE(CL14*Portfolio!gmvwt+CM14*Portfolio!epwt2)</f>
        <v>0.01647274776</v>
      </c>
      <c r="CO14" s="33">
        <v>0.01612911656020692</v>
      </c>
      <c r="CP14" s="33">
        <v>0.6880900201663271</v>
      </c>
      <c r="CQ14" s="33">
        <v>0.04124387303702581</v>
      </c>
      <c r="CR14" s="33">
        <v>0.23806424248214042</v>
      </c>
      <c r="CT14" s="36" t="str">
        <f t="array" ref="CT14:CU14">MMULT((CN14:CR14),Portfolio!muvec)</f>
        <v>#REF!</v>
      </c>
      <c r="CU14" s="36">
        <f t="array" ref="CU14">SQRT(MMULT(MMULT((CN14:CR14),Portfolio!covmat),TRANSPOSE(CN14:CR14)))</f>
        <v>0.03760499382</v>
      </c>
      <c r="CV14" s="35" t="str">
        <f t="shared" si="6"/>
        <v>#REF!</v>
      </c>
      <c r="CW14" s="36">
        <f t="shared" si="7"/>
        <v>0.1302675198</v>
      </c>
      <c r="CX14" s="36"/>
      <c r="CY14" s="32">
        <v>0.725</v>
      </c>
      <c r="CZ14" s="32">
        <f t="shared" si="8"/>
        <v>0.275</v>
      </c>
      <c r="DA14" s="33">
        <f t="array" ref="DA14:DE14">TRANSPOSE(CY14*Portfolio!epwt2)</f>
        <v>0</v>
      </c>
      <c r="DB14" s="33">
        <v>0.10265802535670498</v>
      </c>
      <c r="DC14" s="33">
        <v>0.39674974584905126</v>
      </c>
      <c r="DD14" s="33">
        <v>0.22559222880493546</v>
      </c>
      <c r="DE14" s="33">
        <v>0.0</v>
      </c>
      <c r="DF14" s="35"/>
      <c r="DG14" s="36">
        <f t="array" ref="DG14">SQRT(MMULT(MMULT(DA14:DE14,Portfolio!covmat), TRANSPOSE(DA14:DE14)))</f>
        <v>0.0661111644</v>
      </c>
      <c r="DH14" s="36">
        <f t="array" ref="DH14">MMULT((DA14:DE14),Portfolio!muvec) + CZ14*Portfolio!rfp</f>
        <v>0.02329636408</v>
      </c>
      <c r="DI14" s="36">
        <f t="shared" si="9"/>
        <v>0.2290157914</v>
      </c>
      <c r="DJ14" s="35">
        <f t="shared" si="10"/>
        <v>0.279556369</v>
      </c>
      <c r="DK14" s="36"/>
      <c r="DL14" s="36" t="str">
        <f t="shared" si="11"/>
        <v>#REF!</v>
      </c>
      <c r="DM14" s="36">
        <f t="shared" si="12"/>
        <v>0.02865885436</v>
      </c>
      <c r="DN14" s="36"/>
    </row>
    <row r="15" ht="14.25" customHeight="1">
      <c r="A15" s="24">
        <v>44774.0</v>
      </c>
      <c r="B15" s="21">
        <v>-0.00591530684299745</v>
      </c>
      <c r="C15" s="21">
        <v>-0.14085561097213</v>
      </c>
      <c r="D15" s="21">
        <v>-0.0284190679517344</v>
      </c>
      <c r="E15" s="21">
        <v>-0.0724886723451375</v>
      </c>
      <c r="F15" s="21">
        <v>-0.0412893985602769</v>
      </c>
      <c r="I15" s="14" t="s">
        <v>25</v>
      </c>
      <c r="J15" s="21">
        <v>0.008667376444851129</v>
      </c>
      <c r="K15" s="21">
        <v>0.03684642084036275</v>
      </c>
      <c r="L15" s="21">
        <v>0.4443965062361827</v>
      </c>
      <c r="M15" s="21">
        <v>-0.04063944627312832</v>
      </c>
      <c r="O15" s="21">
        <f t="shared" ref="O15:S15" si="28">B15-I$3</f>
        <v>-0.01261641325</v>
      </c>
      <c r="P15" s="21">
        <f t="shared" si="28"/>
        <v>-0.185938205</v>
      </c>
      <c r="Q15" s="21">
        <f t="shared" si="28"/>
        <v>-0.0370864444</v>
      </c>
      <c r="R15" s="21">
        <f t="shared" si="28"/>
        <v>-0.1369500887</v>
      </c>
      <c r="S15" s="21">
        <f t="shared" si="28"/>
        <v>-0.05159735691</v>
      </c>
      <c r="AA15" s="48" t="s">
        <v>46</v>
      </c>
      <c r="AB15" s="49" t="s">
        <v>30</v>
      </c>
      <c r="AC15" s="50">
        <f>AC10*12</f>
        <v>0.324529084</v>
      </c>
      <c r="AD15" s="27" t="s">
        <v>47</v>
      </c>
      <c r="AE15" s="27"/>
      <c r="AF15" s="27"/>
      <c r="AQ15" s="51" t="s">
        <v>46</v>
      </c>
      <c r="AR15" s="52" t="s">
        <v>30</v>
      </c>
      <c r="AS15" s="84">
        <f>AS10*12</f>
        <v>0.07774518811</v>
      </c>
      <c r="AT15" s="28" t="s">
        <v>47</v>
      </c>
      <c r="AU15" s="28"/>
      <c r="AV15" s="28"/>
      <c r="BH15" s="54" t="s">
        <v>46</v>
      </c>
      <c r="BI15" s="55" t="s">
        <v>30</v>
      </c>
      <c r="BJ15" s="56">
        <f>BJ10*12</f>
        <v>0.324529084</v>
      </c>
      <c r="BK15" s="29" t="s">
        <v>47</v>
      </c>
      <c r="BL15" s="29"/>
      <c r="BM15" s="29"/>
      <c r="BO15" s="54" t="s">
        <v>46</v>
      </c>
      <c r="BP15" s="55" t="s">
        <v>30</v>
      </c>
      <c r="BQ15" s="56">
        <f>BQ10*12</f>
        <v>0.3742156814</v>
      </c>
      <c r="BR15" s="29" t="s">
        <v>47</v>
      </c>
      <c r="BS15" s="29"/>
      <c r="BT15" s="29"/>
      <c r="BW15" s="31"/>
      <c r="BY15" s="58" t="s">
        <v>46</v>
      </c>
      <c r="BZ15" s="59" t="s">
        <v>30</v>
      </c>
      <c r="CA15" s="60">
        <f>CA10*12</f>
        <v>0.3663766909</v>
      </c>
      <c r="CB15" s="30" t="s">
        <v>47</v>
      </c>
      <c r="CC15" s="30"/>
      <c r="CD15" s="30"/>
      <c r="CE15" s="58" t="s">
        <v>46</v>
      </c>
      <c r="CF15" s="59" t="s">
        <v>30</v>
      </c>
      <c r="CG15" s="60">
        <f>CG10*12</f>
        <v>0.3663743177</v>
      </c>
      <c r="CH15" s="30" t="s">
        <v>47</v>
      </c>
      <c r="CI15" s="30"/>
      <c r="CJ15" s="30"/>
      <c r="CL15" s="31">
        <v>0.76</v>
      </c>
      <c r="CM15" s="32">
        <f t="shared" si="5"/>
        <v>0.24</v>
      </c>
      <c r="CN15" s="33">
        <f t="array" ref="CN15:CR15">TRANSPOSE(CL15*Portfolio!gmvwt+CM15*Portfolio!epwt2)</f>
        <v>0.01605036961</v>
      </c>
      <c r="CO15" s="33">
        <v>0.019346248862613824</v>
      </c>
      <c r="CP15" s="33">
        <v>0.684478507566096</v>
      </c>
      <c r="CQ15" s="33">
        <v>0.04816484282847026</v>
      </c>
      <c r="CR15" s="33">
        <v>0.2319600311364445</v>
      </c>
      <c r="CT15" s="36" t="str">
        <f t="array" ref="CT15:CU15">MMULT((CN15:CR15),Portfolio!muvec)</f>
        <v>#REF!</v>
      </c>
      <c r="CU15" s="36">
        <f t="array" ref="CU15">SQRT(MMULT(MMULT((CN15:CR15),Portfolio!covmat),TRANSPOSE(CN15:CR15)))</f>
        <v>0.0384818752</v>
      </c>
      <c r="CV15" s="35" t="str">
        <f t="shared" si="6"/>
        <v>#REF!</v>
      </c>
      <c r="CW15" s="36">
        <f t="shared" si="7"/>
        <v>0.133305126</v>
      </c>
      <c r="CX15" s="36"/>
      <c r="CY15" s="31">
        <v>0.7</v>
      </c>
      <c r="CZ15" s="32">
        <f t="shared" si="8"/>
        <v>0.3</v>
      </c>
      <c r="DA15" s="33">
        <f t="array" ref="DA15:DE15">TRANSPOSE(CY15*Portfolio!epwt2)</f>
        <v>0</v>
      </c>
      <c r="DB15" s="33">
        <v>0.09911809344785309</v>
      </c>
      <c r="DC15" s="33">
        <v>0.38306872013011845</v>
      </c>
      <c r="DD15" s="33">
        <v>0.21781318643235148</v>
      </c>
      <c r="DE15" s="33">
        <v>0.0</v>
      </c>
      <c r="DF15" s="35"/>
      <c r="DG15" s="36">
        <f t="array" ref="DG15">SQRT(MMULT(MMULT(DA15:DE15,Portfolio!covmat), TRANSPOSE(DA15:DE15)))</f>
        <v>0.06383146907</v>
      </c>
      <c r="DH15" s="36">
        <f t="array" ref="DH15">MMULT((DA15:DE15),Portfolio!muvec) + CZ15*Portfolio!rfp</f>
        <v>0.02257924808</v>
      </c>
      <c r="DI15" s="36">
        <f t="shared" si="9"/>
        <v>0.2211186951</v>
      </c>
      <c r="DJ15" s="35">
        <f t="shared" si="10"/>
        <v>0.270950977</v>
      </c>
      <c r="DK15" s="36"/>
      <c r="DL15" s="36" t="str">
        <f t="shared" si="11"/>
        <v>#REF!</v>
      </c>
      <c r="DM15" s="36">
        <f t="shared" si="12"/>
        <v>0.03199323025</v>
      </c>
      <c r="DN15" s="36"/>
    </row>
    <row r="16" ht="14.25" customHeight="1">
      <c r="A16" s="24">
        <v>44743.0</v>
      </c>
      <c r="B16" s="21">
        <v>0.0923461919587147</v>
      </c>
      <c r="C16" s="21">
        <v>0.179541016685456</v>
      </c>
      <c r="D16" s="21">
        <v>-0.0228368448142648</v>
      </c>
      <c r="E16" s="21">
        <v>0.323765264340819</v>
      </c>
      <c r="F16" s="21">
        <v>0.096466039953271</v>
      </c>
      <c r="I16" s="14" t="s">
        <v>26</v>
      </c>
      <c r="J16" s="21">
        <v>0.0644614163993917</v>
      </c>
      <c r="K16" s="21">
        <v>0.2214760425598234</v>
      </c>
      <c r="L16" s="21">
        <v>0.8121167344822343</v>
      </c>
      <c r="M16" s="21">
        <v>0.4400918633231554</v>
      </c>
      <c r="O16" s="21">
        <f t="shared" ref="O16:S16" si="29">B16-I$3</f>
        <v>0.08564508555</v>
      </c>
      <c r="P16" s="21">
        <f t="shared" si="29"/>
        <v>0.1344584226</v>
      </c>
      <c r="Q16" s="21">
        <f t="shared" si="29"/>
        <v>-0.03150422126</v>
      </c>
      <c r="R16" s="21">
        <f t="shared" si="29"/>
        <v>0.2593038479</v>
      </c>
      <c r="S16" s="21">
        <f t="shared" si="29"/>
        <v>0.0861580816</v>
      </c>
      <c r="AA16" s="61"/>
      <c r="AB16" s="62" t="s">
        <v>31</v>
      </c>
      <c r="AC16" s="63">
        <f>AC11*SQRT(12)</f>
        <v>0.3158835747</v>
      </c>
      <c r="AD16" s="27" t="s">
        <v>48</v>
      </c>
      <c r="AE16" s="27"/>
      <c r="AF16" s="27"/>
      <c r="AQ16" s="61"/>
      <c r="AR16" s="64" t="s">
        <v>31</v>
      </c>
      <c r="AS16" s="85">
        <f>AS11*SQRT(12)</f>
        <v>0.1129496225</v>
      </c>
      <c r="AT16" s="28" t="s">
        <v>48</v>
      </c>
      <c r="AU16" s="28"/>
      <c r="AV16" s="28"/>
      <c r="BH16" s="61"/>
      <c r="BI16" s="66" t="s">
        <v>31</v>
      </c>
      <c r="BJ16" s="86">
        <f>BJ11*SQRT(12)</f>
        <v>0.2629415124</v>
      </c>
      <c r="BK16" s="29" t="s">
        <v>48</v>
      </c>
      <c r="BL16" s="29"/>
      <c r="BM16" s="29"/>
      <c r="BO16" s="61"/>
      <c r="BP16" s="66" t="s">
        <v>31</v>
      </c>
      <c r="BQ16" s="86">
        <f>BQ11*SQRT(12)</f>
        <v>0.3158838502</v>
      </c>
      <c r="BR16" s="29" t="s">
        <v>48</v>
      </c>
      <c r="BS16" s="29"/>
      <c r="BT16" s="29"/>
      <c r="BW16" s="31"/>
      <c r="BY16" s="61"/>
      <c r="BZ16" s="69" t="s">
        <v>31</v>
      </c>
      <c r="CA16" s="70">
        <f>CA11*SQRT(12)</f>
        <v>0.299800896</v>
      </c>
      <c r="CB16" s="30" t="s">
        <v>48</v>
      </c>
      <c r="CC16" s="30"/>
      <c r="CD16" s="30"/>
      <c r="CE16" s="61"/>
      <c r="CF16" s="69" t="s">
        <v>31</v>
      </c>
      <c r="CG16" s="70">
        <f>CG11*SQRT(12)</f>
        <v>0.299798781</v>
      </c>
      <c r="CH16" s="30" t="s">
        <v>48</v>
      </c>
      <c r="CI16" s="30"/>
      <c r="CJ16" s="30"/>
      <c r="CL16" s="31">
        <v>0.74</v>
      </c>
      <c r="CM16" s="32">
        <f t="shared" si="5"/>
        <v>0.26</v>
      </c>
      <c r="CN16" s="33">
        <f t="array" ref="CN16:CR16">TRANSPOSE(CL16*Portfolio!gmvwt+CM16*Portfolio!epwt2)</f>
        <v>0.01562799146</v>
      </c>
      <c r="CO16" s="33">
        <v>0.02256338116502072</v>
      </c>
      <c r="CP16" s="33">
        <v>0.6808669949658648</v>
      </c>
      <c r="CQ16" s="33">
        <v>0.05508581261991472</v>
      </c>
      <c r="CR16" s="33">
        <v>0.2258558197907486</v>
      </c>
      <c r="CT16" s="36" t="str">
        <f t="array" ref="CT16:CU16">MMULT((CN16:CR16),Portfolio!muvec)</f>
        <v>#REF!</v>
      </c>
      <c r="CU16" s="36">
        <f t="array" ref="CU16">SQRT(MMULT(MMULT((CN16:CR16),Portfolio!covmat),TRANSPOSE(CN16:CR16)))</f>
        <v>0.0394128855</v>
      </c>
      <c r="CV16" s="35" t="str">
        <f t="shared" si="6"/>
        <v>#REF!</v>
      </c>
      <c r="CW16" s="36">
        <f t="shared" si="7"/>
        <v>0.1365302403</v>
      </c>
      <c r="CX16" s="36"/>
      <c r="CY16" s="32">
        <v>0.675</v>
      </c>
      <c r="CZ16" s="32">
        <f t="shared" si="8"/>
        <v>0.325</v>
      </c>
      <c r="DA16" s="33">
        <f t="array" ref="DA16:DE16">TRANSPOSE(CY16*Portfolio!epwt2)</f>
        <v>0</v>
      </c>
      <c r="DB16" s="33">
        <v>0.0955781615390012</v>
      </c>
      <c r="DC16" s="33">
        <v>0.3693876944111857</v>
      </c>
      <c r="DD16" s="33">
        <v>0.21003414405976753</v>
      </c>
      <c r="DE16" s="33">
        <v>0.0</v>
      </c>
      <c r="DF16" s="35"/>
      <c r="DG16" s="36">
        <f t="array" ref="DG16">SQRT(MMULT(MMULT(DA16:DE16,Portfolio!covmat), TRANSPOSE(DA16:DE16)))</f>
        <v>0.06155177375</v>
      </c>
      <c r="DH16" s="36">
        <f t="array" ref="DH16">MMULT((DA16:DE16),Portfolio!muvec) + CZ16*Portfolio!rfp</f>
        <v>0.02186213208</v>
      </c>
      <c r="DI16" s="36">
        <f t="shared" si="9"/>
        <v>0.2132215989</v>
      </c>
      <c r="DJ16" s="35">
        <f t="shared" si="10"/>
        <v>0.2623455849</v>
      </c>
      <c r="DK16" s="36"/>
      <c r="DL16" s="36" t="str">
        <f t="shared" si="11"/>
        <v>#REF!</v>
      </c>
      <c r="DM16" s="36">
        <f t="shared" si="12"/>
        <v>0.03549786249</v>
      </c>
      <c r="DN16" s="36"/>
    </row>
    <row r="17" ht="14.25" customHeight="1">
      <c r="A17" s="24">
        <v>44713.0</v>
      </c>
      <c r="B17" s="21">
        <v>-0.163172014133916</v>
      </c>
      <c r="C17" s="21">
        <v>-0.37768830820493</v>
      </c>
      <c r="D17" s="21">
        <v>-0.0550987642339172</v>
      </c>
      <c r="E17" s="21">
        <v>-0.111887741223036</v>
      </c>
      <c r="F17" s="21">
        <v>-0.0863885374045686</v>
      </c>
      <c r="I17" s="14" t="s">
        <v>27</v>
      </c>
      <c r="J17" s="21">
        <v>0.010307958348608716</v>
      </c>
      <c r="K17" s="21">
        <v>0.055220657391565585</v>
      </c>
      <c r="L17" s="21">
        <v>-0.3866192184892304</v>
      </c>
      <c r="M17" s="21">
        <v>-0.11110240584043174</v>
      </c>
      <c r="O17" s="21">
        <f t="shared" ref="O17:S17" si="30">B17-I$3</f>
        <v>-0.1698731205</v>
      </c>
      <c r="P17" s="21">
        <f t="shared" si="30"/>
        <v>-0.4227709023</v>
      </c>
      <c r="Q17" s="21">
        <f t="shared" si="30"/>
        <v>-0.06376614068</v>
      </c>
      <c r="R17" s="21">
        <f t="shared" si="30"/>
        <v>-0.1763491576</v>
      </c>
      <c r="S17" s="21">
        <f t="shared" si="30"/>
        <v>-0.09669649575</v>
      </c>
      <c r="AA17" s="72"/>
      <c r="AB17" s="73" t="s">
        <v>44</v>
      </c>
      <c r="AC17" s="74">
        <f>(AC15-AC23)/AC16</f>
        <v>0.9323975906</v>
      </c>
      <c r="AD17" s="27" t="s">
        <v>49</v>
      </c>
      <c r="AE17" s="27"/>
      <c r="AF17" s="27"/>
      <c r="AQ17" s="72"/>
      <c r="AR17" s="75" t="s">
        <v>44</v>
      </c>
      <c r="AS17" s="76">
        <f>(AS15-AS23)/AS16</f>
        <v>0.4227122414</v>
      </c>
      <c r="AT17" s="28" t="s">
        <v>49</v>
      </c>
      <c r="AU17" s="28"/>
      <c r="AV17" s="28"/>
      <c r="BH17" s="72"/>
      <c r="BI17" s="77" t="s">
        <v>44</v>
      </c>
      <c r="BJ17" s="78">
        <f>(BJ15-BJ23)/BJ16</f>
        <v>1.120131551</v>
      </c>
      <c r="BK17" s="29" t="s">
        <v>49</v>
      </c>
      <c r="BL17" s="29"/>
      <c r="BM17" s="29"/>
      <c r="BO17" s="72"/>
      <c r="BP17" s="77" t="s">
        <v>44</v>
      </c>
      <c r="BQ17" s="78">
        <f>(BQ15-BQ23)/BQ16</f>
        <v>1.089690661</v>
      </c>
      <c r="BR17" s="29" t="s">
        <v>49</v>
      </c>
      <c r="BS17" s="29"/>
      <c r="BT17" s="29"/>
      <c r="BW17" s="31"/>
      <c r="BY17" s="72"/>
      <c r="BZ17" s="79" t="s">
        <v>44</v>
      </c>
      <c r="CA17" s="80">
        <f>(CA15-CA23)/CA16</f>
        <v>1.122000285</v>
      </c>
      <c r="CB17" s="30" t="s">
        <v>49</v>
      </c>
      <c r="CC17" s="30"/>
      <c r="CD17" s="30"/>
      <c r="CE17" s="72"/>
      <c r="CF17" s="79" t="s">
        <v>44</v>
      </c>
      <c r="CG17" s="80">
        <f>(CG15-CG23)/CG16</f>
        <v>1.122000285</v>
      </c>
      <c r="CH17" s="30" t="s">
        <v>49</v>
      </c>
      <c r="CI17" s="30"/>
      <c r="CJ17" s="30"/>
      <c r="CL17" s="32">
        <v>0.72</v>
      </c>
      <c r="CM17" s="32">
        <f t="shared" si="5"/>
        <v>0.28</v>
      </c>
      <c r="CN17" s="33">
        <f t="array" ref="CN17:CR17">TRANSPOSE(CL17*Portfolio!gmvwt+CM17*Portfolio!epwt2)</f>
        <v>0.01520561331</v>
      </c>
      <c r="CO17" s="33">
        <v>0.02578051346742762</v>
      </c>
      <c r="CP17" s="33">
        <v>0.6772554823656336</v>
      </c>
      <c r="CQ17" s="33">
        <v>0.062006782411359165</v>
      </c>
      <c r="CR17" s="33">
        <v>0.21975160844505268</v>
      </c>
      <c r="CT17" s="36" t="str">
        <f t="array" ref="CT17:CU17">MMULT((CN17:CR17),Portfolio!muvec)</f>
        <v>#REF!</v>
      </c>
      <c r="CU17" s="36">
        <f t="array" ref="CU17">SQRT(MMULT(MMULT((CN17:CR17),Portfolio!covmat),TRANSPOSE(CN17:CR17)))</f>
        <v>0.0403942822</v>
      </c>
      <c r="CV17" s="35" t="str">
        <f t="shared" si="6"/>
        <v>#REF!</v>
      </c>
      <c r="CW17" s="36">
        <f t="shared" si="7"/>
        <v>0.1399298982</v>
      </c>
      <c r="CX17" s="36"/>
      <c r="CY17" s="31">
        <v>0.65</v>
      </c>
      <c r="CZ17" s="32">
        <f t="shared" si="8"/>
        <v>0.35</v>
      </c>
      <c r="DA17" s="33">
        <f t="array" ref="DA17:DE17">TRANSPOSE(CY17*Portfolio!epwt2)</f>
        <v>0</v>
      </c>
      <c r="DB17" s="33">
        <v>0.0920382296301493</v>
      </c>
      <c r="DC17" s="33">
        <v>0.35570666869225287</v>
      </c>
      <c r="DD17" s="33">
        <v>0.20225510168718352</v>
      </c>
      <c r="DE17" s="33">
        <v>0.0</v>
      </c>
      <c r="DF17" s="35"/>
      <c r="DG17" s="36">
        <f t="array" ref="DG17">SQRT(MMULT(MMULT(DA17:DE17,Portfolio!covmat), TRANSPOSE(DA17:DE17)))</f>
        <v>0.05927207842</v>
      </c>
      <c r="DH17" s="36">
        <f t="array" ref="DH17">MMULT((DA17:DE17),Portfolio!muvec) + CZ17*Portfolio!rfp</f>
        <v>0.02114501607</v>
      </c>
      <c r="DI17" s="36">
        <f t="shared" si="9"/>
        <v>0.2053245026</v>
      </c>
      <c r="DJ17" s="35">
        <f t="shared" si="10"/>
        <v>0.2537401929</v>
      </c>
      <c r="DK17" s="36"/>
      <c r="DL17" s="36" t="str">
        <f t="shared" si="11"/>
        <v>#REF!</v>
      </c>
      <c r="DM17" s="36">
        <f t="shared" si="12"/>
        <v>0.0391803715</v>
      </c>
      <c r="DN17" s="36"/>
    </row>
    <row r="18" ht="14.25" customHeight="1">
      <c r="A18" s="24">
        <v>44682.0</v>
      </c>
      <c r="B18" s="21">
        <v>0.0426009184065121</v>
      </c>
      <c r="C18" s="21">
        <v>-0.157035240157232</v>
      </c>
      <c r="D18" s="21">
        <v>0.0</v>
      </c>
      <c r="E18" s="21">
        <v>-0.129197485737861</v>
      </c>
      <c r="F18" s="21">
        <v>0.00258786235999997</v>
      </c>
      <c r="O18" s="21">
        <f t="shared" ref="O18:S18" si="31">B18-I$3</f>
        <v>0.035899812</v>
      </c>
      <c r="P18" s="21">
        <f t="shared" si="31"/>
        <v>-0.2021178342</v>
      </c>
      <c r="Q18" s="21">
        <f t="shared" si="31"/>
        <v>-0.008667376445</v>
      </c>
      <c r="R18" s="21">
        <f t="shared" si="31"/>
        <v>-0.1936589021</v>
      </c>
      <c r="S18" s="21">
        <f t="shared" si="31"/>
        <v>-0.007720095989</v>
      </c>
      <c r="AA18" s="27"/>
      <c r="AB18" s="27"/>
      <c r="AC18" s="27"/>
      <c r="AD18" s="27"/>
      <c r="AE18" s="27"/>
      <c r="AF18" s="27"/>
      <c r="AQ18" s="28"/>
      <c r="AR18" s="28"/>
      <c r="AS18" s="28"/>
      <c r="AT18" s="28"/>
      <c r="AU18" s="28"/>
      <c r="AV18" s="28"/>
      <c r="BH18" s="29"/>
      <c r="BI18" s="29"/>
      <c r="BJ18" s="29"/>
      <c r="BK18" s="29"/>
      <c r="BL18" s="29"/>
      <c r="BM18" s="29"/>
      <c r="BO18" s="29"/>
      <c r="BP18" s="29"/>
      <c r="BQ18" s="29"/>
      <c r="BR18" s="29"/>
      <c r="BS18" s="29"/>
      <c r="BT18" s="29"/>
      <c r="BW18" s="31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L18" s="31">
        <v>0.7</v>
      </c>
      <c r="CM18" s="32">
        <f t="shared" si="5"/>
        <v>0.3</v>
      </c>
      <c r="CN18" s="33">
        <f t="array" ref="CN18:CR18">TRANSPOSE(CL18*Portfolio!gmvwt+CM18*Portfolio!epwt2)</f>
        <v>0.01478323517</v>
      </c>
      <c r="CO18" s="33">
        <v>0.028997645769834518</v>
      </c>
      <c r="CP18" s="33">
        <v>0.6736439697654025</v>
      </c>
      <c r="CQ18" s="33">
        <v>0.06892775220280363</v>
      </c>
      <c r="CR18" s="33">
        <v>0.21364739709935676</v>
      </c>
      <c r="CT18" s="36" t="str">
        <f t="array" ref="CT18:CU18">MMULT((CN18:CR18),Portfolio!muvec)</f>
        <v>#REF!</v>
      </c>
      <c r="CU18" s="36">
        <f t="array" ref="CU18">SQRT(MMULT(MMULT((CN18:CR18),Portfolio!covmat),TRANSPOSE(CN18:CR18)))</f>
        <v>0.04142248412</v>
      </c>
      <c r="CV18" s="35" t="str">
        <f t="shared" si="6"/>
        <v>#REF!</v>
      </c>
      <c r="CW18" s="36">
        <f t="shared" si="7"/>
        <v>0.1434916942</v>
      </c>
      <c r="CX18" s="36"/>
      <c r="CY18" s="32">
        <v>0.625</v>
      </c>
      <c r="CZ18" s="32">
        <f t="shared" si="8"/>
        <v>0.375</v>
      </c>
      <c r="DA18" s="33">
        <f t="array" ref="DA18:DE18">TRANSPOSE(CY18*Portfolio!epwt2)</f>
        <v>0</v>
      </c>
      <c r="DB18" s="33">
        <v>0.0884982977212974</v>
      </c>
      <c r="DC18" s="33">
        <v>0.34202564297332005</v>
      </c>
      <c r="DD18" s="33">
        <v>0.19447605931459955</v>
      </c>
      <c r="DE18" s="33">
        <v>0.0</v>
      </c>
      <c r="DF18" s="35"/>
      <c r="DG18" s="36">
        <f t="array" ref="DG18">SQRT(MMULT(MMULT(DA18:DE18,Portfolio!covmat), TRANSPOSE(DA18:DE18)))</f>
        <v>0.0569923831</v>
      </c>
      <c r="DH18" s="36">
        <f t="array" ref="DH18">MMULT((DA18:DE18),Portfolio!muvec) + CZ18*Portfolio!rfp</f>
        <v>0.02042790007</v>
      </c>
      <c r="DI18" s="36">
        <f t="shared" si="9"/>
        <v>0.1974274063</v>
      </c>
      <c r="DJ18" s="35">
        <f t="shared" si="10"/>
        <v>0.2451348009</v>
      </c>
      <c r="DK18" s="36"/>
      <c r="DL18" s="36" t="str">
        <f t="shared" si="11"/>
        <v>#REF!</v>
      </c>
      <c r="DM18" s="36">
        <f t="shared" si="12"/>
        <v>0.04304750825</v>
      </c>
      <c r="DN18" s="36"/>
    </row>
    <row r="19" ht="14.25" customHeight="1">
      <c r="A19" s="24">
        <v>44652.0</v>
      </c>
      <c r="B19" s="21">
        <v>-0.130168635583774</v>
      </c>
      <c r="C19" s="21">
        <v>-0.171805627788398</v>
      </c>
      <c r="D19" s="21">
        <v>-0.0204698867962529</v>
      </c>
      <c r="E19" s="21">
        <v>-0.191945109821647</v>
      </c>
      <c r="F19" s="21">
        <v>-0.084771398981906</v>
      </c>
      <c r="O19" s="21">
        <f t="shared" ref="O19:S19" si="32">B19-I$3</f>
        <v>-0.136869742</v>
      </c>
      <c r="P19" s="21">
        <f t="shared" si="32"/>
        <v>-0.2168882218</v>
      </c>
      <c r="Q19" s="21">
        <f t="shared" si="32"/>
        <v>-0.02913726324</v>
      </c>
      <c r="R19" s="21">
        <f t="shared" si="32"/>
        <v>-0.2564065262</v>
      </c>
      <c r="S19" s="21">
        <f t="shared" si="32"/>
        <v>-0.09507935733</v>
      </c>
      <c r="AA19" s="27"/>
      <c r="AB19" s="27"/>
      <c r="AC19" s="27"/>
      <c r="AD19" s="27"/>
      <c r="AE19" s="27"/>
      <c r="AF19" s="27"/>
      <c r="AQ19" s="28"/>
      <c r="AR19" s="28"/>
      <c r="AS19" s="28"/>
      <c r="AT19" s="28"/>
      <c r="AU19" s="28"/>
      <c r="AV19" s="28"/>
      <c r="BH19" s="29"/>
      <c r="BI19" s="29"/>
      <c r="BJ19" s="29"/>
      <c r="BK19" s="29"/>
      <c r="BL19" s="29"/>
      <c r="BM19" s="29"/>
      <c r="BO19" s="29"/>
      <c r="BP19" s="29"/>
      <c r="BQ19" s="29"/>
      <c r="BR19" s="29"/>
      <c r="BS19" s="29"/>
      <c r="BT19" s="29"/>
      <c r="BW19" s="31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L19" s="31">
        <v>0.68</v>
      </c>
      <c r="CM19" s="32">
        <f t="shared" si="5"/>
        <v>0.32</v>
      </c>
      <c r="CN19" s="33">
        <f t="array" ref="CN19:CR19">TRANSPOSE(CL19*Portfolio!gmvwt+CM19*Portfolio!epwt2)</f>
        <v>0.01436085702</v>
      </c>
      <c r="CO19" s="33">
        <v>0.0322147780722414</v>
      </c>
      <c r="CP19" s="33">
        <v>0.6700324571651713</v>
      </c>
      <c r="CQ19" s="33">
        <v>0.07584872199424805</v>
      </c>
      <c r="CR19" s="33">
        <v>0.20754318575366087</v>
      </c>
      <c r="CT19" s="36" t="str">
        <f t="array" ref="CT19:CU19">MMULT((CN19:CR19),Portfolio!muvec)</f>
        <v>#REF!</v>
      </c>
      <c r="CU19" s="36">
        <f t="array" ref="CU19">SQRT(MMULT(MMULT((CN19:CR19),Portfolio!covmat),TRANSPOSE(CN19:CR19)))</f>
        <v>0.04249409387</v>
      </c>
      <c r="CV19" s="35" t="str">
        <f t="shared" si="6"/>
        <v>#REF!</v>
      </c>
      <c r="CW19" s="36">
        <f t="shared" si="7"/>
        <v>0.1472038592</v>
      </c>
      <c r="CX19" s="36"/>
      <c r="CY19" s="31">
        <v>0.6</v>
      </c>
      <c r="CZ19" s="32">
        <f t="shared" si="8"/>
        <v>0.4</v>
      </c>
      <c r="DA19" s="33">
        <f t="array" ref="DA19:DE19">TRANSPOSE(CY19*Portfolio!epwt2)</f>
        <v>0</v>
      </c>
      <c r="DB19" s="33">
        <v>0.08495836581244551</v>
      </c>
      <c r="DC19" s="33">
        <v>0.32834461725438724</v>
      </c>
      <c r="DD19" s="33">
        <v>0.18669701694201554</v>
      </c>
      <c r="DE19" s="33">
        <v>0.0</v>
      </c>
      <c r="DF19" s="35"/>
      <c r="DG19" s="36">
        <f t="array" ref="DG19">SQRT(MMULT(MMULT(DA19:DE19,Portfolio!covmat), TRANSPOSE(DA19:DE19)))</f>
        <v>0.05471268778</v>
      </c>
      <c r="DH19" s="36">
        <f t="array" ref="DH19">MMULT((DA19:DE19),Portfolio!muvec) + CZ19*Portfolio!rfp</f>
        <v>0.01971078407</v>
      </c>
      <c r="DI19" s="36">
        <f t="shared" si="9"/>
        <v>0.1895303101</v>
      </c>
      <c r="DJ19" s="35">
        <f t="shared" si="10"/>
        <v>0.2365294088</v>
      </c>
      <c r="DK19" s="36"/>
      <c r="DL19" s="36" t="str">
        <f t="shared" si="11"/>
        <v>#REF!</v>
      </c>
      <c r="DM19" s="36">
        <f t="shared" si="12"/>
        <v>0.04710523494</v>
      </c>
      <c r="DN19" s="36"/>
    </row>
    <row r="20" ht="14.25" customHeight="1">
      <c r="A20" s="24">
        <v>44621.0</v>
      </c>
      <c r="B20" s="21">
        <v>-0.067420679313823</v>
      </c>
      <c r="C20" s="21">
        <v>0.0543011293363</v>
      </c>
      <c r="D20" s="21">
        <v>0.0262187670410161</v>
      </c>
      <c r="E20" s="21">
        <v>0.238008809332755</v>
      </c>
      <c r="F20" s="21">
        <v>0.034407975166798</v>
      </c>
      <c r="O20" s="21">
        <f t="shared" ref="O20:S20" si="33">B20-I$3</f>
        <v>-0.07412178572</v>
      </c>
      <c r="P20" s="21">
        <f t="shared" si="33"/>
        <v>0.009218535276</v>
      </c>
      <c r="Q20" s="21">
        <f t="shared" si="33"/>
        <v>0.0175513906</v>
      </c>
      <c r="R20" s="21">
        <f t="shared" si="33"/>
        <v>0.1735473929</v>
      </c>
      <c r="S20" s="21">
        <f t="shared" si="33"/>
        <v>0.02410001682</v>
      </c>
      <c r="AA20" s="27"/>
      <c r="AB20" s="87" t="s">
        <v>50</v>
      </c>
      <c r="AC20" s="6"/>
      <c r="AD20" s="15"/>
      <c r="AE20" s="27"/>
      <c r="AF20" s="27"/>
      <c r="AQ20" s="28"/>
      <c r="AR20" s="88" t="s">
        <v>50</v>
      </c>
      <c r="AS20" s="6"/>
      <c r="AT20" s="17"/>
      <c r="AU20" s="28"/>
      <c r="AV20" s="28"/>
      <c r="BH20" s="29"/>
      <c r="BI20" s="89" t="s">
        <v>50</v>
      </c>
      <c r="BJ20" s="6"/>
      <c r="BK20" s="19"/>
      <c r="BL20" s="29"/>
      <c r="BM20" s="29"/>
      <c r="BO20" s="29"/>
      <c r="BP20" s="89" t="s">
        <v>50</v>
      </c>
      <c r="BQ20" s="6"/>
      <c r="BR20" s="19"/>
      <c r="BS20" s="29"/>
      <c r="BT20" s="29"/>
      <c r="BY20" s="30"/>
      <c r="BZ20" s="90" t="s">
        <v>50</v>
      </c>
      <c r="CA20" s="6"/>
      <c r="CB20" s="22"/>
      <c r="CC20" s="30"/>
      <c r="CD20" s="30"/>
      <c r="CE20" s="30"/>
      <c r="CF20" s="90" t="s">
        <v>50</v>
      </c>
      <c r="CG20" s="6"/>
      <c r="CH20" s="22"/>
      <c r="CI20" s="30"/>
      <c r="CJ20" s="30"/>
      <c r="CL20" s="32">
        <v>0.66</v>
      </c>
      <c r="CM20" s="32">
        <f t="shared" si="5"/>
        <v>0.34</v>
      </c>
      <c r="CN20" s="33">
        <f t="array" ref="CN20:CR20">TRANSPOSE(CL20*Portfolio!gmvwt+CM20*Portfolio!epwt2)</f>
        <v>0.01393847887</v>
      </c>
      <c r="CO20" s="33">
        <v>0.035431910374648296</v>
      </c>
      <c r="CP20" s="33">
        <v>0.6664209445649402</v>
      </c>
      <c r="CQ20" s="33">
        <v>0.08276969178569249</v>
      </c>
      <c r="CR20" s="33">
        <v>0.20143897440796496</v>
      </c>
      <c r="CT20" s="36" t="str">
        <f t="array" ref="CT20:CU20">MMULT((CN20:CR20),Portfolio!muvec)</f>
        <v>#REF!</v>
      </c>
      <c r="CU20" s="36">
        <f t="array" ref="CU20">SQRT(MMULT(MMULT((CN20:CR20),Portfolio!covmat),TRANSPOSE(CN20:CR20)))</f>
        <v>0.04360591132</v>
      </c>
      <c r="CV20" s="35" t="str">
        <f t="shared" si="6"/>
        <v>#REF!</v>
      </c>
      <c r="CW20" s="36">
        <f t="shared" si="7"/>
        <v>0.1510553078</v>
      </c>
      <c r="CX20" s="36"/>
      <c r="CY20" s="32">
        <v>0.575</v>
      </c>
      <c r="CZ20" s="32">
        <f t="shared" si="8"/>
        <v>0.425</v>
      </c>
      <c r="DA20" s="33">
        <f t="array" ref="DA20:DE20">TRANSPOSE(CY20*Portfolio!epwt2)</f>
        <v>0</v>
      </c>
      <c r="DB20" s="33">
        <v>0.0814184339035936</v>
      </c>
      <c r="DC20" s="33">
        <v>0.3146635915354544</v>
      </c>
      <c r="DD20" s="33">
        <v>0.17891797456943156</v>
      </c>
      <c r="DE20" s="33">
        <v>0.0</v>
      </c>
      <c r="DF20" s="35"/>
      <c r="DG20" s="36">
        <f t="array" ref="DG20">SQRT(MMULT(MMULT(DA20:DE20,Portfolio!covmat), TRANSPOSE(DA20:DE20)))</f>
        <v>0.05243299245</v>
      </c>
      <c r="DH20" s="36">
        <f t="array" ref="DH20">MMULT((DA20:DE20),Portfolio!muvec) + CZ20*Portfolio!rfp</f>
        <v>0.01899366807</v>
      </c>
      <c r="DI20" s="36">
        <f t="shared" si="9"/>
        <v>0.1816332138</v>
      </c>
      <c r="DJ20" s="35">
        <f t="shared" si="10"/>
        <v>0.2279240168</v>
      </c>
      <c r="DK20" s="36"/>
      <c r="DL20" s="36" t="str">
        <f t="shared" si="11"/>
        <v>#REF!</v>
      </c>
      <c r="DM20" s="36">
        <f t="shared" si="12"/>
        <v>0.05135880466</v>
      </c>
      <c r="DN20" s="36"/>
    </row>
    <row r="21" ht="14.25" customHeight="1">
      <c r="A21" s="24">
        <v>44593.0</v>
      </c>
      <c r="B21" s="21">
        <v>-0.0420459701095926</v>
      </c>
      <c r="C21" s="21">
        <v>0.122394150033293</v>
      </c>
      <c r="D21" s="21">
        <v>0.0581615734897285</v>
      </c>
      <c r="E21" s="21">
        <v>-0.0707681586632628</v>
      </c>
      <c r="F21" s="21">
        <v>-0.0298048023241984</v>
      </c>
      <c r="O21" s="21">
        <f t="shared" ref="O21:S21" si="34">B21-I$3</f>
        <v>-0.04874707651</v>
      </c>
      <c r="P21" s="21">
        <f t="shared" si="34"/>
        <v>0.07731155597</v>
      </c>
      <c r="Q21" s="21">
        <f t="shared" si="34"/>
        <v>0.04949419704</v>
      </c>
      <c r="R21" s="21">
        <f t="shared" si="34"/>
        <v>-0.1352295751</v>
      </c>
      <c r="S21" s="21">
        <f t="shared" si="34"/>
        <v>-0.04011276067</v>
      </c>
      <c r="AA21" s="27"/>
      <c r="AB21" s="91" t="s">
        <v>51</v>
      </c>
      <c r="AC21" s="6"/>
      <c r="AD21" s="27"/>
      <c r="AE21" s="27"/>
      <c r="AF21" s="27"/>
      <c r="AQ21" s="28"/>
      <c r="AR21" s="92" t="s">
        <v>51</v>
      </c>
      <c r="AS21" s="6"/>
      <c r="AT21" s="28"/>
      <c r="AU21" s="28"/>
      <c r="AV21" s="28"/>
      <c r="BH21" s="29"/>
      <c r="BI21" s="93" t="s">
        <v>51</v>
      </c>
      <c r="BJ21" s="6"/>
      <c r="BK21" s="29"/>
      <c r="BL21" s="29"/>
      <c r="BM21" s="29"/>
      <c r="BO21" s="29"/>
      <c r="BP21" s="93" t="s">
        <v>51</v>
      </c>
      <c r="BQ21" s="6"/>
      <c r="BR21" s="29"/>
      <c r="BS21" s="29"/>
      <c r="BT21" s="29"/>
      <c r="BY21" s="30"/>
      <c r="BZ21" s="94" t="s">
        <v>51</v>
      </c>
      <c r="CA21" s="6"/>
      <c r="CB21" s="30"/>
      <c r="CC21" s="30"/>
      <c r="CD21" s="30"/>
      <c r="CE21" s="30"/>
      <c r="CF21" s="94" t="s">
        <v>51</v>
      </c>
      <c r="CG21" s="6"/>
      <c r="CH21" s="30"/>
      <c r="CI21" s="30"/>
      <c r="CJ21" s="30"/>
      <c r="CL21" s="31">
        <v>0.64</v>
      </c>
      <c r="CM21" s="32">
        <f t="shared" si="5"/>
        <v>0.36</v>
      </c>
      <c r="CN21" s="33">
        <f t="array" ref="CN21:CR21">TRANSPOSE(CL21*Portfolio!gmvwt+CM21*Portfolio!epwt2)</f>
        <v>0.01351610072</v>
      </c>
      <c r="CO21" s="33">
        <v>0.0386490426770552</v>
      </c>
      <c r="CP21" s="33">
        <v>0.662809431964709</v>
      </c>
      <c r="CQ21" s="33">
        <v>0.08969066157713694</v>
      </c>
      <c r="CR21" s="33">
        <v>0.19533476306226905</v>
      </c>
      <c r="CT21" s="36" t="str">
        <f t="array" ref="CT21:CU21">MMULT((CN21:CR21),Portfolio!muvec)</f>
        <v>#REF!</v>
      </c>
      <c r="CU21" s="36">
        <f t="array" ref="CU21">SQRT(MMULT(MMULT((CN21:CR21),Portfolio!covmat),TRANSPOSE(CN21:CR21)))</f>
        <v>0.04475494002</v>
      </c>
      <c r="CV21" s="35" t="str">
        <f t="shared" si="6"/>
        <v>#REF!</v>
      </c>
      <c r="CW21" s="36">
        <f t="shared" si="7"/>
        <v>0.15503566</v>
      </c>
      <c r="CX21" s="36"/>
      <c r="CY21" s="31">
        <v>0.55</v>
      </c>
      <c r="CZ21" s="32">
        <f t="shared" si="8"/>
        <v>0.45</v>
      </c>
      <c r="DA21" s="33">
        <f t="array" ref="DA21:DE21">TRANSPOSE(CY21*Portfolio!epwt2)</f>
        <v>0</v>
      </c>
      <c r="DB21" s="33">
        <v>0.07787850199474172</v>
      </c>
      <c r="DC21" s="33">
        <v>0.30098256581652166</v>
      </c>
      <c r="DD21" s="33">
        <v>0.17113893219684762</v>
      </c>
      <c r="DE21" s="33">
        <v>0.0</v>
      </c>
      <c r="DF21" s="35"/>
      <c r="DG21" s="36">
        <f t="array" ref="DG21">SQRT(MMULT(MMULT(DA21:DE21,Portfolio!covmat), TRANSPOSE(DA21:DE21)))</f>
        <v>0.05015329713</v>
      </c>
      <c r="DH21" s="36">
        <f t="array" ref="DH21">MMULT((DA21:DE21),Portfolio!muvec) + CZ21*Portfolio!rfp</f>
        <v>0.01827655206</v>
      </c>
      <c r="DI21" s="36">
        <f t="shared" si="9"/>
        <v>0.1737361176</v>
      </c>
      <c r="DJ21" s="35">
        <f t="shared" si="10"/>
        <v>0.2193186248</v>
      </c>
      <c r="DK21" s="36"/>
      <c r="DL21" s="36" t="str">
        <f t="shared" si="11"/>
        <v>#REF!</v>
      </c>
      <c r="DM21" s="36">
        <f t="shared" si="12"/>
        <v>0.05581283761</v>
      </c>
      <c r="DN21" s="36"/>
    </row>
    <row r="22" ht="14.25" customHeight="1">
      <c r="A22" s="24">
        <v>44562.0</v>
      </c>
      <c r="B22" s="21">
        <v>0.0420785182920662</v>
      </c>
      <c r="C22" s="21">
        <v>-0.168946682469452</v>
      </c>
      <c r="D22" s="21">
        <v>-0.0177838577291381</v>
      </c>
      <c r="E22" s="21">
        <v>-0.11360931817914</v>
      </c>
      <c r="F22" s="21">
        <v>-0.048935685813382</v>
      </c>
      <c r="O22" s="21">
        <f t="shared" ref="O22:S22" si="35">B22-I$3</f>
        <v>0.03537741189</v>
      </c>
      <c r="P22" s="21">
        <f t="shared" si="35"/>
        <v>-0.2140292765</v>
      </c>
      <c r="Q22" s="21">
        <f t="shared" si="35"/>
        <v>-0.02645123417</v>
      </c>
      <c r="R22" s="21">
        <f t="shared" si="35"/>
        <v>-0.1780707346</v>
      </c>
      <c r="S22" s="21">
        <f t="shared" si="35"/>
        <v>-0.05924364416</v>
      </c>
      <c r="AA22" s="27"/>
      <c r="AB22" s="49" t="s">
        <v>18</v>
      </c>
      <c r="AC22" s="50">
        <f>AC23/12</f>
        <v>0.0025</v>
      </c>
      <c r="AD22" s="27"/>
      <c r="AE22" s="27"/>
      <c r="AF22" s="27"/>
      <c r="AQ22" s="28"/>
      <c r="AR22" s="52" t="s">
        <v>18</v>
      </c>
      <c r="AS22" s="84">
        <f>AS23/12</f>
        <v>0.0025</v>
      </c>
      <c r="AT22" s="28"/>
      <c r="AU22" s="28"/>
      <c r="AV22" s="28"/>
      <c r="BH22" s="29"/>
      <c r="BI22" s="55" t="s">
        <v>18</v>
      </c>
      <c r="BJ22" s="95">
        <f>BJ23/12</f>
        <v>0.0025</v>
      </c>
      <c r="BK22" s="29"/>
      <c r="BL22" s="29"/>
      <c r="BM22" s="29"/>
      <c r="BO22" s="29"/>
      <c r="BP22" s="55" t="s">
        <v>18</v>
      </c>
      <c r="BQ22" s="95">
        <f>BQ23/12</f>
        <v>0.0025</v>
      </c>
      <c r="BR22" s="29"/>
      <c r="BS22" s="29"/>
      <c r="BT22" s="29"/>
      <c r="BY22" s="30"/>
      <c r="BZ22" s="59" t="s">
        <v>18</v>
      </c>
      <c r="CA22" s="60">
        <f>CA23/12</f>
        <v>0.0025</v>
      </c>
      <c r="CB22" s="30"/>
      <c r="CC22" s="30"/>
      <c r="CD22" s="30"/>
      <c r="CE22" s="30"/>
      <c r="CF22" s="59" t="s">
        <v>18</v>
      </c>
      <c r="CG22" s="60">
        <f>CG23/12</f>
        <v>0.0025</v>
      </c>
      <c r="CH22" s="30"/>
      <c r="CI22" s="30"/>
      <c r="CJ22" s="30"/>
      <c r="CL22" s="31">
        <v>0.62</v>
      </c>
      <c r="CM22" s="32">
        <f t="shared" si="5"/>
        <v>0.38</v>
      </c>
      <c r="CN22" s="33">
        <f t="array" ref="CN22:CR22">TRANSPOSE(CL22*Portfolio!gmvwt+CM22*Portfolio!epwt2)</f>
        <v>0.01309372258</v>
      </c>
      <c r="CO22" s="33">
        <v>0.04186617497946209</v>
      </c>
      <c r="CP22" s="33">
        <v>0.6591979193644779</v>
      </c>
      <c r="CQ22" s="33">
        <v>0.0966116313685814</v>
      </c>
      <c r="CR22" s="33">
        <v>0.18923055171657316</v>
      </c>
      <c r="CT22" s="36" t="str">
        <f t="array" ref="CT22:CU22">MMULT((CN22:CR22),Portfolio!muvec)</f>
        <v>#REF!</v>
      </c>
      <c r="CU22" s="36">
        <f t="array" ref="CU22">SQRT(MMULT(MMULT((CN22:CR22),Portfolio!covmat),TRANSPOSE(CN22:CR22)))</f>
        <v>0.04593838784</v>
      </c>
      <c r="CV22" s="35" t="str">
        <f t="shared" si="6"/>
        <v>#REF!</v>
      </c>
      <c r="CW22" s="36">
        <f t="shared" si="7"/>
        <v>0.1591352435</v>
      </c>
      <c r="CX22" s="36"/>
      <c r="CY22" s="32">
        <v>0.525</v>
      </c>
      <c r="CZ22" s="32">
        <f t="shared" si="8"/>
        <v>0.475</v>
      </c>
      <c r="DA22" s="33">
        <f t="array" ref="DA22:DE22">TRANSPOSE(CY22*Portfolio!epwt2)</f>
        <v>0</v>
      </c>
      <c r="DB22" s="33">
        <v>0.07433857008588982</v>
      </c>
      <c r="DC22" s="33">
        <v>0.28730154009758885</v>
      </c>
      <c r="DD22" s="33">
        <v>0.1633598898242636</v>
      </c>
      <c r="DE22" s="33">
        <v>0.0</v>
      </c>
      <c r="DF22" s="35"/>
      <c r="DG22" s="36">
        <f t="array" ref="DG22">SQRT(MMULT(MMULT(DA22:DE22,Portfolio!covmat), TRANSPOSE(DA22:DE22)))</f>
        <v>0.0478736018</v>
      </c>
      <c r="DH22" s="36">
        <f t="array" ref="DH22">MMULT((DA22:DE22),Portfolio!muvec) + CZ22*Portfolio!rfp</f>
        <v>0.01755943606</v>
      </c>
      <c r="DI22" s="36">
        <f t="shared" si="9"/>
        <v>0.1658390213</v>
      </c>
      <c r="DJ22" s="35">
        <f t="shared" si="10"/>
        <v>0.2107132327</v>
      </c>
      <c r="DK22" s="36"/>
      <c r="DL22" s="36" t="str">
        <f t="shared" si="11"/>
        <v>#REF!</v>
      </c>
      <c r="DM22" s="36">
        <f t="shared" si="12"/>
        <v>0.06047139253</v>
      </c>
      <c r="DN22" s="36"/>
      <c r="DO22" s="96" t="s">
        <v>52</v>
      </c>
      <c r="DP22" s="97"/>
      <c r="DQ22" s="97"/>
      <c r="DR22" s="97"/>
      <c r="DS22" s="98"/>
    </row>
    <row r="23" ht="14.25" customHeight="1">
      <c r="A23" s="24">
        <v>44531.0</v>
      </c>
      <c r="B23" s="21">
        <v>4.49913762054832E-4</v>
      </c>
      <c r="C23" s="21">
        <v>-0.187683546296202</v>
      </c>
      <c r="D23" s="21">
        <v>0.0303901810757838</v>
      </c>
      <c r="E23" s="21">
        <v>-0.0768545194785086</v>
      </c>
      <c r="F23" s="21">
        <v>0.0417840114967404</v>
      </c>
      <c r="O23" s="21">
        <f t="shared" ref="O23:S23" si="36">B23-I$3</f>
        <v>-0.006251192643</v>
      </c>
      <c r="P23" s="21">
        <f t="shared" si="36"/>
        <v>-0.2327661404</v>
      </c>
      <c r="Q23" s="21">
        <f t="shared" si="36"/>
        <v>0.02172280463</v>
      </c>
      <c r="R23" s="21">
        <f t="shared" si="36"/>
        <v>-0.1413159359</v>
      </c>
      <c r="S23" s="21">
        <f t="shared" si="36"/>
        <v>0.03147605315</v>
      </c>
      <c r="AA23" s="27"/>
      <c r="AB23" s="73" t="s">
        <v>46</v>
      </c>
      <c r="AC23" s="99">
        <v>0.03</v>
      </c>
      <c r="AD23" s="27"/>
      <c r="AE23" s="27"/>
      <c r="AF23" s="27"/>
      <c r="AQ23" s="28"/>
      <c r="AR23" s="75" t="s">
        <v>46</v>
      </c>
      <c r="AS23" s="100">
        <v>0.03</v>
      </c>
      <c r="AT23" s="28"/>
      <c r="AU23" s="28"/>
      <c r="AV23" s="28"/>
      <c r="BH23" s="29"/>
      <c r="BI23" s="77" t="s">
        <v>46</v>
      </c>
      <c r="BJ23" s="101">
        <v>0.03</v>
      </c>
      <c r="BK23" s="29"/>
      <c r="BL23" s="29"/>
      <c r="BM23" s="29"/>
      <c r="BO23" s="29"/>
      <c r="BP23" s="77" t="s">
        <v>46</v>
      </c>
      <c r="BQ23" s="101">
        <v>0.03</v>
      </c>
      <c r="BR23" s="29"/>
      <c r="BS23" s="29"/>
      <c r="BT23" s="29"/>
      <c r="BY23" s="30" t="s">
        <v>53</v>
      </c>
      <c r="BZ23" s="79" t="s">
        <v>46</v>
      </c>
      <c r="CA23" s="102">
        <v>0.03</v>
      </c>
      <c r="CB23" s="103" t="s">
        <v>54</v>
      </c>
      <c r="CC23" s="30"/>
      <c r="CD23" s="30"/>
      <c r="CE23" s="30" t="s">
        <v>53</v>
      </c>
      <c r="CF23" s="79" t="s">
        <v>46</v>
      </c>
      <c r="CG23" s="102">
        <v>0.03</v>
      </c>
      <c r="CH23" s="103" t="s">
        <v>54</v>
      </c>
      <c r="CI23" s="30"/>
      <c r="CJ23" s="30"/>
      <c r="CL23" s="31">
        <v>0.6</v>
      </c>
      <c r="CM23" s="32">
        <f t="shared" si="5"/>
        <v>0.4</v>
      </c>
      <c r="CN23" s="33">
        <f t="array" ref="CN23:CR23">TRANSPOSE(CL23*Portfolio!gmvwt+CM23*Portfolio!epwt2)</f>
        <v>0.01267134443</v>
      </c>
      <c r="CO23" s="33">
        <v>0.04508330728186899</v>
      </c>
      <c r="CP23" s="33">
        <v>0.6555864067642467</v>
      </c>
      <c r="CQ23" s="33">
        <v>0.10353260116002586</v>
      </c>
      <c r="CR23" s="33">
        <v>0.18312634037087724</v>
      </c>
      <c r="CT23" s="36" t="str">
        <f t="array" ref="CT23:CU23">MMULT((CN23:CR23),Portfolio!muvec)</f>
        <v>#REF!</v>
      </c>
      <c r="CU23" s="36">
        <f t="array" ref="CU23">SQRT(MMULT(MMULT((CN23:CR23),Portfolio!covmat),TRANSPOSE(CN23:CR23)))</f>
        <v>0.04715366331</v>
      </c>
      <c r="CV23" s="35" t="str">
        <f t="shared" si="6"/>
        <v>#REF!</v>
      </c>
      <c r="CW23" s="36">
        <f t="shared" si="7"/>
        <v>0.1633450812</v>
      </c>
      <c r="CX23" s="36"/>
      <c r="CY23" s="31">
        <v>0.5</v>
      </c>
      <c r="CZ23" s="32">
        <f t="shared" si="8"/>
        <v>0.5</v>
      </c>
      <c r="DA23" s="33">
        <f t="array" ref="DA23:DE23">TRANSPOSE(CY23*Portfolio!epwt2)</f>
        <v>0</v>
      </c>
      <c r="DB23" s="33">
        <v>0.07079863817703792</v>
      </c>
      <c r="DC23" s="33">
        <v>0.27362051437865603</v>
      </c>
      <c r="DD23" s="33">
        <v>0.15558084745167963</v>
      </c>
      <c r="DE23" s="33">
        <v>0.0</v>
      </c>
      <c r="DF23" s="35"/>
      <c r="DG23" s="36">
        <f t="array" ref="DG23">SQRT(MMULT(MMULT(DA23:DE23,Portfolio!covmat), TRANSPOSE(DA23:DE23)))</f>
        <v>0.04559390648</v>
      </c>
      <c r="DH23" s="36">
        <f t="array" ref="DH23">MMULT((DA23:DE23),Portfolio!muvec) + CZ23*Portfolio!rfp</f>
        <v>0.01684232006</v>
      </c>
      <c r="DI23" s="36">
        <f t="shared" si="9"/>
        <v>0.1579419251</v>
      </c>
      <c r="DJ23" s="35">
        <f t="shared" si="10"/>
        <v>0.2021078407</v>
      </c>
      <c r="DK23" s="36"/>
      <c r="DL23" s="36" t="str">
        <f t="shared" si="11"/>
        <v>#REF!</v>
      </c>
      <c r="DM23" s="36">
        <f t="shared" si="12"/>
        <v>0.06533803249</v>
      </c>
      <c r="DN23" s="36"/>
      <c r="DO23" s="104"/>
      <c r="DP23" s="21" t="s">
        <v>55</v>
      </c>
      <c r="DQ23" s="21" t="s">
        <v>56</v>
      </c>
      <c r="DR23" s="21" t="s">
        <v>57</v>
      </c>
      <c r="DS23" s="105" t="s">
        <v>58</v>
      </c>
    </row>
    <row r="24" ht="14.25" customHeight="1">
      <c r="A24" s="24">
        <v>44501.0</v>
      </c>
      <c r="B24" s="21">
        <v>-0.0692759866254606</v>
      </c>
      <c r="C24" s="21">
        <v>-0.0703458026496063</v>
      </c>
      <c r="D24" s="21">
        <v>-0.00527202715314778</v>
      </c>
      <c r="E24" s="21">
        <v>0.027612188873779</v>
      </c>
      <c r="F24" s="21">
        <v>-0.00734300363301798</v>
      </c>
      <c r="O24" s="21">
        <f t="shared" ref="O24:S24" si="37">B24-I$3</f>
        <v>-0.07597709303</v>
      </c>
      <c r="P24" s="21">
        <f t="shared" si="37"/>
        <v>-0.1154283967</v>
      </c>
      <c r="Q24" s="21">
        <f t="shared" si="37"/>
        <v>-0.0139394036</v>
      </c>
      <c r="R24" s="21">
        <f t="shared" si="37"/>
        <v>-0.03684922753</v>
      </c>
      <c r="S24" s="21">
        <f t="shared" si="37"/>
        <v>-0.01765096198</v>
      </c>
      <c r="AA24" s="27"/>
      <c r="AB24" s="27"/>
      <c r="AC24" s="27"/>
      <c r="AD24" s="27"/>
      <c r="AE24" s="27"/>
      <c r="AF24" s="27"/>
      <c r="AQ24" s="28"/>
      <c r="AR24" s="28"/>
      <c r="AS24" s="28"/>
      <c r="AT24" s="28"/>
      <c r="AU24" s="28"/>
      <c r="AV24" s="28"/>
      <c r="BH24" s="29"/>
      <c r="BI24" s="29"/>
      <c r="BJ24" s="29"/>
      <c r="BK24" s="29"/>
      <c r="BL24" s="29"/>
      <c r="BM24" s="29"/>
      <c r="BO24" s="29"/>
      <c r="BP24" s="29"/>
      <c r="BQ24" s="29"/>
      <c r="BR24" s="29"/>
      <c r="BS24" s="29"/>
      <c r="BT24" s="29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L24" s="32">
        <v>0.58</v>
      </c>
      <c r="CM24" s="32">
        <f t="shared" si="5"/>
        <v>0.42</v>
      </c>
      <c r="CN24" s="33">
        <f t="array" ref="CN24:CR24">TRANSPOSE(CL24*Portfolio!gmvwt+CM24*Portfolio!epwt2)</f>
        <v>0.01224896628</v>
      </c>
      <c r="CO24" s="33">
        <v>0.048300439584275885</v>
      </c>
      <c r="CP24" s="33">
        <v>0.6519748941640156</v>
      </c>
      <c r="CQ24" s="33">
        <v>0.11045357095147029</v>
      </c>
      <c r="CR24" s="33">
        <v>0.17702212902518133</v>
      </c>
      <c r="CT24" s="36" t="str">
        <f t="array" ref="CT24:CU24">MMULT((CN24:CR24),Portfolio!muvec)</f>
        <v>#REF!</v>
      </c>
      <c r="CU24" s="36">
        <f t="array" ref="CU24">SQRT(MMULT(MMULT((CN24:CR24),Portfolio!covmat),TRANSPOSE(CN24:CR24)))</f>
        <v>0.04839836894</v>
      </c>
      <c r="CV24" s="35" t="str">
        <f t="shared" si="6"/>
        <v>#REF!</v>
      </c>
      <c r="CW24" s="36">
        <f t="shared" si="7"/>
        <v>0.167656868</v>
      </c>
      <c r="CX24" s="36"/>
      <c r="CY24" s="32">
        <v>0.475</v>
      </c>
      <c r="CZ24" s="32">
        <f t="shared" si="8"/>
        <v>0.525</v>
      </c>
      <c r="DA24" s="33">
        <f t="array" ref="DA24:DE24">TRANSPOSE(CY24*Portfolio!epwt2)</f>
        <v>0</v>
      </c>
      <c r="DB24" s="33">
        <v>0.06725870626818603</v>
      </c>
      <c r="DC24" s="33">
        <v>0.2599394886597232</v>
      </c>
      <c r="DD24" s="33">
        <v>0.14780180507909566</v>
      </c>
      <c r="DE24" s="33">
        <v>0.0</v>
      </c>
      <c r="DF24" s="35"/>
      <c r="DG24" s="36">
        <f t="array" ref="DG24">SQRT(MMULT(MMULT(DA24:DE24,Portfolio!covmat), TRANSPOSE(DA24:DE24)))</f>
        <v>0.04331421116</v>
      </c>
      <c r="DH24" s="36">
        <f t="array" ref="DH24">MMULT((DA24:DE24),Portfolio!muvec) + CZ24*Portfolio!rfp</f>
        <v>0.01612520405</v>
      </c>
      <c r="DI24" s="36">
        <f t="shared" si="9"/>
        <v>0.1500448288</v>
      </c>
      <c r="DJ24" s="35">
        <f t="shared" si="10"/>
        <v>0.1935024487</v>
      </c>
      <c r="DK24" s="36"/>
      <c r="DL24" s="36" t="str">
        <f t="shared" si="11"/>
        <v>#REF!</v>
      </c>
      <c r="DM24" s="36">
        <f t="shared" si="12"/>
        <v>0.07041588456</v>
      </c>
      <c r="DN24" s="36"/>
      <c r="DO24" s="106" t="s">
        <v>59</v>
      </c>
      <c r="DP24" s="36">
        <f t="shared" ref="DP24:DP26" si="39">AC15</f>
        <v>0.324529084</v>
      </c>
      <c r="DQ24" s="36">
        <f t="shared" ref="DQ24:DQ26" si="40">BJ15</f>
        <v>0.324529084</v>
      </c>
      <c r="DR24" s="36">
        <f t="shared" ref="DR24:DR26" si="41">BQ15</f>
        <v>0.3742156814</v>
      </c>
      <c r="DS24" s="107">
        <f t="shared" ref="DS24:DS26" si="42">CA15</f>
        <v>0.3663766909</v>
      </c>
    </row>
    <row r="25" ht="14.25" customHeight="1">
      <c r="A25" s="24">
        <v>44470.0</v>
      </c>
      <c r="B25" s="21">
        <v>0.131327357585253</v>
      </c>
      <c r="C25" s="21">
        <v>0.400267285873588</v>
      </c>
      <c r="D25" s="21">
        <v>0.0157807499580302</v>
      </c>
      <c r="E25" s="21">
        <v>0.436529595729082</v>
      </c>
      <c r="F25" s="21">
        <v>0.0738956933636385</v>
      </c>
      <c r="O25" s="21">
        <f t="shared" ref="O25:S25" si="38">B25-I$3</f>
        <v>0.1246262512</v>
      </c>
      <c r="P25" s="21">
        <f t="shared" si="38"/>
        <v>0.3551846918</v>
      </c>
      <c r="Q25" s="21">
        <f t="shared" si="38"/>
        <v>0.007113373513</v>
      </c>
      <c r="R25" s="21">
        <f t="shared" si="38"/>
        <v>0.3720681793</v>
      </c>
      <c r="S25" s="21">
        <f t="shared" si="38"/>
        <v>0.06358773502</v>
      </c>
      <c r="AA25" s="27"/>
      <c r="AB25" s="27"/>
      <c r="AC25" s="27"/>
      <c r="AD25" s="27"/>
      <c r="AE25" s="27"/>
      <c r="AF25" s="27"/>
      <c r="AQ25" s="28"/>
      <c r="AR25" s="28"/>
      <c r="AS25" s="28"/>
      <c r="AT25" s="28"/>
      <c r="AU25" s="28"/>
      <c r="AV25" s="28"/>
      <c r="BH25" s="29"/>
      <c r="BI25" s="29"/>
      <c r="BJ25" s="29"/>
      <c r="BK25" s="29"/>
      <c r="BL25" s="29"/>
      <c r="BM25" s="29"/>
      <c r="BO25" s="29"/>
      <c r="BP25" s="29"/>
      <c r="BQ25" s="29"/>
      <c r="BR25" s="29"/>
      <c r="BS25" s="29"/>
      <c r="BT25" s="29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L25" s="31">
        <v>0.56</v>
      </c>
      <c r="CM25" s="32">
        <f t="shared" si="5"/>
        <v>0.44</v>
      </c>
      <c r="CN25" s="33">
        <f t="array" ref="CN25:CR25">TRANSPOSE(CL25*Portfolio!gmvwt+CM25*Portfolio!epwt2)</f>
        <v>0.01182658813</v>
      </c>
      <c r="CO25" s="33">
        <v>0.05151757188668277</v>
      </c>
      <c r="CP25" s="33">
        <v>0.6483633815637844</v>
      </c>
      <c r="CQ25" s="33">
        <v>0.11737454074291473</v>
      </c>
      <c r="CR25" s="33">
        <v>0.17091791767948544</v>
      </c>
      <c r="CT25" s="36" t="str">
        <f t="array" ref="CT25:CU25">MMULT((CN25:CR25),Portfolio!muvec)</f>
        <v>#REF!</v>
      </c>
      <c r="CU25" s="36">
        <f t="array" ref="CU25">SQRT(MMULT(MMULT((CN25:CR25),Portfolio!covmat),TRANSPOSE(CN25:CR25)))</f>
        <v>0.04967029227</v>
      </c>
      <c r="CV25" s="35" t="str">
        <f t="shared" si="6"/>
        <v>#REF!</v>
      </c>
      <c r="CW25" s="36">
        <f t="shared" si="7"/>
        <v>0.1720629397</v>
      </c>
      <c r="CX25" s="36"/>
      <c r="CY25" s="31">
        <v>0.45</v>
      </c>
      <c r="CZ25" s="32">
        <f t="shared" si="8"/>
        <v>0.55</v>
      </c>
      <c r="DA25" s="33">
        <f t="array" ref="DA25:DE25">TRANSPOSE(CY25*Portfolio!epwt2)</f>
        <v>0</v>
      </c>
      <c r="DB25" s="33">
        <v>0.06371877435933414</v>
      </c>
      <c r="DC25" s="33">
        <v>0.24625846294079043</v>
      </c>
      <c r="DD25" s="33">
        <v>0.14002276270651168</v>
      </c>
      <c r="DE25" s="33">
        <v>0.0</v>
      </c>
      <c r="DF25" s="35"/>
      <c r="DG25" s="36">
        <f t="array" ref="DG25">SQRT(MMULT(MMULT(DA25:DE25,Portfolio!covmat), TRANSPOSE(DA25:DE25)))</f>
        <v>0.04103451583</v>
      </c>
      <c r="DH25" s="36">
        <f t="array" ref="DH25">MMULT((DA25:DE25),Portfolio!muvec) + CZ25*Portfolio!rfp</f>
        <v>0.01540808805</v>
      </c>
      <c r="DI25" s="36">
        <f t="shared" si="9"/>
        <v>0.1421477326</v>
      </c>
      <c r="DJ25" s="35">
        <f t="shared" si="10"/>
        <v>0.1848970566</v>
      </c>
      <c r="DK25" s="36"/>
      <c r="DL25" s="36" t="str">
        <f t="shared" si="11"/>
        <v>#REF!</v>
      </c>
      <c r="DM25" s="36">
        <f t="shared" si="12"/>
        <v>0.07570769346</v>
      </c>
      <c r="DN25" s="36"/>
      <c r="DO25" s="106" t="s">
        <v>60</v>
      </c>
      <c r="DP25" s="36">
        <f t="shared" si="39"/>
        <v>0.3158835747</v>
      </c>
      <c r="DQ25" s="36">
        <f t="shared" si="40"/>
        <v>0.2629415124</v>
      </c>
      <c r="DR25" s="36">
        <f t="shared" si="41"/>
        <v>0.3158838502</v>
      </c>
      <c r="DS25" s="107">
        <f t="shared" si="42"/>
        <v>0.299800896</v>
      </c>
    </row>
    <row r="26" ht="14.25" customHeight="1">
      <c r="A26" s="24">
        <v>44440.0</v>
      </c>
      <c r="B26" s="21">
        <v>0.0167665890241432</v>
      </c>
      <c r="C26" s="21">
        <v>-0.0715715507634493</v>
      </c>
      <c r="D26" s="21">
        <v>-0.0316120090089319</v>
      </c>
      <c r="E26" s="21">
        <v>0.0540423315035936</v>
      </c>
      <c r="F26" s="21">
        <v>-0.0497531024402904</v>
      </c>
      <c r="O26" s="21">
        <f t="shared" ref="O26:S26" si="43">B26-I$3</f>
        <v>0.01006548262</v>
      </c>
      <c r="P26" s="21">
        <f t="shared" si="43"/>
        <v>-0.1166541448</v>
      </c>
      <c r="Q26" s="21">
        <f t="shared" si="43"/>
        <v>-0.04027938545</v>
      </c>
      <c r="R26" s="21">
        <f t="shared" si="43"/>
        <v>-0.0104190849</v>
      </c>
      <c r="S26" s="21">
        <f t="shared" si="43"/>
        <v>-0.06006106079</v>
      </c>
      <c r="CL26" s="31">
        <v>0.54</v>
      </c>
      <c r="CM26" s="32">
        <f t="shared" si="5"/>
        <v>0.46</v>
      </c>
      <c r="CN26" s="33">
        <f t="array" ref="CN26:CR26">TRANSPOSE(CL26*Portfolio!gmvwt+CM26*Portfolio!epwt2)</f>
        <v>0.01140420999</v>
      </c>
      <c r="CO26" s="33">
        <v>0.05473470418908967</v>
      </c>
      <c r="CP26" s="33">
        <v>0.6447518689635532</v>
      </c>
      <c r="CQ26" s="33">
        <v>0.1242955105343592</v>
      </c>
      <c r="CR26" s="33">
        <v>0.16481370633378953</v>
      </c>
      <c r="CT26" s="36" t="str">
        <f t="array" ref="CT26:CU26">MMULT((CN26:CR26),Portfolio!muvec)</f>
        <v>#REF!</v>
      </c>
      <c r="CU26" s="36">
        <f t="array" ref="CU26">SQRT(MMULT(MMULT((CN26:CR26),Portfolio!covmat),TRANSPOSE(CN26:CR26)))</f>
        <v>0.05096739564</v>
      </c>
      <c r="CV26" s="35" t="str">
        <f t="shared" si="6"/>
        <v>#REF!</v>
      </c>
      <c r="CW26" s="36">
        <f t="shared" si="7"/>
        <v>0.1765562376</v>
      </c>
      <c r="CX26" s="36"/>
      <c r="CY26" s="32">
        <v>0.424999999999999</v>
      </c>
      <c r="CZ26" s="32">
        <f t="shared" si="8"/>
        <v>0.575</v>
      </c>
      <c r="DA26" s="33">
        <f t="array" ref="DA26:DE26">TRANSPOSE(CY26*Portfolio!epwt2)</f>
        <v>0</v>
      </c>
      <c r="DB26" s="33">
        <v>0.06017884245048209</v>
      </c>
      <c r="DC26" s="33">
        <v>0.2325774372218571</v>
      </c>
      <c r="DD26" s="33">
        <v>0.13224372033392737</v>
      </c>
      <c r="DE26" s="33">
        <v>0.0</v>
      </c>
      <c r="DF26" s="35"/>
      <c r="DG26" s="36">
        <f t="array" ref="DG26">SQRT(MMULT(MMULT(DA26:DE26,Portfolio!covmat), TRANSPOSE(DA26:DE26)))</f>
        <v>0.03875482051</v>
      </c>
      <c r="DH26" s="36">
        <f t="array" ref="DH26">MMULT((DA26:DE26),Portfolio!muvec) + CZ26*Portfolio!rfp</f>
        <v>0.01469097205</v>
      </c>
      <c r="DI26" s="36">
        <f t="shared" si="9"/>
        <v>0.1342506363</v>
      </c>
      <c r="DJ26" s="35">
        <f t="shared" si="10"/>
        <v>0.1762916646</v>
      </c>
      <c r="DK26" s="36"/>
      <c r="DL26" s="36" t="str">
        <f t="shared" si="11"/>
        <v>#REF!</v>
      </c>
      <c r="DM26" s="36">
        <f t="shared" si="12"/>
        <v>0.08121586928</v>
      </c>
      <c r="DN26" s="36"/>
      <c r="DO26" s="106" t="s">
        <v>61</v>
      </c>
      <c r="DP26" s="108">
        <f t="shared" si="39"/>
        <v>0.9323975906</v>
      </c>
      <c r="DQ26" s="108">
        <f t="shared" si="40"/>
        <v>1.120131551</v>
      </c>
      <c r="DR26" s="108">
        <f t="shared" si="41"/>
        <v>1.089690661</v>
      </c>
      <c r="DS26" s="107">
        <f t="shared" si="42"/>
        <v>1.122000285</v>
      </c>
    </row>
    <row r="27" ht="14.25" customHeight="1">
      <c r="A27" s="24">
        <v>44409.0</v>
      </c>
      <c r="B27" s="21">
        <v>0.0883731735089949</v>
      </c>
      <c r="C27" s="21">
        <v>0.133101095257587</v>
      </c>
      <c r="D27" s="21">
        <v>0.0</v>
      </c>
      <c r="E27" s="21">
        <v>0.0706053837990694</v>
      </c>
      <c r="F27" s="21">
        <v>0.0295175345324121</v>
      </c>
      <c r="O27" s="21">
        <f t="shared" ref="O27:S27" si="44">B27-I$3</f>
        <v>0.0816720671</v>
      </c>
      <c r="P27" s="21">
        <f t="shared" si="44"/>
        <v>0.0880185012</v>
      </c>
      <c r="Q27" s="21">
        <f t="shared" si="44"/>
        <v>-0.008667376445</v>
      </c>
      <c r="R27" s="21">
        <f t="shared" si="44"/>
        <v>0.0061439674</v>
      </c>
      <c r="S27" s="21">
        <f t="shared" si="44"/>
        <v>0.01920957618</v>
      </c>
      <c r="CL27" s="32">
        <v>0.52</v>
      </c>
      <c r="CM27" s="32">
        <f t="shared" si="5"/>
        <v>0.48</v>
      </c>
      <c r="CN27" s="33">
        <f t="array" ref="CN27:CR27">TRANSPOSE(CL27*Portfolio!gmvwt+CM27*Portfolio!epwt2)</f>
        <v>0.01098183184</v>
      </c>
      <c r="CO27" s="33">
        <v>0.057951836491496565</v>
      </c>
      <c r="CP27" s="33">
        <v>0.6411403563633221</v>
      </c>
      <c r="CQ27" s="33">
        <v>0.13121648032580363</v>
      </c>
      <c r="CR27" s="33">
        <v>0.1587094949880936</v>
      </c>
      <c r="CT27" s="36" t="str">
        <f t="array" ref="CT27:CU27">MMULT((CN27:CR27),Portfolio!muvec)</f>
        <v>#REF!</v>
      </c>
      <c r="CU27" s="36">
        <f t="array" ref="CU27">SQRT(MMULT(MMULT((CN27:CR27),Portfolio!covmat),TRANSPOSE(CN27:CR27)))</f>
        <v>0.05228780516</v>
      </c>
      <c r="CV27" s="35" t="str">
        <f t="shared" si="6"/>
        <v>#REF!</v>
      </c>
      <c r="CW27" s="36">
        <f t="shared" si="7"/>
        <v>0.1811302703</v>
      </c>
      <c r="CX27" s="36"/>
      <c r="CY27" s="31">
        <v>0.399999999999999</v>
      </c>
      <c r="CZ27" s="32">
        <f t="shared" si="8"/>
        <v>0.6</v>
      </c>
      <c r="DA27" s="33">
        <f t="array" ref="DA27:DE27">TRANSPOSE(CY27*Portfolio!epwt2)</f>
        <v>0</v>
      </c>
      <c r="DB27" s="33">
        <v>0.0566389105416302</v>
      </c>
      <c r="DC27" s="33">
        <v>0.2188964115029243</v>
      </c>
      <c r="DD27" s="33">
        <v>0.1244646779613434</v>
      </c>
      <c r="DE27" s="33">
        <v>0.0</v>
      </c>
      <c r="DF27" s="35"/>
      <c r="DG27" s="36">
        <f t="array" ref="DG27">SQRT(MMULT(MMULT(DA27:DE27,Portfolio!covmat), TRANSPOSE(DA27:DE27)))</f>
        <v>0.03647512518</v>
      </c>
      <c r="DH27" s="36">
        <f t="array" ref="DH27">MMULT((DA27:DE27),Portfolio!muvec) + CZ27*Portfolio!rfp</f>
        <v>0.01397385605</v>
      </c>
      <c r="DI27" s="36">
        <f t="shared" si="9"/>
        <v>0.1263535401</v>
      </c>
      <c r="DJ27" s="35">
        <f t="shared" si="10"/>
        <v>0.1676862726</v>
      </c>
      <c r="DK27" s="36"/>
      <c r="DL27" s="36" t="str">
        <f t="shared" si="11"/>
        <v>#REF!</v>
      </c>
      <c r="DM27" s="36">
        <f t="shared" si="12"/>
        <v>0.08694252975</v>
      </c>
      <c r="DN27" s="36"/>
      <c r="DO27" s="109" t="s">
        <v>52</v>
      </c>
      <c r="DP27" s="110">
        <f t="shared" ref="DP27:DS27" si="45">_xlfn.NORM.DIST(0, DP24, DP25, TRUE)</f>
        <v>0.1521233032</v>
      </c>
      <c r="DQ27" s="110">
        <f t="shared" si="45"/>
        <v>0.1085594692</v>
      </c>
      <c r="DR27" s="110">
        <f t="shared" si="45"/>
        <v>0.1180755014</v>
      </c>
      <c r="DS27" s="111">
        <f t="shared" si="45"/>
        <v>0.1108412028</v>
      </c>
    </row>
    <row r="28" ht="14.25" customHeight="1">
      <c r="A28" s="24">
        <v>44378.0</v>
      </c>
      <c r="B28" s="21">
        <v>-0.0656929250872973</v>
      </c>
      <c r="C28" s="21">
        <v>0.187933854852831</v>
      </c>
      <c r="D28" s="21">
        <v>0.0236051082026311</v>
      </c>
      <c r="E28" s="21">
        <v>0.0110342798788789</v>
      </c>
      <c r="F28" s="21">
        <v>0.0279463910766477</v>
      </c>
      <c r="O28" s="21">
        <f t="shared" ref="O28:S28" si="46">B28-I$3</f>
        <v>-0.07239403149</v>
      </c>
      <c r="P28" s="21">
        <f t="shared" si="46"/>
        <v>0.1428512608</v>
      </c>
      <c r="Q28" s="21">
        <f t="shared" si="46"/>
        <v>0.01493773176</v>
      </c>
      <c r="R28" s="21">
        <f t="shared" si="46"/>
        <v>-0.05342713652</v>
      </c>
      <c r="S28" s="21">
        <f t="shared" si="46"/>
        <v>0.01763843273</v>
      </c>
      <c r="CL28" s="31">
        <v>0.5</v>
      </c>
      <c r="CM28" s="32">
        <f t="shared" si="5"/>
        <v>0.5</v>
      </c>
      <c r="CN28" s="33">
        <f t="array" ref="CN28:CR28">TRANSPOSE(CL28*Portfolio!gmvwt+CM28*Portfolio!epwt2)</f>
        <v>0.01055945369</v>
      </c>
      <c r="CO28" s="33">
        <v>0.06116896879390346</v>
      </c>
      <c r="CP28" s="33">
        <v>0.6375288437630909</v>
      </c>
      <c r="CQ28" s="33">
        <v>0.1381374501172481</v>
      </c>
      <c r="CR28" s="33">
        <v>0.1526052836423977</v>
      </c>
      <c r="CT28" s="36" t="str">
        <f t="array" ref="CT28:CU28">MMULT((CN28:CR28),Portfolio!muvec)</f>
        <v>#REF!</v>
      </c>
      <c r="CU28" s="36">
        <f t="array" ref="CU28">SQRT(MMULT(MMULT((CN28:CR28),Portfolio!covmat),TRANSPOSE(CN28:CR28)))</f>
        <v>0.05362979941</v>
      </c>
      <c r="CV28" s="35" t="str">
        <f t="shared" si="6"/>
        <v>#REF!</v>
      </c>
      <c r="CW28" s="36">
        <f t="shared" si="7"/>
        <v>0.1857790748</v>
      </c>
      <c r="CX28" s="36"/>
      <c r="CY28" s="32">
        <v>0.374999999999999</v>
      </c>
      <c r="CZ28" s="32">
        <f t="shared" si="8"/>
        <v>0.625</v>
      </c>
      <c r="DA28" s="33">
        <f t="array" ref="DA28:DE28">TRANSPOSE(CY28*Portfolio!epwt2)</f>
        <v>0</v>
      </c>
      <c r="DB28" s="33">
        <v>0.0530989786327783</v>
      </c>
      <c r="DC28" s="33">
        <v>0.20521538578399148</v>
      </c>
      <c r="DD28" s="33">
        <v>0.11668563558875941</v>
      </c>
      <c r="DE28" s="33">
        <v>0.0</v>
      </c>
      <c r="DF28" s="35"/>
      <c r="DG28" s="36">
        <f t="array" ref="DG28">SQRT(MMULT(MMULT(DA28:DE28,Portfolio!covmat), TRANSPOSE(DA28:DE28)))</f>
        <v>0.03419542986</v>
      </c>
      <c r="DH28" s="36">
        <f t="array" ref="DH28">MMULT((DA28:DE28),Portfolio!muvec) + CZ28*Portfolio!rfp</f>
        <v>0.01325674004</v>
      </c>
      <c r="DI28" s="36">
        <f t="shared" si="9"/>
        <v>0.1184564438</v>
      </c>
      <c r="DJ28" s="35">
        <f t="shared" si="10"/>
        <v>0.1590808805</v>
      </c>
      <c r="DK28" s="36"/>
      <c r="DL28" s="36" t="str">
        <f t="shared" si="11"/>
        <v>#REF!</v>
      </c>
      <c r="DM28" s="36">
        <f t="shared" si="12"/>
        <v>0.09288953738</v>
      </c>
      <c r="DN28" s="36"/>
    </row>
    <row r="29" ht="14.25" customHeight="1">
      <c r="A29" s="24">
        <v>44348.0</v>
      </c>
      <c r="B29" s="21">
        <v>-0.0273650995965805</v>
      </c>
      <c r="C29" s="21">
        <v>-0.0613941661432398</v>
      </c>
      <c r="D29" s="21">
        <v>-0.0692246786711563</v>
      </c>
      <c r="E29" s="21">
        <v>0.087137347189101</v>
      </c>
      <c r="F29" s="21">
        <v>0.0191386424130695</v>
      </c>
      <c r="O29" s="21">
        <f t="shared" ref="O29:S29" si="47">B29-I$3</f>
        <v>-0.034066206</v>
      </c>
      <c r="P29" s="21">
        <f t="shared" si="47"/>
        <v>-0.1064767602</v>
      </c>
      <c r="Q29" s="21">
        <f t="shared" si="47"/>
        <v>-0.07789205512</v>
      </c>
      <c r="R29" s="21">
        <f t="shared" si="47"/>
        <v>0.02267593079</v>
      </c>
      <c r="S29" s="21">
        <f t="shared" si="47"/>
        <v>0.008830684064</v>
      </c>
      <c r="CL29" s="31">
        <v>0.48</v>
      </c>
      <c r="CM29" s="32">
        <f t="shared" si="5"/>
        <v>0.52</v>
      </c>
      <c r="CN29" s="33">
        <f t="array" ref="CN29:CR29">TRANSPOSE(CL29*Portfolio!gmvwt+CM29*Portfolio!epwt2)</f>
        <v>0.01013707554</v>
      </c>
      <c r="CO29" s="33">
        <v>0.06438610109631036</v>
      </c>
      <c r="CP29" s="33">
        <v>0.6339173311628598</v>
      </c>
      <c r="CQ29" s="33">
        <v>0.14505841990869253</v>
      </c>
      <c r="CR29" s="33">
        <v>0.14650107229670178</v>
      </c>
      <c r="CT29" s="36" t="str">
        <f t="array" ref="CT29:CU29">MMULT((CN29:CR29),Portfolio!muvec)</f>
        <v>#REF!</v>
      </c>
      <c r="CU29" s="36">
        <f t="array" ref="CU29">SQRT(MMULT(MMULT((CN29:CR29),Portfolio!covmat),TRANSPOSE(CN29:CR29)))</f>
        <v>0.05499179818</v>
      </c>
      <c r="CV29" s="35" t="str">
        <f t="shared" si="6"/>
        <v>#REF!</v>
      </c>
      <c r="CW29" s="36">
        <f t="shared" si="7"/>
        <v>0.1904971769</v>
      </c>
      <c r="CX29" s="36"/>
      <c r="CY29" s="31">
        <v>0.349999999999999</v>
      </c>
      <c r="CZ29" s="32">
        <f t="shared" si="8"/>
        <v>0.65</v>
      </c>
      <c r="DA29" s="33">
        <f t="array" ref="DA29:DE29">TRANSPOSE(CY29*Portfolio!epwt2)</f>
        <v>0</v>
      </c>
      <c r="DB29" s="33">
        <v>0.0495590467239264</v>
      </c>
      <c r="DC29" s="33">
        <v>0.19153436006505867</v>
      </c>
      <c r="DD29" s="33">
        <v>0.10890659321617542</v>
      </c>
      <c r="DE29" s="33">
        <v>0.0</v>
      </c>
      <c r="DF29" s="35"/>
      <c r="DG29" s="36">
        <f t="array" ref="DG29">SQRT(MMULT(MMULT(DA29:DE29,Portfolio!covmat), TRANSPOSE(DA29:DE29)))</f>
        <v>0.03191573454</v>
      </c>
      <c r="DH29" s="36">
        <f t="array" ref="DH29">MMULT((DA29:DE29),Portfolio!muvec) + CZ29*Portfolio!rfp</f>
        <v>0.01253962404</v>
      </c>
      <c r="DI29" s="36">
        <f t="shared" si="9"/>
        <v>0.1105593476</v>
      </c>
      <c r="DJ29" s="35">
        <f t="shared" si="10"/>
        <v>0.1504754885</v>
      </c>
      <c r="DK29" s="36"/>
      <c r="DL29" s="36" t="str">
        <f t="shared" si="11"/>
        <v>#REF!</v>
      </c>
      <c r="DM29" s="36">
        <f t="shared" si="12"/>
        <v>0.09905853199</v>
      </c>
      <c r="DN29" s="36"/>
    </row>
    <row r="30" ht="14.25" customHeight="1">
      <c r="A30" s="24">
        <v>44317.0</v>
      </c>
      <c r="B30" s="21">
        <v>0.0458919858161792</v>
      </c>
      <c r="C30" s="21">
        <v>-0.353545595944817</v>
      </c>
      <c r="D30" s="21">
        <v>0.0765008473018062</v>
      </c>
      <c r="E30" s="21">
        <v>-0.118713355241172</v>
      </c>
      <c r="F30" s="21">
        <v>0.00667419467664509</v>
      </c>
      <c r="O30" s="21">
        <f t="shared" ref="O30:S30" si="48">B30-I$3</f>
        <v>0.03919087941</v>
      </c>
      <c r="P30" s="21">
        <f t="shared" si="48"/>
        <v>-0.39862819</v>
      </c>
      <c r="Q30" s="21">
        <f t="shared" si="48"/>
        <v>0.06783347086</v>
      </c>
      <c r="R30" s="21">
        <f t="shared" si="48"/>
        <v>-0.1831747716</v>
      </c>
      <c r="S30" s="21">
        <f t="shared" si="48"/>
        <v>-0.003633763672</v>
      </c>
      <c r="CL30" s="32">
        <v>0.46</v>
      </c>
      <c r="CM30" s="32">
        <f t="shared" si="5"/>
        <v>0.54</v>
      </c>
      <c r="CN30" s="33">
        <f t="array" ref="CN30:CR30">TRANSPOSE(CL30*Portfolio!gmvwt+CM30*Portfolio!epwt2)</f>
        <v>0.009714697395</v>
      </c>
      <c r="CO30" s="33">
        <v>0.06760323339871727</v>
      </c>
      <c r="CP30" s="33">
        <v>0.6303058185626287</v>
      </c>
      <c r="CQ30" s="33">
        <v>0.15197938970013697</v>
      </c>
      <c r="CR30" s="33">
        <v>0.1403968609510059</v>
      </c>
      <c r="CT30" s="36" t="str">
        <f t="array" ref="CT30:CU30">MMULT((CN30:CR30),Portfolio!muvec)</f>
        <v>#REF!</v>
      </c>
      <c r="CU30" s="36">
        <f t="array" ref="CU30">SQRT(MMULT(MMULT((CN30:CR30),Portfolio!covmat),TRANSPOSE(CN30:CR30)))</f>
        <v>0.05637235152</v>
      </c>
      <c r="CV30" s="35" t="str">
        <f t="shared" si="6"/>
        <v>#REF!</v>
      </c>
      <c r="CW30" s="36">
        <f t="shared" si="7"/>
        <v>0.1952795539</v>
      </c>
      <c r="CX30" s="36"/>
      <c r="CY30" s="32">
        <v>0.324999999999999</v>
      </c>
      <c r="CZ30" s="32">
        <f t="shared" si="8"/>
        <v>0.675</v>
      </c>
      <c r="DA30" s="33">
        <f t="array" ref="DA30:DE30">TRANSPOSE(CY30*Portfolio!epwt2)</f>
        <v>0</v>
      </c>
      <c r="DB30" s="33">
        <v>0.04601911481507451</v>
      </c>
      <c r="DC30" s="33">
        <v>0.17785333434612588</v>
      </c>
      <c r="DD30" s="33">
        <v>0.10112755084359146</v>
      </c>
      <c r="DE30" s="33">
        <v>0.0</v>
      </c>
      <c r="DF30" s="35"/>
      <c r="DG30" s="36">
        <f t="array" ref="DG30">SQRT(MMULT(MMULT(DA30:DE30,Portfolio!covmat), TRANSPOSE(DA30:DE30)))</f>
        <v>0.02963603921</v>
      </c>
      <c r="DH30" s="36">
        <f t="array" ref="DH30">MMULT((DA30:DE30),Portfolio!muvec) + CZ30*Portfolio!rfp</f>
        <v>0.01182250804</v>
      </c>
      <c r="DI30" s="36">
        <f t="shared" si="9"/>
        <v>0.1026622513</v>
      </c>
      <c r="DJ30" s="35">
        <f t="shared" si="10"/>
        <v>0.1418700964</v>
      </c>
      <c r="DK30" s="36"/>
      <c r="DL30" s="36" t="str">
        <f t="shared" si="11"/>
        <v>#REF!</v>
      </c>
      <c r="DM30" s="36">
        <f t="shared" si="12"/>
        <v>0.1054509591</v>
      </c>
      <c r="DN30" s="36"/>
    </row>
    <row r="31" ht="14.25" customHeight="1">
      <c r="A31" s="24">
        <v>44287.0</v>
      </c>
      <c r="B31" s="21">
        <v>0.0527608680456661</v>
      </c>
      <c r="C31" s="21">
        <v>-0.019835020649767</v>
      </c>
      <c r="D31" s="21">
        <v>0.0312171773110769</v>
      </c>
      <c r="E31" s="21">
        <v>0.0621472477192173</v>
      </c>
      <c r="F31" s="21">
        <v>0.0566088508493642</v>
      </c>
      <c r="O31" s="21">
        <f t="shared" ref="O31:S31" si="49">B31-I$3</f>
        <v>0.04605976164</v>
      </c>
      <c r="P31" s="21">
        <f t="shared" si="49"/>
        <v>-0.06491761471</v>
      </c>
      <c r="Q31" s="21">
        <f t="shared" si="49"/>
        <v>0.02254980087</v>
      </c>
      <c r="R31" s="21">
        <f t="shared" si="49"/>
        <v>-0.00231416868</v>
      </c>
      <c r="S31" s="21">
        <f t="shared" si="49"/>
        <v>0.0463008925</v>
      </c>
      <c r="CL31" s="31">
        <v>0.44</v>
      </c>
      <c r="CM31" s="32">
        <f t="shared" si="5"/>
        <v>0.56</v>
      </c>
      <c r="CN31" s="33">
        <f t="array" ref="CN31:CR31">TRANSPOSE(CL31*Portfolio!gmvwt+CM31*Portfolio!epwt2)</f>
        <v>0.009292319248</v>
      </c>
      <c r="CO31" s="33">
        <v>0.07082036570112415</v>
      </c>
      <c r="CP31" s="33">
        <v>0.6266943059623975</v>
      </c>
      <c r="CQ31" s="33">
        <v>0.15890035949158143</v>
      </c>
      <c r="CR31" s="33">
        <v>0.13429264960530998</v>
      </c>
      <c r="CT31" s="36" t="str">
        <f t="array" ref="CT31:CU31">MMULT((CN31:CR31),Portfolio!muvec)</f>
        <v>#REF!</v>
      </c>
      <c r="CU31" s="36">
        <f t="array" ref="CU31">SQRT(MMULT(MMULT((CN31:CR31),Portfolio!covmat),TRANSPOSE(CN31:CR31)))</f>
        <v>0.05777012922</v>
      </c>
      <c r="CV31" s="35" t="str">
        <f t="shared" si="6"/>
        <v>#REF!</v>
      </c>
      <c r="CW31" s="36">
        <f t="shared" si="7"/>
        <v>0.2001215979</v>
      </c>
      <c r="CX31" s="36"/>
      <c r="CY31" s="31">
        <v>0.299999999999999</v>
      </c>
      <c r="CZ31" s="32">
        <f t="shared" si="8"/>
        <v>0.7</v>
      </c>
      <c r="DA31" s="33">
        <f t="array" ref="DA31:DE31">TRANSPOSE(CY31*Portfolio!epwt2)</f>
        <v>0</v>
      </c>
      <c r="DB31" s="33">
        <v>0.04247918290622261</v>
      </c>
      <c r="DC31" s="33">
        <v>0.16417230862719306</v>
      </c>
      <c r="DD31" s="33">
        <v>0.09334850847100747</v>
      </c>
      <c r="DE31" s="33">
        <v>0.0</v>
      </c>
      <c r="DF31" s="35"/>
      <c r="DG31" s="36">
        <f t="array" ref="DG31">SQRT(MMULT(MMULT(DA31:DE31,Portfolio!covmat), TRANSPOSE(DA31:DE31)))</f>
        <v>0.02735634389</v>
      </c>
      <c r="DH31" s="36">
        <f t="array" ref="DH31">MMULT((DA31:DE31),Portfolio!muvec) + CZ31*Portfolio!rfp</f>
        <v>0.01110539203</v>
      </c>
      <c r="DI31" s="36">
        <f t="shared" si="9"/>
        <v>0.09476515505</v>
      </c>
      <c r="DJ31" s="35">
        <f t="shared" si="10"/>
        <v>0.1332647044</v>
      </c>
      <c r="DK31" s="36"/>
      <c r="DL31" s="36" t="str">
        <f t="shared" si="11"/>
        <v>#REF!</v>
      </c>
      <c r="DM31" s="36">
        <f t="shared" si="12"/>
        <v>0.1120680948</v>
      </c>
      <c r="DN31" s="36"/>
    </row>
    <row r="32" ht="14.25" customHeight="1">
      <c r="A32" s="24">
        <v>44256.0</v>
      </c>
      <c r="B32" s="21">
        <v>0.114664158523749</v>
      </c>
      <c r="C32" s="21">
        <v>0.305311109589919</v>
      </c>
      <c r="D32" s="21">
        <v>-0.00827494182040244</v>
      </c>
      <c r="E32" s="21">
        <v>-0.0112065694608411</v>
      </c>
      <c r="F32" s="21">
        <v>0.0420777489779624</v>
      </c>
      <c r="O32" s="21">
        <f t="shared" ref="O32:S32" si="50">B32-I$3</f>
        <v>0.1079630521</v>
      </c>
      <c r="P32" s="21">
        <f t="shared" si="50"/>
        <v>0.2602285155</v>
      </c>
      <c r="Q32" s="21">
        <f t="shared" si="50"/>
        <v>-0.01694231827</v>
      </c>
      <c r="R32" s="21">
        <f t="shared" si="50"/>
        <v>-0.07566798586</v>
      </c>
      <c r="S32" s="21">
        <f t="shared" si="50"/>
        <v>0.03176979063</v>
      </c>
      <c r="CL32" s="31">
        <v>0.419999999999999</v>
      </c>
      <c r="CM32" s="32">
        <f t="shared" si="5"/>
        <v>0.58</v>
      </c>
      <c r="CN32" s="33">
        <f t="array" ref="CN32:CR32">TRANSPOSE(CL32*Portfolio!gmvwt+CM32*Portfolio!epwt2)</f>
        <v>0.0088699411</v>
      </c>
      <c r="CO32" s="33">
        <v>0.0740374980035312</v>
      </c>
      <c r="CP32" s="33">
        <v>0.6230827933621661</v>
      </c>
      <c r="CQ32" s="33">
        <v>0.1658213292830262</v>
      </c>
      <c r="CR32" s="33">
        <v>0.12818843825961376</v>
      </c>
      <c r="CT32" s="36" t="str">
        <f t="array" ref="CT32:CU32">MMULT((CN32:CR32),Portfolio!muvec)</f>
        <v>#REF!</v>
      </c>
      <c r="CU32" s="36">
        <f t="array" ref="CU32">SQRT(MMULT(MMULT((CN32:CR32),Portfolio!covmat),TRANSPOSE(CN32:CR32)))</f>
        <v>0.0591839109</v>
      </c>
      <c r="CV32" s="35" t="str">
        <f t="shared" si="6"/>
        <v>#REF!</v>
      </c>
      <c r="CW32" s="36">
        <f t="shared" si="7"/>
        <v>0.2050190814</v>
      </c>
      <c r="CX32" s="36"/>
      <c r="CY32" s="32">
        <v>0.274999999999999</v>
      </c>
      <c r="CZ32" s="32">
        <f t="shared" si="8"/>
        <v>0.725</v>
      </c>
      <c r="DA32" s="33">
        <f t="array" ref="DA32:DE32">TRANSPOSE(CY32*Portfolio!epwt2)</f>
        <v>0</v>
      </c>
      <c r="DB32" s="33">
        <v>0.03893925099737072</v>
      </c>
      <c r="DC32" s="33">
        <v>0.15049128290826028</v>
      </c>
      <c r="DD32" s="33">
        <v>0.08556946609842349</v>
      </c>
      <c r="DE32" s="33">
        <v>0.0</v>
      </c>
      <c r="DF32" s="35"/>
      <c r="DG32" s="36">
        <f t="array" ref="DG32">SQRT(MMULT(MMULT(DA32:DE32,Portfolio!covmat), TRANSPOSE(DA32:DE32)))</f>
        <v>0.02507664856</v>
      </c>
      <c r="DH32" s="36">
        <f t="array" ref="DH32">MMULT((DA32:DE32),Portfolio!muvec) + CZ32*Portfolio!rfp</f>
        <v>0.01038827603</v>
      </c>
      <c r="DI32" s="36">
        <f t="shared" si="9"/>
        <v>0.08686805879</v>
      </c>
      <c r="DJ32" s="35">
        <f t="shared" si="10"/>
        <v>0.1246593124</v>
      </c>
      <c r="DK32" s="36"/>
      <c r="DL32" s="36" t="str">
        <f t="shared" si="11"/>
        <v>#REF!</v>
      </c>
      <c r="DM32" s="36">
        <f t="shared" si="12"/>
        <v>0.1189110672</v>
      </c>
      <c r="DN32" s="36"/>
    </row>
    <row r="33" ht="14.25" customHeight="1">
      <c r="A33" s="24">
        <v>44228.0</v>
      </c>
      <c r="B33" s="21">
        <v>0.170657725812021</v>
      </c>
      <c r="C33" s="21">
        <v>0.363087505939407</v>
      </c>
      <c r="D33" s="21">
        <v>-0.0645266443411857</v>
      </c>
      <c r="E33" s="21">
        <v>-0.148740450493939</v>
      </c>
      <c r="F33" s="21">
        <v>0.027661796720886</v>
      </c>
      <c r="O33" s="21">
        <f t="shared" ref="O33:S33" si="51">B33-I$3</f>
        <v>0.1639566194</v>
      </c>
      <c r="P33" s="21">
        <f t="shared" si="51"/>
        <v>0.3180049119</v>
      </c>
      <c r="Q33" s="21">
        <f t="shared" si="51"/>
        <v>-0.07319402079</v>
      </c>
      <c r="R33" s="21">
        <f t="shared" si="51"/>
        <v>-0.2132018669</v>
      </c>
      <c r="S33" s="21">
        <f t="shared" si="51"/>
        <v>0.01735383837</v>
      </c>
      <c r="CL33" s="31">
        <v>0.399999999999999</v>
      </c>
      <c r="CM33" s="32">
        <f t="shared" si="5"/>
        <v>0.6</v>
      </c>
      <c r="CN33" s="33">
        <f t="array" ref="CN33:CR33">TRANSPOSE(CL33*Portfolio!gmvwt+CM33*Portfolio!epwt2)</f>
        <v>0.008447562953</v>
      </c>
      <c r="CO33" s="33">
        <v>0.0772546303059381</v>
      </c>
      <c r="CP33" s="33">
        <v>0.619471280761935</v>
      </c>
      <c r="CQ33" s="33">
        <v>0.17274229907447067</v>
      </c>
      <c r="CR33" s="33">
        <v>0.12208422691391786</v>
      </c>
      <c r="CT33" s="36" t="str">
        <f t="array" ref="CT33:CU33">MMULT((CN33:CR33),Portfolio!muvec)</f>
        <v>#REF!</v>
      </c>
      <c r="CU33" s="36">
        <f t="array" ref="CU33">SQRT(MMULT(MMULT((CN33:CR33),Portfolio!covmat),TRANSPOSE(CN33:CR33)))</f>
        <v>0.06061257671</v>
      </c>
      <c r="CV33" s="35" t="str">
        <f t="shared" si="6"/>
        <v>#REF!</v>
      </c>
      <c r="CW33" s="36">
        <f t="shared" si="7"/>
        <v>0.2099681249</v>
      </c>
      <c r="CX33" s="36"/>
      <c r="CY33" s="31">
        <v>0.249999999999999</v>
      </c>
      <c r="CZ33" s="32">
        <f t="shared" si="8"/>
        <v>0.75</v>
      </c>
      <c r="DA33" s="33">
        <f t="array" ref="DA33:DE33">TRANSPOSE(CY33*Portfolio!epwt2)</f>
        <v>0</v>
      </c>
      <c r="DB33" s="33">
        <v>0.03539931908851882</v>
      </c>
      <c r="DC33" s="33">
        <v>0.13681025718932746</v>
      </c>
      <c r="DD33" s="33">
        <v>0.07779042372583951</v>
      </c>
      <c r="DE33" s="33">
        <v>0.0</v>
      </c>
      <c r="DF33" s="35"/>
      <c r="DG33" s="36">
        <f t="array" ref="DG33">SQRT(MMULT(MMULT(DA33:DE33,Portfolio!covmat), TRANSPOSE(DA33:DE33)))</f>
        <v>0.02279695324</v>
      </c>
      <c r="DH33" s="36">
        <f t="array" ref="DH33">MMULT((DA33:DE33),Portfolio!muvec) + CZ33*Portfolio!rfp</f>
        <v>0.009671160029</v>
      </c>
      <c r="DI33" s="36">
        <f t="shared" si="9"/>
        <v>0.07897096254</v>
      </c>
      <c r="DJ33" s="35">
        <f t="shared" si="10"/>
        <v>0.1160539203</v>
      </c>
      <c r="DK33" s="36"/>
      <c r="DL33" s="36" t="str">
        <f t="shared" si="11"/>
        <v>#REF!</v>
      </c>
      <c r="DM33" s="36">
        <f t="shared" si="12"/>
        <v>0.1259808749</v>
      </c>
      <c r="DN33" s="36"/>
    </row>
    <row r="34" ht="14.25" customHeight="1">
      <c r="A34" s="24">
        <v>44197.0</v>
      </c>
      <c r="B34" s="21">
        <v>-0.015677970360216</v>
      </c>
      <c r="C34" s="21">
        <v>0.141806712573156</v>
      </c>
      <c r="D34" s="21">
        <v>-0.0241930840148243</v>
      </c>
      <c r="E34" s="21">
        <v>0.124505857574368</v>
      </c>
      <c r="F34" s="21">
        <v>-0.0061651119227527</v>
      </c>
      <c r="O34" s="21">
        <f t="shared" ref="O34:S34" si="52">B34-I$3</f>
        <v>-0.02237907677</v>
      </c>
      <c r="P34" s="21">
        <f t="shared" si="52"/>
        <v>0.09672411851</v>
      </c>
      <c r="Q34" s="21">
        <f t="shared" si="52"/>
        <v>-0.03286046046</v>
      </c>
      <c r="R34" s="21">
        <f t="shared" si="52"/>
        <v>0.06004444117</v>
      </c>
      <c r="S34" s="21">
        <f t="shared" si="52"/>
        <v>-0.01647307027</v>
      </c>
      <c r="CL34" s="32">
        <v>0.379999999999999</v>
      </c>
      <c r="CM34" s="32">
        <f t="shared" si="5"/>
        <v>0.62</v>
      </c>
      <c r="CN34" s="33">
        <f t="array" ref="CN34:CR34">TRANSPOSE(CL34*Portfolio!gmvwt+CM34*Portfolio!epwt2)</f>
        <v>0.008025184805</v>
      </c>
      <c r="CO34" s="33">
        <v>0.080471762608345</v>
      </c>
      <c r="CP34" s="33">
        <v>0.6158597681617038</v>
      </c>
      <c r="CQ34" s="33">
        <v>0.1796632688659151</v>
      </c>
      <c r="CR34" s="33">
        <v>0.11598001556822195</v>
      </c>
      <c r="CT34" s="36" t="str">
        <f t="array" ref="CT34:CU34">MMULT((CN34:CR34),Portfolio!muvec)</f>
        <v>#REF!</v>
      </c>
      <c r="CU34" s="36">
        <f t="array" ref="CU34">SQRT(MMULT(MMULT((CN34:CR34),Portfolio!covmat),TRANSPOSE(CN34:CR34)))</f>
        <v>0.06205509865</v>
      </c>
      <c r="CV34" s="35" t="str">
        <f t="shared" si="6"/>
        <v>#REF!</v>
      </c>
      <c r="CW34" s="36">
        <f t="shared" si="7"/>
        <v>0.2149651675</v>
      </c>
      <c r="CX34" s="36"/>
      <c r="CY34" s="32">
        <v>0.224999999999999</v>
      </c>
      <c r="CZ34" s="32">
        <f t="shared" si="8"/>
        <v>0.775</v>
      </c>
      <c r="DA34" s="33">
        <f t="array" ref="DA34:DE34">TRANSPOSE(CY34*Portfolio!epwt2)</f>
        <v>0</v>
      </c>
      <c r="DB34" s="33">
        <v>0.03185938717966692</v>
      </c>
      <c r="DC34" s="33">
        <v>0.12312923147039467</v>
      </c>
      <c r="DD34" s="33">
        <v>0.07001138135325552</v>
      </c>
      <c r="DE34" s="33">
        <v>0.0</v>
      </c>
      <c r="DF34" s="35"/>
      <c r="DG34" s="36">
        <f t="array" ref="DG34">SQRT(MMULT(MMULT(DA34:DE34,Portfolio!covmat), TRANSPOSE(DA34:DE34)))</f>
        <v>0.02051725792</v>
      </c>
      <c r="DH34" s="36">
        <f t="array" ref="DH34">MMULT((DA34:DE34),Portfolio!muvec) + CZ34*Portfolio!rfp</f>
        <v>0.008954044026</v>
      </c>
      <c r="DI34" s="36">
        <f t="shared" si="9"/>
        <v>0.07107386628</v>
      </c>
      <c r="DJ34" s="35">
        <f t="shared" si="10"/>
        <v>0.1074485283</v>
      </c>
      <c r="DK34" s="36"/>
      <c r="DL34" s="36" t="str">
        <f t="shared" si="11"/>
        <v>#REF!</v>
      </c>
      <c r="DM34" s="36">
        <f t="shared" si="12"/>
        <v>0.1332784038</v>
      </c>
      <c r="DN34" s="36"/>
    </row>
    <row r="35" ht="14.25" customHeight="1">
      <c r="A35" s="24">
        <v>44166.0</v>
      </c>
      <c r="B35" s="21">
        <v>0.0763494202939312</v>
      </c>
      <c r="C35" s="21">
        <v>0.477731740726012</v>
      </c>
      <c r="D35" s="21">
        <v>0.00836260305087344</v>
      </c>
      <c r="E35" s="21">
        <v>0.243252280289765</v>
      </c>
      <c r="F35" s="21">
        <v>0.033219021236738</v>
      </c>
      <c r="O35" s="21">
        <f t="shared" ref="O35:S35" si="53">B35-I$3</f>
        <v>0.06964831389</v>
      </c>
      <c r="P35" s="21">
        <f t="shared" si="53"/>
        <v>0.4326491467</v>
      </c>
      <c r="Q35" s="21">
        <f t="shared" si="53"/>
        <v>-0.000304773394</v>
      </c>
      <c r="R35" s="21">
        <f t="shared" si="53"/>
        <v>0.1787908639</v>
      </c>
      <c r="S35" s="21">
        <f t="shared" si="53"/>
        <v>0.02291106289</v>
      </c>
      <c r="CL35" s="31">
        <v>0.359999999999999</v>
      </c>
      <c r="CM35" s="32">
        <f t="shared" si="5"/>
        <v>0.64</v>
      </c>
      <c r="CN35" s="33">
        <f t="array" ref="CN35:CR35">TRANSPOSE(CL35*Portfolio!gmvwt+CM35*Portfolio!epwt2)</f>
        <v>0.007602806657</v>
      </c>
      <c r="CO35" s="33">
        <v>0.08368889491075189</v>
      </c>
      <c r="CP35" s="33">
        <v>0.6122482555614727</v>
      </c>
      <c r="CQ35" s="33">
        <v>0.18658423865735957</v>
      </c>
      <c r="CR35" s="33">
        <v>0.10987580422252603</v>
      </c>
      <c r="CT35" s="36" t="str">
        <f t="array" ref="CT35:CU35">MMULT((CN35:CR35),Portfolio!muvec)</f>
        <v>#REF!</v>
      </c>
      <c r="CU35" s="36">
        <f t="array" ref="CU35">SQRT(MMULT(MMULT((CN35:CR35),Portfolio!covmat),TRANSPOSE(CN35:CR35)))</f>
        <v>0.06351053256</v>
      </c>
      <c r="CV35" s="35" t="str">
        <f t="shared" si="6"/>
        <v>#REF!</v>
      </c>
      <c r="CW35" s="36">
        <f t="shared" si="7"/>
        <v>0.2200069384</v>
      </c>
      <c r="CX35" s="36"/>
      <c r="CY35" s="31">
        <v>0.199999999999999</v>
      </c>
      <c r="CZ35" s="32">
        <f t="shared" si="8"/>
        <v>0.8</v>
      </c>
      <c r="DA35" s="33">
        <f t="array" ref="DA35:DE35">TRANSPOSE(CY35*Portfolio!epwt2)</f>
        <v>0</v>
      </c>
      <c r="DB35" s="33">
        <v>0.02831945527081503</v>
      </c>
      <c r="DC35" s="33">
        <v>0.10944820575146187</v>
      </c>
      <c r="DD35" s="33">
        <v>0.06223233898067154</v>
      </c>
      <c r="DE35" s="33">
        <v>0.0</v>
      </c>
      <c r="DF35" s="35"/>
      <c r="DG35" s="36">
        <f t="array" ref="DG35">SQRT(MMULT(MMULT(DA35:DE35,Portfolio!covmat), TRANSPOSE(DA35:DE35)))</f>
        <v>0.01823756259</v>
      </c>
      <c r="DH35" s="36">
        <f t="array" ref="DH35">MMULT((DA35:DE35),Portfolio!muvec) + CZ35*Portfolio!rfp</f>
        <v>0.008236928023</v>
      </c>
      <c r="DI35" s="36">
        <f t="shared" si="9"/>
        <v>0.06317677003</v>
      </c>
      <c r="DJ35" s="35">
        <f t="shared" si="10"/>
        <v>0.09884313628</v>
      </c>
      <c r="DK35" s="36"/>
      <c r="DL35" s="36" t="str">
        <f t="shared" si="11"/>
        <v>#REF!</v>
      </c>
      <c r="DM35" s="36">
        <f t="shared" si="12"/>
        <v>0.1408044406</v>
      </c>
      <c r="DN35" s="36"/>
    </row>
    <row r="36" ht="14.25" customHeight="1">
      <c r="A36" s="24">
        <v>44136.0</v>
      </c>
      <c r="B36" s="21">
        <v>0.188185520813303</v>
      </c>
      <c r="C36" s="21">
        <v>0.424123277790214</v>
      </c>
      <c r="D36" s="21">
        <v>0.0</v>
      </c>
      <c r="E36" s="21">
        <v>0.462735802147563</v>
      </c>
      <c r="F36" s="21">
        <v>0.109465730760557</v>
      </c>
      <c r="O36" s="21">
        <f t="shared" ref="O36:S36" si="54">B36-I$3</f>
        <v>0.1814844144</v>
      </c>
      <c r="P36" s="21">
        <f t="shared" si="54"/>
        <v>0.3790406837</v>
      </c>
      <c r="Q36" s="21">
        <f t="shared" si="54"/>
        <v>-0.008667376445</v>
      </c>
      <c r="R36" s="21">
        <f t="shared" si="54"/>
        <v>0.3982743857</v>
      </c>
      <c r="S36" s="21">
        <f t="shared" si="54"/>
        <v>0.09915777241</v>
      </c>
      <c r="CL36" s="31">
        <v>0.339999999999999</v>
      </c>
      <c r="CM36" s="32">
        <f t="shared" si="5"/>
        <v>0.66</v>
      </c>
      <c r="CN36" s="33">
        <f t="array" ref="CN36:CR36">TRANSPOSE(CL36*Portfolio!gmvwt+CM36*Portfolio!epwt2)</f>
        <v>0.00718042851</v>
      </c>
      <c r="CO36" s="33">
        <v>0.08690602721315879</v>
      </c>
      <c r="CP36" s="33">
        <v>0.6086367429612416</v>
      </c>
      <c r="CQ36" s="33">
        <v>0.19350520844880403</v>
      </c>
      <c r="CR36" s="33">
        <v>0.10377159287683013</v>
      </c>
      <c r="CT36" s="36" t="str">
        <f t="array" ref="CT36:CU36">MMULT((CN36:CR36),Portfolio!muvec)</f>
        <v>#REF!</v>
      </c>
      <c r="CU36" s="36">
        <f t="array" ref="CU36">SQRT(MMULT(MMULT((CN36:CR36),Portfolio!covmat),TRANSPOSE(CN36:CR36)))</f>
        <v>0.06497801082</v>
      </c>
      <c r="CV36" s="35" t="str">
        <f t="shared" si="6"/>
        <v>#REF!</v>
      </c>
      <c r="CW36" s="36">
        <f t="shared" si="7"/>
        <v>0.2250904322</v>
      </c>
      <c r="CX36" s="36"/>
      <c r="CY36" s="32">
        <v>0.174999999999999</v>
      </c>
      <c r="CZ36" s="32">
        <f t="shared" si="8"/>
        <v>0.825</v>
      </c>
      <c r="DA36" s="33">
        <f t="array" ref="DA36:DE36">TRANSPOSE(CY36*Portfolio!epwt2)</f>
        <v>0</v>
      </c>
      <c r="DB36" s="33">
        <v>0.02477952336196313</v>
      </c>
      <c r="DC36" s="33">
        <v>0.09576718003252906</v>
      </c>
      <c r="DD36" s="33">
        <v>0.05445329660808756</v>
      </c>
      <c r="DE36" s="33">
        <v>0.0</v>
      </c>
      <c r="DF36" s="35"/>
      <c r="DG36" s="36">
        <f t="array" ref="DG36">SQRT(MMULT(MMULT(DA36:DE36,Portfolio!covmat), TRANSPOSE(DA36:DE36)))</f>
        <v>0.01595786727</v>
      </c>
      <c r="DH36" s="36">
        <f t="array" ref="DH36">MMULT((DA36:DE36),Portfolio!muvec) + CZ36*Portfolio!rfp</f>
        <v>0.00751981202</v>
      </c>
      <c r="DI36" s="36">
        <f t="shared" si="9"/>
        <v>0.05527967378</v>
      </c>
      <c r="DJ36" s="35">
        <f t="shared" si="10"/>
        <v>0.09023774424</v>
      </c>
      <c r="DK36" s="36"/>
      <c r="DL36" s="36" t="str">
        <f t="shared" si="11"/>
        <v>#REF!</v>
      </c>
      <c r="DM36" s="36">
        <f t="shared" si="12"/>
        <v>0.1485596853</v>
      </c>
      <c r="DN36" s="36"/>
    </row>
    <row r="37" ht="14.25" customHeight="1">
      <c r="A37" s="24">
        <v>44105.0</v>
      </c>
      <c r="B37" s="21">
        <v>-0.009336258440781</v>
      </c>
      <c r="C37" s="21">
        <v>0.277853062109316</v>
      </c>
      <c r="D37" s="21">
        <v>-0.00535098044288084</v>
      </c>
      <c r="E37" s="21">
        <v>-0.0954989113160602</v>
      </c>
      <c r="F37" s="21">
        <v>-0.0212964415389447</v>
      </c>
      <c r="O37" s="21">
        <f t="shared" ref="O37:S37" si="55">B37-I$3</f>
        <v>-0.01603736485</v>
      </c>
      <c r="P37" s="21">
        <f t="shared" si="55"/>
        <v>0.232770468</v>
      </c>
      <c r="Q37" s="21">
        <f t="shared" si="55"/>
        <v>-0.01401835689</v>
      </c>
      <c r="R37" s="21">
        <f t="shared" si="55"/>
        <v>-0.1599603277</v>
      </c>
      <c r="S37" s="21">
        <f t="shared" si="55"/>
        <v>-0.03160439989</v>
      </c>
      <c r="CL37" s="32">
        <v>0.319999999999999</v>
      </c>
      <c r="CM37" s="32">
        <f t="shared" si="5"/>
        <v>0.68</v>
      </c>
      <c r="CN37" s="33">
        <f t="array" ref="CN37:CR37">TRANSPOSE(CL37*Portfolio!gmvwt+CM37*Portfolio!epwt2)</f>
        <v>0.006758050362</v>
      </c>
      <c r="CO37" s="33">
        <v>0.0901231595155657</v>
      </c>
      <c r="CP37" s="33">
        <v>0.6050252303610104</v>
      </c>
      <c r="CQ37" s="33">
        <v>0.20042617824024844</v>
      </c>
      <c r="CR37" s="33">
        <v>0.09766738153113422</v>
      </c>
      <c r="CT37" s="36" t="str">
        <f t="array" ref="CT37:CU37">MMULT((CN37:CR37),Portfolio!muvec)</f>
        <v>#REF!</v>
      </c>
      <c r="CU37" s="36">
        <f t="array" ref="CU37">SQRT(MMULT(MMULT((CN37:CR37),Portfolio!covmat),TRANSPOSE(CN37:CR37)))</f>
        <v>0.06645673555</v>
      </c>
      <c r="CV37" s="35" t="str">
        <f t="shared" si="6"/>
        <v>#REF!</v>
      </c>
      <c r="CW37" s="36">
        <f t="shared" si="7"/>
        <v>0.230212885</v>
      </c>
      <c r="CX37" s="36"/>
      <c r="CY37" s="31">
        <v>0.149999999999999</v>
      </c>
      <c r="CZ37" s="32">
        <f t="shared" si="8"/>
        <v>0.85</v>
      </c>
      <c r="DA37" s="33">
        <f t="array" ref="DA37:DE37">TRANSPOSE(CY37*Portfolio!epwt2)</f>
        <v>0</v>
      </c>
      <c r="DB37" s="33">
        <v>0.021239591453111235</v>
      </c>
      <c r="DC37" s="33">
        <v>0.08208615431359625</v>
      </c>
      <c r="DD37" s="33">
        <v>0.04667425423550358</v>
      </c>
      <c r="DE37" s="33">
        <v>0.0</v>
      </c>
      <c r="DF37" s="35"/>
      <c r="DG37" s="36">
        <f t="array" ref="DG37">SQRT(MMULT(MMULT(DA37:DE37,Portfolio!covmat), TRANSPOSE(DA37:DE37)))</f>
        <v>0.01367817194</v>
      </c>
      <c r="DH37" s="36">
        <f t="array" ref="DH37">MMULT((DA37:DE37),Portfolio!muvec) + CZ37*Portfolio!rfp</f>
        <v>0.006802696017</v>
      </c>
      <c r="DI37" s="36">
        <f t="shared" si="9"/>
        <v>0.04738257752</v>
      </c>
      <c r="DJ37" s="35">
        <f t="shared" si="10"/>
        <v>0.08163235221</v>
      </c>
      <c r="DK37" s="36"/>
      <c r="DL37" s="36" t="str">
        <f t="shared" si="11"/>
        <v>#REF!</v>
      </c>
      <c r="DM37" s="36">
        <f t="shared" si="12"/>
        <v>0.1565447618</v>
      </c>
      <c r="DN37" s="36"/>
    </row>
    <row r="38" ht="14.25" customHeight="1">
      <c r="A38" s="24">
        <v>44075.0</v>
      </c>
      <c r="B38" s="21">
        <v>-0.064102310486666</v>
      </c>
      <c r="C38" s="21">
        <v>-0.0767351159920943</v>
      </c>
      <c r="D38" s="21">
        <v>-0.0407094818966361</v>
      </c>
      <c r="E38" s="21">
        <v>-0.139087414099271</v>
      </c>
      <c r="F38" s="21">
        <v>-0.0416485978012519</v>
      </c>
      <c r="O38" s="21">
        <f t="shared" ref="O38:S38" si="56">B38-I$3</f>
        <v>-0.07080341689</v>
      </c>
      <c r="P38" s="21">
        <f t="shared" si="56"/>
        <v>-0.1218177101</v>
      </c>
      <c r="Q38" s="21">
        <f t="shared" si="56"/>
        <v>-0.04937685834</v>
      </c>
      <c r="R38" s="21">
        <f t="shared" si="56"/>
        <v>-0.2035488305</v>
      </c>
      <c r="S38" s="21">
        <f t="shared" si="56"/>
        <v>-0.05195655615</v>
      </c>
      <c r="CL38" s="31">
        <v>0.299999999999999</v>
      </c>
      <c r="CM38" s="32">
        <f t="shared" si="5"/>
        <v>0.7</v>
      </c>
      <c r="CN38" s="33">
        <f t="array" ref="CN38:CR38">TRANSPOSE(CL38*Portfolio!gmvwt+CM38*Portfolio!epwt2)</f>
        <v>0.006335672214</v>
      </c>
      <c r="CO38" s="33">
        <v>0.09334029181797258</v>
      </c>
      <c r="CP38" s="33">
        <v>0.6014137177607792</v>
      </c>
      <c r="CQ38" s="33">
        <v>0.2073471480316929</v>
      </c>
      <c r="CR38" s="33">
        <v>0.09156317018543832</v>
      </c>
      <c r="CT38" s="36" t="str">
        <f t="array" ref="CT38:CU38">MMULT((CN38:CR38),Portfolio!muvec)</f>
        <v>#REF!</v>
      </c>
      <c r="CU38" s="36">
        <f t="array" ref="CU38">SQRT(MMULT(MMULT((CN38:CR38),Portfolio!covmat),TRANSPOSE(CN38:CR38)))</f>
        <v>0.06794597248</v>
      </c>
      <c r="CV38" s="35" t="str">
        <f t="shared" si="6"/>
        <v>#REF!</v>
      </c>
      <c r="CW38" s="36">
        <f t="shared" si="7"/>
        <v>0.235371753</v>
      </c>
      <c r="CX38" s="36"/>
      <c r="CY38" s="32">
        <v>0.124999999999999</v>
      </c>
      <c r="CZ38" s="32">
        <f t="shared" si="8"/>
        <v>0.875</v>
      </c>
      <c r="DA38" s="33">
        <f t="array" ref="DA38:DE38">TRANSPOSE(CY38*Portfolio!epwt2)</f>
        <v>0</v>
      </c>
      <c r="DB38" s="33">
        <v>0.01769965954425934</v>
      </c>
      <c r="DC38" s="33">
        <v>0.06840512859466347</v>
      </c>
      <c r="DD38" s="33">
        <v>0.038895211862919596</v>
      </c>
      <c r="DE38" s="33">
        <v>0.0</v>
      </c>
      <c r="DF38" s="35"/>
      <c r="DG38" s="36">
        <f t="array" ref="DG38">SQRT(MMULT(MMULT(DA38:DE38,Portfolio!covmat), TRANSPOSE(DA38:DE38)))</f>
        <v>0.01139847662</v>
      </c>
      <c r="DH38" s="36">
        <f t="array" ref="DH38">MMULT((DA38:DE38),Portfolio!muvec) + CZ38*Portfolio!rfp</f>
        <v>0.006085580014</v>
      </c>
      <c r="DI38" s="36">
        <f t="shared" si="9"/>
        <v>0.03948548127</v>
      </c>
      <c r="DJ38" s="35">
        <f t="shared" si="10"/>
        <v>0.07302696017</v>
      </c>
      <c r="DK38" s="36"/>
      <c r="DL38" s="36" t="str">
        <f t="shared" si="11"/>
        <v>#REF!</v>
      </c>
      <c r="DM38" s="36">
        <f t="shared" si="12"/>
        <v>0.1647602271</v>
      </c>
      <c r="DN38" s="36"/>
    </row>
    <row r="39" ht="14.25" customHeight="1">
      <c r="A39" s="24">
        <v>44044.0</v>
      </c>
      <c r="B39" s="21">
        <v>0.0345659568340404</v>
      </c>
      <c r="C39" s="21">
        <v>0.0315586667966052</v>
      </c>
      <c r="D39" s="21">
        <v>0.00244544866435991</v>
      </c>
      <c r="E39" s="21">
        <v>0.741452125278711</v>
      </c>
      <c r="F39" s="21">
        <v>0.0697100770186012</v>
      </c>
      <c r="O39" s="21">
        <f t="shared" ref="O39:S39" si="57">B39-I$3</f>
        <v>0.02786485043</v>
      </c>
      <c r="P39" s="21">
        <f t="shared" si="57"/>
        <v>-0.01352392726</v>
      </c>
      <c r="Q39" s="21">
        <f t="shared" si="57"/>
        <v>-0.00622192778</v>
      </c>
      <c r="R39" s="21">
        <f t="shared" si="57"/>
        <v>0.6769907089</v>
      </c>
      <c r="S39" s="21">
        <f t="shared" si="57"/>
        <v>0.05940211867</v>
      </c>
      <c r="CL39" s="31">
        <v>0.279999999999999</v>
      </c>
      <c r="CM39" s="32">
        <f t="shared" si="5"/>
        <v>0.72</v>
      </c>
      <c r="CN39" s="33">
        <f t="array" ref="CN39:CR39">TRANSPOSE(CL39*Portfolio!gmvwt+CM39*Portfolio!epwt2)</f>
        <v>0.005913294067</v>
      </c>
      <c r="CO39" s="33">
        <v>0.09655742412037947</v>
      </c>
      <c r="CP39" s="33">
        <v>0.597802205160548</v>
      </c>
      <c r="CQ39" s="33">
        <v>0.21426811782313734</v>
      </c>
      <c r="CR39" s="33">
        <v>0.08545895883974242</v>
      </c>
      <c r="CT39" s="36" t="str">
        <f t="array" ref="CT39:CU39">MMULT((CN39:CR39),Portfolio!muvec)</f>
        <v>#REF!</v>
      </c>
      <c r="CU39" s="36">
        <f t="array" ref="CU39">SQRT(MMULT(MMULT((CN39:CR39),Portfolio!covmat),TRANSPOSE(CN39:CR39)))</f>
        <v>0.06944504531</v>
      </c>
      <c r="CV39" s="35" t="str">
        <f t="shared" si="6"/>
        <v>#REF!</v>
      </c>
      <c r="CW39" s="36">
        <f t="shared" si="7"/>
        <v>0.2405646936</v>
      </c>
      <c r="CX39" s="36"/>
      <c r="CY39" s="31">
        <v>0.099999999999999</v>
      </c>
      <c r="CZ39" s="32">
        <f t="shared" si="8"/>
        <v>0.9</v>
      </c>
      <c r="DA39" s="33">
        <f t="array" ref="DA39:DE39">TRANSPOSE(CY39*Portfolio!epwt2)</f>
        <v>0</v>
      </c>
      <c r="DB39" s="33">
        <v>0.014159727635407444</v>
      </c>
      <c r="DC39" s="33">
        <v>0.054724102875730665</v>
      </c>
      <c r="DD39" s="33">
        <v>0.03111616949033562</v>
      </c>
      <c r="DE39" s="33">
        <v>0.0</v>
      </c>
      <c r="DF39" s="35"/>
      <c r="DG39" s="36">
        <f t="array" ref="DG39">SQRT(MMULT(MMULT(DA39:DE39,Portfolio!covmat), TRANSPOSE(DA39:DE39)))</f>
        <v>0.009118781296</v>
      </c>
      <c r="DH39" s="36">
        <f t="array" ref="DH39">MMULT((DA39:DE39),Portfolio!muvec) + CZ39*Portfolio!rfp</f>
        <v>0.005368464011</v>
      </c>
      <c r="DI39" s="36">
        <f t="shared" si="9"/>
        <v>0.03158838502</v>
      </c>
      <c r="DJ39" s="35">
        <f t="shared" si="10"/>
        <v>0.06442156814</v>
      </c>
      <c r="DK39" s="36"/>
      <c r="DL39" s="36" t="str">
        <f t="shared" si="11"/>
        <v>#REF!</v>
      </c>
      <c r="DM39" s="36">
        <f t="shared" si="12"/>
        <v>0.1732065794</v>
      </c>
      <c r="DN39" s="36"/>
    </row>
    <row r="40" ht="14.25" customHeight="1">
      <c r="A40" s="24">
        <v>44013.0</v>
      </c>
      <c r="B40" s="21">
        <v>0.0548848391188045</v>
      </c>
      <c r="C40" s="21">
        <v>0.239163412969866</v>
      </c>
      <c r="D40" s="21">
        <v>0.0947016446336448</v>
      </c>
      <c r="E40" s="21">
        <v>0.325010884398153</v>
      </c>
      <c r="F40" s="21">
        <v>0.0643193993613746</v>
      </c>
      <c r="O40" s="21">
        <f t="shared" ref="O40:S40" si="58">B40-I$3</f>
        <v>0.04818373271</v>
      </c>
      <c r="P40" s="21">
        <f t="shared" si="58"/>
        <v>0.1940808189</v>
      </c>
      <c r="Q40" s="21">
        <f t="shared" si="58"/>
        <v>0.08603426819</v>
      </c>
      <c r="R40" s="21">
        <f t="shared" si="58"/>
        <v>0.260549468</v>
      </c>
      <c r="S40" s="21">
        <f t="shared" si="58"/>
        <v>0.05401144101</v>
      </c>
      <c r="CL40" s="32">
        <v>0.259999999999999</v>
      </c>
      <c r="CM40" s="32">
        <f t="shared" si="5"/>
        <v>0.74</v>
      </c>
      <c r="CN40" s="33">
        <f t="array" ref="CN40:CR40">TRANSPOSE(CL40*Portfolio!gmvwt+CM40*Portfolio!epwt2)</f>
        <v>0.005490915919</v>
      </c>
      <c r="CO40" s="33">
        <v>0.09977455642278638</v>
      </c>
      <c r="CP40" s="33">
        <v>0.5941906925603169</v>
      </c>
      <c r="CQ40" s="33">
        <v>0.22118908761458178</v>
      </c>
      <c r="CR40" s="33">
        <v>0.0793547474940465</v>
      </c>
      <c r="CT40" s="36" t="str">
        <f t="array" ref="CT40:CU40">MMULT((CN40:CR40),Portfolio!muvec)</f>
        <v>#REF!</v>
      </c>
      <c r="CU40" s="36">
        <f t="array" ref="CU40">SQRT(MMULT(MMULT((CN40:CR40),Portfolio!covmat),TRANSPOSE(CN40:CR40)))</f>
        <v>0.07095333062</v>
      </c>
      <c r="CV40" s="35" t="str">
        <f t="shared" si="6"/>
        <v>#REF!</v>
      </c>
      <c r="CW40" s="36">
        <f t="shared" si="7"/>
        <v>0.2457895472</v>
      </c>
      <c r="CX40" s="36"/>
      <c r="CY40" s="32">
        <v>0.074999999999999</v>
      </c>
      <c r="CZ40" s="32">
        <f t="shared" si="8"/>
        <v>0.925</v>
      </c>
      <c r="DA40" s="33">
        <f t="array" ref="DA40:DE40">TRANSPOSE(CY40*Portfolio!epwt2)</f>
        <v>0</v>
      </c>
      <c r="DB40" s="33">
        <v>0.010619795726555546</v>
      </c>
      <c r="DC40" s="33">
        <v>0.04104307715679786</v>
      </c>
      <c r="DD40" s="33">
        <v>0.023337127117751634</v>
      </c>
      <c r="DE40" s="33">
        <v>0.0</v>
      </c>
      <c r="DF40" s="35"/>
      <c r="DG40" s="36">
        <f t="array" ref="DG40">SQRT(MMULT(MMULT(DA40:DE40,Portfolio!covmat), TRANSPOSE(DA40:DE40)))</f>
        <v>0.006839085972</v>
      </c>
      <c r="DH40" s="36">
        <f t="array" ref="DH40">MMULT((DA40:DE40),Portfolio!muvec) + CZ40*Portfolio!rfp</f>
        <v>0.004651348009</v>
      </c>
      <c r="DI40" s="36">
        <f t="shared" si="9"/>
        <v>0.02369128876</v>
      </c>
      <c r="DJ40" s="35">
        <f t="shared" si="10"/>
        <v>0.0558161761</v>
      </c>
      <c r="DK40" s="36"/>
      <c r="DL40" s="36" t="str">
        <f t="shared" si="11"/>
        <v>#REF!</v>
      </c>
      <c r="DM40" s="36">
        <f t="shared" si="12"/>
        <v>0.1818842649</v>
      </c>
      <c r="DN40" s="36"/>
    </row>
    <row r="41" ht="14.25" customHeight="1">
      <c r="A41" s="24">
        <v>43983.0</v>
      </c>
      <c r="B41" s="21">
        <v>-0.015340184583526</v>
      </c>
      <c r="C41" s="21">
        <v>-0.0341468585662197</v>
      </c>
      <c r="D41" s="21">
        <v>0.032298908859111</v>
      </c>
      <c r="E41" s="21">
        <v>0.293185632827081</v>
      </c>
      <c r="F41" s="21">
        <v>0.0131544912106316</v>
      </c>
      <c r="O41" s="21">
        <f t="shared" ref="O41:S41" si="59">B41-I$3</f>
        <v>-0.02204129099</v>
      </c>
      <c r="P41" s="21">
        <f t="shared" si="59"/>
        <v>-0.07922945263</v>
      </c>
      <c r="Q41" s="21">
        <f t="shared" si="59"/>
        <v>0.02363153241</v>
      </c>
      <c r="R41" s="21">
        <f t="shared" si="59"/>
        <v>0.2287242164</v>
      </c>
      <c r="S41" s="21">
        <f t="shared" si="59"/>
        <v>0.002846532862</v>
      </c>
      <c r="CL41" s="31">
        <v>0.239999999999999</v>
      </c>
      <c r="CM41" s="32">
        <f t="shared" si="5"/>
        <v>0.76</v>
      </c>
      <c r="CN41" s="33">
        <f t="array" ref="CN41:CR41">TRANSPOSE(CL41*Portfolio!gmvwt+CM41*Portfolio!epwt2)</f>
        <v>0.005068537772</v>
      </c>
      <c r="CO41" s="33">
        <v>0.10299168872519326</v>
      </c>
      <c r="CP41" s="33">
        <v>0.5905791799600858</v>
      </c>
      <c r="CQ41" s="33">
        <v>0.22811005740602625</v>
      </c>
      <c r="CR41" s="33">
        <v>0.07325053614835059</v>
      </c>
      <c r="CT41" s="36" t="str">
        <f t="array" ref="CT41:CU41">MMULT((CN41:CR41),Portfolio!muvec)</f>
        <v>#REF!</v>
      </c>
      <c r="CU41" s="36">
        <f t="array" ref="CU41">SQRT(MMULT(MMULT((CN41:CR41),Portfolio!covmat),TRANSPOSE(CN41:CR41)))</f>
        <v>0.07247025321</v>
      </c>
      <c r="CV41" s="35" t="str">
        <f t="shared" si="6"/>
        <v>#REF!</v>
      </c>
      <c r="CW41" s="36">
        <f t="shared" si="7"/>
        <v>0.2510443212</v>
      </c>
      <c r="CX41" s="36"/>
      <c r="CY41" s="31">
        <v>0.049999999999999</v>
      </c>
      <c r="CZ41" s="32">
        <f t="shared" si="8"/>
        <v>0.95</v>
      </c>
      <c r="DA41" s="33">
        <f t="array" ref="DA41:DE41">TRANSPOSE(CY41*Portfolio!epwt2)</f>
        <v>0</v>
      </c>
      <c r="DB41" s="33">
        <v>0.00707986381770365</v>
      </c>
      <c r="DC41" s="33">
        <v>0.027362051437865055</v>
      </c>
      <c r="DD41" s="33">
        <v>0.015558084745167651</v>
      </c>
      <c r="DE41" s="33">
        <v>0.0</v>
      </c>
      <c r="DF41" s="35"/>
      <c r="DG41" s="36">
        <f t="array" ref="DG41">SQRT(MMULT(MMULT(DA41:DE41,Portfolio!covmat), TRANSPOSE(DA41:DE41)))</f>
        <v>0.004559390648</v>
      </c>
      <c r="DH41" s="36">
        <f t="array" ref="DH41">MMULT((DA41:DE41),Portfolio!muvec) + CZ41*Portfolio!rfp</f>
        <v>0.003934232006</v>
      </c>
      <c r="DI41" s="36">
        <f t="shared" si="9"/>
        <v>0.01579419251</v>
      </c>
      <c r="DJ41" s="35">
        <f t="shared" si="10"/>
        <v>0.04721078407</v>
      </c>
      <c r="DK41" s="36"/>
      <c r="DL41" s="36" t="str">
        <f t="shared" si="11"/>
        <v>#REF!</v>
      </c>
      <c r="DM41" s="36">
        <f t="shared" si="12"/>
        <v>0.1907936841</v>
      </c>
      <c r="DN41" s="36"/>
    </row>
    <row r="42" ht="14.25" customHeight="1">
      <c r="A42" s="24">
        <v>43952.0</v>
      </c>
      <c r="B42" s="21">
        <v>0.00291079288025342</v>
      </c>
      <c r="C42" s="21">
        <v>0.0926834792049362</v>
      </c>
      <c r="D42" s="21">
        <v>0.0312908649626302</v>
      </c>
      <c r="E42" s="21">
        <v>0.0679388683378336</v>
      </c>
      <c r="F42" s="21">
        <v>0.0473603249771417</v>
      </c>
      <c r="O42" s="21">
        <f t="shared" ref="O42:S42" si="60">B42-I$3</f>
        <v>-0.003790313525</v>
      </c>
      <c r="P42" s="21">
        <f t="shared" si="60"/>
        <v>0.04760088514</v>
      </c>
      <c r="Q42" s="21">
        <f t="shared" si="60"/>
        <v>0.02262348852</v>
      </c>
      <c r="R42" s="21">
        <f t="shared" si="60"/>
        <v>0.003477451938</v>
      </c>
      <c r="S42" s="21">
        <f t="shared" si="60"/>
        <v>0.03705236663</v>
      </c>
      <c r="CL42" s="31">
        <v>0.219999999999999</v>
      </c>
      <c r="CM42" s="32">
        <f t="shared" si="5"/>
        <v>0.78</v>
      </c>
      <c r="CN42" s="33">
        <f t="array" ref="CN42:CR42">TRANSPOSE(CL42*Portfolio!gmvwt+CM42*Portfolio!epwt2)</f>
        <v>0.004646159624</v>
      </c>
      <c r="CO42" s="33">
        <v>0.10620882102760017</v>
      </c>
      <c r="CP42" s="33">
        <v>0.5869676673598546</v>
      </c>
      <c r="CQ42" s="33">
        <v>0.2350310271974707</v>
      </c>
      <c r="CR42" s="33">
        <v>0.06714632480265469</v>
      </c>
      <c r="CT42" s="36" t="str">
        <f t="array" ref="CT42:CU42">MMULT((CN42:CR42),Portfolio!muvec)</f>
        <v>#REF!</v>
      </c>
      <c r="CU42" s="36">
        <f t="array" ref="CU42">SQRT(MMULT(MMULT((CN42:CR42),Portfolio!covmat),TRANSPOSE(CN42:CR42)))</f>
        <v>0.07399528188</v>
      </c>
      <c r="CV42" s="35" t="str">
        <f t="shared" si="6"/>
        <v>#REF!</v>
      </c>
      <c r="CW42" s="36">
        <f t="shared" si="7"/>
        <v>0.2563271755</v>
      </c>
      <c r="CX42" s="36"/>
      <c r="CY42" s="32">
        <v>0.024999999999999</v>
      </c>
      <c r="CZ42" s="32">
        <f t="shared" si="8"/>
        <v>0.975</v>
      </c>
      <c r="DA42" s="33">
        <f t="array" ref="DA42:DE42">TRANSPOSE(CY42*Portfolio!epwt2)</f>
        <v>0</v>
      </c>
      <c r="DB42" s="33">
        <v>0.0035399319088517543</v>
      </c>
      <c r="DC42" s="33">
        <v>0.013681025718932253</v>
      </c>
      <c r="DD42" s="33">
        <v>0.00777904237258367</v>
      </c>
      <c r="DE42" s="33">
        <v>0.0</v>
      </c>
      <c r="DF42" s="35"/>
      <c r="DG42" s="36">
        <f t="array" ref="DG42">SQRT(MMULT(MMULT(DA42:DE42,Portfolio!covmat), TRANSPOSE(DA42:DE42)))</f>
        <v>0.002279695324</v>
      </c>
      <c r="DH42" s="36">
        <f t="array" ref="DH42">MMULT((DA42:DE42),Portfolio!muvec) + CZ42*Portfolio!rfp</f>
        <v>0.003217116003</v>
      </c>
      <c r="DI42" s="36">
        <f t="shared" si="9"/>
        <v>0.007897096254</v>
      </c>
      <c r="DJ42" s="35">
        <f t="shared" si="10"/>
        <v>0.03860539203</v>
      </c>
      <c r="DK42" s="36"/>
      <c r="DL42" s="36" t="str">
        <f t="shared" si="11"/>
        <v>#REF!</v>
      </c>
      <c r="DM42" s="36">
        <f t="shared" si="12"/>
        <v>0.1999351969</v>
      </c>
      <c r="DN42" s="36"/>
    </row>
    <row r="43" ht="14.25" customHeight="1">
      <c r="A43" s="24">
        <v>43922.0</v>
      </c>
      <c r="B43" s="21">
        <v>0.140058864963555</v>
      </c>
      <c r="C43" s="21">
        <v>0.344778962235476</v>
      </c>
      <c r="D43" s="21">
        <v>0.0767853573688255</v>
      </c>
      <c r="E43" s="21">
        <v>0.492137319488021</v>
      </c>
      <c r="F43" s="21">
        <v>0.133155779292649</v>
      </c>
      <c r="O43" s="21">
        <f t="shared" ref="O43:S43" si="61">B43-I$3</f>
        <v>0.1333577586</v>
      </c>
      <c r="P43" s="21">
        <f t="shared" si="61"/>
        <v>0.2996963682</v>
      </c>
      <c r="Q43" s="21">
        <f t="shared" si="61"/>
        <v>0.06811798092</v>
      </c>
      <c r="R43" s="21">
        <f t="shared" si="61"/>
        <v>0.4276759031</v>
      </c>
      <c r="S43" s="21">
        <f t="shared" si="61"/>
        <v>0.1228478209</v>
      </c>
      <c r="CL43" s="31">
        <v>0.199999999999999</v>
      </c>
      <c r="CM43" s="32">
        <f t="shared" si="5"/>
        <v>0.8</v>
      </c>
      <c r="CN43" s="33">
        <f t="array" ref="CN43:CR43">TRANSPOSE(CL43*Portfolio!gmvwt+CM43*Portfolio!epwt2)</f>
        <v>0.004223781476</v>
      </c>
      <c r="CO43" s="33">
        <v>0.10942595333000706</v>
      </c>
      <c r="CP43" s="33">
        <v>0.5833561547596233</v>
      </c>
      <c r="CQ43" s="33">
        <v>0.24195199698891512</v>
      </c>
      <c r="CR43" s="33">
        <v>0.06104211345695878</v>
      </c>
      <c r="CT43" s="36" t="str">
        <f t="array" ref="CT43:CU43">MMULT((CN43:CR43),Portfolio!muvec)</f>
        <v>#REF!</v>
      </c>
      <c r="CU43" s="36">
        <f t="array" ref="CU43">SQRT(MMULT(MMULT((CN43:CR43),Portfolio!covmat),TRANSPOSE(CN43:CR43)))</f>
        <v>0.0755279256</v>
      </c>
      <c r="CV43" s="35" t="str">
        <f t="shared" si="6"/>
        <v>#REF!</v>
      </c>
      <c r="CW43" s="36">
        <f t="shared" si="7"/>
        <v>0.2616364091</v>
      </c>
      <c r="CX43" s="36"/>
      <c r="CY43" s="31">
        <v>0.0</v>
      </c>
      <c r="CZ43" s="32">
        <f t="shared" si="8"/>
        <v>1</v>
      </c>
      <c r="DA43" s="33">
        <f t="array" ref="DA43:DE43">TRANSPOSE(CY43*Portfolio!epwt2)</f>
        <v>0</v>
      </c>
      <c r="DB43" s="33">
        <v>0.0</v>
      </c>
      <c r="DC43" s="33">
        <v>0.0</v>
      </c>
      <c r="DD43" s="33">
        <v>0.0</v>
      </c>
      <c r="DE43" s="33">
        <v>0.0</v>
      </c>
      <c r="DF43" s="35"/>
      <c r="DG43" s="36">
        <f t="array" ref="DG43">SQRT(MMULT(MMULT(DA43:DE43,Portfolio!covmat), TRANSPOSE(DA43:DE43)))</f>
        <v>0</v>
      </c>
      <c r="DH43" s="36">
        <f t="array" ref="DH43">MMULT((DA43:DE43),Portfolio!muvec) + CZ43*Portfolio!rfp</f>
        <v>0.0025</v>
      </c>
      <c r="DI43" s="36">
        <f t="shared" si="9"/>
        <v>0</v>
      </c>
      <c r="DJ43" s="35">
        <f t="shared" si="10"/>
        <v>0.03</v>
      </c>
      <c r="DK43" s="36"/>
      <c r="DL43" s="36" t="str">
        <f t="shared" si="11"/>
        <v>#REF!</v>
      </c>
      <c r="DM43" s="36">
        <f t="shared" si="12"/>
        <v>0.2093091273</v>
      </c>
      <c r="DN43" s="36"/>
    </row>
    <row r="44" ht="14.25" customHeight="1">
      <c r="A44" s="24">
        <v>43891.0</v>
      </c>
      <c r="B44" s="21">
        <v>-0.255087520343464</v>
      </c>
      <c r="C44" s="21">
        <v>-0.251277638155431</v>
      </c>
      <c r="D44" s="21">
        <v>0.0</v>
      </c>
      <c r="E44" s="21">
        <v>-0.215557071368431</v>
      </c>
      <c r="F44" s="21">
        <v>-0.128505214409799</v>
      </c>
      <c r="O44" s="21">
        <f t="shared" ref="O44:S44" si="62">B44-I$3</f>
        <v>-0.2617886267</v>
      </c>
      <c r="P44" s="21">
        <f t="shared" si="62"/>
        <v>-0.2963602322</v>
      </c>
      <c r="Q44" s="21">
        <f t="shared" si="62"/>
        <v>-0.008667376445</v>
      </c>
      <c r="R44" s="21">
        <f t="shared" si="62"/>
        <v>-0.2800184878</v>
      </c>
      <c r="S44" s="21">
        <f t="shared" si="62"/>
        <v>-0.1388131728</v>
      </c>
      <c r="CL44" s="32">
        <v>0.179999999999999</v>
      </c>
      <c r="CM44" s="32">
        <f t="shared" si="5"/>
        <v>0.82</v>
      </c>
      <c r="CN44" s="33">
        <f t="array" ref="CN44:CR44">TRANSPOSE(CL44*Portfolio!gmvwt+CM44*Portfolio!epwt2)</f>
        <v>0.003801403329</v>
      </c>
      <c r="CO44" s="33">
        <v>0.11264308563241393</v>
      </c>
      <c r="CP44" s="33">
        <v>0.5797446421593923</v>
      </c>
      <c r="CQ44" s="33">
        <v>0.24887296678035958</v>
      </c>
      <c r="CR44" s="33">
        <v>0.054937902111262864</v>
      </c>
      <c r="CT44" s="36" t="str">
        <f t="array" ref="CT44:CU44">MMULT((CN44:CR44),Portfolio!muvec)</f>
        <v>#REF!</v>
      </c>
      <c r="CU44" s="36">
        <f t="array" ref="CU44">SQRT(MMULT(MMULT((CN44:CR44),Portfolio!covmat),TRANSPOSE(CN44:CR44)))</f>
        <v>0.07706773007</v>
      </c>
      <c r="CV44" s="35" t="str">
        <f t="shared" si="6"/>
        <v>#REF!</v>
      </c>
      <c r="CW44" s="36">
        <f t="shared" si="7"/>
        <v>0.2669704482</v>
      </c>
      <c r="CX44" s="36"/>
      <c r="CY44" s="31">
        <v>-0.025000000000001</v>
      </c>
      <c r="CZ44" s="32">
        <f t="shared" si="8"/>
        <v>1.025</v>
      </c>
      <c r="DA44" s="33">
        <f t="array" ref="DA44:DE44">TRANSPOSE(CY44*Portfolio!epwt2)</f>
        <v>0</v>
      </c>
      <c r="DB44" s="33">
        <v>-0.003539931908852038</v>
      </c>
      <c r="DC44" s="33">
        <v>-0.01368102571893335</v>
      </c>
      <c r="DD44" s="33">
        <v>-0.007779042372584293</v>
      </c>
      <c r="DE44" s="33">
        <v>0.0</v>
      </c>
      <c r="DG44" s="36"/>
      <c r="DH44" s="36"/>
      <c r="DI44" s="36"/>
      <c r="DJ44" s="35"/>
    </row>
    <row r="45" ht="14.25" customHeight="1">
      <c r="A45" s="24">
        <v>43862.0</v>
      </c>
      <c r="B45" s="21">
        <v>-0.131891718490395</v>
      </c>
      <c r="C45" s="21">
        <v>-0.0803185021904049</v>
      </c>
      <c r="D45" s="21">
        <v>-0.0118769654041064</v>
      </c>
      <c r="E45" s="21">
        <v>0.0267764688705387</v>
      </c>
      <c r="F45" s="21">
        <v>-0.0809970521503311</v>
      </c>
      <c r="O45" s="21">
        <f t="shared" ref="O45:S45" si="63">B45-I$3</f>
        <v>-0.1385928249</v>
      </c>
      <c r="P45" s="21">
        <f t="shared" si="63"/>
        <v>-0.1254010963</v>
      </c>
      <c r="Q45" s="21">
        <f t="shared" si="63"/>
        <v>-0.02054434185</v>
      </c>
      <c r="R45" s="21">
        <f t="shared" si="63"/>
        <v>-0.03768494753</v>
      </c>
      <c r="S45" s="21">
        <f t="shared" si="63"/>
        <v>-0.0913050105</v>
      </c>
      <c r="CL45" s="31">
        <v>0.159999999999999</v>
      </c>
      <c r="CM45" s="32">
        <f t="shared" si="5"/>
        <v>0.84</v>
      </c>
      <c r="CN45" s="33">
        <f t="array" ref="CN45:CR45">TRANSPOSE(CL45*Portfolio!gmvwt+CM45*Portfolio!epwt2)</f>
        <v>0.003379025181</v>
      </c>
      <c r="CO45" s="33">
        <v>0.11586021793482083</v>
      </c>
      <c r="CP45" s="33">
        <v>0.5761331295591611</v>
      </c>
      <c r="CQ45" s="33">
        <v>0.255793936571804</v>
      </c>
      <c r="CR45" s="33">
        <v>0.04883369076556696</v>
      </c>
      <c r="CT45" s="36" t="str">
        <f t="array" ref="CT45:CU45">MMULT((CN45:CR45),Portfolio!muvec)</f>
        <v>#REF!</v>
      </c>
      <c r="CU45" s="36">
        <f t="array" ref="CU45">SQRT(MMULT(MMULT((CN45:CR45),Portfolio!covmat),TRANSPOSE(CN45:CR45)))</f>
        <v>0.0786142745</v>
      </c>
      <c r="CV45" s="35" t="str">
        <f t="shared" si="6"/>
        <v>#REF!</v>
      </c>
      <c r="CW45" s="36">
        <f t="shared" si="7"/>
        <v>0.2723278353</v>
      </c>
      <c r="CX45" s="36"/>
      <c r="CY45" s="32">
        <v>-0.050000000000001</v>
      </c>
      <c r="CZ45" s="32">
        <f t="shared" si="8"/>
        <v>1.05</v>
      </c>
      <c r="DA45" s="33">
        <f t="array" ref="DA45:DE45">TRANSPOSE(CY45*Portfolio!epwt2)</f>
        <v>0</v>
      </c>
      <c r="DB45" s="33">
        <v>-0.0070798638177039346</v>
      </c>
      <c r="DC45" s="33">
        <v>-0.02736205143786615</v>
      </c>
      <c r="DD45" s="33">
        <v>-0.015558084745168276</v>
      </c>
      <c r="DE45" s="33">
        <v>0.0</v>
      </c>
      <c r="DG45" s="36"/>
      <c r="DH45" s="36"/>
      <c r="DI45" s="36"/>
      <c r="DJ45" s="35"/>
    </row>
    <row r="46" ht="14.25" customHeight="1">
      <c r="A46" s="24">
        <v>43831.0</v>
      </c>
      <c r="B46" s="21">
        <v>-0.062769855910802</v>
      </c>
      <c r="C46" s="21">
        <v>0.299840196746089</v>
      </c>
      <c r="D46" s="21">
        <v>0.0800355149987153</v>
      </c>
      <c r="E46" s="21">
        <v>0.555159857343469</v>
      </c>
      <c r="F46" s="21">
        <v>0.00447271136978888</v>
      </c>
      <c r="O46" s="21">
        <f t="shared" ref="O46:S46" si="64">B46-I$3</f>
        <v>-0.06947096232</v>
      </c>
      <c r="P46" s="21">
        <f t="shared" si="64"/>
        <v>0.2547576027</v>
      </c>
      <c r="Q46" s="21">
        <f t="shared" si="64"/>
        <v>0.07136813855</v>
      </c>
      <c r="R46" s="21">
        <f t="shared" si="64"/>
        <v>0.4906984409</v>
      </c>
      <c r="S46" s="21">
        <f t="shared" si="64"/>
        <v>-0.005835246979</v>
      </c>
      <c r="CL46" s="31">
        <v>0.139999999999999</v>
      </c>
      <c r="CM46" s="32">
        <f t="shared" si="5"/>
        <v>0.86</v>
      </c>
      <c r="CN46" s="33">
        <f t="array" ref="CN46:CR46">TRANSPOSE(CL46*Portfolio!gmvwt+CM46*Portfolio!epwt2)</f>
        <v>0.002956647033</v>
      </c>
      <c r="CO46" s="33">
        <v>0.11907735023722774</v>
      </c>
      <c r="CP46" s="33">
        <v>0.5725216169589299</v>
      </c>
      <c r="CQ46" s="33">
        <v>0.2627149063632485</v>
      </c>
      <c r="CR46" s="33">
        <v>0.04272947941987105</v>
      </c>
      <c r="CT46" s="36" t="str">
        <f t="array" ref="CT46:CU46">MMULT((CN46:CR46),Portfolio!muvec)</f>
        <v>#REF!</v>
      </c>
      <c r="CU46" s="36">
        <f t="array" ref="CU46">SQRT(MMULT(MMULT((CN46:CR46),Portfolio!covmat),TRANSPOSE(CN46:CR46)))</f>
        <v>0.08016716883</v>
      </c>
      <c r="CV46" s="35" t="str">
        <f t="shared" si="6"/>
        <v>#REF!</v>
      </c>
      <c r="CW46" s="36">
        <f t="shared" si="7"/>
        <v>0.277707219</v>
      </c>
      <c r="CX46" s="36"/>
      <c r="CY46" s="31">
        <v>-0.075000000000001</v>
      </c>
      <c r="CZ46" s="32">
        <f t="shared" si="8"/>
        <v>1.075</v>
      </c>
      <c r="DA46" s="33">
        <f t="array" ref="DA46:DE46">TRANSPOSE(CY46*Portfolio!epwt2)</f>
        <v>0</v>
      </c>
      <c r="DB46" s="33">
        <v>-0.010619795726555829</v>
      </c>
      <c r="DC46" s="33">
        <v>-0.04104307715679895</v>
      </c>
      <c r="DD46" s="33">
        <v>-0.023337127117752255</v>
      </c>
      <c r="DE46" s="33">
        <v>0.0</v>
      </c>
      <c r="DG46" s="36"/>
      <c r="DH46" s="36"/>
      <c r="DI46" s="36"/>
      <c r="DJ46" s="35"/>
    </row>
    <row r="47" ht="14.25" customHeight="1">
      <c r="A47" s="24">
        <v>43800.0</v>
      </c>
      <c r="B47" s="21">
        <v>0.0570225548562937</v>
      </c>
      <c r="C47" s="21">
        <v>-0.0496762414464359</v>
      </c>
      <c r="D47" s="21">
        <v>0.0</v>
      </c>
      <c r="E47" s="21">
        <v>0.267897153362846</v>
      </c>
      <c r="F47" s="21">
        <v>0.0247703161419969</v>
      </c>
      <c r="O47" s="21">
        <f t="shared" ref="O47:S47" si="65">B47-I$3</f>
        <v>0.05032144845</v>
      </c>
      <c r="P47" s="21">
        <f t="shared" si="65"/>
        <v>-0.09475883551</v>
      </c>
      <c r="Q47" s="21">
        <f t="shared" si="65"/>
        <v>-0.008667376445</v>
      </c>
      <c r="R47" s="21">
        <f t="shared" si="65"/>
        <v>0.203435737</v>
      </c>
      <c r="S47" s="21">
        <f t="shared" si="65"/>
        <v>0.01446235779</v>
      </c>
      <c r="CL47" s="32">
        <v>0.119999999999999</v>
      </c>
      <c r="CM47" s="32">
        <f t="shared" si="5"/>
        <v>0.88</v>
      </c>
      <c r="CN47" s="33">
        <f t="array" ref="CN47:CR47">TRANSPOSE(CL47*Portfolio!gmvwt+CM47*Portfolio!epwt2)</f>
        <v>0.002534268886</v>
      </c>
      <c r="CO47" s="33">
        <v>0.12229448253963462</v>
      </c>
      <c r="CP47" s="33">
        <v>0.5689101043586988</v>
      </c>
      <c r="CQ47" s="33">
        <v>0.2696358761546929</v>
      </c>
      <c r="CR47" s="33">
        <v>0.03662526807417514</v>
      </c>
      <c r="CT47" s="36" t="str">
        <f t="array" ref="CT47:CU47">MMULT((CN47:CR47),Portfolio!muvec)</f>
        <v>#REF!</v>
      </c>
      <c r="CU47" s="36">
        <f t="array" ref="CU47">SQRT(MMULT(MMULT((CN47:CR47),Portfolio!covmat),TRANSPOSE(CN47:CR47)))</f>
        <v>0.0817260511</v>
      </c>
      <c r="CV47" s="35" t="str">
        <f t="shared" si="6"/>
        <v>#REF!</v>
      </c>
      <c r="CW47" s="36">
        <f t="shared" si="7"/>
        <v>0.2831073456</v>
      </c>
      <c r="CX47" s="36"/>
      <c r="CY47" s="32">
        <v>-0.100000000000001</v>
      </c>
      <c r="CZ47" s="32">
        <f t="shared" si="8"/>
        <v>1.1</v>
      </c>
      <c r="DA47" s="33">
        <f t="array" ref="DA47:DE47">TRANSPOSE(CY47*Portfolio!epwt2)</f>
        <v>0</v>
      </c>
      <c r="DB47" s="33">
        <v>-0.014159727635407727</v>
      </c>
      <c r="DC47" s="33">
        <v>-0.054724102875731755</v>
      </c>
      <c r="DD47" s="33">
        <v>-0.03111616949033624</v>
      </c>
      <c r="DE47" s="33">
        <v>0.0</v>
      </c>
      <c r="DG47" s="36"/>
      <c r="DH47" s="36"/>
      <c r="DI47" s="36"/>
      <c r="DJ47" s="35"/>
    </row>
    <row r="48" ht="14.25" customHeight="1">
      <c r="A48" s="24">
        <v>43770.0</v>
      </c>
      <c r="B48" s="21">
        <v>0.0655578285234519</v>
      </c>
      <c r="C48" s="21">
        <v>-0.177177023207674</v>
      </c>
      <c r="D48" s="21">
        <v>-0.03030306212009</v>
      </c>
      <c r="E48" s="21">
        <v>0.0476946471290018</v>
      </c>
      <c r="F48" s="21">
        <v>0.0362592211342016</v>
      </c>
      <c r="O48" s="21">
        <f t="shared" ref="O48:S48" si="66">B48-I$3</f>
        <v>0.05885672212</v>
      </c>
      <c r="P48" s="21">
        <f t="shared" si="66"/>
        <v>-0.2222596173</v>
      </c>
      <c r="Q48" s="21">
        <f t="shared" si="66"/>
        <v>-0.03897043856</v>
      </c>
      <c r="R48" s="21">
        <f t="shared" si="66"/>
        <v>-0.01676676927</v>
      </c>
      <c r="S48" s="21">
        <f t="shared" si="66"/>
        <v>0.02595126279</v>
      </c>
      <c r="CL48" s="31">
        <v>0.099999999999999</v>
      </c>
      <c r="CM48" s="32">
        <f t="shared" si="5"/>
        <v>0.9</v>
      </c>
      <c r="CN48" s="33">
        <f t="array" ref="CN48:CR48">TRANSPOSE(CL48*Portfolio!gmvwt+CM48*Portfolio!epwt2)</f>
        <v>0.002111890738</v>
      </c>
      <c r="CO48" s="33">
        <v>0.12551161484204154</v>
      </c>
      <c r="CP48" s="33">
        <v>0.5652985917584676</v>
      </c>
      <c r="CQ48" s="33">
        <v>0.27655684594613733</v>
      </c>
      <c r="CR48" s="33">
        <v>0.030521056728479237</v>
      </c>
      <c r="CT48" s="36" t="str">
        <f t="array" ref="CT48:CU48">MMULT((CN48:CR48),Portfolio!muvec)</f>
        <v>#REF!</v>
      </c>
      <c r="CU48" s="36">
        <f t="array" ref="CU48">SQRT(MMULT(MMULT((CN48:CR48),Portfolio!covmat),TRANSPOSE(CN48:CR48)))</f>
        <v>0.08329058509</v>
      </c>
      <c r="CV48" s="35" t="str">
        <f t="shared" si="6"/>
        <v>#REF!</v>
      </c>
      <c r="CW48" s="36">
        <f t="shared" si="7"/>
        <v>0.2885270503</v>
      </c>
      <c r="CX48" s="36"/>
      <c r="CY48" s="31">
        <v>-0.125000000000001</v>
      </c>
      <c r="CZ48" s="32">
        <f t="shared" si="8"/>
        <v>1.125</v>
      </c>
      <c r="DA48" s="33">
        <f t="array" ref="DA48:DE48">TRANSPOSE(CY48*Portfolio!epwt2)</f>
        <v>0</v>
      </c>
      <c r="DB48" s="33">
        <v>-0.017699659544259623</v>
      </c>
      <c r="DC48" s="33">
        <v>-0.06840512859466455</v>
      </c>
      <c r="DD48" s="33">
        <v>-0.03889521186292022</v>
      </c>
      <c r="DE48" s="33">
        <v>0.0</v>
      </c>
      <c r="DG48" s="36"/>
      <c r="DH48" s="36"/>
      <c r="DI48" s="36"/>
      <c r="DJ48" s="35"/>
    </row>
    <row r="49" ht="14.25" customHeight="1">
      <c r="A49" s="24">
        <v>43739.0</v>
      </c>
      <c r="B49" s="21">
        <v>0.0790573654888444</v>
      </c>
      <c r="C49" s="21">
        <v>0.109203182273801</v>
      </c>
      <c r="D49" s="21">
        <v>-0.00506875867001777</v>
      </c>
      <c r="E49" s="21">
        <v>0.30742722101642</v>
      </c>
      <c r="F49" s="21">
        <v>0.0266906076069246</v>
      </c>
      <c r="O49" s="21">
        <f t="shared" ref="O49:S49" si="67">B49-I$3</f>
        <v>0.07235625908</v>
      </c>
      <c r="P49" s="21">
        <f t="shared" si="67"/>
        <v>0.06412058821</v>
      </c>
      <c r="Q49" s="21">
        <f t="shared" si="67"/>
        <v>-0.01373613511</v>
      </c>
      <c r="R49" s="21">
        <f t="shared" si="67"/>
        <v>0.2429658046</v>
      </c>
      <c r="S49" s="21">
        <f t="shared" si="67"/>
        <v>0.01638264926</v>
      </c>
      <c r="CL49" s="31">
        <v>0.079999999999999</v>
      </c>
      <c r="CM49" s="32">
        <f t="shared" si="5"/>
        <v>0.92</v>
      </c>
      <c r="CN49" s="33">
        <f t="array" ref="CN49:CR49">TRANSPOSE(CL49*Portfolio!gmvwt+CM49*Portfolio!epwt2)</f>
        <v>0.001689512591</v>
      </c>
      <c r="CO49" s="33">
        <v>0.12872874714444843</v>
      </c>
      <c r="CP49" s="33">
        <v>0.5616870791582366</v>
      </c>
      <c r="CQ49" s="33">
        <v>0.28347781573758185</v>
      </c>
      <c r="CR49" s="33">
        <v>0.02441684538278333</v>
      </c>
      <c r="CT49" s="36" t="str">
        <f t="array" ref="CT49:CU49">MMULT((CN49:CR49),Portfolio!muvec)</f>
        <v>#REF!</v>
      </c>
      <c r="CU49" s="36">
        <f t="array" ref="CU49">SQRT(MMULT(MMULT((CN49:CR49),Portfolio!covmat),TRANSPOSE(CN49:CR49)))</f>
        <v>0.0848604582</v>
      </c>
      <c r="CV49" s="35" t="str">
        <f t="shared" si="6"/>
        <v>#REF!</v>
      </c>
      <c r="CW49" s="36">
        <f t="shared" si="7"/>
        <v>0.2939652503</v>
      </c>
      <c r="CX49" s="36"/>
      <c r="CY49" s="31">
        <v>-0.150000000000001</v>
      </c>
      <c r="CZ49" s="32">
        <f t="shared" si="8"/>
        <v>1.15</v>
      </c>
      <c r="DA49" s="33">
        <f t="array" ref="DA49:DE49">TRANSPOSE(CY49*Portfolio!epwt2)</f>
        <v>0</v>
      </c>
      <c r="DB49" s="33">
        <v>-0.02123959145311152</v>
      </c>
      <c r="DC49" s="33">
        <v>-0.08208615431359735</v>
      </c>
      <c r="DD49" s="33">
        <v>-0.0466742542355042</v>
      </c>
      <c r="DE49" s="33">
        <v>0.0</v>
      </c>
      <c r="DG49" s="36"/>
      <c r="DH49" s="36"/>
      <c r="DI49" s="36"/>
      <c r="DJ49" s="35"/>
    </row>
    <row r="50" ht="14.25" customHeight="1">
      <c r="A50" s="24">
        <v>43709.0</v>
      </c>
      <c r="B50" s="21">
        <v>0.0603417496897948</v>
      </c>
      <c r="C50" s="21">
        <v>-0.138806201707599</v>
      </c>
      <c r="D50" s="21">
        <v>0.0</v>
      </c>
      <c r="E50" s="21">
        <v>0.0676388894701141</v>
      </c>
      <c r="F50" s="21">
        <v>0.0148920028864625</v>
      </c>
      <c r="O50" s="21">
        <f t="shared" ref="O50:S50" si="68">B50-I$3</f>
        <v>0.05364064328</v>
      </c>
      <c r="P50" s="21">
        <f t="shared" si="68"/>
        <v>-0.1838887958</v>
      </c>
      <c r="Q50" s="21">
        <f t="shared" si="68"/>
        <v>-0.008667376445</v>
      </c>
      <c r="R50" s="21">
        <f t="shared" si="68"/>
        <v>0.003177473071</v>
      </c>
      <c r="S50" s="21">
        <f t="shared" si="68"/>
        <v>0.004584044538</v>
      </c>
      <c r="CL50" s="32">
        <v>0.0599999999999991</v>
      </c>
      <c r="CM50" s="32">
        <f t="shared" si="5"/>
        <v>0.94</v>
      </c>
      <c r="CN50" s="33">
        <f t="array" ref="CN50:CR50">TRANSPOSE(CL50*Portfolio!gmvwt+CM50*Portfolio!epwt2)</f>
        <v>0.001267134443</v>
      </c>
      <c r="CO50" s="33">
        <v>0.13194587944685532</v>
      </c>
      <c r="CP50" s="33">
        <v>0.5580755665580054</v>
      </c>
      <c r="CQ50" s="33">
        <v>0.29039878552902626</v>
      </c>
      <c r="CR50" s="33">
        <v>0.01831263403708745</v>
      </c>
      <c r="CT50" s="36" t="str">
        <f t="array" ref="CT50:CU50">MMULT((CN50:CR50),Portfolio!muvec)</f>
        <v>#REF!</v>
      </c>
      <c r="CU50" s="36">
        <f t="array" ref="CU50">SQRT(MMULT(MMULT((CN50:CR50),Portfolio!covmat),TRANSPOSE(CN50:CR50)))</f>
        <v>0.08643537953</v>
      </c>
      <c r="CV50" s="35" t="str">
        <f t="shared" si="6"/>
        <v>#REF!</v>
      </c>
      <c r="CW50" s="36">
        <f t="shared" si="7"/>
        <v>0.2994209378</v>
      </c>
      <c r="CX50" s="36"/>
      <c r="CY50" s="32">
        <v>-0.175000000000001</v>
      </c>
      <c r="CZ50" s="32">
        <f t="shared" si="8"/>
        <v>1.175</v>
      </c>
      <c r="DA50" s="33">
        <f t="array" ref="DA50:DE50">TRANSPOSE(CY50*Portfolio!epwt2)</f>
        <v>0</v>
      </c>
      <c r="DB50" s="33">
        <v>-0.024779523361963412</v>
      </c>
      <c r="DC50" s="33">
        <v>-0.09576718003253015</v>
      </c>
      <c r="DD50" s="33">
        <v>-0.05445329660808818</v>
      </c>
      <c r="DE50" s="33">
        <v>0.0</v>
      </c>
      <c r="DG50" s="36"/>
      <c r="DH50" s="36"/>
      <c r="DI50" s="36"/>
      <c r="DJ50" s="35"/>
    </row>
    <row r="51" ht="14.25" customHeight="1">
      <c r="A51" s="24">
        <v>43678.0</v>
      </c>
      <c r="B51" s="21">
        <v>-0.103324644356984</v>
      </c>
      <c r="C51" s="21">
        <v>-0.0451101181165223</v>
      </c>
      <c r="D51" s="21">
        <v>0.0652128192918517</v>
      </c>
      <c r="E51" s="21">
        <v>-0.0662223659516338</v>
      </c>
      <c r="F51" s="21">
        <v>-0.0164054776553327</v>
      </c>
      <c r="O51" s="21">
        <f t="shared" ref="O51:S51" si="69">B51-I$3</f>
        <v>-0.1100257508</v>
      </c>
      <c r="P51" s="21">
        <f t="shared" si="69"/>
        <v>-0.09019271218</v>
      </c>
      <c r="Q51" s="21">
        <f t="shared" si="69"/>
        <v>0.05654544285</v>
      </c>
      <c r="R51" s="21">
        <f t="shared" si="69"/>
        <v>-0.1306837824</v>
      </c>
      <c r="S51" s="21">
        <f t="shared" si="69"/>
        <v>-0.026713436</v>
      </c>
      <c r="CL51" s="31">
        <v>0.039999999999999</v>
      </c>
      <c r="CM51" s="32">
        <f t="shared" si="5"/>
        <v>0.96</v>
      </c>
      <c r="CN51" s="33">
        <f t="array" ref="CN51:CR51">TRANSPOSE(CL51*Portfolio!gmvwt+CM51*Portfolio!epwt2)</f>
        <v>0.0008447562953</v>
      </c>
      <c r="CO51" s="33">
        <v>0.1351630117492622</v>
      </c>
      <c r="CP51" s="33">
        <v>0.5544640539577742</v>
      </c>
      <c r="CQ51" s="33">
        <v>0.2973197553204707</v>
      </c>
      <c r="CR51" s="33">
        <v>0.012208422691391512</v>
      </c>
      <c r="CT51" s="36" t="str">
        <f t="array" ref="CT51:CU51">MMULT((CN51:CR51),Portfolio!muvec)</f>
        <v>#REF!</v>
      </c>
      <c r="CU51" s="36">
        <f t="array" ref="CU51">SQRT(MMULT(MMULT((CN51:CR51),Portfolio!covmat),TRANSPOSE(CN51:CR51)))</f>
        <v>0.08801507807</v>
      </c>
      <c r="CV51" s="35" t="str">
        <f t="shared" si="6"/>
        <v>#REF!</v>
      </c>
      <c r="CW51" s="36">
        <f t="shared" si="7"/>
        <v>0.3048931741</v>
      </c>
      <c r="CX51" s="36"/>
      <c r="CY51" s="31">
        <v>-0.200000000000001</v>
      </c>
      <c r="CZ51" s="32">
        <f t="shared" si="8"/>
        <v>1.2</v>
      </c>
      <c r="DA51" s="33">
        <f t="array" ref="DA51:DE51">TRANSPOSE(CY51*Portfolio!epwt2)</f>
        <v>0</v>
      </c>
      <c r="DB51" s="33">
        <v>-0.02831945527081531</v>
      </c>
      <c r="DC51" s="33">
        <v>-0.10944820575146297</v>
      </c>
      <c r="DD51" s="33">
        <v>-0.06223233898067217</v>
      </c>
      <c r="DE51" s="33">
        <v>0.0</v>
      </c>
      <c r="DG51" s="36"/>
      <c r="DH51" s="36"/>
      <c r="DI51" s="36"/>
      <c r="DJ51" s="35"/>
    </row>
    <row r="52" ht="14.25" customHeight="1">
      <c r="A52" s="24">
        <v>43647.0</v>
      </c>
      <c r="B52" s="21">
        <v>0.0636476297518815</v>
      </c>
      <c r="C52" s="21">
        <v>-0.067626591766352</v>
      </c>
      <c r="D52" s="21">
        <v>0.0116336986466014</v>
      </c>
      <c r="E52" s="21">
        <v>0.0812225297430009</v>
      </c>
      <c r="F52" s="21">
        <v>0.0198733485128708</v>
      </c>
      <c r="O52" s="21">
        <f t="shared" ref="O52:S52" si="70">B52-I$3</f>
        <v>0.05694652335</v>
      </c>
      <c r="P52" s="21">
        <f t="shared" si="70"/>
        <v>-0.1127091858</v>
      </c>
      <c r="Q52" s="21">
        <f t="shared" si="70"/>
        <v>0.002966322202</v>
      </c>
      <c r="R52" s="21">
        <f t="shared" si="70"/>
        <v>0.01676111334</v>
      </c>
      <c r="S52" s="21">
        <f t="shared" si="70"/>
        <v>0.009565390164</v>
      </c>
      <c r="CL52" s="31">
        <v>0.019999999999999</v>
      </c>
      <c r="CM52" s="32">
        <f t="shared" si="5"/>
        <v>0.98</v>
      </c>
      <c r="CN52" s="33">
        <f t="array" ref="CN52:CR52">TRANSPOSE(CL52*Portfolio!gmvwt+CM52*Portfolio!epwt2)</f>
        <v>0.0004223781476</v>
      </c>
      <c r="CO52" s="33">
        <v>0.1383801440516691</v>
      </c>
      <c r="CP52" s="33">
        <v>0.550852541357543</v>
      </c>
      <c r="CQ52" s="33">
        <v>0.30424072511191513</v>
      </c>
      <c r="CR52" s="33">
        <v>0.006104211345695603</v>
      </c>
      <c r="CT52" s="36" t="str">
        <f t="array" ref="CT52:CU52">MMULT((CN52:CR52),Portfolio!muvec)</f>
        <v>#REF!</v>
      </c>
      <c r="CU52" s="36">
        <f t="array" ref="CU52">SQRT(MMULT(MMULT((CN52:CR52),Portfolio!covmat),TRANSPOSE(CN52:CR52)))</f>
        <v>0.08959930115</v>
      </c>
      <c r="CV52" s="35" t="str">
        <f t="shared" si="6"/>
        <v>#REF!</v>
      </c>
      <c r="CW52" s="36">
        <f t="shared" si="7"/>
        <v>0.3103810838</v>
      </c>
      <c r="CX52" s="36"/>
      <c r="CY52" s="32">
        <v>-0.225000000000001</v>
      </c>
      <c r="CZ52" s="32">
        <f t="shared" si="8"/>
        <v>1.225</v>
      </c>
      <c r="DA52" s="33">
        <f t="array" ref="DA52:DE52">TRANSPOSE(CY52*Portfolio!epwt2)</f>
        <v>0</v>
      </c>
      <c r="DB52" s="33">
        <v>-0.03185938717966721</v>
      </c>
      <c r="DC52" s="33">
        <v>-0.12312923147039577</v>
      </c>
      <c r="DD52" s="33">
        <v>-0.07001138135325614</v>
      </c>
      <c r="DE52" s="33">
        <v>0.0</v>
      </c>
      <c r="DG52" s="36"/>
      <c r="DH52" s="36"/>
      <c r="DI52" s="36"/>
      <c r="DJ52" s="35"/>
    </row>
    <row r="53" ht="14.25" customHeight="1">
      <c r="A53" s="24">
        <v>43617.0</v>
      </c>
      <c r="B53" s="21">
        <v>0.090225529934701</v>
      </c>
      <c r="C53" s="21">
        <v>0.261549106009027</v>
      </c>
      <c r="D53" s="21">
        <v>0.079568003108128</v>
      </c>
      <c r="E53" s="21">
        <v>0.20684812952665</v>
      </c>
      <c r="F53" s="21">
        <v>0.0643811858776577</v>
      </c>
      <c r="O53" s="21">
        <f t="shared" ref="O53:S53" si="71">B53-I$3</f>
        <v>0.08352442353</v>
      </c>
      <c r="P53" s="21">
        <f t="shared" si="71"/>
        <v>0.2164665119</v>
      </c>
      <c r="Q53" s="21">
        <f t="shared" si="71"/>
        <v>0.07090062666</v>
      </c>
      <c r="R53" s="21">
        <f t="shared" si="71"/>
        <v>0.1423867131</v>
      </c>
      <c r="S53" s="21">
        <f t="shared" si="71"/>
        <v>0.05407322753</v>
      </c>
      <c r="CL53" s="31">
        <v>0.0</v>
      </c>
      <c r="CM53" s="32">
        <f t="shared" si="5"/>
        <v>1</v>
      </c>
      <c r="CN53" s="33">
        <f t="array" ref="CN53:CR53">TRANSPOSE(CL53*Portfolio!gmvwt+CM53*Portfolio!epwt2)</f>
        <v>0</v>
      </c>
      <c r="CO53" s="33">
        <v>0.14159727635407585</v>
      </c>
      <c r="CP53" s="33">
        <v>0.5472410287573121</v>
      </c>
      <c r="CQ53" s="33">
        <v>0.31116169490335926</v>
      </c>
      <c r="CR53" s="33">
        <v>0.0</v>
      </c>
      <c r="CT53" s="36" t="str">
        <f t="array" ref="CT53:CU53">MMULT((CN53:CR53),Portfolio!muvec)</f>
        <v>#REF!</v>
      </c>
      <c r="CU53" s="36">
        <f t="array" ref="CU53">SQRT(MMULT(MMULT((CN53:CR53),Portfolio!covmat),TRANSPOSE(CN53:CR53)))</f>
        <v>0.09118781296</v>
      </c>
      <c r="CV53" s="35" t="str">
        <f t="shared" si="6"/>
        <v>#REF!</v>
      </c>
      <c r="CW53" s="36">
        <f t="shared" si="7"/>
        <v>0.3158838502</v>
      </c>
      <c r="CX53" s="36"/>
      <c r="CY53" s="31">
        <v>-0.250000000000001</v>
      </c>
      <c r="CZ53" s="32">
        <f t="shared" si="8"/>
        <v>1.25</v>
      </c>
      <c r="DA53" s="33">
        <f t="array" ref="DA53:DE53">TRANSPOSE(CY53*Portfolio!epwt2)</f>
        <v>0</v>
      </c>
      <c r="DB53" s="33">
        <v>-0.0353993190885191</v>
      </c>
      <c r="DC53" s="33">
        <v>-0.13681025718932857</v>
      </c>
      <c r="DD53" s="33">
        <v>-0.07779042372584012</v>
      </c>
      <c r="DE53" s="33">
        <v>0.0</v>
      </c>
      <c r="DG53" s="36"/>
      <c r="DH53" s="36"/>
      <c r="DI53" s="36"/>
      <c r="DJ53" s="35"/>
    </row>
    <row r="54" ht="14.25" customHeight="1">
      <c r="A54" s="24">
        <v>43586.0</v>
      </c>
      <c r="B54" s="21">
        <v>-0.130150288011279</v>
      </c>
      <c r="C54" s="21">
        <v>0.602493017157424</v>
      </c>
      <c r="D54" s="21">
        <v>0.0179295284725091</v>
      </c>
      <c r="E54" s="21">
        <v>-0.224265822331908</v>
      </c>
      <c r="F54" s="21">
        <v>-0.0634792591134493</v>
      </c>
      <c r="O54" s="21">
        <f t="shared" ref="O54:S54" si="72">B54-I$3</f>
        <v>-0.1368513944</v>
      </c>
      <c r="P54" s="21">
        <f t="shared" si="72"/>
        <v>0.5574104231</v>
      </c>
      <c r="Q54" s="21">
        <f t="shared" si="72"/>
        <v>0.009262152028</v>
      </c>
      <c r="R54" s="21">
        <f t="shared" si="72"/>
        <v>-0.2887272387</v>
      </c>
      <c r="S54" s="21">
        <f t="shared" si="72"/>
        <v>-0.07378721746</v>
      </c>
      <c r="CL54" s="32">
        <v>-0.0200000000000013</v>
      </c>
      <c r="CM54" s="32">
        <f t="shared" si="5"/>
        <v>1.02</v>
      </c>
      <c r="CN54" s="33">
        <f t="array" ref="CN54:CR54">TRANSPOSE(CL54*Portfolio!gmvwt+CM54*Portfolio!epwt2)</f>
        <v>-0.0004223781476</v>
      </c>
      <c r="CO54" s="33">
        <v>0.14481440865648296</v>
      </c>
      <c r="CP54" s="33">
        <v>0.5436295161570808</v>
      </c>
      <c r="CQ54" s="33">
        <v>0.3180826646948042</v>
      </c>
      <c r="CR54" s="33">
        <v>-0.006104211345696305</v>
      </c>
      <c r="CT54" s="36" t="str">
        <f t="array" ref="CT54:CU54">MMULT((CN54:CR54),Portfolio!muvec)</f>
        <v>#REF!</v>
      </c>
      <c r="CU54" s="36">
        <f t="array" ref="CU54">SQRT(MMULT(MMULT((CN54:CR54),Portfolio!covmat),TRANSPOSE(CN54:CR54)))</f>
        <v>0.09278039321</v>
      </c>
      <c r="CV54" s="35" t="str">
        <f t="shared" si="6"/>
        <v>#REF!</v>
      </c>
      <c r="CW54" s="36">
        <f t="shared" si="7"/>
        <v>0.32140071</v>
      </c>
      <c r="CX54" s="36"/>
      <c r="CY54" s="31">
        <v>-0.275000000000001</v>
      </c>
      <c r="CZ54" s="32">
        <f t="shared" si="8"/>
        <v>1.275</v>
      </c>
      <c r="DA54" s="33">
        <f t="array" ref="DA54:DE54">TRANSPOSE(CY54*Portfolio!epwt2)</f>
        <v>0</v>
      </c>
      <c r="DB54" s="33">
        <v>-0.038939250997371</v>
      </c>
      <c r="DC54" s="33">
        <v>-0.1504912829082614</v>
      </c>
      <c r="DD54" s="33">
        <v>-0.08556946609842411</v>
      </c>
      <c r="DE54" s="33">
        <v>0.0</v>
      </c>
      <c r="DG54" s="36"/>
      <c r="DH54" s="36"/>
      <c r="DI54" s="36"/>
      <c r="DJ54" s="35"/>
    </row>
    <row r="55" ht="14.25" customHeight="1">
      <c r="A55" s="24">
        <v>43556.0</v>
      </c>
      <c r="B55" s="21">
        <v>0.108372357508577</v>
      </c>
      <c r="C55" s="21">
        <v>0.303337302631297</v>
      </c>
      <c r="D55" s="21">
        <v>-0.00788859332704949</v>
      </c>
      <c r="E55" s="21">
        <v>-0.147109238202804</v>
      </c>
      <c r="F55" s="21">
        <v>0.0461967569017471</v>
      </c>
      <c r="O55" s="21">
        <f t="shared" ref="O55:S55" si="73">B55-I$3</f>
        <v>0.1016712511</v>
      </c>
      <c r="P55" s="21">
        <f t="shared" si="73"/>
        <v>0.2582547086</v>
      </c>
      <c r="Q55" s="21">
        <f t="shared" si="73"/>
        <v>-0.01655596977</v>
      </c>
      <c r="R55" s="21">
        <f t="shared" si="73"/>
        <v>-0.2115706546</v>
      </c>
      <c r="S55" s="21">
        <f t="shared" si="73"/>
        <v>0.03588879855</v>
      </c>
      <c r="CL55" s="31">
        <v>-0.0400000000000019</v>
      </c>
      <c r="CM55" s="32">
        <f t="shared" si="5"/>
        <v>1.04</v>
      </c>
      <c r="CN55" s="33">
        <f t="array" ref="CN55:CR55">TRANSPOSE(CL55*Portfolio!gmvwt+CM55*Portfolio!epwt2)</f>
        <v>-0.0008447562953</v>
      </c>
      <c r="CO55" s="33">
        <v>0.14803154095888993</v>
      </c>
      <c r="CP55" s="33">
        <v>0.5400180035568494</v>
      </c>
      <c r="CQ55" s="33">
        <v>0.3250036344862488</v>
      </c>
      <c r="CR55" s="33">
        <v>-0.012208422691392396</v>
      </c>
      <c r="CT55" s="36" t="str">
        <f t="array" ref="CT55:CU55">MMULT((CN55:CR55),Portfolio!muvec)</f>
        <v>#REF!</v>
      </c>
      <c r="CU55" s="36">
        <f t="array" ref="CU55">SQRT(MMULT(MMULT((CN55:CR55),Portfolio!covmat),TRANSPOSE(CN55:CR55)))</f>
        <v>0.09437683594</v>
      </c>
      <c r="CV55" s="35" t="str">
        <f t="shared" si="6"/>
        <v>#REF!</v>
      </c>
      <c r="CW55" s="36">
        <f t="shared" si="7"/>
        <v>0.3269309498</v>
      </c>
      <c r="CX55" s="36"/>
      <c r="CY55" s="32">
        <v>-0.300000000000001</v>
      </c>
      <c r="CZ55" s="32">
        <f t="shared" si="8"/>
        <v>1.3</v>
      </c>
      <c r="DA55" s="33">
        <f t="array" ref="DA55:DE55">TRANSPOSE(CY55*Portfolio!epwt2)</f>
        <v>0</v>
      </c>
      <c r="DB55" s="33">
        <v>-0.04247918290622289</v>
      </c>
      <c r="DC55" s="33">
        <v>-0.16417230862719415</v>
      </c>
      <c r="DD55" s="33">
        <v>-0.09334850847100809</v>
      </c>
      <c r="DE55" s="33">
        <v>0.0</v>
      </c>
      <c r="DG55" s="36"/>
      <c r="DH55" s="36"/>
      <c r="DI55" s="36"/>
      <c r="DJ55" s="35"/>
    </row>
    <row r="56" ht="14.25" customHeight="1">
      <c r="A56" s="24">
        <v>43525.0</v>
      </c>
      <c r="B56" s="21">
        <v>-0.0463939954709478</v>
      </c>
      <c r="C56" s="21">
        <v>0.0650150061424894</v>
      </c>
      <c r="D56" s="21">
        <v>-0.0150823035433306</v>
      </c>
      <c r="E56" s="21">
        <v>-0.125109385744041</v>
      </c>
      <c r="F56" s="21">
        <v>0.0135510794850817</v>
      </c>
      <c r="O56" s="21">
        <f t="shared" ref="O56:S56" si="74">B56-I$3</f>
        <v>-0.05309510188</v>
      </c>
      <c r="P56" s="21">
        <f t="shared" si="74"/>
        <v>0.01993241208</v>
      </c>
      <c r="Q56" s="21">
        <f t="shared" si="74"/>
        <v>-0.02374967999</v>
      </c>
      <c r="R56" s="21">
        <f t="shared" si="74"/>
        <v>-0.1895708021</v>
      </c>
      <c r="S56" s="21">
        <f t="shared" si="74"/>
        <v>0.003243121136</v>
      </c>
      <c r="CL56" s="31">
        <v>-0.0600000000000019</v>
      </c>
      <c r="CM56" s="32">
        <f t="shared" si="5"/>
        <v>1.06</v>
      </c>
      <c r="CN56" s="33">
        <f t="array" ref="CN56:CR56">TRANSPOSE(CL56*Portfolio!gmvwt+CM56*Portfolio!epwt2)</f>
        <v>-0.001267134443</v>
      </c>
      <c r="CO56" s="33">
        <v>0.15124867326129682</v>
      </c>
      <c r="CP56" s="33">
        <v>0.5364064909566182</v>
      </c>
      <c r="CQ56" s="33">
        <v>0.3319246042776932</v>
      </c>
      <c r="CR56" s="33">
        <v>-0.018312634037088302</v>
      </c>
      <c r="CT56" s="36" t="str">
        <f t="array" ref="CT56:CU56">MMULT((CN56:CR56),Portfolio!muvec)</f>
        <v>#REF!</v>
      </c>
      <c r="CU56" s="36">
        <f t="array" ref="CU56">SQRT(MMULT(MMULT((CN56:CR56),Portfolio!covmat),TRANSPOSE(CN56:CR56)))</f>
        <v>0.0959769484</v>
      </c>
      <c r="CV56" s="35" t="str">
        <f t="shared" si="6"/>
        <v>#REF!</v>
      </c>
      <c r="CW56" s="36">
        <f t="shared" si="7"/>
        <v>0.332473902</v>
      </c>
      <c r="CX56" s="36"/>
      <c r="CY56" s="31">
        <v>-0.325000000000001</v>
      </c>
      <c r="CZ56" s="32">
        <f t="shared" si="8"/>
        <v>1.325</v>
      </c>
      <c r="DA56" s="33">
        <f t="array" ref="DA56:DE56">TRANSPOSE(CY56*Portfolio!epwt2)</f>
        <v>0</v>
      </c>
      <c r="DB56" s="33">
        <v>-0.04601911481507479</v>
      </c>
      <c r="DC56" s="33">
        <v>-0.17785333434612696</v>
      </c>
      <c r="DD56" s="33">
        <v>-0.10112755084359208</v>
      </c>
      <c r="DE56" s="33">
        <v>0.0</v>
      </c>
      <c r="DG56" s="36"/>
      <c r="DH56" s="36"/>
      <c r="DI56" s="36"/>
      <c r="DJ56" s="35"/>
    </row>
    <row r="57" ht="14.25" customHeight="1">
      <c r="A57" s="24">
        <v>43497.0</v>
      </c>
      <c r="B57" s="21">
        <v>0.021426011008371</v>
      </c>
      <c r="C57" s="21">
        <v>0.114811010201919</v>
      </c>
      <c r="D57" s="21">
        <v>-0.0052283872084885</v>
      </c>
      <c r="E57" s="21">
        <v>0.0418864672834455</v>
      </c>
      <c r="F57" s="21">
        <v>0.0324989139715983</v>
      </c>
      <c r="O57" s="21">
        <f t="shared" ref="O57:S57" si="75">B57-I$3</f>
        <v>0.0147249046</v>
      </c>
      <c r="P57" s="21">
        <f t="shared" si="75"/>
        <v>0.06972841614</v>
      </c>
      <c r="Q57" s="21">
        <f t="shared" si="75"/>
        <v>-0.01389576365</v>
      </c>
      <c r="R57" s="21">
        <f t="shared" si="75"/>
        <v>-0.02257494912</v>
      </c>
      <c r="S57" s="21">
        <f t="shared" si="75"/>
        <v>0.02219095562</v>
      </c>
      <c r="CL57" s="31">
        <v>-0.0800000000000019</v>
      </c>
      <c r="CM57" s="32">
        <f t="shared" si="5"/>
        <v>1.08</v>
      </c>
      <c r="CN57" s="33">
        <f t="array" ref="CN57:CR57">TRANSPOSE(CL57*Portfolio!gmvwt+CM57*Portfolio!epwt2)</f>
        <v>-0.001689512591</v>
      </c>
      <c r="CO57" s="33">
        <v>0.15446580556370373</v>
      </c>
      <c r="CP57" s="33">
        <v>0.5327949783563871</v>
      </c>
      <c r="CQ57" s="33">
        <v>0.3388455740691377</v>
      </c>
      <c r="CR57" s="33">
        <v>-0.024416845382784214</v>
      </c>
      <c r="CT57" s="36" t="str">
        <f t="array" ref="CT57:CU57">MMULT((CN57:CR57),Portfolio!muvec)</f>
        <v>#REF!</v>
      </c>
      <c r="CU57" s="36">
        <f t="array" ref="CU57">SQRT(MMULT(MMULT((CN57:CR57),Portfolio!covmat),TRANSPOSE(CN57:CR57)))</f>
        <v>0.09758055008</v>
      </c>
      <c r="CV57" s="35" t="str">
        <f t="shared" si="6"/>
        <v>#REF!</v>
      </c>
      <c r="CW57" s="36">
        <f t="shared" si="7"/>
        <v>0.3380289411</v>
      </c>
      <c r="CX57" s="36"/>
      <c r="CY57" s="32">
        <v>-0.350000000000001</v>
      </c>
      <c r="CZ57" s="32">
        <f t="shared" si="8"/>
        <v>1.35</v>
      </c>
      <c r="DA57" s="33">
        <f t="array" ref="DA57:DE57">TRANSPOSE(CY57*Portfolio!epwt2)</f>
        <v>0</v>
      </c>
      <c r="DB57" s="33">
        <v>-0.049559046723926685</v>
      </c>
      <c r="DC57" s="33">
        <v>-0.19153436006505975</v>
      </c>
      <c r="DD57" s="33">
        <v>-0.10890659321617605</v>
      </c>
      <c r="DE57" s="33">
        <v>0.0</v>
      </c>
      <c r="DG57" s="36"/>
      <c r="DH57" s="36"/>
      <c r="DI57" s="36"/>
      <c r="DJ57" s="35"/>
    </row>
    <row r="58" ht="14.25" customHeight="1">
      <c r="A58" s="24">
        <v>43466.0</v>
      </c>
      <c r="B58" s="21">
        <v>0.161895666349187</v>
      </c>
      <c r="C58" s="21">
        <v>-0.0761235689184305</v>
      </c>
      <c r="D58" s="21">
        <v>0.0323866860379948</v>
      </c>
      <c r="E58" s="21">
        <v>-0.0774639163363981</v>
      </c>
      <c r="F58" s="21">
        <v>0.0850384458804955</v>
      </c>
      <c r="O58" s="21">
        <f t="shared" ref="O58:S58" si="76">B58-I$3</f>
        <v>0.1551945599</v>
      </c>
      <c r="P58" s="21">
        <f t="shared" si="76"/>
        <v>-0.121206163</v>
      </c>
      <c r="Q58" s="21">
        <f t="shared" si="76"/>
        <v>0.02371930959</v>
      </c>
      <c r="R58" s="21">
        <f t="shared" si="76"/>
        <v>-0.1419253327</v>
      </c>
      <c r="S58" s="21">
        <f t="shared" si="76"/>
        <v>0.07473048753</v>
      </c>
      <c r="CL58" s="32">
        <v>-0.100000000000002</v>
      </c>
      <c r="CM58" s="32">
        <f t="shared" si="5"/>
        <v>1.1</v>
      </c>
      <c r="CN58" s="33">
        <f t="array" ref="CN58:CR58">TRANSPOSE(CL58*Portfolio!gmvwt+CM58*Portfolio!epwt2)</f>
        <v>-0.002111890738</v>
      </c>
      <c r="CO58" s="33">
        <v>0.15768293786611065</v>
      </c>
      <c r="CP58" s="33">
        <v>0.529183465756156</v>
      </c>
      <c r="CQ58" s="33">
        <v>0.3457665438605822</v>
      </c>
      <c r="CR58" s="33">
        <v>-0.030521056728480152</v>
      </c>
      <c r="CT58" s="36" t="str">
        <f t="array" ref="CT58:CU58">MMULT((CN58:CR58),Portfolio!muvec)</f>
        <v>#REF!</v>
      </c>
      <c r="CU58" s="36">
        <f t="array" ref="CU58">SQRT(MMULT(MMULT((CN58:CR58),Portfolio!covmat),TRANSPOSE(CN58:CR58)))</f>
        <v>0.09918747174</v>
      </c>
      <c r="CV58" s="35" t="str">
        <f t="shared" si="6"/>
        <v>#REF!</v>
      </c>
      <c r="CW58" s="36">
        <f t="shared" si="7"/>
        <v>0.343595481</v>
      </c>
      <c r="CX58" s="36"/>
      <c r="CY58" s="31">
        <v>-0.375000000000001</v>
      </c>
      <c r="CZ58" s="32">
        <f t="shared" si="8"/>
        <v>1.375</v>
      </c>
      <c r="DA58" s="33">
        <f t="array" ref="DA58:DE58">TRANSPOSE(CY58*Portfolio!epwt2)</f>
        <v>0</v>
      </c>
      <c r="DB58" s="33">
        <v>-0.053098978632778585</v>
      </c>
      <c r="DC58" s="33">
        <v>-0.20521538578399257</v>
      </c>
      <c r="DD58" s="33">
        <v>-0.11668563558876004</v>
      </c>
      <c r="DE58" s="33">
        <v>0.0</v>
      </c>
      <c r="DG58" s="36"/>
      <c r="DH58" s="36"/>
      <c r="DI58" s="36"/>
      <c r="DJ58" s="35"/>
    </row>
    <row r="59" ht="14.25" customHeight="1">
      <c r="A59" s="24">
        <v>43435.0</v>
      </c>
      <c r="B59" s="21">
        <v>-0.132394357107</v>
      </c>
      <c r="C59" s="21">
        <v>-0.0683469654808112</v>
      </c>
      <c r="D59" s="21">
        <v>0.0476152269965679</v>
      </c>
      <c r="E59" s="21">
        <v>-0.050445120571447</v>
      </c>
      <c r="F59" s="21">
        <v>-0.093380242669392</v>
      </c>
      <c r="O59" s="21">
        <f t="shared" ref="O59:S59" si="77">B59-I$3</f>
        <v>-0.1390954635</v>
      </c>
      <c r="P59" s="21">
        <f t="shared" si="77"/>
        <v>-0.1134295595</v>
      </c>
      <c r="Q59" s="21">
        <f t="shared" si="77"/>
        <v>0.03894785055</v>
      </c>
      <c r="R59" s="21">
        <f t="shared" si="77"/>
        <v>-0.114906537</v>
      </c>
      <c r="S59" s="21">
        <f t="shared" si="77"/>
        <v>-0.103688201</v>
      </c>
      <c r="CL59" s="31">
        <v>-0.120000000000002</v>
      </c>
      <c r="CM59" s="32">
        <f t="shared" si="5"/>
        <v>1.12</v>
      </c>
      <c r="CN59" s="33">
        <f t="array" ref="CN59:CR59">TRANSPOSE(CL59*Portfolio!gmvwt+CM59*Portfolio!epwt2)</f>
        <v>-0.002534268886</v>
      </c>
      <c r="CO59" s="33">
        <v>0.1609000701685175</v>
      </c>
      <c r="CP59" s="33">
        <v>0.5255719531559248</v>
      </c>
      <c r="CQ59" s="33">
        <v>0.3526875136520266</v>
      </c>
      <c r="CR59" s="33">
        <v>-0.03662526807417606</v>
      </c>
      <c r="CT59" s="36" t="str">
        <f t="array" ref="CT59:CU59">MMULT((CN59:CR59),Portfolio!muvec)</f>
        <v>#REF!</v>
      </c>
      <c r="CU59" s="36">
        <f t="array" ref="CU59">SQRT(MMULT(MMULT((CN59:CR59),Portfolio!covmat),TRANSPOSE(CN59:CR59)))</f>
        <v>0.1007975546</v>
      </c>
      <c r="CV59" s="35" t="str">
        <f t="shared" si="6"/>
        <v>#REF!</v>
      </c>
      <c r="CW59" s="36">
        <f t="shared" si="7"/>
        <v>0.3491729717</v>
      </c>
      <c r="CX59" s="36"/>
      <c r="CY59" s="31">
        <v>-0.400000000000001</v>
      </c>
      <c r="CZ59" s="32">
        <f t="shared" si="8"/>
        <v>1.4</v>
      </c>
      <c r="DA59" s="33">
        <f t="array" ref="DA59:DE59">TRANSPOSE(CY59*Portfolio!epwt2)</f>
        <v>0</v>
      </c>
      <c r="DB59" s="33">
        <v>-0.056638910541630484</v>
      </c>
      <c r="DC59" s="33">
        <v>-0.21889641150292538</v>
      </c>
      <c r="DD59" s="33">
        <v>-0.12446467796134403</v>
      </c>
      <c r="DE59" s="33">
        <v>0.0</v>
      </c>
      <c r="DG59" s="36"/>
      <c r="DH59" s="36"/>
      <c r="DI59" s="36"/>
      <c r="DJ59" s="35"/>
    </row>
    <row r="60" ht="14.25" customHeight="1">
      <c r="A60" s="24">
        <v>43405.0</v>
      </c>
      <c r="B60" s="21">
        <v>0.0327272397532989</v>
      </c>
      <c r="C60" s="21">
        <v>-0.364115758708625</v>
      </c>
      <c r="D60" s="21">
        <v>0.00651645799353595</v>
      </c>
      <c r="E60" s="21">
        <v>0.0390133695057814</v>
      </c>
      <c r="F60" s="21">
        <v>0.0188513487951771</v>
      </c>
      <c r="O60" s="21">
        <f t="shared" ref="O60:S60" si="78">B60-I$3</f>
        <v>0.02602613335</v>
      </c>
      <c r="P60" s="21">
        <f t="shared" si="78"/>
        <v>-0.4091983528</v>
      </c>
      <c r="Q60" s="21">
        <f t="shared" si="78"/>
        <v>-0.002150918451</v>
      </c>
      <c r="R60" s="21">
        <f t="shared" si="78"/>
        <v>-0.02544804689</v>
      </c>
      <c r="S60" s="21">
        <f t="shared" si="78"/>
        <v>0.008543390447</v>
      </c>
      <c r="CL60" s="31">
        <v>-0.140000000000002</v>
      </c>
      <c r="CM60" s="32">
        <f t="shared" si="5"/>
        <v>1.14</v>
      </c>
      <c r="CN60" s="33">
        <f t="array" ref="CN60:CR60">TRANSPOSE(CL60*Portfolio!gmvwt+CM60*Portfolio!epwt2)</f>
        <v>-0.002956647033</v>
      </c>
      <c r="CO60" s="33">
        <v>0.16411720247092443</v>
      </c>
      <c r="CP60" s="33">
        <v>0.5219604405556936</v>
      </c>
      <c r="CQ60" s="33">
        <v>0.359608483443471</v>
      </c>
      <c r="CR60" s="33">
        <v>-0.04272947941987197</v>
      </c>
      <c r="CT60" s="36" t="str">
        <f t="array" ref="CT60:CU60">MMULT((CN60:CR60),Portfolio!muvec)</f>
        <v>#REF!</v>
      </c>
      <c r="CU60" s="36">
        <f t="array" ref="CU60">SQRT(MMULT(MMULT((CN60:CR60),Portfolio!covmat),TRANSPOSE(CN60:CR60)))</f>
        <v>0.1024106495</v>
      </c>
      <c r="CV60" s="35" t="str">
        <f t="shared" si="6"/>
        <v>#REF!</v>
      </c>
      <c r="CW60" s="36">
        <f t="shared" si="7"/>
        <v>0.3547608965</v>
      </c>
      <c r="CX60" s="36"/>
      <c r="CY60" s="32">
        <v>-0.425000000000001</v>
      </c>
      <c r="CZ60" s="32">
        <f t="shared" si="8"/>
        <v>1.425</v>
      </c>
      <c r="DA60" s="33">
        <f t="array" ref="DA60:DE60">TRANSPOSE(CY60*Portfolio!epwt2)</f>
        <v>0</v>
      </c>
      <c r="DB60" s="33">
        <v>-0.06017884245048238</v>
      </c>
      <c r="DC60" s="33">
        <v>-0.23257743722185817</v>
      </c>
      <c r="DD60" s="33">
        <v>-0.132243720333928</v>
      </c>
      <c r="DE60" s="33">
        <v>0.0</v>
      </c>
      <c r="DG60" s="36"/>
      <c r="DH60" s="36"/>
      <c r="DI60" s="36"/>
      <c r="DJ60" s="35"/>
    </row>
    <row r="61" ht="14.25" customHeight="1">
      <c r="A61" s="24">
        <v>43374.0</v>
      </c>
      <c r="B61" s="21">
        <v>-0.0620183959498261</v>
      </c>
      <c r="C61" s="21">
        <v>-0.0464791191369656</v>
      </c>
      <c r="D61" s="21">
        <v>0.0174570279715695</v>
      </c>
      <c r="E61" s="21">
        <v>0.27401148990824</v>
      </c>
      <c r="F61" s="21">
        <v>-0.0641673384877499</v>
      </c>
      <c r="O61" s="21">
        <f t="shared" ref="O61:S61" si="79">B61-I$3</f>
        <v>-0.06871950236</v>
      </c>
      <c r="P61" s="21">
        <f t="shared" si="79"/>
        <v>-0.0915617132</v>
      </c>
      <c r="Q61" s="21">
        <f t="shared" si="79"/>
        <v>0.008789651527</v>
      </c>
      <c r="R61" s="21">
        <f t="shared" si="79"/>
        <v>0.2095500735</v>
      </c>
      <c r="S61" s="21">
        <f t="shared" si="79"/>
        <v>-0.07447529684</v>
      </c>
      <c r="CL61" s="31">
        <v>-0.160000000000002</v>
      </c>
      <c r="CM61" s="32">
        <f t="shared" si="5"/>
        <v>1.16</v>
      </c>
      <c r="CN61" s="33">
        <f t="array" ref="CN61:CR61">TRANSPOSE(CL61*Portfolio!gmvwt+CM61*Portfolio!epwt2)</f>
        <v>-0.003379025181</v>
      </c>
      <c r="CO61" s="33">
        <v>0.16733433477333132</v>
      </c>
      <c r="CP61" s="33">
        <v>0.5183489279554624</v>
      </c>
      <c r="CQ61" s="33">
        <v>0.36652945323491554</v>
      </c>
      <c r="CR61" s="33">
        <v>-0.04883369076556787</v>
      </c>
      <c r="CT61" s="36" t="str">
        <f t="array" ref="CT61:CU61">MMULT((CN61:CR61),Portfolio!muvec)</f>
        <v>#REF!</v>
      </c>
      <c r="CU61" s="36">
        <f t="array" ref="CU61">SQRT(MMULT(MMULT((CN61:CR61),Portfolio!covmat),TRANSPOSE(CN61:CR61)))</f>
        <v>0.1040266165</v>
      </c>
      <c r="CV61" s="35" t="str">
        <f t="shared" si="6"/>
        <v>#REF!</v>
      </c>
      <c r="CW61" s="36">
        <f t="shared" si="7"/>
        <v>0.3603587701</v>
      </c>
      <c r="CX61" s="36"/>
      <c r="CY61" s="31">
        <v>-0.450000000000001</v>
      </c>
      <c r="CZ61" s="32">
        <f t="shared" si="8"/>
        <v>1.45</v>
      </c>
      <c r="DA61" s="33">
        <f t="array" ref="DA61:DE61">TRANSPOSE(CY61*Portfolio!epwt2)</f>
        <v>0</v>
      </c>
      <c r="DB61" s="33">
        <v>-0.06371877435933428</v>
      </c>
      <c r="DC61" s="33">
        <v>-0.24625846294079098</v>
      </c>
      <c r="DD61" s="33">
        <v>-0.14002276270651198</v>
      </c>
      <c r="DE61" s="33">
        <v>0.0</v>
      </c>
      <c r="DG61" s="36"/>
      <c r="DH61" s="36"/>
      <c r="DI61" s="36"/>
      <c r="DJ61" s="35"/>
    </row>
    <row r="62" ht="14.25" customHeight="1">
      <c r="A62" s="24">
        <v>43344.0</v>
      </c>
      <c r="B62" s="21">
        <v>-0.0475267456649924</v>
      </c>
      <c r="C62" s="21">
        <v>-0.0585456953892342</v>
      </c>
      <c r="D62" s="21">
        <v>-0.00733154083990639</v>
      </c>
      <c r="E62" s="21">
        <v>-0.122290002040065</v>
      </c>
      <c r="F62" s="21">
        <v>0.0012372975115753</v>
      </c>
      <c r="O62" s="21">
        <f t="shared" ref="O62:S62" si="80">B62-I$3</f>
        <v>-0.05422785207</v>
      </c>
      <c r="P62" s="21">
        <f t="shared" si="80"/>
        <v>-0.1036282895</v>
      </c>
      <c r="Q62" s="21">
        <f t="shared" si="80"/>
        <v>-0.01599891728</v>
      </c>
      <c r="R62" s="21">
        <f t="shared" si="80"/>
        <v>-0.1867514184</v>
      </c>
      <c r="S62" s="21">
        <f t="shared" si="80"/>
        <v>-0.009070660837</v>
      </c>
      <c r="CL62" s="32">
        <v>-0.180000000000002</v>
      </c>
      <c r="CM62" s="32">
        <f t="shared" si="5"/>
        <v>1.18</v>
      </c>
      <c r="CN62" s="33">
        <f t="array" ref="CN62:CR62">TRANSPOSE(CL62*Portfolio!gmvwt+CM62*Portfolio!epwt2)</f>
        <v>-0.003801403329</v>
      </c>
      <c r="CO62" s="33">
        <v>0.1705514670757382</v>
      </c>
      <c r="CP62" s="33">
        <v>0.5147374153552312</v>
      </c>
      <c r="CQ62" s="33">
        <v>0.37345042302635995</v>
      </c>
      <c r="CR62" s="33">
        <v>-0.05493790211126378</v>
      </c>
      <c r="CT62" s="36" t="str">
        <f t="array" ref="CT62:CU62">MMULT((CN62:CR62),Portfolio!muvec)</f>
        <v>#REF!</v>
      </c>
      <c r="CU62" s="36">
        <f t="array" ref="CU62">SQRT(MMULT(MMULT((CN62:CR62),Portfolio!covmat),TRANSPOSE(CN62:CR62)))</f>
        <v>0.1056453236</v>
      </c>
      <c r="CV62" s="35" t="str">
        <f t="shared" si="6"/>
        <v>#REF!</v>
      </c>
      <c r="CW62" s="36">
        <f t="shared" si="7"/>
        <v>0.365966136</v>
      </c>
      <c r="CX62" s="36"/>
      <c r="CY62" s="32">
        <v>-0.475000000000001</v>
      </c>
      <c r="CZ62" s="32">
        <f t="shared" si="8"/>
        <v>1.475</v>
      </c>
      <c r="DA62" s="33">
        <f t="array" ref="DA62:DE62">TRANSPOSE(CY62*Portfolio!epwt2)</f>
        <v>0</v>
      </c>
      <c r="DB62" s="33">
        <v>-0.06725870626818617</v>
      </c>
      <c r="DC62" s="33">
        <v>-0.25993948865972377</v>
      </c>
      <c r="DD62" s="33">
        <v>-0.14780180507909596</v>
      </c>
      <c r="DE62" s="33">
        <v>0.0</v>
      </c>
      <c r="DG62" s="36"/>
      <c r="DH62" s="36"/>
      <c r="DI62" s="36"/>
      <c r="DJ62" s="35"/>
    </row>
    <row r="63" ht="14.25" customHeight="1">
      <c r="CL63" s="31">
        <v>-0.200000000000002</v>
      </c>
      <c r="CM63" s="32">
        <f t="shared" si="5"/>
        <v>1.2</v>
      </c>
      <c r="CN63" s="33">
        <f t="array" ref="CN63:CR63">TRANSPOSE(CL63*Portfolio!gmvwt+CM63*Portfolio!epwt2)</f>
        <v>-0.004223781476</v>
      </c>
      <c r="CO63" s="33">
        <v>0.17376859937814512</v>
      </c>
      <c r="CP63" s="33">
        <v>0.5111259027550001</v>
      </c>
      <c r="CQ63" s="33">
        <v>0.38037139281780447</v>
      </c>
      <c r="CR63" s="33">
        <v>-0.061042113456959694</v>
      </c>
      <c r="CT63" s="36" t="str">
        <f t="array" ref="CT63:CU63">MMULT((CN63:CR63),Portfolio!muvec)</f>
        <v>#REF!</v>
      </c>
      <c r="CU63" s="36">
        <f t="array" ref="CU63">SQRT(MMULT(MMULT((CN63:CR63),Portfolio!covmat),TRANSPOSE(CN63:CR63)))</f>
        <v>0.1072666468</v>
      </c>
      <c r="CV63" s="35" t="str">
        <f t="shared" si="6"/>
        <v>#REF!</v>
      </c>
      <c r="CW63" s="36">
        <f t="shared" si="7"/>
        <v>0.3715825644</v>
      </c>
      <c r="CX63" s="36"/>
      <c r="CY63" s="31">
        <v>-0.500000000000001</v>
      </c>
      <c r="CZ63" s="32">
        <f t="shared" si="8"/>
        <v>1.5</v>
      </c>
      <c r="DA63" s="33">
        <f t="array" ref="DA63:DE63">TRANSPOSE(CY63*Portfolio!epwt2)</f>
        <v>0</v>
      </c>
      <c r="DB63" s="33">
        <v>-0.07079863817703806</v>
      </c>
      <c r="DC63" s="33">
        <v>-0.2736205143786566</v>
      </c>
      <c r="DD63" s="33">
        <v>-0.15558084745167994</v>
      </c>
      <c r="DE63" s="33">
        <v>0.0</v>
      </c>
      <c r="DG63" s="36"/>
      <c r="DH63" s="36"/>
      <c r="DI63" s="36"/>
      <c r="DJ63" s="35"/>
    </row>
    <row r="64" ht="14.25" customHeight="1">
      <c r="CL64" s="31">
        <v>-0.220000000000002</v>
      </c>
      <c r="CM64" s="32">
        <f t="shared" si="5"/>
        <v>1.22</v>
      </c>
      <c r="CN64" s="33">
        <f t="array" ref="CN64:CR64">TRANSPOSE(CL64*Portfolio!gmvwt+CM64*Portfolio!epwt2)</f>
        <v>-0.004646159624</v>
      </c>
      <c r="CO64" s="33">
        <v>0.176985731680552</v>
      </c>
      <c r="CP64" s="33">
        <v>0.507514390154769</v>
      </c>
      <c r="CQ64" s="33">
        <v>0.3872923626092489</v>
      </c>
      <c r="CR64" s="33">
        <v>-0.0671463248026556</v>
      </c>
      <c r="CT64" s="36" t="str">
        <f t="array" ref="CT64:CU64">MMULT((CN64:CR64),Portfolio!muvec)</f>
        <v>#REF!</v>
      </c>
      <c r="CU64" s="36">
        <f t="array" ref="CU64">SQRT(MMULT(MMULT((CN64:CR64),Portfolio!covmat),TRANSPOSE(CN64:CR64)))</f>
        <v>0.1088904693</v>
      </c>
      <c r="CV64" s="35" t="str">
        <f t="shared" si="6"/>
        <v>#REF!</v>
      </c>
      <c r="CW64" s="36">
        <f t="shared" si="7"/>
        <v>0.3772076506</v>
      </c>
      <c r="CX64" s="36"/>
      <c r="CY64" s="31">
        <v>-0.525000000000001</v>
      </c>
      <c r="CZ64" s="32">
        <f t="shared" si="8"/>
        <v>1.525</v>
      </c>
      <c r="DA64" s="33">
        <f t="array" ref="DA64:DE64">TRANSPOSE(CY64*Portfolio!epwt2)</f>
        <v>0</v>
      </c>
      <c r="DB64" s="33">
        <v>-0.07433857008588997</v>
      </c>
      <c r="DC64" s="33">
        <v>-0.2873015400975894</v>
      </c>
      <c r="DD64" s="33">
        <v>-0.16335988982426394</v>
      </c>
      <c r="DE64" s="33">
        <v>0.0</v>
      </c>
      <c r="DG64" s="36"/>
      <c r="DH64" s="36"/>
      <c r="DI64" s="36"/>
      <c r="DJ64" s="35"/>
    </row>
    <row r="65" ht="14.25" customHeight="1">
      <c r="CL65" s="31">
        <v>-0.240000000000002</v>
      </c>
      <c r="CM65" s="32">
        <f t="shared" si="5"/>
        <v>1.24</v>
      </c>
      <c r="CN65" s="33">
        <f t="array" ref="CN65:CR65">TRANSPOSE(CL65*Portfolio!gmvwt+CM65*Portfolio!epwt2)</f>
        <v>-0.005068537772</v>
      </c>
      <c r="CO65" s="33">
        <v>0.1802028639829589</v>
      </c>
      <c r="CP65" s="33">
        <v>0.5039028775545379</v>
      </c>
      <c r="CQ65" s="33">
        <v>0.3942133324006933</v>
      </c>
      <c r="CR65" s="33">
        <v>-0.0732505361483515</v>
      </c>
      <c r="CT65" s="36" t="str">
        <f t="array" ref="CT65:CU65">MMULT((CN65:CR65),Portfolio!muvec)</f>
        <v>#REF!</v>
      </c>
      <c r="CU65" s="36">
        <f t="array" ref="CU65">SQRT(MMULT(MMULT((CN65:CR65),Portfolio!covmat),TRANSPOSE(CN65:CR65)))</f>
        <v>0.1105166809</v>
      </c>
      <c r="CV65" s="35" t="str">
        <f t="shared" si="6"/>
        <v>#REF!</v>
      </c>
      <c r="CW65" s="36">
        <f t="shared" si="7"/>
        <v>0.3828410129</v>
      </c>
      <c r="CX65" s="36"/>
      <c r="CY65" s="32">
        <v>-0.550000000000001</v>
      </c>
      <c r="CZ65" s="32">
        <f t="shared" si="8"/>
        <v>1.55</v>
      </c>
      <c r="DA65" s="33">
        <f t="array" ref="DA65:DE65">TRANSPOSE(CY65*Portfolio!epwt2)</f>
        <v>0</v>
      </c>
      <c r="DB65" s="33">
        <v>-0.07787850199474186</v>
      </c>
      <c r="DC65" s="33">
        <v>-0.3009825658165222</v>
      </c>
      <c r="DD65" s="33">
        <v>-0.17113893219684792</v>
      </c>
      <c r="DE65" s="33">
        <v>0.0</v>
      </c>
      <c r="DG65" s="36"/>
      <c r="DH65" s="36"/>
      <c r="DI65" s="36"/>
      <c r="DJ65" s="35"/>
    </row>
    <row r="66" ht="14.25" customHeight="1">
      <c r="CL66" s="32">
        <v>-0.260000000000003</v>
      </c>
      <c r="CM66" s="32">
        <f t="shared" si="5"/>
        <v>1.26</v>
      </c>
      <c r="CN66" s="33">
        <f t="array" ref="CN66:CR66">TRANSPOSE(CL66*Portfolio!gmvwt+CM66*Portfolio!epwt2)</f>
        <v>-0.005490915919</v>
      </c>
      <c r="CO66" s="33">
        <v>0.18341999628536593</v>
      </c>
      <c r="CP66" s="33">
        <v>0.5002913649543065</v>
      </c>
      <c r="CQ66" s="33">
        <v>0.4011343021921381</v>
      </c>
      <c r="CR66" s="33">
        <v>-0.07935474749404772</v>
      </c>
      <c r="CT66" s="36" t="str">
        <f t="array" ref="CT66:CU66">MMULT((CN66:CR66),Portfolio!muvec)</f>
        <v>#REF!</v>
      </c>
      <c r="CU66" s="36">
        <f t="array" ref="CU66">SQRT(MMULT(MMULT((CN66:CR66),Portfolio!covmat),TRANSPOSE(CN66:CR66)))</f>
        <v>0.1121451777</v>
      </c>
      <c r="CV66" s="35" t="str">
        <f t="shared" si="6"/>
        <v>#REF!</v>
      </c>
      <c r="CW66" s="36">
        <f t="shared" si="7"/>
        <v>0.3884822913</v>
      </c>
      <c r="CX66" s="36"/>
      <c r="CY66" s="31">
        <v>-0.575000000000001</v>
      </c>
      <c r="CZ66" s="32">
        <f t="shared" si="8"/>
        <v>1.575</v>
      </c>
      <c r="DA66" s="33">
        <f t="array" ref="DA66:DE66">TRANSPOSE(CY66*Portfolio!epwt2)</f>
        <v>0</v>
      </c>
      <c r="DB66" s="33">
        <v>-0.08141843390359374</v>
      </c>
      <c r="DC66" s="33">
        <v>-0.314663591535455</v>
      </c>
      <c r="DD66" s="33">
        <v>-0.17891797456943187</v>
      </c>
      <c r="DE66" s="33">
        <v>0.0</v>
      </c>
      <c r="DG66" s="36"/>
      <c r="DH66" s="36"/>
      <c r="DI66" s="36"/>
      <c r="DJ66" s="35"/>
    </row>
    <row r="67" ht="14.25" customHeight="1">
      <c r="CL67" s="31">
        <v>-0.280000000000003</v>
      </c>
      <c r="CM67" s="32">
        <f t="shared" si="5"/>
        <v>1.28</v>
      </c>
      <c r="CN67" s="33">
        <f t="array" ref="CN67:CR67">TRANSPOSE(CL67*Portfolio!gmvwt+CM67*Portfolio!epwt2)</f>
        <v>-0.005913294067</v>
      </c>
      <c r="CO67" s="33">
        <v>0.18663712858777284</v>
      </c>
      <c r="CP67" s="33">
        <v>0.4966798523540753</v>
      </c>
      <c r="CQ67" s="33">
        <v>0.40805527198358255</v>
      </c>
      <c r="CR67" s="33">
        <v>-0.08545895883974364</v>
      </c>
      <c r="CT67" s="36" t="str">
        <f t="array" ref="CT67:CU67">MMULT((CN67:CR67),Portfolio!muvec)</f>
        <v>#REF!</v>
      </c>
      <c r="CU67" s="36">
        <f t="array" ref="CU67">SQRT(MMULT(MMULT((CN67:CR67),Portfolio!covmat),TRANSPOSE(CN67:CR67)))</f>
        <v>0.1137758616</v>
      </c>
      <c r="CV67" s="35" t="str">
        <f t="shared" si="6"/>
        <v>#REF!</v>
      </c>
      <c r="CW67" s="36">
        <f t="shared" si="7"/>
        <v>0.3941311458</v>
      </c>
      <c r="CX67" s="36"/>
      <c r="CY67" s="32">
        <v>-0.600000000000001</v>
      </c>
      <c r="CZ67" s="32">
        <f t="shared" si="8"/>
        <v>1.6</v>
      </c>
      <c r="DA67" s="33">
        <f t="array" ref="DA67:DE67">TRANSPOSE(CY67*Portfolio!epwt2)</f>
        <v>0</v>
      </c>
      <c r="DB67" s="33">
        <v>-0.08495836581244565</v>
      </c>
      <c r="DC67" s="33">
        <v>-0.3283446172543878</v>
      </c>
      <c r="DD67" s="33">
        <v>-0.18669701694201588</v>
      </c>
      <c r="DE67" s="33">
        <v>0.0</v>
      </c>
      <c r="DG67" s="36"/>
      <c r="DH67" s="36"/>
      <c r="DI67" s="36"/>
      <c r="DJ67" s="35"/>
    </row>
    <row r="68" ht="14.25" customHeight="1">
      <c r="CL68" s="31">
        <v>-0.300000000000003</v>
      </c>
      <c r="CM68" s="32">
        <f t="shared" si="5"/>
        <v>1.3</v>
      </c>
      <c r="CN68" s="33">
        <f t="array" ref="CN68:CR68">TRANSPOSE(CL68*Portfolio!gmvwt+CM68*Portfolio!epwt2)</f>
        <v>-0.006335672214</v>
      </c>
      <c r="CO68" s="33">
        <v>0.18985426089017973</v>
      </c>
      <c r="CP68" s="33">
        <v>0.4930683397538442</v>
      </c>
      <c r="CQ68" s="33">
        <v>0.41497624177502695</v>
      </c>
      <c r="CR68" s="33">
        <v>-0.09156317018543952</v>
      </c>
      <c r="CT68" s="36" t="str">
        <f t="array" ref="CT68:CU68">MMULT((CN68:CR68),Portfolio!muvec)</f>
        <v>#REF!</v>
      </c>
      <c r="CU68" s="36">
        <f t="array" ref="CU68">SQRT(MMULT(MMULT((CN68:CR68),Portfolio!covmat),TRANSPOSE(CN68:CR68)))</f>
        <v>0.1154086398</v>
      </c>
      <c r="CV68" s="35" t="str">
        <f t="shared" si="6"/>
        <v>#REF!</v>
      </c>
      <c r="CW68" s="36">
        <f t="shared" si="7"/>
        <v>0.3997872554</v>
      </c>
      <c r="CX68" s="36"/>
      <c r="CY68" s="31">
        <v>-0.625000000000001</v>
      </c>
      <c r="CZ68" s="32">
        <f t="shared" si="8"/>
        <v>1.625</v>
      </c>
      <c r="DA68" s="33">
        <f t="array" ref="DA68:DE68">TRANSPOSE(CY68*Portfolio!epwt2)</f>
        <v>0</v>
      </c>
      <c r="DB68" s="33">
        <v>-0.08849829772129754</v>
      </c>
      <c r="DC68" s="33">
        <v>-0.3420256429733206</v>
      </c>
      <c r="DD68" s="33">
        <v>-0.19447605931459985</v>
      </c>
      <c r="DE68" s="33">
        <v>0.0</v>
      </c>
      <c r="DG68" s="36"/>
      <c r="DH68" s="36"/>
      <c r="DI68" s="36"/>
      <c r="DJ68" s="35"/>
    </row>
    <row r="69" ht="14.25" customHeight="1">
      <c r="CL69" s="31">
        <v>-0.320000000000003</v>
      </c>
      <c r="CM69" s="32">
        <f t="shared" si="5"/>
        <v>1.32</v>
      </c>
      <c r="CN69" s="33">
        <f t="array" ref="CN69:CR69">TRANSPOSE(CL69*Portfolio!gmvwt+CM69*Portfolio!epwt2)</f>
        <v>-0.006758050362</v>
      </c>
      <c r="CO69" s="33">
        <v>0.19307139319258665</v>
      </c>
      <c r="CP69" s="33">
        <v>0.489456827153613</v>
      </c>
      <c r="CQ69" s="33">
        <v>0.4218972115664715</v>
      </c>
      <c r="CR69" s="33">
        <v>-0.09766738153113544</v>
      </c>
      <c r="CT69" s="36" t="str">
        <f t="array" ref="CT69:CU69">MMULT((CN69:CR69),Portfolio!muvec)</f>
        <v>#REF!</v>
      </c>
      <c r="CU69" s="36">
        <f t="array" ref="CU69">SQRT(MMULT(MMULT((CN69:CR69),Portfolio!covmat),TRANSPOSE(CN69:CR69)))</f>
        <v>0.1170434246</v>
      </c>
      <c r="CV69" s="35" t="str">
        <f t="shared" si="6"/>
        <v>#REF!</v>
      </c>
      <c r="CW69" s="36">
        <f t="shared" si="7"/>
        <v>0.4054503164</v>
      </c>
      <c r="CX69" s="36"/>
      <c r="CY69" s="31">
        <v>-0.650000000000001</v>
      </c>
      <c r="CZ69" s="32">
        <f t="shared" si="8"/>
        <v>1.65</v>
      </c>
      <c r="DA69" s="33">
        <f t="array" ref="DA69:DE69">TRANSPOSE(CY69*Portfolio!epwt2)</f>
        <v>0</v>
      </c>
      <c r="DB69" s="33">
        <v>-0.09203822963014945</v>
      </c>
      <c r="DC69" s="33">
        <v>-0.3557066686922534</v>
      </c>
      <c r="DD69" s="33">
        <v>-0.20225510168718383</v>
      </c>
      <c r="DE69" s="33">
        <v>0.0</v>
      </c>
      <c r="DG69" s="36"/>
      <c r="DH69" s="36"/>
      <c r="DI69" s="36"/>
      <c r="DJ69" s="35"/>
    </row>
    <row r="70" ht="14.25" customHeight="1">
      <c r="CL70" s="32">
        <v>-0.340000000000003</v>
      </c>
      <c r="CM70" s="32">
        <f t="shared" si="5"/>
        <v>1.34</v>
      </c>
      <c r="CN70" s="33">
        <f t="array" ref="CN70:CR70">TRANSPOSE(CL70*Portfolio!gmvwt+CM70*Portfolio!epwt2)</f>
        <v>-0.00718042851</v>
      </c>
      <c r="CO70" s="33">
        <v>0.19628852549499354</v>
      </c>
      <c r="CP70" s="33">
        <v>0.4858453145533818</v>
      </c>
      <c r="CQ70" s="33">
        <v>0.4288181813579159</v>
      </c>
      <c r="CR70" s="33">
        <v>-0.10377159287683135</v>
      </c>
      <c r="CT70" s="36" t="str">
        <f t="array" ref="CT70:CU70">MMULT((CN70:CR70),Portfolio!muvec)</f>
        <v>#REF!</v>
      </c>
      <c r="CU70" s="36">
        <f t="array" ref="CU70">SQRT(MMULT(MMULT((CN70:CR70),Portfolio!covmat),TRANSPOSE(CN70:CR70)))</f>
        <v>0.1186801333</v>
      </c>
      <c r="CV70" s="35" t="str">
        <f t="shared" si="6"/>
        <v>#REF!</v>
      </c>
      <c r="CW70" s="36">
        <f t="shared" si="7"/>
        <v>0.4111200414</v>
      </c>
      <c r="CX70" s="36"/>
      <c r="CY70" s="32">
        <v>-0.675000000000001</v>
      </c>
      <c r="CZ70" s="32">
        <f t="shared" si="8"/>
        <v>1.675</v>
      </c>
      <c r="DA70" s="33">
        <f t="array" ref="DA70:DE70">TRANSPOSE(CY70*Portfolio!epwt2)</f>
        <v>0</v>
      </c>
      <c r="DB70" s="33">
        <v>-0.09557816153900134</v>
      </c>
      <c r="DC70" s="33">
        <v>-0.36938769441118624</v>
      </c>
      <c r="DD70" s="33">
        <v>-0.21003414405976784</v>
      </c>
      <c r="DE70" s="33">
        <v>0.0</v>
      </c>
      <c r="DG70" s="36"/>
      <c r="DH70" s="36"/>
      <c r="DI70" s="36"/>
      <c r="DJ70" s="35"/>
    </row>
    <row r="71" ht="14.25" customHeight="1">
      <c r="CL71" s="31">
        <v>-0.360000000000003</v>
      </c>
      <c r="CM71" s="32">
        <f t="shared" si="5"/>
        <v>1.36</v>
      </c>
      <c r="CN71" s="33">
        <f t="array" ref="CN71:CR71">TRANSPOSE(CL71*Portfolio!gmvwt+CM71*Portfolio!epwt2)</f>
        <v>-0.007602806657</v>
      </c>
      <c r="CO71" s="33">
        <v>0.19950565779740043</v>
      </c>
      <c r="CP71" s="33">
        <v>0.4822338019531508</v>
      </c>
      <c r="CQ71" s="33">
        <v>0.43573915114936035</v>
      </c>
      <c r="CR71" s="33">
        <v>-0.10987580422252725</v>
      </c>
      <c r="CT71" s="36" t="str">
        <f t="array" ref="CT71:CU71">MMULT((CN71:CR71),Portfolio!muvec)</f>
        <v>#REF!</v>
      </c>
      <c r="CU71" s="36">
        <f t="array" ref="CU71">SQRT(MMULT(MMULT((CN71:CR71),Portfolio!covmat),TRANSPOSE(CN71:CR71)))</f>
        <v>0.1203186872</v>
      </c>
      <c r="CV71" s="35" t="str">
        <f t="shared" si="6"/>
        <v>#REF!</v>
      </c>
      <c r="CW71" s="36">
        <f t="shared" si="7"/>
        <v>0.4167961587</v>
      </c>
      <c r="CX71" s="36"/>
      <c r="CY71" s="31">
        <v>-0.700000000000001</v>
      </c>
      <c r="CZ71" s="32">
        <f t="shared" si="8"/>
        <v>1.7</v>
      </c>
      <c r="DA71" s="33">
        <f t="array" ref="DA71:DE71">TRANSPOSE(CY71*Portfolio!epwt2)</f>
        <v>0</v>
      </c>
      <c r="DB71" s="33">
        <v>-0.09911809344785323</v>
      </c>
      <c r="DC71" s="33">
        <v>-0.38306872013011894</v>
      </c>
      <c r="DD71" s="33">
        <v>-0.21781318643235179</v>
      </c>
      <c r="DE71" s="33">
        <v>0.0</v>
      </c>
      <c r="DG71" s="36"/>
      <c r="DH71" s="36"/>
      <c r="DI71" s="36"/>
      <c r="DJ71" s="35"/>
    </row>
    <row r="72" ht="14.25" customHeight="1">
      <c r="CL72" s="31">
        <v>-0.380000000000003</v>
      </c>
      <c r="CM72" s="32">
        <f t="shared" si="5"/>
        <v>1.38</v>
      </c>
      <c r="CN72" s="33">
        <f t="array" ref="CN72:CR72">TRANSPOSE(CL72*Portfolio!gmvwt+CM72*Portfolio!epwt2)</f>
        <v>-0.008025184805</v>
      </c>
      <c r="CO72" s="33">
        <v>0.20272279009980732</v>
      </c>
      <c r="CP72" s="33">
        <v>0.4786222893529196</v>
      </c>
      <c r="CQ72" s="33">
        <v>0.4426601209408048</v>
      </c>
      <c r="CR72" s="33">
        <v>-0.11598001556822317</v>
      </c>
      <c r="CT72" s="36" t="str">
        <f t="array" ref="CT72:CU72">MMULT((CN72:CR72),Portfolio!muvec)</f>
        <v>#REF!</v>
      </c>
      <c r="CU72" s="36">
        <f t="array" ref="CU72">SQRT(MMULT(MMULT((CN72:CR72),Portfolio!covmat),TRANSPOSE(CN72:CR72)))</f>
        <v>0.121959012</v>
      </c>
      <c r="CV72" s="35" t="str">
        <f t="shared" si="6"/>
        <v>#REF!</v>
      </c>
      <c r="CW72" s="36">
        <f t="shared" si="7"/>
        <v>0.4224784105</v>
      </c>
      <c r="CX72" s="36"/>
      <c r="CY72" s="32">
        <v>-0.725000000000001</v>
      </c>
      <c r="CZ72" s="32">
        <f t="shared" si="8"/>
        <v>1.725</v>
      </c>
      <c r="DA72" s="33">
        <f t="array" ref="DA72:DE72">TRANSPOSE(CY72*Portfolio!epwt2)</f>
        <v>0</v>
      </c>
      <c r="DB72" s="33">
        <v>-0.10265802535670512</v>
      </c>
      <c r="DC72" s="33">
        <v>-0.39674974584905176</v>
      </c>
      <c r="DD72" s="33">
        <v>-0.22559222880493576</v>
      </c>
      <c r="DE72" s="33">
        <v>0.0</v>
      </c>
      <c r="DG72" s="36"/>
      <c r="DH72" s="36"/>
      <c r="DI72" s="36"/>
      <c r="DJ72" s="35"/>
    </row>
    <row r="73" ht="14.25" customHeight="1">
      <c r="CL73" s="31">
        <v>-0.400000000000003</v>
      </c>
      <c r="CM73" s="32">
        <f t="shared" si="5"/>
        <v>1.4</v>
      </c>
      <c r="CN73" s="33">
        <f t="array" ref="CN73:CR73">TRANSPOSE(CL73*Portfolio!gmvwt+CM73*Portfolio!epwt2)</f>
        <v>-0.008447562953</v>
      </c>
      <c r="CO73" s="33">
        <v>0.20593992240221423</v>
      </c>
      <c r="CP73" s="33">
        <v>0.47501077675268844</v>
      </c>
      <c r="CQ73" s="33">
        <v>0.4495810907322493</v>
      </c>
      <c r="CR73" s="33">
        <v>-0.12208422691391908</v>
      </c>
      <c r="CT73" s="36" t="str">
        <f t="array" ref="CT73:CU73">MMULT((CN73:CR73),Portfolio!muvec)</f>
        <v>#REF!</v>
      </c>
      <c r="CU73" s="36">
        <f t="array" ref="CU73">SQRT(MMULT(MMULT((CN73:CR73),Portfolio!covmat),TRANSPOSE(CN73:CR73)))</f>
        <v>0.1236010372</v>
      </c>
      <c r="CV73" s="35" t="str">
        <f t="shared" si="6"/>
        <v>#REF!</v>
      </c>
      <c r="CW73" s="36">
        <f t="shared" si="7"/>
        <v>0.4281665526</v>
      </c>
      <c r="CX73" s="36"/>
      <c r="CY73" s="31">
        <v>-0.750000000000001</v>
      </c>
      <c r="CZ73" s="32">
        <f t="shared" si="8"/>
        <v>1.75</v>
      </c>
      <c r="DA73" s="33">
        <f t="array" ref="DA73:DE73">TRANSPOSE(CY73*Portfolio!epwt2)</f>
        <v>0</v>
      </c>
      <c r="DB73" s="33">
        <v>-0.10619795726555703</v>
      </c>
      <c r="DC73" s="33">
        <v>-0.4104307715679846</v>
      </c>
      <c r="DD73" s="33">
        <v>-0.23337127117751977</v>
      </c>
      <c r="DE73" s="33">
        <v>0.0</v>
      </c>
      <c r="DG73" s="36"/>
      <c r="DH73" s="36"/>
      <c r="DI73" s="36"/>
      <c r="DJ73" s="35"/>
    </row>
    <row r="74" ht="14.25" customHeight="1">
      <c r="CL74" s="32">
        <v>-0.420000000000003</v>
      </c>
      <c r="CM74" s="32">
        <f t="shared" si="5"/>
        <v>1.42</v>
      </c>
      <c r="CN74" s="33">
        <f t="array" ref="CN74:CR74">TRANSPOSE(CL74*Portfolio!gmvwt+CM74*Portfolio!epwt2)</f>
        <v>-0.0088699411</v>
      </c>
      <c r="CO74" s="33">
        <v>0.20915705470462112</v>
      </c>
      <c r="CP74" s="33">
        <v>0.4713992641524573</v>
      </c>
      <c r="CQ74" s="33">
        <v>0.4565020605236937</v>
      </c>
      <c r="CR74" s="33">
        <v>-0.12818843825961498</v>
      </c>
      <c r="CT74" s="36" t="str">
        <f t="array" ref="CT74:CU74">MMULT((CN74:CR74),Portfolio!muvec)</f>
        <v>#REF!</v>
      </c>
      <c r="CU74" s="36">
        <f t="array" ref="CU74">SQRT(MMULT(MMULT((CN74:CR74),Portfolio!covmat),TRANSPOSE(CN74:CR74)))</f>
        <v>0.1252446959</v>
      </c>
      <c r="CV74" s="35" t="str">
        <f t="shared" si="6"/>
        <v>#REF!</v>
      </c>
      <c r="CW74" s="36">
        <f t="shared" si="7"/>
        <v>0.4338603533</v>
      </c>
      <c r="CX74" s="36"/>
      <c r="CY74" s="31">
        <v>-0.775000000000001</v>
      </c>
      <c r="CZ74" s="32">
        <f t="shared" si="8"/>
        <v>1.775</v>
      </c>
      <c r="DA74" s="33">
        <f t="array" ref="DA74:DE74">TRANSPOSE(CY74*Portfolio!epwt2)</f>
        <v>0</v>
      </c>
      <c r="DB74" s="33">
        <v>-0.10973788917440892</v>
      </c>
      <c r="DC74" s="33">
        <v>-0.4241117972869174</v>
      </c>
      <c r="DD74" s="33">
        <v>-0.24115031355010375</v>
      </c>
      <c r="DE74" s="33">
        <v>0.0</v>
      </c>
      <c r="DG74" s="36"/>
      <c r="DH74" s="36"/>
      <c r="DI74" s="36"/>
      <c r="DJ74" s="35"/>
    </row>
    <row r="75" ht="14.25" customHeight="1">
      <c r="CL75" s="31">
        <v>-0.440000000000004</v>
      </c>
      <c r="CM75" s="32">
        <f t="shared" si="5"/>
        <v>1.44</v>
      </c>
      <c r="CN75" s="33">
        <f t="array" ref="CN75:CR75">TRANSPOSE(CL75*Portfolio!gmvwt+CM75*Portfolio!epwt2)</f>
        <v>-0.009292319248</v>
      </c>
      <c r="CO75" s="33">
        <v>0.21237418700702818</v>
      </c>
      <c r="CP75" s="33">
        <v>0.46778775155222596</v>
      </c>
      <c r="CQ75" s="33">
        <v>0.4634230303151385</v>
      </c>
      <c r="CR75" s="33">
        <v>-0.1342926496053112</v>
      </c>
      <c r="CT75" s="36" t="str">
        <f t="array" ref="CT75:CU75">MMULT((CN75:CR75),Portfolio!muvec)</f>
        <v>#REF!</v>
      </c>
      <c r="CU75" s="36">
        <f t="array" ref="CU75">SQRT(MMULT(MMULT((CN75:CR75),Portfolio!covmat),TRANSPOSE(CN75:CR75)))</f>
        <v>0.1268899246</v>
      </c>
      <c r="CV75" s="35" t="str">
        <f t="shared" si="6"/>
        <v>#REF!</v>
      </c>
      <c r="CW75" s="36">
        <f t="shared" si="7"/>
        <v>0.4395595927</v>
      </c>
      <c r="CX75" s="36"/>
      <c r="CY75" s="32">
        <v>-0.800000000000001</v>
      </c>
      <c r="CZ75" s="32">
        <f t="shared" si="8"/>
        <v>1.8</v>
      </c>
      <c r="DA75" s="33">
        <f t="array" ref="DA75:DE75">TRANSPOSE(CY75*Portfolio!epwt2)</f>
        <v>0</v>
      </c>
      <c r="DB75" s="33">
        <v>-0.11327782108326083</v>
      </c>
      <c r="DC75" s="33">
        <v>-0.4377928230058502</v>
      </c>
      <c r="DD75" s="33">
        <v>-0.24892935592268772</v>
      </c>
      <c r="DE75" s="33">
        <v>0.0</v>
      </c>
      <c r="DG75" s="36"/>
      <c r="DH75" s="36"/>
      <c r="DI75" s="36"/>
      <c r="DJ75" s="35"/>
    </row>
    <row r="76" ht="14.25" customHeight="1">
      <c r="CL76" s="31">
        <v>-0.460000000000004</v>
      </c>
      <c r="CM76" s="32">
        <f t="shared" si="5"/>
        <v>1.46</v>
      </c>
      <c r="CN76" s="33">
        <f t="array" ref="CN76:CR76">TRANSPOSE(CL76*Portfolio!gmvwt+CM76*Portfolio!epwt2)</f>
        <v>-0.009714697395</v>
      </c>
      <c r="CO76" s="33">
        <v>0.2155913193094351</v>
      </c>
      <c r="CP76" s="33">
        <v>0.4641762389519948</v>
      </c>
      <c r="CQ76" s="33">
        <v>0.4703440001065829</v>
      </c>
      <c r="CR76" s="33">
        <v>-0.14039686095100712</v>
      </c>
      <c r="CT76" s="36" t="str">
        <f t="array" ref="CT76:CU76">MMULT((CN76:CR76),Portfolio!muvec)</f>
        <v>#REF!</v>
      </c>
      <c r="CU76" s="36">
        <f t="array" ref="CU76">SQRT(MMULT(MMULT((CN76:CR76),Portfolio!covmat),TRANSPOSE(CN76:CR76)))</f>
        <v>0.128536663</v>
      </c>
      <c r="CV76" s="35" t="str">
        <f t="shared" si="6"/>
        <v>#REF!</v>
      </c>
      <c r="CW76" s="36">
        <f t="shared" si="7"/>
        <v>0.4452640621</v>
      </c>
      <c r="CX76" s="36"/>
      <c r="CY76" s="31">
        <v>-0.825000000000001</v>
      </c>
      <c r="CZ76" s="32">
        <f t="shared" si="8"/>
        <v>1.825</v>
      </c>
      <c r="DA76" s="33">
        <f t="array" ref="DA76:DE76">TRANSPOSE(CY76*Portfolio!epwt2)</f>
        <v>0</v>
      </c>
      <c r="DB76" s="33">
        <v>-0.11681775299211271</v>
      </c>
      <c r="DC76" s="33">
        <v>-0.45147384872478297</v>
      </c>
      <c r="DD76" s="33">
        <v>-0.2567083982952717</v>
      </c>
      <c r="DE76" s="33">
        <v>0.0</v>
      </c>
      <c r="DG76" s="36"/>
      <c r="DH76" s="36"/>
      <c r="DI76" s="36"/>
      <c r="DJ76" s="35"/>
    </row>
    <row r="77" ht="14.25" customHeight="1">
      <c r="CL77" s="31">
        <v>-0.480000000000004</v>
      </c>
      <c r="CM77" s="32">
        <f t="shared" si="5"/>
        <v>1.48</v>
      </c>
      <c r="CN77" s="33">
        <f t="array" ref="CN77:CR77">TRANSPOSE(CL77*Portfolio!gmvwt+CM77*Portfolio!epwt2)</f>
        <v>-0.01013707554</v>
      </c>
      <c r="CO77" s="33">
        <v>0.21880845161184198</v>
      </c>
      <c r="CP77" s="33">
        <v>0.46056472635176365</v>
      </c>
      <c r="CQ77" s="33">
        <v>0.4772649698980274</v>
      </c>
      <c r="CR77" s="33">
        <v>-0.146501072296703</v>
      </c>
      <c r="CT77" s="36" t="str">
        <f t="array" ref="CT77:CU77">MMULT((CN77:CR77),Portfolio!muvec)</f>
        <v>#REF!</v>
      </c>
      <c r="CU77" s="36">
        <f t="array" ref="CU77">SQRT(MMULT(MMULT((CN77:CR77),Portfolio!covmat),TRANSPOSE(CN77:CR77)))</f>
        <v>0.1301848539</v>
      </c>
      <c r="CV77" s="35" t="str">
        <f t="shared" si="6"/>
        <v>#REF!</v>
      </c>
      <c r="CW77" s="36">
        <f t="shared" si="7"/>
        <v>0.4509735628</v>
      </c>
      <c r="CX77" s="36"/>
      <c r="CY77" s="32">
        <v>-0.850000000000001</v>
      </c>
      <c r="CZ77" s="32">
        <f t="shared" si="8"/>
        <v>1.85</v>
      </c>
      <c r="DA77" s="33">
        <f t="array" ref="DA77:DE77">TRANSPOSE(CY77*Portfolio!epwt2)</f>
        <v>0</v>
      </c>
      <c r="DB77" s="33">
        <v>-0.1203576849009646</v>
      </c>
      <c r="DC77" s="33">
        <v>-0.4651548744437158</v>
      </c>
      <c r="DD77" s="33">
        <v>-0.2644874406678557</v>
      </c>
      <c r="DE77" s="33">
        <v>0.0</v>
      </c>
      <c r="DG77" s="36"/>
      <c r="DH77" s="36"/>
      <c r="DI77" s="36"/>
      <c r="DJ77" s="35"/>
    </row>
    <row r="78" ht="14.25" customHeight="1">
      <c r="CL78" s="32">
        <v>-0.500000000000004</v>
      </c>
      <c r="CM78" s="32">
        <f t="shared" si="5"/>
        <v>1.5</v>
      </c>
      <c r="CN78" s="33">
        <f t="array" ref="CN78:CR78">TRANSPOSE(CL78*Portfolio!gmvwt+CM78*Portfolio!epwt2)</f>
        <v>-0.01055945369</v>
      </c>
      <c r="CO78" s="33">
        <v>0.22202558391424887</v>
      </c>
      <c r="CP78" s="33">
        <v>0.45695321375153247</v>
      </c>
      <c r="CQ78" s="33">
        <v>0.4841859396894718</v>
      </c>
      <c r="CR78" s="33">
        <v>-0.15260528364239892</v>
      </c>
      <c r="CT78" s="36" t="str">
        <f t="array" ref="CT78:CU78">MMULT((CN78:CR78),Portfolio!muvec)</f>
        <v>#REF!</v>
      </c>
      <c r="CU78" s="36">
        <f t="array" ref="CU78">SQRT(MMULT(MMULT((CN78:CR78),Portfolio!covmat),TRANSPOSE(CN78:CR78)))</f>
        <v>0.1318344428</v>
      </c>
      <c r="CV78" s="35" t="str">
        <f t="shared" si="6"/>
        <v>#REF!</v>
      </c>
      <c r="CW78" s="36">
        <f t="shared" si="7"/>
        <v>0.4566879063</v>
      </c>
      <c r="CX78" s="36"/>
      <c r="CY78" s="31">
        <v>-0.875000000000001</v>
      </c>
      <c r="CZ78" s="32">
        <f t="shared" si="8"/>
        <v>1.875</v>
      </c>
      <c r="DA78" s="33">
        <f t="array" ref="DA78:DE78">TRANSPOSE(CY78*Portfolio!epwt2)</f>
        <v>0</v>
      </c>
      <c r="DB78" s="33">
        <v>-0.12389761680981651</v>
      </c>
      <c r="DC78" s="33">
        <v>-0.4788359001626486</v>
      </c>
      <c r="DD78" s="33">
        <v>-0.27226648304043966</v>
      </c>
      <c r="DE78" s="33">
        <v>0.0</v>
      </c>
      <c r="DG78" s="36"/>
      <c r="DH78" s="36"/>
      <c r="DI78" s="36"/>
      <c r="DJ78" s="35"/>
    </row>
    <row r="79" ht="14.25" customHeight="1">
      <c r="CL79" s="31">
        <v>-0.520000000000004</v>
      </c>
      <c r="CM79" s="32">
        <f t="shared" si="5"/>
        <v>1.52</v>
      </c>
      <c r="CN79" s="33">
        <f t="array" ref="CN79:CR79">TRANSPOSE(CL79*Portfolio!gmvwt+CM79*Portfolio!epwt2)</f>
        <v>-0.01098183184</v>
      </c>
      <c r="CO79" s="33">
        <v>0.2252427162166558</v>
      </c>
      <c r="CP79" s="33">
        <v>0.4533417011513013</v>
      </c>
      <c r="CQ79" s="33">
        <v>0.4911069094809163</v>
      </c>
      <c r="CR79" s="33">
        <v>-0.15870949498809483</v>
      </c>
      <c r="CT79" s="36" t="str">
        <f t="array" ref="CT79:CU79">MMULT((CN79:CR79),Portfolio!muvec)</f>
        <v>#REF!</v>
      </c>
      <c r="CU79" s="36">
        <f t="array" ref="CU79">SQRT(MMULT(MMULT((CN79:CR79),Portfolio!covmat),TRANSPOSE(CN79:CR79)))</f>
        <v>0.1334853778</v>
      </c>
      <c r="CV79" s="35" t="str">
        <f t="shared" si="6"/>
        <v>#REF!</v>
      </c>
      <c r="CW79" s="36">
        <f t="shared" si="7"/>
        <v>0.4624069129</v>
      </c>
      <c r="CX79" s="36"/>
      <c r="CY79" s="31">
        <v>-0.900000000000001</v>
      </c>
      <c r="CZ79" s="32">
        <f t="shared" si="8"/>
        <v>1.9</v>
      </c>
      <c r="DA79" s="33">
        <f t="array" ref="DA79:DE79">TRANSPOSE(CY79*Portfolio!epwt2)</f>
        <v>0</v>
      </c>
      <c r="DB79" s="33">
        <v>-0.12743754871866841</v>
      </c>
      <c r="DC79" s="33">
        <v>-0.4925169258815814</v>
      </c>
      <c r="DD79" s="33">
        <v>-0.28004552541302363</v>
      </c>
      <c r="DE79" s="33">
        <v>0.0</v>
      </c>
      <c r="DG79" s="36"/>
      <c r="DH79" s="36"/>
      <c r="DI79" s="36"/>
      <c r="DJ79" s="35"/>
    </row>
    <row r="80" ht="14.25" customHeight="1">
      <c r="CL80" s="31">
        <v>-0.540000000000004</v>
      </c>
      <c r="CM80" s="32">
        <f t="shared" si="5"/>
        <v>1.54</v>
      </c>
      <c r="CN80" s="33">
        <f t="array" ref="CN80:CR80">TRANSPOSE(CL80*Portfolio!gmvwt+CM80*Portfolio!epwt2)</f>
        <v>-0.01140420999</v>
      </c>
      <c r="CO80" s="33">
        <v>0.22845984851906267</v>
      </c>
      <c r="CP80" s="33">
        <v>0.4497301885510702</v>
      </c>
      <c r="CQ80" s="33">
        <v>0.49802787927236075</v>
      </c>
      <c r="CR80" s="33">
        <v>-0.16481370633379075</v>
      </c>
      <c r="CT80" s="36" t="str">
        <f t="array" ref="CT80:CU80">MMULT((CN80:CR80),Portfolio!muvec)</f>
        <v>#REF!</v>
      </c>
      <c r="CU80" s="36">
        <f t="array" ref="CU80">SQRT(MMULT(MMULT((CN80:CR80),Portfolio!covmat),TRANSPOSE(CN80:CR80)))</f>
        <v>0.1351376096</v>
      </c>
      <c r="CV80" s="35" t="str">
        <f t="shared" si="6"/>
        <v>#REF!</v>
      </c>
      <c r="CW80" s="36">
        <f t="shared" si="7"/>
        <v>0.4681304118</v>
      </c>
      <c r="CX80" s="36"/>
      <c r="CY80" s="32">
        <v>-0.925000000000001</v>
      </c>
      <c r="CZ80" s="32">
        <f t="shared" si="8"/>
        <v>1.925</v>
      </c>
      <c r="DA80" s="33">
        <f t="array" ref="DA80:DE80">TRANSPOSE(CY80*Portfolio!epwt2)</f>
        <v>0</v>
      </c>
      <c r="DB80" s="33">
        <v>-0.1309774806275203</v>
      </c>
      <c r="DC80" s="33">
        <v>-0.5061979516005143</v>
      </c>
      <c r="DD80" s="33">
        <v>-0.28782456778560767</v>
      </c>
      <c r="DE80" s="33">
        <v>0.0</v>
      </c>
      <c r="DG80" s="36"/>
      <c r="DH80" s="36"/>
      <c r="DI80" s="36"/>
      <c r="DJ80" s="35"/>
    </row>
    <row r="81" ht="14.25" customHeight="1">
      <c r="CL81" s="31">
        <v>-0.560000000000004</v>
      </c>
      <c r="CM81" s="32">
        <f t="shared" si="5"/>
        <v>1.56</v>
      </c>
      <c r="CN81" s="33">
        <f t="array" ref="CN81:CR81">TRANSPOSE(CL81*Portfolio!gmvwt+CM81*Portfolio!epwt2)</f>
        <v>-0.01182658813</v>
      </c>
      <c r="CO81" s="33">
        <v>0.23167698082146956</v>
      </c>
      <c r="CP81" s="33">
        <v>0.44611867595083904</v>
      </c>
      <c r="CQ81" s="33">
        <v>0.5049488490638052</v>
      </c>
      <c r="CR81" s="33">
        <v>-0.17091791767948666</v>
      </c>
      <c r="CT81" s="36" t="str">
        <f t="array" ref="CT81:CU81">MMULT((CN81:CR81),Portfolio!muvec)</f>
        <v>#REF!</v>
      </c>
      <c r="CU81" s="36">
        <f t="array" ref="CU81">SQRT(MMULT(MMULT((CN81:CR81),Portfolio!covmat),TRANSPOSE(CN81:CR81)))</f>
        <v>0.1367910913</v>
      </c>
      <c r="CV81" s="35" t="str">
        <f t="shared" si="6"/>
        <v>#REF!</v>
      </c>
      <c r="CW81" s="36">
        <f t="shared" si="7"/>
        <v>0.4738582402</v>
      </c>
      <c r="CX81" s="36"/>
      <c r="CY81" s="31">
        <v>-0.950000000000001</v>
      </c>
      <c r="CZ81" s="32">
        <f t="shared" si="8"/>
        <v>1.95</v>
      </c>
      <c r="DA81" s="33">
        <f t="array" ref="DA81:DE81">TRANSPOSE(CY81*Portfolio!epwt2)</f>
        <v>0</v>
      </c>
      <c r="DB81" s="33">
        <v>-0.1345174125363722</v>
      </c>
      <c r="DC81" s="33">
        <v>-0.519878977319447</v>
      </c>
      <c r="DD81" s="33">
        <v>-0.2956036101581916</v>
      </c>
      <c r="DE81" s="33">
        <v>0.0</v>
      </c>
      <c r="DG81" s="36"/>
      <c r="DH81" s="36"/>
      <c r="DI81" s="36"/>
      <c r="DJ81" s="35"/>
    </row>
    <row r="82" ht="14.25" customHeight="1">
      <c r="CL82" s="32">
        <v>-0.580000000000004</v>
      </c>
      <c r="CM82" s="32">
        <f t="shared" si="5"/>
        <v>1.58</v>
      </c>
      <c r="CN82" s="33">
        <f t="array" ref="CN82:CR82">TRANSPOSE(CL82*Portfolio!gmvwt+CM82*Portfolio!epwt2)</f>
        <v>-0.01224896628</v>
      </c>
      <c r="CO82" s="33">
        <v>0.23489411312387648</v>
      </c>
      <c r="CP82" s="33">
        <v>0.4425071633506079</v>
      </c>
      <c r="CQ82" s="33">
        <v>0.5118698188552496</v>
      </c>
      <c r="CR82" s="33">
        <v>-0.17702212902518255</v>
      </c>
      <c r="CT82" s="36" t="str">
        <f t="array" ref="CT82:CU82">MMULT((CN82:CR82),Portfolio!muvec)</f>
        <v>#REF!</v>
      </c>
      <c r="CU82" s="36">
        <f t="array" ref="CU82">SQRT(MMULT(MMULT((CN82:CR82),Portfolio!covmat),TRANSPOSE(CN82:CR82)))</f>
        <v>0.1384457779</v>
      </c>
      <c r="CV82" s="35" t="str">
        <f t="shared" si="6"/>
        <v>#REF!</v>
      </c>
      <c r="CW82" s="36">
        <f t="shared" si="7"/>
        <v>0.479590243</v>
      </c>
      <c r="CX82" s="36"/>
      <c r="CY82" s="32">
        <v>-0.975000000000001</v>
      </c>
      <c r="CZ82" s="32">
        <f t="shared" si="8"/>
        <v>1.975</v>
      </c>
      <c r="DA82" s="33">
        <f t="array" ref="DA82:DE82">TRANSPOSE(CY82*Portfolio!epwt2)</f>
        <v>0</v>
      </c>
      <c r="DB82" s="33">
        <v>-0.13805734444522408</v>
      </c>
      <c r="DC82" s="33">
        <v>-0.5335600030383798</v>
      </c>
      <c r="DD82" s="33">
        <v>-0.30338265253077557</v>
      </c>
      <c r="DE82" s="33">
        <v>0.0</v>
      </c>
      <c r="DG82" s="36"/>
      <c r="DH82" s="36"/>
      <c r="DI82" s="36"/>
      <c r="DJ82" s="35"/>
    </row>
    <row r="83" ht="14.25" customHeight="1">
      <c r="CL83" s="31">
        <v>-0.600000000000004</v>
      </c>
      <c r="CM83" s="32">
        <f t="shared" si="5"/>
        <v>1.6</v>
      </c>
      <c r="CN83" s="33">
        <f t="array" ref="CN83:CR83">TRANSPOSE(CL83*Portfolio!gmvwt+CM83*Portfolio!epwt2)</f>
        <v>-0.01267134443</v>
      </c>
      <c r="CO83" s="33">
        <v>0.23811124542628337</v>
      </c>
      <c r="CP83" s="33">
        <v>0.43889565075037673</v>
      </c>
      <c r="CQ83" s="33">
        <v>0.5187907886466941</v>
      </c>
      <c r="CR83" s="33">
        <v>-0.18312634037087847</v>
      </c>
      <c r="CT83" s="36" t="str">
        <f t="array" ref="CT83:CU83">MMULT((CN83:CR83),Portfolio!muvec)</f>
        <v>#REF!</v>
      </c>
      <c r="CU83" s="36">
        <f t="array" ref="CU83">SQRT(MMULT(MMULT((CN83:CR83),Portfolio!covmat),TRANSPOSE(CN83:CR83)))</f>
        <v>0.140101627</v>
      </c>
      <c r="CV83" s="35" t="str">
        <f t="shared" si="6"/>
        <v>#REF!</v>
      </c>
      <c r="CW83" s="36">
        <f t="shared" si="7"/>
        <v>0.4853262722</v>
      </c>
      <c r="CX83" s="36"/>
      <c r="CY83" s="31">
        <v>-1.0</v>
      </c>
      <c r="CZ83" s="32">
        <f t="shared" si="8"/>
        <v>2</v>
      </c>
      <c r="DA83" s="33">
        <f t="array" ref="DA83:DE83">TRANSPOSE(CY83*Portfolio!epwt2)</f>
        <v>0</v>
      </c>
      <c r="DB83" s="33">
        <v>-0.14159727635407585</v>
      </c>
      <c r="DC83" s="33">
        <v>-0.5472410287573121</v>
      </c>
      <c r="DD83" s="33">
        <v>-0.31116169490335926</v>
      </c>
      <c r="DE83" s="33">
        <v>0.0</v>
      </c>
      <c r="DG83" s="36"/>
      <c r="DH83" s="36"/>
      <c r="DI83" s="36"/>
      <c r="DJ83" s="35"/>
    </row>
    <row r="84" ht="14.25" customHeight="1">
      <c r="CL84" s="31">
        <v>-0.620000000000004</v>
      </c>
      <c r="CM84" s="32">
        <f t="shared" si="5"/>
        <v>1.62</v>
      </c>
      <c r="CN84" s="33">
        <f t="array" ref="CN84:CR84">TRANSPOSE(CL84*Portfolio!gmvwt+CM84*Portfolio!epwt2)</f>
        <v>-0.01309372258</v>
      </c>
      <c r="CO84" s="33">
        <v>0.24132837772869026</v>
      </c>
      <c r="CP84" s="33">
        <v>0.43528413815014555</v>
      </c>
      <c r="CQ84" s="33">
        <v>0.5257117584381386</v>
      </c>
      <c r="CR84" s="33">
        <v>-0.18923055171657435</v>
      </c>
      <c r="CT84" s="36" t="str">
        <f t="array" ref="CT84:CU84">MMULT((CN84:CR84),Portfolio!muvec)</f>
        <v>#REF!</v>
      </c>
      <c r="CU84" s="36">
        <f t="array" ref="CU84">SQRT(MMULT(MMULT((CN84:CR84),Portfolio!covmat),TRANSPOSE(CN84:CR84)))</f>
        <v>0.1417585976</v>
      </c>
      <c r="CV84" s="35" t="str">
        <f t="shared" si="6"/>
        <v>#REF!</v>
      </c>
      <c r="CW84" s="36">
        <f t="shared" si="7"/>
        <v>0.4910661868</v>
      </c>
      <c r="CX84" s="36"/>
      <c r="CY84" s="31">
        <v>-1.025</v>
      </c>
      <c r="CZ84" s="32">
        <f t="shared" si="8"/>
        <v>2.025</v>
      </c>
      <c r="DA84" s="33">
        <f t="array" ref="DA84:DE84">TRANSPOSE(CY84*Portfolio!epwt2)</f>
        <v>0</v>
      </c>
      <c r="DB84" s="33">
        <v>-0.14513720826292772</v>
      </c>
      <c r="DC84" s="33">
        <v>-0.5609220544762448</v>
      </c>
      <c r="DD84" s="33">
        <v>-0.31894073727594324</v>
      </c>
      <c r="DE84" s="33">
        <v>0.0</v>
      </c>
      <c r="DG84" s="36"/>
      <c r="DH84" s="36"/>
      <c r="DI84" s="36"/>
      <c r="DJ84" s="35"/>
    </row>
    <row r="85" ht="14.25" customHeight="1">
      <c r="CL85" s="31">
        <v>-0.640000000000005</v>
      </c>
      <c r="CM85" s="32">
        <f t="shared" si="5"/>
        <v>1.64</v>
      </c>
      <c r="CN85" s="33">
        <f t="array" ref="CN85:CR85">TRANSPOSE(CL85*Portfolio!gmvwt+CM85*Portfolio!epwt2)</f>
        <v>-0.01351610072</v>
      </c>
      <c r="CO85" s="33">
        <v>0.24454551003109729</v>
      </c>
      <c r="CP85" s="33">
        <v>0.4316726255499142</v>
      </c>
      <c r="CQ85" s="33">
        <v>0.5326327282295833</v>
      </c>
      <c r="CR85" s="33">
        <v>-0.19533476306227057</v>
      </c>
      <c r="CT85" s="36" t="str">
        <f t="array" ref="CT85:CU85">MMULT((CN85:CR85),Portfolio!muvec)</f>
        <v>#REF!</v>
      </c>
      <c r="CU85" s="36">
        <f t="array" ref="CU85">SQRT(MMULT(MMULT((CN85:CR85),Portfolio!covmat),TRANSPOSE(CN85:CR85)))</f>
        <v>0.1434166509</v>
      </c>
      <c r="CV85" s="35" t="str">
        <f t="shared" si="6"/>
        <v>#REF!</v>
      </c>
      <c r="CW85" s="36">
        <f t="shared" si="7"/>
        <v>0.4968098521</v>
      </c>
      <c r="CX85" s="36"/>
      <c r="CY85" s="32">
        <v>-1.05</v>
      </c>
      <c r="CZ85" s="32">
        <f t="shared" si="8"/>
        <v>2.05</v>
      </c>
      <c r="DA85" s="33">
        <f t="array" ref="DA85:DE85">TRANSPOSE(CY85*Portfolio!epwt2)</f>
        <v>0</v>
      </c>
      <c r="DB85" s="33">
        <v>-0.14867714017177963</v>
      </c>
      <c r="DC85" s="33">
        <v>-0.5746030801951777</v>
      </c>
      <c r="DD85" s="33">
        <v>-0.3267197796485272</v>
      </c>
      <c r="DE85" s="33">
        <v>0.0</v>
      </c>
      <c r="DG85" s="36"/>
      <c r="DH85" s="36"/>
      <c r="DI85" s="36"/>
      <c r="DJ85" s="35"/>
    </row>
    <row r="86" ht="14.25" customHeight="1">
      <c r="CL86" s="32">
        <v>-0.660000000000005</v>
      </c>
      <c r="CM86" s="32">
        <f t="shared" si="5"/>
        <v>1.66</v>
      </c>
      <c r="CN86" s="33">
        <f t="array" ref="CN86:CR86">TRANSPOSE(CL86*Portfolio!gmvwt+CM86*Portfolio!epwt2)</f>
        <v>-0.01393847887</v>
      </c>
      <c r="CO86" s="33">
        <v>0.2477626423335042</v>
      </c>
      <c r="CP86" s="33">
        <v>0.428061112949683</v>
      </c>
      <c r="CQ86" s="33">
        <v>0.5395536980210277</v>
      </c>
      <c r="CR86" s="33">
        <v>-0.2014389744079665</v>
      </c>
      <c r="CT86" s="36" t="str">
        <f t="array" ref="CT86:CU86">MMULT((CN86:CR86),Portfolio!muvec)</f>
        <v>#REF!</v>
      </c>
      <c r="CU86" s="36">
        <f t="array" ref="CU86">SQRT(MMULT(MMULT((CN86:CR86),Portfolio!covmat),TRANSPOSE(CN86:CR86)))</f>
        <v>0.1450757499</v>
      </c>
      <c r="CV86" s="35" t="str">
        <f t="shared" si="6"/>
        <v>#REF!</v>
      </c>
      <c r="CW86" s="36">
        <f t="shared" si="7"/>
        <v>0.5025571395</v>
      </c>
      <c r="CX86" s="36"/>
      <c r="CY86" s="31">
        <v>-1.075</v>
      </c>
      <c r="CZ86" s="32">
        <f t="shared" si="8"/>
        <v>2.075</v>
      </c>
      <c r="DA86" s="33">
        <f t="array" ref="DA86:DE86">TRANSPOSE(CY86*Portfolio!epwt2)</f>
        <v>0</v>
      </c>
      <c r="DB86" s="33">
        <v>-0.15221707208063154</v>
      </c>
      <c r="DC86" s="33">
        <v>-0.5882841059141104</v>
      </c>
      <c r="DD86" s="33">
        <v>-0.3344988220211112</v>
      </c>
      <c r="DE86" s="33">
        <v>0.0</v>
      </c>
      <c r="DG86" s="36"/>
      <c r="DH86" s="36"/>
      <c r="DI86" s="36"/>
      <c r="DJ86" s="35"/>
    </row>
    <row r="87" ht="14.25" customHeight="1">
      <c r="CL87" s="31">
        <v>-0.680000000000005</v>
      </c>
      <c r="CM87" s="32">
        <f t="shared" si="5"/>
        <v>1.68</v>
      </c>
      <c r="CN87" s="33">
        <f t="array" ref="CN87:CR87">TRANSPOSE(CL87*Portfolio!gmvwt+CM87*Portfolio!epwt2)</f>
        <v>-0.01436085702</v>
      </c>
      <c r="CO87" s="33">
        <v>0.2509797746359111</v>
      </c>
      <c r="CP87" s="33">
        <v>0.42444960034945184</v>
      </c>
      <c r="CQ87" s="33">
        <v>0.5464746678124722</v>
      </c>
      <c r="CR87" s="33">
        <v>-0.2075431857536624</v>
      </c>
      <c r="CT87" s="36" t="str">
        <f t="array" ref="CT87:CU87">MMULT((CN87:CR87),Portfolio!muvec)</f>
        <v>#REF!</v>
      </c>
      <c r="CU87" s="36">
        <f t="array" ref="CU87">SQRT(MMULT(MMULT((CN87:CR87),Portfolio!covmat),TRANSPOSE(CN87:CR87)))</f>
        <v>0.146735859</v>
      </c>
      <c r="CV87" s="35" t="str">
        <f t="shared" si="6"/>
        <v>#REF!</v>
      </c>
      <c r="CW87" s="36">
        <f t="shared" si="7"/>
        <v>0.5083079261</v>
      </c>
      <c r="CX87" s="36"/>
      <c r="CY87" s="32">
        <v>-1.1</v>
      </c>
      <c r="CZ87" s="32">
        <f t="shared" si="8"/>
        <v>2.1</v>
      </c>
      <c r="DA87" s="33">
        <f t="array" ref="DA87:DE87">TRANSPOSE(CY87*Portfolio!epwt2)</f>
        <v>0</v>
      </c>
      <c r="DB87" s="33">
        <v>-0.15575700398948344</v>
      </c>
      <c r="DC87" s="33">
        <v>-0.6019651316330433</v>
      </c>
      <c r="DD87" s="33">
        <v>-0.34227786439369523</v>
      </c>
      <c r="DE87" s="33">
        <v>0.0</v>
      </c>
      <c r="DG87" s="36"/>
      <c r="DH87" s="36"/>
      <c r="DI87" s="36"/>
      <c r="DJ87" s="35"/>
    </row>
    <row r="88" ht="14.25" customHeight="1">
      <c r="CL88" s="31">
        <v>-0.700000000000005</v>
      </c>
      <c r="CM88" s="32">
        <f t="shared" si="5"/>
        <v>1.7</v>
      </c>
      <c r="CN88" s="33">
        <f t="array" ref="CN88:CR88">TRANSPOSE(CL88*Portfolio!gmvwt+CM88*Portfolio!epwt2)</f>
        <v>-0.01478323517</v>
      </c>
      <c r="CO88" s="33">
        <v>0.254196906938318</v>
      </c>
      <c r="CP88" s="33">
        <v>0.4208380877492207</v>
      </c>
      <c r="CQ88" s="33">
        <v>0.5533956376039167</v>
      </c>
      <c r="CR88" s="33">
        <v>-0.2136473970993583</v>
      </c>
      <c r="CT88" s="36" t="str">
        <f t="array" ref="CT88:CU88">MMULT((CN88:CR88),Portfolio!muvec)</f>
        <v>#REF!</v>
      </c>
      <c r="CU88" s="36">
        <f t="array" ref="CU88">SQRT(MMULT(MMULT((CN88:CR88),Portfolio!covmat),TRANSPOSE(CN88:CR88)))</f>
        <v>0.1483969443</v>
      </c>
      <c r="CV88" s="35" t="str">
        <f t="shared" si="6"/>
        <v>#REF!</v>
      </c>
      <c r="CW88" s="36">
        <f t="shared" si="7"/>
        <v>0.5140620945</v>
      </c>
      <c r="CX88" s="36"/>
      <c r="CY88" s="31">
        <v>-1.125</v>
      </c>
      <c r="CZ88" s="32">
        <f t="shared" si="8"/>
        <v>2.125</v>
      </c>
      <c r="DA88" s="33">
        <f t="array" ref="DA88:DE88">TRANSPOSE(CY88*Portfolio!epwt2)</f>
        <v>0</v>
      </c>
      <c r="DB88" s="33">
        <v>-0.15929693589833532</v>
      </c>
      <c r="DC88" s="33">
        <v>-0.615646157351976</v>
      </c>
      <c r="DD88" s="33">
        <v>-0.35005690676627915</v>
      </c>
      <c r="DE88" s="33">
        <v>0.0</v>
      </c>
      <c r="DG88" s="36"/>
      <c r="DH88" s="36"/>
      <c r="DI88" s="36"/>
      <c r="DJ88" s="35"/>
    </row>
    <row r="89" ht="14.25" customHeight="1">
      <c r="CL89" s="31">
        <v>-0.720000000000005</v>
      </c>
      <c r="CM89" s="32">
        <f t="shared" si="5"/>
        <v>1.72</v>
      </c>
      <c r="CN89" s="33">
        <f t="array" ref="CN89:CR89">TRANSPOSE(CL89*Portfolio!gmvwt+CM89*Portfolio!epwt2)</f>
        <v>-0.01520561331</v>
      </c>
      <c r="CO89" s="33">
        <v>0.25741403924072487</v>
      </c>
      <c r="CP89" s="33">
        <v>0.41722657514898964</v>
      </c>
      <c r="CQ89" s="33">
        <v>0.560316607395361</v>
      </c>
      <c r="CR89" s="33">
        <v>-0.2197516084450542</v>
      </c>
      <c r="CT89" s="36" t="str">
        <f t="array" ref="CT89:CU89">MMULT((CN89:CR89),Portfolio!muvec)</f>
        <v>#REF!</v>
      </c>
      <c r="CU89" s="36">
        <f t="array" ref="CU89">SQRT(MMULT(MMULT((CN89:CR89),Portfolio!covmat),TRANSPOSE(CN89:CR89)))</f>
        <v>0.1500589735</v>
      </c>
      <c r="CV89" s="35" t="str">
        <f t="shared" si="6"/>
        <v>#REF!</v>
      </c>
      <c r="CW89" s="36">
        <f t="shared" si="7"/>
        <v>0.5198195325</v>
      </c>
      <c r="CX89" s="36"/>
      <c r="CY89" s="31">
        <v>-1.15</v>
      </c>
      <c r="CZ89" s="32">
        <f t="shared" si="8"/>
        <v>2.15</v>
      </c>
      <c r="DA89" s="33">
        <f t="array" ref="DA89:DE89">TRANSPOSE(CY89*Portfolio!epwt2)</f>
        <v>0</v>
      </c>
      <c r="DB89" s="33">
        <v>-0.1628368678071872</v>
      </c>
      <c r="DC89" s="33">
        <v>-0.6293271830709088</v>
      </c>
      <c r="DD89" s="33">
        <v>-0.35783594913886313</v>
      </c>
      <c r="DE89" s="33">
        <v>0.0</v>
      </c>
      <c r="DG89" s="36"/>
      <c r="DH89" s="36"/>
      <c r="DI89" s="36"/>
      <c r="DJ89" s="35"/>
    </row>
    <row r="90" ht="14.25" customHeight="1">
      <c r="CL90" s="32">
        <v>-0.740000000000005</v>
      </c>
      <c r="CM90" s="32">
        <f t="shared" si="5"/>
        <v>1.74</v>
      </c>
      <c r="CN90" s="33">
        <f t="array" ref="CN90:CR90">TRANSPOSE(CL90*Portfolio!gmvwt+CM90*Portfolio!epwt2)</f>
        <v>-0.01562799146</v>
      </c>
      <c r="CO90" s="33">
        <v>0.26063117154313176</v>
      </c>
      <c r="CP90" s="33">
        <v>0.41361506254875846</v>
      </c>
      <c r="CQ90" s="33">
        <v>0.5672375771868056</v>
      </c>
      <c r="CR90" s="33">
        <v>-0.22585581979075012</v>
      </c>
      <c r="CT90" s="36" t="str">
        <f t="array" ref="CT90:CU90">MMULT((CN90:CR90),Portfolio!muvec)</f>
        <v>#REF!</v>
      </c>
      <c r="CU90" s="36">
        <f t="array" ref="CU90">SQRT(MMULT(MMULT((CN90:CR90),Portfolio!covmat),TRANSPOSE(CN90:CR90)))</f>
        <v>0.1517219155</v>
      </c>
      <c r="CV90" s="35" t="str">
        <f t="shared" si="6"/>
        <v>#REF!</v>
      </c>
      <c r="CW90" s="36">
        <f t="shared" si="7"/>
        <v>0.5255801324</v>
      </c>
      <c r="CX90" s="36"/>
      <c r="CY90" s="32">
        <v>-1.175</v>
      </c>
      <c r="CZ90" s="32">
        <f t="shared" si="8"/>
        <v>2.175</v>
      </c>
      <c r="DA90" s="33">
        <f t="array" ref="DA90:DE90">TRANSPOSE(CY90*Portfolio!epwt2)</f>
        <v>0</v>
      </c>
      <c r="DB90" s="33">
        <v>-0.16637679971603914</v>
      </c>
      <c r="DC90" s="33">
        <v>-0.6430082087898417</v>
      </c>
      <c r="DD90" s="33">
        <v>-0.36561499151144716</v>
      </c>
      <c r="DE90" s="33">
        <v>0.0</v>
      </c>
      <c r="DG90" s="36"/>
      <c r="DH90" s="36"/>
      <c r="DI90" s="36"/>
      <c r="DJ90" s="35"/>
    </row>
    <row r="91" ht="14.25" customHeight="1">
      <c r="CL91" s="31">
        <v>-0.760000000000005</v>
      </c>
      <c r="CM91" s="32">
        <f t="shared" si="5"/>
        <v>1.76</v>
      </c>
      <c r="CN91" s="33">
        <f t="array" ref="CN91:CR91">TRANSPOSE(CL91*Portfolio!gmvwt+CM91*Portfolio!epwt2)</f>
        <v>-0.01605036961</v>
      </c>
      <c r="CO91" s="33">
        <v>0.2638483038455387</v>
      </c>
      <c r="CP91" s="33">
        <v>0.4100035499485274</v>
      </c>
      <c r="CQ91" s="33">
        <v>0.5741585469782501</v>
      </c>
      <c r="CR91" s="33">
        <v>-0.23196003113644603</v>
      </c>
      <c r="CT91" s="36" t="str">
        <f t="array" ref="CT91:CU91">MMULT((CN91:CR91),Portfolio!muvec)</f>
        <v>#REF!</v>
      </c>
      <c r="CU91" s="36">
        <f t="array" ref="CU91">SQRT(MMULT(MMULT((CN91:CR91),Portfolio!covmat),TRANSPOSE(CN91:CR91)))</f>
        <v>0.1533857406</v>
      </c>
      <c r="CV91" s="35" t="str">
        <f t="shared" si="6"/>
        <v>#REF!</v>
      </c>
      <c r="CW91" s="36">
        <f t="shared" si="7"/>
        <v>0.5313437916</v>
      </c>
      <c r="CX91" s="36"/>
      <c r="CY91" s="31">
        <v>-1.2</v>
      </c>
      <c r="CZ91" s="32">
        <f t="shared" si="8"/>
        <v>2.2</v>
      </c>
      <c r="DA91" s="33">
        <f t="array" ref="DA91:DE91">TRANSPOSE(CY91*Portfolio!epwt2)</f>
        <v>0</v>
      </c>
      <c r="DB91" s="33">
        <v>-0.16991673162489102</v>
      </c>
      <c r="DC91" s="33">
        <v>-0.6566892345087745</v>
      </c>
      <c r="DD91" s="33">
        <v>-0.3733940338840311</v>
      </c>
      <c r="DE91" s="33">
        <v>0.0</v>
      </c>
      <c r="DG91" s="36"/>
      <c r="DH91" s="36"/>
      <c r="DI91" s="36"/>
      <c r="DJ91" s="35"/>
    </row>
    <row r="92" ht="14.25" customHeight="1">
      <c r="CL92" s="31">
        <v>-0.780000000000005</v>
      </c>
      <c r="CM92" s="32">
        <f t="shared" si="5"/>
        <v>1.78</v>
      </c>
      <c r="CN92" s="33">
        <f t="array" ref="CN92:CR92">TRANSPOSE(CL92*Portfolio!gmvwt+CM92*Portfolio!epwt2)</f>
        <v>-0.01647274776</v>
      </c>
      <c r="CO92" s="33">
        <v>0.2670654361479456</v>
      </c>
      <c r="CP92" s="33">
        <v>0.4063920373482962</v>
      </c>
      <c r="CQ92" s="33">
        <v>0.5810795167696944</v>
      </c>
      <c r="CR92" s="33">
        <v>-0.23806424248214195</v>
      </c>
      <c r="CT92" s="36" t="str">
        <f t="array" ref="CT92:CU92">MMULT((CN92:CR92),Portfolio!muvec)</f>
        <v>#REF!</v>
      </c>
      <c r="CU92" s="36">
        <f t="array" ref="CU92">SQRT(MMULT(MMULT((CN92:CR92),Portfolio!covmat),TRANSPOSE(CN92:CR92)))</f>
        <v>0.1550504203</v>
      </c>
      <c r="CV92" s="35" t="str">
        <f t="shared" si="6"/>
        <v>#REF!</v>
      </c>
      <c r="CW92" s="36">
        <f t="shared" si="7"/>
        <v>0.5371104115</v>
      </c>
      <c r="CX92" s="36"/>
      <c r="CY92" s="32">
        <v>-1.225</v>
      </c>
      <c r="CZ92" s="32">
        <f t="shared" si="8"/>
        <v>2.225</v>
      </c>
      <c r="DA92" s="33">
        <f t="array" ref="DA92:DE92">TRANSPOSE(CY92*Portfolio!epwt2)</f>
        <v>0</v>
      </c>
      <c r="DB92" s="33">
        <v>-0.17345666353374292</v>
      </c>
      <c r="DC92" s="33">
        <v>-0.6703702602277073</v>
      </c>
      <c r="DD92" s="33">
        <v>-0.3811730762566151</v>
      </c>
      <c r="DE92" s="33">
        <v>0.0</v>
      </c>
      <c r="DG92" s="36"/>
      <c r="DH92" s="36"/>
      <c r="DI92" s="36"/>
      <c r="DJ92" s="35"/>
    </row>
    <row r="93" ht="14.25" customHeight="1">
      <c r="CL93" s="31">
        <v>-0.800000000000005</v>
      </c>
      <c r="CM93" s="32">
        <f t="shared" si="5"/>
        <v>1.8</v>
      </c>
      <c r="CN93" s="33">
        <f t="array" ref="CN93:CR93">TRANSPOSE(CL93*Portfolio!gmvwt+CM93*Portfolio!epwt2)</f>
        <v>-0.01689512591</v>
      </c>
      <c r="CO93" s="33">
        <v>0.2702825684503525</v>
      </c>
      <c r="CP93" s="33">
        <v>0.402780524748065</v>
      </c>
      <c r="CQ93" s="33">
        <v>0.5880004865611389</v>
      </c>
      <c r="CR93" s="33">
        <v>-0.24416845382783786</v>
      </c>
      <c r="CT93" s="36" t="str">
        <f t="array" ref="CT93:CU93">MMULT((CN93:CR93),Portfolio!muvec)</f>
        <v>#REF!</v>
      </c>
      <c r="CU93" s="36">
        <f t="array" ref="CU93">SQRT(MMULT(MMULT((CN93:CR93),Portfolio!covmat),TRANSPOSE(CN93:CR93)))</f>
        <v>0.1567159276</v>
      </c>
      <c r="CV93" s="35" t="str">
        <f t="shared" si="6"/>
        <v>#REF!</v>
      </c>
      <c r="CW93" s="36">
        <f t="shared" si="7"/>
        <v>0.5428798978</v>
      </c>
      <c r="CX93" s="36"/>
      <c r="CY93" s="31">
        <v>-1.25</v>
      </c>
      <c r="CZ93" s="32">
        <f t="shared" si="8"/>
        <v>2.25</v>
      </c>
      <c r="DA93" s="33">
        <f t="array" ref="DA93:DE93">TRANSPOSE(CY93*Portfolio!epwt2)</f>
        <v>0</v>
      </c>
      <c r="DB93" s="33">
        <v>-0.1769965954425948</v>
      </c>
      <c r="DC93" s="33">
        <v>-0.6840512859466401</v>
      </c>
      <c r="DD93" s="33">
        <v>-0.3889521186291991</v>
      </c>
      <c r="DE93" s="33">
        <v>0.0</v>
      </c>
      <c r="DG93" s="36"/>
      <c r="DH93" s="36"/>
      <c r="DI93" s="36"/>
      <c r="DJ93" s="35"/>
    </row>
    <row r="94" ht="14.25" customHeight="1">
      <c r="CL94" s="32">
        <v>-0.820000000000005</v>
      </c>
      <c r="CM94" s="32">
        <f t="shared" si="5"/>
        <v>1.82</v>
      </c>
      <c r="CN94" s="33">
        <f t="array" ref="CN94:CR94">TRANSPOSE(CL94*Portfolio!gmvwt+CM94*Portfolio!epwt2)</f>
        <v>-0.01731750405</v>
      </c>
      <c r="CO94" s="33">
        <v>0.27349970075275937</v>
      </c>
      <c r="CP94" s="33">
        <v>0.39916901214783373</v>
      </c>
      <c r="CQ94" s="33">
        <v>0.5949214563525833</v>
      </c>
      <c r="CR94" s="33">
        <v>-0.25027266517353375</v>
      </c>
      <c r="CT94" s="36" t="str">
        <f t="array" ref="CT94:CU94">MMULT((CN94:CR94),Portfolio!muvec)</f>
        <v>#REF!</v>
      </c>
      <c r="CU94" s="36">
        <f t="array" ref="CU94">SQRT(MMULT(MMULT((CN94:CR94),Portfolio!covmat),TRANSPOSE(CN94:CR94)))</f>
        <v>0.1583822361</v>
      </c>
      <c r="CV94" s="35" t="str">
        <f t="shared" si="6"/>
        <v>#REF!</v>
      </c>
      <c r="CW94" s="36">
        <f t="shared" si="7"/>
        <v>0.54865216</v>
      </c>
      <c r="CX94" s="36"/>
      <c r="CY94" s="31">
        <v>-1.275</v>
      </c>
      <c r="CZ94" s="32">
        <f t="shared" si="8"/>
        <v>2.275</v>
      </c>
      <c r="DA94" s="33">
        <f t="array" ref="DA94:DE94">TRANSPOSE(CY94*Portfolio!epwt2)</f>
        <v>0</v>
      </c>
      <c r="DB94" s="33">
        <v>-0.18053652735144668</v>
      </c>
      <c r="DC94" s="33">
        <v>-0.6977323116655728</v>
      </c>
      <c r="DD94" s="33">
        <v>-0.396731161001783</v>
      </c>
      <c r="DE94" s="33">
        <v>0.0</v>
      </c>
      <c r="DG94" s="36"/>
      <c r="DH94" s="36"/>
      <c r="DI94" s="36"/>
      <c r="DJ94" s="35"/>
    </row>
    <row r="95" ht="14.25" customHeight="1">
      <c r="CL95" s="31">
        <v>-0.840000000000006</v>
      </c>
      <c r="CM95" s="32">
        <f t="shared" si="5"/>
        <v>1.84</v>
      </c>
      <c r="CN95" s="33">
        <f t="array" ref="CN95:CR95">TRANSPOSE(CL95*Portfolio!gmvwt+CM95*Portfolio!epwt2)</f>
        <v>-0.0177398822</v>
      </c>
      <c r="CO95" s="33">
        <v>0.2767168330551664</v>
      </c>
      <c r="CP95" s="33">
        <v>0.39555749954760266</v>
      </c>
      <c r="CQ95" s="33">
        <v>0.6018424261440282</v>
      </c>
      <c r="CR95" s="33">
        <v>-0.25637687651922997</v>
      </c>
      <c r="CT95" s="36" t="str">
        <f t="array" ref="CT95:CU95">MMULT((CN95:CR95),Portfolio!muvec)</f>
        <v>#REF!</v>
      </c>
      <c r="CU95" s="36">
        <f t="array" ref="CU95">SQRT(MMULT(MMULT((CN95:CR95),Portfolio!covmat),TRANSPOSE(CN95:CR95)))</f>
        <v>0.160049321</v>
      </c>
      <c r="CV95" s="35" t="str">
        <f t="shared" si="6"/>
        <v>#REF!</v>
      </c>
      <c r="CW95" s="36">
        <f t="shared" si="7"/>
        <v>0.5544271114</v>
      </c>
      <c r="CX95" s="36"/>
      <c r="CY95" s="32">
        <v>-1.3</v>
      </c>
      <c r="CZ95" s="32">
        <f t="shared" si="8"/>
        <v>2.3</v>
      </c>
      <c r="DA95" s="33">
        <f t="array" ref="DA95:DE95">TRANSPOSE(CY95*Portfolio!epwt2)</f>
        <v>0</v>
      </c>
      <c r="DB95" s="33">
        <v>-0.1840764592602986</v>
      </c>
      <c r="DC95" s="33">
        <v>-0.7114133373845057</v>
      </c>
      <c r="DD95" s="33">
        <v>-0.40451020337436705</v>
      </c>
      <c r="DE95" s="33">
        <v>0.0</v>
      </c>
      <c r="DG95" s="36"/>
      <c r="DH95" s="36"/>
      <c r="DI95" s="36"/>
      <c r="DJ95" s="35"/>
    </row>
    <row r="96" ht="14.25" customHeight="1">
      <c r="CL96" s="31">
        <v>-0.860000000000006</v>
      </c>
      <c r="CM96" s="32">
        <f t="shared" si="5"/>
        <v>1.86</v>
      </c>
      <c r="CN96" s="33">
        <f t="array" ref="CN96:CR96">TRANSPOSE(CL96*Portfolio!gmvwt+CM96*Portfolio!epwt2)</f>
        <v>-0.01816226035</v>
      </c>
      <c r="CO96" s="33">
        <v>0.2799339653575733</v>
      </c>
      <c r="CP96" s="33">
        <v>0.39194598694737137</v>
      </c>
      <c r="CQ96" s="33">
        <v>0.6087633959354727</v>
      </c>
      <c r="CR96" s="33">
        <v>-0.26248108786492585</v>
      </c>
      <c r="CT96" s="36" t="str">
        <f t="array" ref="CT96:CU96">MMULT((CN96:CR96),Portfolio!muvec)</f>
        <v>#REF!</v>
      </c>
      <c r="CU96" s="36">
        <f t="array" ref="CU96">SQRT(MMULT(MMULT((CN96:CR96),Portfolio!covmat),TRANSPOSE(CN96:CR96)))</f>
        <v>0.1617171582</v>
      </c>
      <c r="CV96" s="35" t="str">
        <f t="shared" si="6"/>
        <v>#REF!</v>
      </c>
      <c r="CW96" s="36">
        <f t="shared" si="7"/>
        <v>0.5602046689</v>
      </c>
      <c r="CX96" s="36"/>
      <c r="CY96" s="31">
        <v>-1.325</v>
      </c>
      <c r="CZ96" s="32">
        <f t="shared" si="8"/>
        <v>2.325</v>
      </c>
      <c r="DA96" s="33">
        <f t="array" ref="DA96:DE96">TRANSPOSE(CY96*Portfolio!epwt2)</f>
        <v>0</v>
      </c>
      <c r="DB96" s="33">
        <v>-0.1876163911691505</v>
      </c>
      <c r="DC96" s="33">
        <v>-0.7250943631034384</v>
      </c>
      <c r="DD96" s="33">
        <v>-0.412289245746951</v>
      </c>
      <c r="DE96" s="33">
        <v>0.0</v>
      </c>
      <c r="DG96" s="36"/>
      <c r="DH96" s="36"/>
      <c r="DI96" s="36"/>
      <c r="DJ96" s="35"/>
    </row>
    <row r="97" ht="14.25" customHeight="1">
      <c r="CL97" s="31">
        <v>-0.880000000000006</v>
      </c>
      <c r="CM97" s="32">
        <f t="shared" si="5"/>
        <v>1.88</v>
      </c>
      <c r="CN97" s="33">
        <f t="array" ref="CN97:CR97">TRANSPOSE(CL97*Portfolio!gmvwt+CM97*Portfolio!epwt2)</f>
        <v>-0.0185846385</v>
      </c>
      <c r="CO97" s="33">
        <v>0.28315109765998026</v>
      </c>
      <c r="CP97" s="33">
        <v>0.3883344743471403</v>
      </c>
      <c r="CQ97" s="33">
        <v>0.615684365726917</v>
      </c>
      <c r="CR97" s="33">
        <v>-0.2685852992106218</v>
      </c>
      <c r="CT97" s="36" t="str">
        <f t="array" ref="CT97:CU97">MMULT((CN97:CR97),Portfolio!muvec)</f>
        <v>#REF!</v>
      </c>
      <c r="CU97" s="36">
        <f t="array" ref="CU97">SQRT(MMULT(MMULT((CN97:CR97),Portfolio!covmat),TRANSPOSE(CN97:CR97)))</f>
        <v>0.1633857247</v>
      </c>
      <c r="CV97" s="35" t="str">
        <f t="shared" si="6"/>
        <v>#REF!</v>
      </c>
      <c r="CW97" s="36">
        <f t="shared" si="7"/>
        <v>0.5659847527</v>
      </c>
      <c r="CX97" s="36"/>
      <c r="CY97" s="32">
        <v>-1.35</v>
      </c>
      <c r="CZ97" s="32">
        <f t="shared" si="8"/>
        <v>2.35</v>
      </c>
      <c r="DA97" s="33">
        <f t="array" ref="DA97:DE97">TRANSPOSE(CY97*Portfolio!epwt2)</f>
        <v>0</v>
      </c>
      <c r="DB97" s="33">
        <v>-0.1911563230780024</v>
      </c>
      <c r="DC97" s="33">
        <v>-0.7387753888223714</v>
      </c>
      <c r="DD97" s="33">
        <v>-0.42006828811953506</v>
      </c>
      <c r="DE97" s="33">
        <v>0.0</v>
      </c>
      <c r="DG97" s="36"/>
      <c r="DH97" s="36"/>
      <c r="DI97" s="36"/>
      <c r="DJ97" s="35"/>
    </row>
    <row r="98" ht="14.25" customHeight="1">
      <c r="CL98" s="31"/>
      <c r="CM98" s="32"/>
      <c r="CT98" s="36"/>
      <c r="CU98" s="36"/>
      <c r="CV98" s="35"/>
      <c r="CW98" s="36"/>
      <c r="CX98" s="36"/>
      <c r="CY98" s="31"/>
      <c r="CZ98" s="32"/>
      <c r="DG98" s="36"/>
      <c r="DH98" s="36"/>
      <c r="DI98" s="36"/>
      <c r="DJ98" s="35"/>
    </row>
    <row r="99" ht="14.25" customHeight="1">
      <c r="CL99" s="31"/>
      <c r="CM99" s="32"/>
      <c r="CT99" s="36"/>
      <c r="CU99" s="36"/>
      <c r="CV99" s="35"/>
      <c r="CW99" s="36"/>
      <c r="CX99" s="36"/>
      <c r="CY99" s="31"/>
      <c r="CZ99" s="32"/>
      <c r="DG99" s="36"/>
      <c r="DH99" s="36"/>
      <c r="DI99" s="36"/>
      <c r="DJ99" s="35"/>
    </row>
    <row r="100" ht="14.25" customHeight="1">
      <c r="CL100" s="32"/>
      <c r="CM100" s="32"/>
      <c r="CT100" s="36"/>
      <c r="CU100" s="36"/>
      <c r="CV100" s="35"/>
      <c r="CW100" s="36"/>
      <c r="CX100" s="36"/>
      <c r="CY100" s="32"/>
      <c r="CZ100" s="32"/>
      <c r="DG100" s="36"/>
      <c r="DH100" s="36"/>
      <c r="DI100" s="36"/>
      <c r="DJ100" s="35"/>
    </row>
    <row r="101" ht="14.25" customHeight="1">
      <c r="CL101" s="31"/>
      <c r="CM101" s="32"/>
      <c r="CT101" s="36"/>
      <c r="CU101" s="36"/>
      <c r="CV101" s="35"/>
      <c r="CW101" s="36"/>
      <c r="CX101" s="36"/>
      <c r="CY101" s="31"/>
      <c r="CZ101" s="32"/>
      <c r="DG101" s="36"/>
      <c r="DH101" s="36"/>
      <c r="DI101" s="36"/>
      <c r="DJ101" s="35"/>
    </row>
    <row r="102" ht="14.25" customHeight="1">
      <c r="CL102" s="32"/>
      <c r="CM102" s="32"/>
      <c r="CT102" s="36"/>
      <c r="CU102" s="36"/>
      <c r="CV102" s="35"/>
      <c r="CW102" s="36"/>
      <c r="CX102" s="36"/>
      <c r="CY102" s="32"/>
      <c r="CZ102" s="32"/>
      <c r="DG102" s="36"/>
      <c r="DH102" s="36"/>
      <c r="DI102" s="36"/>
      <c r="DJ102" s="35"/>
    </row>
    <row r="103" ht="14.25" customHeight="1">
      <c r="CL103" s="31"/>
      <c r="CM103" s="31"/>
      <c r="CT103" s="36"/>
      <c r="CU103" s="36"/>
      <c r="CV103" s="35"/>
      <c r="CW103" s="36"/>
      <c r="CX103" s="36"/>
      <c r="CY103" s="36"/>
      <c r="CZ103" s="36"/>
      <c r="DA103" s="36"/>
      <c r="DB103" s="36"/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4">
    <mergeCell ref="CV1:CW1"/>
    <mergeCell ref="DG1:DH1"/>
    <mergeCell ref="DI1:DJ1"/>
    <mergeCell ref="DL1:DM1"/>
    <mergeCell ref="AX1:BB1"/>
    <mergeCell ref="BI1:BK1"/>
    <mergeCell ref="BP1:BR1"/>
    <mergeCell ref="BV1:BW1"/>
    <mergeCell ref="BZ1:CB1"/>
    <mergeCell ref="CF1:CH1"/>
    <mergeCell ref="CT1:CU1"/>
    <mergeCell ref="AR1:AT1"/>
    <mergeCell ref="AQ10:AQ12"/>
    <mergeCell ref="BH10:BH12"/>
    <mergeCell ref="BO10:BO12"/>
    <mergeCell ref="BY10:BY12"/>
    <mergeCell ref="CE10:CE12"/>
    <mergeCell ref="B1:F1"/>
    <mergeCell ref="I1:M1"/>
    <mergeCell ref="O1:S1"/>
    <mergeCell ref="U1:Z1"/>
    <mergeCell ref="AB1:AD1"/>
    <mergeCell ref="AH1:AL1"/>
    <mergeCell ref="I12:M12"/>
    <mergeCell ref="AQ15:AQ17"/>
    <mergeCell ref="AR20:AS20"/>
    <mergeCell ref="AR21:AS21"/>
    <mergeCell ref="BI20:BJ20"/>
    <mergeCell ref="BP20:BQ20"/>
    <mergeCell ref="CF20:CG20"/>
    <mergeCell ref="BI21:BJ21"/>
    <mergeCell ref="BP21:BQ21"/>
    <mergeCell ref="BZ21:CA21"/>
    <mergeCell ref="CF21:CG21"/>
    <mergeCell ref="DO22:DS22"/>
    <mergeCell ref="AB20:AC20"/>
    <mergeCell ref="AB21:AC21"/>
    <mergeCell ref="AA10:AA12"/>
    <mergeCell ref="AA15:AA17"/>
    <mergeCell ref="BH15:BH17"/>
    <mergeCell ref="BO15:BO17"/>
    <mergeCell ref="BY15:BY17"/>
    <mergeCell ref="CE15:CE17"/>
    <mergeCell ref="BZ20:CA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0" width="8.71"/>
    <col customWidth="1" min="21" max="21" width="13.0"/>
    <col customWidth="1" min="22" max="27" width="8.71"/>
    <col customWidth="1" min="28" max="28" width="10.43"/>
    <col customWidth="1" min="29" max="29" width="8.71"/>
    <col customWidth="1" min="30" max="30" width="12.14"/>
    <col customWidth="1" min="31" max="61" width="8.71"/>
    <col customWidth="1" min="62" max="62" width="11.29"/>
    <col customWidth="1" min="63" max="68" width="8.71"/>
    <col customWidth="1" min="69" max="69" width="11.29"/>
    <col customWidth="1" min="70" max="75" width="8.71"/>
    <col customWidth="1" min="76" max="76" width="20.29"/>
    <col customWidth="1" min="77" max="79" width="8.71"/>
    <col customWidth="1" min="80" max="80" width="11.86"/>
    <col customWidth="1" min="81" max="110" width="8.71"/>
    <col customWidth="1" hidden="1" min="111" max="111" width="4.71"/>
    <col customWidth="1" min="112" max="112" width="4.71"/>
    <col customWidth="1" min="113" max="113" width="8.0"/>
    <col customWidth="1" min="114" max="129" width="8.71"/>
  </cols>
  <sheetData>
    <row r="1" ht="14.25" customHeight="1">
      <c r="A1" s="1"/>
      <c r="B1" s="2" t="s">
        <v>0</v>
      </c>
      <c r="G1" s="1"/>
      <c r="H1" s="1"/>
      <c r="I1" s="2" t="s">
        <v>1</v>
      </c>
      <c r="N1" s="1"/>
      <c r="O1" s="2" t="s">
        <v>62</v>
      </c>
      <c r="T1" s="1"/>
      <c r="U1" s="2" t="s">
        <v>63</v>
      </c>
      <c r="AA1" s="3">
        <v>1.0</v>
      </c>
      <c r="AB1" s="4" t="s">
        <v>64</v>
      </c>
      <c r="AC1" s="5"/>
      <c r="AD1" s="6"/>
      <c r="AE1" s="3"/>
      <c r="AF1" s="3"/>
      <c r="AG1" s="1"/>
      <c r="AH1" s="2" t="s">
        <v>5</v>
      </c>
      <c r="AM1" s="1"/>
      <c r="AN1" s="1"/>
      <c r="AO1" s="1" t="s">
        <v>6</v>
      </c>
      <c r="AP1" s="1"/>
      <c r="AQ1" s="7">
        <v>2.0</v>
      </c>
      <c r="AR1" s="8" t="s">
        <v>65</v>
      </c>
      <c r="AS1" s="5"/>
      <c r="AT1" s="6"/>
      <c r="AU1" s="7"/>
      <c r="AV1" s="7"/>
      <c r="AW1" s="1"/>
      <c r="AX1" s="2" t="s">
        <v>8</v>
      </c>
      <c r="BC1" s="1"/>
      <c r="BD1" s="1"/>
      <c r="BE1" s="1"/>
      <c r="BF1" s="1" t="s">
        <v>9</v>
      </c>
      <c r="BG1" s="1"/>
      <c r="BH1" s="9">
        <v>3.0</v>
      </c>
      <c r="BI1" s="10" t="s">
        <v>66</v>
      </c>
      <c r="BJ1" s="5"/>
      <c r="BK1" s="6"/>
      <c r="BL1" s="9" t="s">
        <v>11</v>
      </c>
      <c r="BM1" s="9"/>
      <c r="BN1" s="1"/>
      <c r="BO1" s="9">
        <v>3.0</v>
      </c>
      <c r="BP1" s="10" t="s">
        <v>67</v>
      </c>
      <c r="BQ1" s="5"/>
      <c r="BR1" s="6"/>
      <c r="BS1" s="9" t="s">
        <v>13</v>
      </c>
      <c r="BT1" s="9"/>
      <c r="BU1" s="1"/>
      <c r="BV1" s="9">
        <v>3.0</v>
      </c>
      <c r="BW1" s="10" t="s">
        <v>68</v>
      </c>
      <c r="BX1" s="5"/>
      <c r="BY1" s="6"/>
      <c r="BZ1" s="9" t="s">
        <v>69</v>
      </c>
      <c r="CA1" s="9"/>
      <c r="CB1" s="1"/>
      <c r="CC1" s="11" t="s">
        <v>14</v>
      </c>
      <c r="CE1" s="1"/>
      <c r="CF1" s="12">
        <v>4.0</v>
      </c>
      <c r="CG1" s="13" t="s">
        <v>70</v>
      </c>
      <c r="CH1" s="5"/>
      <c r="CI1" s="6"/>
      <c r="CJ1" s="12"/>
      <c r="CK1" s="12"/>
      <c r="CL1" s="1"/>
      <c r="CM1" s="1"/>
      <c r="CN1" s="1" t="s">
        <v>17</v>
      </c>
      <c r="CO1" s="1"/>
      <c r="CP1" s="1"/>
      <c r="CQ1" s="1"/>
      <c r="CR1" s="1"/>
      <c r="CS1" s="1"/>
      <c r="CT1" s="1"/>
      <c r="CU1" s="2" t="s">
        <v>18</v>
      </c>
      <c r="CW1" s="2" t="s">
        <v>19</v>
      </c>
      <c r="CY1" s="2"/>
      <c r="CZ1" s="1"/>
      <c r="DA1" s="1" t="s">
        <v>20</v>
      </c>
      <c r="DB1" s="1"/>
      <c r="DC1" s="1"/>
      <c r="DD1" s="1"/>
      <c r="DE1" s="1"/>
      <c r="DF1" s="1"/>
      <c r="DG1" s="2"/>
      <c r="DH1" s="2"/>
      <c r="DI1" s="2" t="s">
        <v>18</v>
      </c>
      <c r="DK1" s="2" t="s">
        <v>19</v>
      </c>
      <c r="DM1" s="2"/>
      <c r="DN1" s="11" t="s">
        <v>21</v>
      </c>
      <c r="DP1" s="2"/>
      <c r="DQ1" s="1"/>
      <c r="DR1" s="1"/>
      <c r="DS1" s="1"/>
      <c r="DT1" s="1"/>
      <c r="DU1" s="1"/>
      <c r="DV1" s="1"/>
      <c r="DW1" s="1"/>
      <c r="DX1" s="1"/>
      <c r="DY1" s="1"/>
    </row>
    <row r="2" ht="14.25" customHeight="1">
      <c r="A2" s="14" t="s">
        <v>22</v>
      </c>
      <c r="B2" s="14" t="s">
        <v>71</v>
      </c>
      <c r="C2" s="14" t="s">
        <v>72</v>
      </c>
      <c r="D2" s="14" t="s">
        <v>73</v>
      </c>
      <c r="E2" s="14" t="s">
        <v>74</v>
      </c>
      <c r="F2" s="14" t="s">
        <v>75</v>
      </c>
      <c r="G2" s="14"/>
      <c r="H2" s="14"/>
      <c r="I2" s="14" t="str">
        <f t="array" ref="I2:M2">ticker</f>
        <v>ADANIENT.NS</v>
      </c>
      <c r="J2" s="14" t="s">
        <v>72</v>
      </c>
      <c r="K2" s="14" t="s">
        <v>73</v>
      </c>
      <c r="L2" s="14" t="s">
        <v>74</v>
      </c>
      <c r="M2" s="14" t="s">
        <v>75</v>
      </c>
      <c r="N2" s="14"/>
      <c r="O2" s="14" t="str">
        <f t="array" ref="O2:S2">ticker</f>
        <v>ADANIENT.NS</v>
      </c>
      <c r="P2" s="14" t="s">
        <v>72</v>
      </c>
      <c r="Q2" s="14" t="s">
        <v>73</v>
      </c>
      <c r="R2" s="14" t="s">
        <v>74</v>
      </c>
      <c r="S2" s="14" t="s">
        <v>75</v>
      </c>
      <c r="T2" s="14"/>
      <c r="U2" s="14"/>
      <c r="V2" s="14" t="str">
        <f t="array" ref="V2:Z2">ticker</f>
        <v>ADANIENT.NS</v>
      </c>
      <c r="W2" s="14" t="s">
        <v>72</v>
      </c>
      <c r="X2" s="14" t="s">
        <v>73</v>
      </c>
      <c r="Y2" s="14" t="s">
        <v>74</v>
      </c>
      <c r="Z2" s="14" t="s">
        <v>75</v>
      </c>
      <c r="AA2" s="15"/>
      <c r="AB2" s="15" t="str">
        <f t="array" ref="AB2:AB6">TRANSPOSE(ticker)</f>
        <v>ADANIENT.NS</v>
      </c>
      <c r="AC2" s="16">
        <v>0.2</v>
      </c>
      <c r="AD2" s="15"/>
      <c r="AE2" s="15"/>
      <c r="AF2" s="15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7"/>
      <c r="AR2" s="17" t="str">
        <f t="array" ref="AR2:AR6">TRANSPOSE(ticker)</f>
        <v>ADANIENT.NS</v>
      </c>
      <c r="AS2" s="18">
        <f t="array" ref="AS2:AS6">MMULT(MINVERSE(amatgmv),bvecgmv)</f>
        <v>0.08970562672</v>
      </c>
      <c r="AT2" s="17"/>
      <c r="AU2" s="17"/>
      <c r="AV2" s="17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9"/>
      <c r="BI2" s="19" t="str">
        <f t="array" ref="BI2:BI6">TRANSPOSE(ticker)</f>
        <v>ADANIENT.NS</v>
      </c>
      <c r="BJ2" s="20">
        <f t="array" ref="BJ2:BJ6">MMULT(MINVERSE(amatep),bvecep)</f>
        <v>0.2539520512</v>
      </c>
      <c r="BK2" s="19"/>
      <c r="BL2" s="19"/>
      <c r="BM2" s="19"/>
      <c r="BN2" s="14"/>
      <c r="BO2" s="19"/>
      <c r="BP2" s="19" t="str">
        <f t="array" ref="BP2:BP6">TRANSPOSE(ticker)</f>
        <v>ADANIENT.NS</v>
      </c>
      <c r="BQ2" s="20">
        <v>0.2985002548406716</v>
      </c>
      <c r="BR2" s="19"/>
      <c r="BS2" s="19"/>
      <c r="BT2" s="19"/>
      <c r="BU2" s="14"/>
      <c r="BV2" s="19"/>
      <c r="BW2" s="19" t="str">
        <f t="array" ref="BW2:BW6">TRANSPOSE(ticker)</f>
        <v>ADANIENT.NS</v>
      </c>
      <c r="BX2" s="20">
        <v>0.5133855877958784</v>
      </c>
      <c r="BY2" s="19"/>
      <c r="BZ2" s="19"/>
      <c r="CA2" s="19"/>
      <c r="CB2" s="14"/>
      <c r="CC2" s="21">
        <v>1.0</v>
      </c>
      <c r="CD2" s="14"/>
      <c r="CE2" s="14"/>
      <c r="CF2" s="22"/>
      <c r="CG2" s="22" t="str">
        <f t="array" ref="CG2:CG6">TRANSPOSE(ticker)</f>
        <v>ADANIENT.NS</v>
      </c>
      <c r="CH2" s="23">
        <f t="array" ref="CH2:CH6">MMULT(MINVERSE(covmat),(muvec-rfp))/MMULT(MMULT(TRANSPOSE(onevec),MINVERSE(covmat)),(muvec-rfp))</f>
        <v>0.5133854805</v>
      </c>
      <c r="CI2" s="22"/>
      <c r="CJ2" s="22"/>
      <c r="CK2" s="22"/>
      <c r="CL2" s="14"/>
      <c r="CM2" s="14" t="s">
        <v>28</v>
      </c>
      <c r="CN2" s="14" t="s">
        <v>29</v>
      </c>
      <c r="CO2" s="14" t="str">
        <f t="array" ref="CO2:CS2">ticker</f>
        <v>ADANIENT.NS</v>
      </c>
      <c r="CP2" s="14" t="s">
        <v>72</v>
      </c>
      <c r="CQ2" s="14" t="s">
        <v>73</v>
      </c>
      <c r="CR2" s="14" t="s">
        <v>74</v>
      </c>
      <c r="CS2" s="14" t="s">
        <v>75</v>
      </c>
      <c r="CT2" s="14"/>
      <c r="CU2" s="14" t="s">
        <v>30</v>
      </c>
      <c r="CV2" s="14" t="s">
        <v>31</v>
      </c>
      <c r="CW2" s="14" t="s">
        <v>30</v>
      </c>
      <c r="CX2" s="14" t="s">
        <v>31</v>
      </c>
      <c r="CY2" s="14"/>
      <c r="CZ2" s="14" t="s">
        <v>76</v>
      </c>
      <c r="DA2" s="14" t="s">
        <v>32</v>
      </c>
      <c r="DB2" s="14" t="str">
        <f t="array" ref="DB2:DF2">ticker</f>
        <v>ADANIENT.NS</v>
      </c>
      <c r="DC2" s="14" t="s">
        <v>72</v>
      </c>
      <c r="DD2" s="14" t="s">
        <v>73</v>
      </c>
      <c r="DE2" s="14" t="s">
        <v>74</v>
      </c>
      <c r="DF2" s="14" t="s">
        <v>75</v>
      </c>
      <c r="DG2" s="14"/>
      <c r="DH2" s="14"/>
      <c r="DI2" s="14" t="s">
        <v>31</v>
      </c>
      <c r="DJ2" s="14" t="s">
        <v>30</v>
      </c>
      <c r="DK2" s="14" t="s">
        <v>31</v>
      </c>
      <c r="DL2" s="14" t="s">
        <v>30</v>
      </c>
      <c r="DM2" s="14"/>
      <c r="DN2" s="14" t="s">
        <v>30</v>
      </c>
      <c r="DO2" s="14" t="s">
        <v>31</v>
      </c>
      <c r="DP2" s="14"/>
      <c r="DQ2" s="14"/>
      <c r="DR2" s="14"/>
      <c r="DS2" s="14"/>
      <c r="DT2" s="14"/>
      <c r="DU2" s="14"/>
      <c r="DV2" s="14"/>
      <c r="DW2" s="14"/>
      <c r="DX2" s="14"/>
      <c r="DY2" s="14"/>
    </row>
    <row r="3" ht="14.25" customHeight="1">
      <c r="A3" s="24">
        <v>45139.0</v>
      </c>
      <c r="B3" s="21">
        <v>-0.003457886</v>
      </c>
      <c r="C3" s="21">
        <v>-3.65809E-4</v>
      </c>
      <c r="D3" s="21">
        <v>0.024766171</v>
      </c>
      <c r="E3" s="21">
        <v>0.017897693</v>
      </c>
      <c r="F3" s="21">
        <v>0.003260847</v>
      </c>
      <c r="H3" s="25" t="s">
        <v>33</v>
      </c>
      <c r="I3" s="21">
        <f t="shared" ref="I3:M3" si="1">AVERAGE(B3:B62)</f>
        <v>0.06614674518</v>
      </c>
      <c r="J3" s="21">
        <f t="shared" si="1"/>
        <v>0.05515232167</v>
      </c>
      <c r="K3" s="21">
        <f t="shared" si="1"/>
        <v>0.03582548387</v>
      </c>
      <c r="L3" s="21">
        <f t="shared" si="1"/>
        <v>0.03633775422</v>
      </c>
      <c r="M3" s="21">
        <f t="shared" si="1"/>
        <v>0.02781523448</v>
      </c>
      <c r="O3" s="21">
        <f t="shared" ref="O3:S3" si="2">B3-I$3</f>
        <v>-0.06960463118</v>
      </c>
      <c r="P3" s="21">
        <f t="shared" si="2"/>
        <v>-0.05551813067</v>
      </c>
      <c r="Q3" s="21">
        <f t="shared" si="2"/>
        <v>-0.01105931287</v>
      </c>
      <c r="R3" s="21">
        <f t="shared" si="2"/>
        <v>-0.01844006122</v>
      </c>
      <c r="S3" s="21">
        <f t="shared" si="2"/>
        <v>-0.02455438748</v>
      </c>
      <c r="U3" s="14" t="str">
        <f t="array" ref="U3:U7">TRANSPOSE(ticker)</f>
        <v>ADANIENT.NS</v>
      </c>
      <c r="V3" s="26">
        <f t="array" ref="V3:Z7">MMULT(TRANSPOSE(evec),evec)/(COUNT(adenter)-1)</f>
        <v>0.03496802434</v>
      </c>
      <c r="W3" s="21">
        <v>0.021949945375234134</v>
      </c>
      <c r="X3" s="21">
        <v>0.007019608693090892</v>
      </c>
      <c r="Y3" s="21">
        <v>0.007899284845644429</v>
      </c>
      <c r="Z3" s="21">
        <v>0.012079225826778343</v>
      </c>
      <c r="AA3" s="27"/>
      <c r="AB3" s="15" t="s">
        <v>72</v>
      </c>
      <c r="AC3" s="16">
        <v>0.2</v>
      </c>
      <c r="AD3" s="27"/>
      <c r="AE3" s="27"/>
      <c r="AF3" s="27"/>
      <c r="AH3" s="21">
        <f t="array" ref="AH3:AL7">2*covmat</f>
        <v>0.06993604867</v>
      </c>
      <c r="AI3" s="21">
        <v>0.04389989075046827</v>
      </c>
      <c r="AJ3" s="21">
        <v>0.014039217386181784</v>
      </c>
      <c r="AK3" s="21">
        <v>0.015798569691288858</v>
      </c>
      <c r="AL3" s="21">
        <v>0.024158451653556685</v>
      </c>
      <c r="AM3" s="21">
        <v>1.0</v>
      </c>
      <c r="AO3" s="21">
        <v>0.0</v>
      </c>
      <c r="AQ3" s="28"/>
      <c r="AR3" s="17" t="s">
        <v>72</v>
      </c>
      <c r="AS3" s="18">
        <v>0.08415989501955633</v>
      </c>
      <c r="AT3" s="28"/>
      <c r="AU3" s="28"/>
      <c r="AV3" s="28"/>
      <c r="AX3" s="21">
        <f t="array" ref="AX3:BC8">amatgmv</f>
        <v>0.06993604867</v>
      </c>
      <c r="AY3" s="21">
        <v>0.04389989075046827</v>
      </c>
      <c r="AZ3" s="21">
        <v>0.014039217386181784</v>
      </c>
      <c r="BA3" s="21">
        <v>0.015798569691288858</v>
      </c>
      <c r="BB3" s="21">
        <v>0.024158451653556685</v>
      </c>
      <c r="BC3" s="21">
        <v>1.0</v>
      </c>
      <c r="BD3" s="21">
        <f t="array" ref="BD3:BD7">muvec</f>
        <v>0.06614674518</v>
      </c>
      <c r="BF3" s="21">
        <v>0.0</v>
      </c>
      <c r="BH3" s="29"/>
      <c r="BI3" s="19" t="s">
        <v>72</v>
      </c>
      <c r="BJ3" s="20">
        <v>0.09006741126454472</v>
      </c>
      <c r="BK3" s="29"/>
      <c r="BL3" s="29"/>
      <c r="BM3" s="29"/>
      <c r="BO3" s="29"/>
      <c r="BP3" s="19" t="s">
        <v>72</v>
      </c>
      <c r="BQ3" s="20">
        <v>0.09172434620389606</v>
      </c>
      <c r="BR3" s="29"/>
      <c r="BS3" s="29"/>
      <c r="BT3" s="29"/>
      <c r="BV3" s="29"/>
      <c r="BW3" s="19" t="s">
        <v>72</v>
      </c>
      <c r="BX3" s="20">
        <v>0.09939862563358011</v>
      </c>
      <c r="BY3" s="29"/>
      <c r="BZ3" s="29"/>
      <c r="CA3" s="29"/>
      <c r="CC3" s="21">
        <v>1.0</v>
      </c>
      <c r="CF3" s="30"/>
      <c r="CG3" s="22" t="s">
        <v>72</v>
      </c>
      <c r="CH3" s="23">
        <v>0.09939855624044619</v>
      </c>
      <c r="CI3" s="30"/>
      <c r="CJ3" s="30"/>
      <c r="CK3" s="30"/>
      <c r="CM3" s="31">
        <v>1.0</v>
      </c>
      <c r="CN3" s="32">
        <f t="shared" ref="CN3:CN97" si="5">1-CM3</f>
        <v>0</v>
      </c>
      <c r="CO3" s="33">
        <f t="array" ref="CO3:CS3">TRANSPOSE(CM3*gmvwt+CN3*epwt2)</f>
        <v>0.08970562672</v>
      </c>
      <c r="CP3" s="33">
        <v>0.08415989501955633</v>
      </c>
      <c r="CQ3" s="33">
        <v>0.311040392020354</v>
      </c>
      <c r="CR3" s="33">
        <v>0.2256523362687234</v>
      </c>
      <c r="CS3" s="33">
        <v>0.28944174997207234</v>
      </c>
      <c r="CU3" s="34" t="str">
        <f t="array" ref="CU3:CV3">MMULT((CO3:CS3),muvec)</f>
        <v>#REF!</v>
      </c>
      <c r="CV3" s="34">
        <f t="array" ref="CV3">SQRT(MMULT(MMULT((CO3:CS3),covmat),TRANSPOSE(CO3:CS3)))</f>
        <v>0.111562717</v>
      </c>
      <c r="CW3" s="35" t="str">
        <f t="shared" ref="CW3:CW97" si="6">CU3*12</f>
        <v>#REF!</v>
      </c>
      <c r="CX3" s="36">
        <f t="shared" ref="CX3:CX97" si="7">CV3*SQRT(12)</f>
        <v>0.3864645881</v>
      </c>
      <c r="CY3" s="36"/>
      <c r="CZ3" s="31">
        <v>1.0</v>
      </c>
      <c r="DA3" s="32">
        <f t="shared" ref="DA3:DA97" si="8">1-CZ3</f>
        <v>0</v>
      </c>
      <c r="DB3" s="33">
        <f t="array" ref="DB3:DF3">TRANSPOSE(CZ3*opwt)</f>
        <v>0.5133854805</v>
      </c>
      <c r="DC3" s="33">
        <v>0.09939855624044619</v>
      </c>
      <c r="DD3" s="33">
        <v>0.256782174491248</v>
      </c>
      <c r="DE3" s="33">
        <v>0.2249191502901483</v>
      </c>
      <c r="DF3" s="33">
        <v>-0.0944853615689039</v>
      </c>
      <c r="DG3" s="35"/>
      <c r="DH3" s="35"/>
      <c r="DI3" s="36">
        <f t="array" ref="DI3">SQRT(MMULT(MMULT(DB3:DF3,covmat), TRANSPOSE(DB3:DF3)))</f>
        <v>0.1351791394</v>
      </c>
      <c r="DJ3" s="36">
        <f t="array" ref="DJ3">MMULT((DB3:DF3),muvec) + DA3*rfp</f>
        <v>0.05418510967</v>
      </c>
      <c r="DK3" s="36">
        <f t="shared" ref="DK3:DK43" si="9">DI3*SQRT(12)</f>
        <v>0.468274275</v>
      </c>
      <c r="DL3" s="35">
        <f t="shared" ref="DL3:DL43" si="10">DJ3*12</f>
        <v>0.6502213161</v>
      </c>
      <c r="DM3" s="36"/>
      <c r="DN3" s="36" t="str">
        <f t="shared" ref="DN3:DN43" si="11">CN3*CW3+CM3*$AC$23</f>
        <v>#REF!</v>
      </c>
      <c r="DO3" s="36">
        <f t="shared" ref="DO3:DO43" si="12">CN3*CX3</f>
        <v>0</v>
      </c>
      <c r="DP3" s="36"/>
    </row>
    <row r="4" ht="14.25" customHeight="1">
      <c r="A4" s="24">
        <v>45108.0</v>
      </c>
      <c r="B4" s="21">
        <v>0.043612878</v>
      </c>
      <c r="C4" s="21">
        <v>0.093856238</v>
      </c>
      <c r="D4" s="21">
        <v>0.066897562</v>
      </c>
      <c r="E4" s="21">
        <v>-0.039956346</v>
      </c>
      <c r="F4" s="21">
        <v>-0.007015694</v>
      </c>
      <c r="H4" s="25" t="s">
        <v>34</v>
      </c>
      <c r="I4" s="21">
        <f t="shared" ref="I4:M4" si="3">_xlfn.STDEV.S(B3:B62)</f>
        <v>0.1869973913</v>
      </c>
      <c r="J4" s="21">
        <f t="shared" si="3"/>
        <v>0.2173518337</v>
      </c>
      <c r="K4" s="21">
        <f t="shared" si="3"/>
        <v>0.1543607442</v>
      </c>
      <c r="L4" s="21">
        <f t="shared" si="3"/>
        <v>0.1694211838</v>
      </c>
      <c r="M4" s="21">
        <f t="shared" si="3"/>
        <v>0.1489991777</v>
      </c>
      <c r="O4" s="21">
        <f t="shared" ref="O4:S4" si="4">B4-I$3</f>
        <v>-0.02253386718</v>
      </c>
      <c r="P4" s="21">
        <f t="shared" si="4"/>
        <v>0.03870391633</v>
      </c>
      <c r="Q4" s="21">
        <f t="shared" si="4"/>
        <v>0.03107207813</v>
      </c>
      <c r="R4" s="21">
        <f t="shared" si="4"/>
        <v>-0.07629410022</v>
      </c>
      <c r="S4" s="21">
        <f t="shared" si="4"/>
        <v>-0.03483092848</v>
      </c>
      <c r="U4" s="14" t="s">
        <v>72</v>
      </c>
      <c r="V4" s="21">
        <v>0.021949945375234134</v>
      </c>
      <c r="W4" s="26">
        <v>0.04724181962785265</v>
      </c>
      <c r="X4" s="21">
        <v>0.009966970865990969</v>
      </c>
      <c r="Y4" s="21">
        <v>0.0040436655576646195</v>
      </c>
      <c r="Z4" s="21">
        <v>0.008598436563535199</v>
      </c>
      <c r="AA4" s="27"/>
      <c r="AB4" s="15" t="s">
        <v>73</v>
      </c>
      <c r="AC4" s="16">
        <v>0.2</v>
      </c>
      <c r="AD4" s="27"/>
      <c r="AE4" s="27"/>
      <c r="AF4" s="27"/>
      <c r="AH4" s="21">
        <v>0.04389989075046827</v>
      </c>
      <c r="AI4" s="21">
        <v>0.0944836392557053</v>
      </c>
      <c r="AJ4" s="21">
        <v>0.019933941731981937</v>
      </c>
      <c r="AK4" s="21">
        <v>0.008087331115329239</v>
      </c>
      <c r="AL4" s="21">
        <v>0.017196873127070397</v>
      </c>
      <c r="AM4" s="21">
        <v>1.0</v>
      </c>
      <c r="AO4" s="21">
        <v>0.0</v>
      </c>
      <c r="AQ4" s="28"/>
      <c r="AR4" s="17" t="s">
        <v>73</v>
      </c>
      <c r="AS4" s="18">
        <v>0.311040392020354</v>
      </c>
      <c r="AT4" s="28"/>
      <c r="AU4" s="28"/>
      <c r="AV4" s="28"/>
      <c r="AX4" s="21">
        <v>0.04389989075046827</v>
      </c>
      <c r="AY4" s="21">
        <v>0.0944836392557053</v>
      </c>
      <c r="AZ4" s="21">
        <v>0.019933941731981937</v>
      </c>
      <c r="BA4" s="21">
        <v>0.008087331115329239</v>
      </c>
      <c r="BB4" s="21">
        <v>0.017196873127070397</v>
      </c>
      <c r="BC4" s="21">
        <v>1.0</v>
      </c>
      <c r="BD4" s="21">
        <v>0.05515232166666668</v>
      </c>
      <c r="BF4" s="21">
        <v>0.0</v>
      </c>
      <c r="BH4" s="29"/>
      <c r="BI4" s="19" t="s">
        <v>73</v>
      </c>
      <c r="BJ4" s="20">
        <v>0.2900063066219666</v>
      </c>
      <c r="BK4" s="29"/>
      <c r="BL4" s="29"/>
      <c r="BM4" s="29"/>
      <c r="BO4" s="29"/>
      <c r="BP4" s="19" t="s">
        <v>73</v>
      </c>
      <c r="BQ4" s="20">
        <v>0.2842055811466246</v>
      </c>
      <c r="BR4" s="29"/>
      <c r="BS4" s="29"/>
      <c r="BT4" s="29"/>
      <c r="BV4" s="29"/>
      <c r="BW4" s="19" t="s">
        <v>73</v>
      </c>
      <c r="BX4" s="20">
        <v>0.2567820743894162</v>
      </c>
      <c r="BY4" s="29"/>
      <c r="BZ4" s="29"/>
      <c r="CA4" s="29"/>
      <c r="CC4" s="21">
        <v>1.0</v>
      </c>
      <c r="CF4" s="30"/>
      <c r="CG4" s="22" t="s">
        <v>73</v>
      </c>
      <c r="CH4" s="23">
        <v>0.256782174491248</v>
      </c>
      <c r="CI4" s="30"/>
      <c r="CJ4" s="30"/>
      <c r="CK4" s="30"/>
      <c r="CM4" s="32">
        <v>0.98</v>
      </c>
      <c r="CN4" s="32">
        <f t="shared" si="5"/>
        <v>0.02</v>
      </c>
      <c r="CO4" s="33">
        <f t="array" ref="CO4:CS4">TRANSPOSE(CM4*gmvwt+CN4*epwt2)</f>
        <v>0.09388151928</v>
      </c>
      <c r="CP4" s="33">
        <v>0.08431118404324311</v>
      </c>
      <c r="CQ4" s="33">
        <v>0.3105036958028794</v>
      </c>
      <c r="CR4" s="33">
        <v>0.22564078547151786</v>
      </c>
      <c r="CS4" s="33">
        <v>0.2856628154002051</v>
      </c>
      <c r="CU4" s="36" t="str">
        <f t="array" ref="CU4:CV4">MMULT((CO4:CS4),muvec)</f>
        <v>#REF!</v>
      </c>
      <c r="CV4" s="36">
        <f t="array" ref="CV4">SQRT(MMULT(MMULT((CO4:CS4),covmat),TRANSPOSE(CO4:CS4)))</f>
        <v>0.1115652533</v>
      </c>
      <c r="CW4" s="35" t="str">
        <f t="shared" si="6"/>
        <v>#REF!</v>
      </c>
      <c r="CX4" s="36">
        <f t="shared" si="7"/>
        <v>0.3864733742</v>
      </c>
      <c r="CY4" s="36"/>
      <c r="CZ4" s="32">
        <v>0.975</v>
      </c>
      <c r="DA4" s="32">
        <f t="shared" si="8"/>
        <v>0.025</v>
      </c>
      <c r="DB4" s="33">
        <f t="array" ref="DB4:DF4">TRANSPOSE(CZ4*opwt)</f>
        <v>0.5005508435</v>
      </c>
      <c r="DC4" s="33">
        <v>0.09691359233443503</v>
      </c>
      <c r="DD4" s="33">
        <v>0.2503626201289668</v>
      </c>
      <c r="DE4" s="33">
        <v>0.2192961715328946</v>
      </c>
      <c r="DF4" s="33">
        <v>-0.0921232275296813</v>
      </c>
      <c r="DG4" s="35"/>
      <c r="DH4" s="35"/>
      <c r="DI4" s="36">
        <f t="array" ref="DI4">SQRT(MMULT(MMULT(DB4:DF4,covmat), TRANSPOSE(DB4:DF4)))</f>
        <v>0.1317996609</v>
      </c>
      <c r="DJ4" s="36">
        <f t="array" ref="DJ4">MMULT((DB4:DF4),muvec) + DA4*rfp</f>
        <v>0.05291381527</v>
      </c>
      <c r="DK4" s="36">
        <f t="shared" si="9"/>
        <v>0.4565674181</v>
      </c>
      <c r="DL4" s="35">
        <f t="shared" si="10"/>
        <v>0.6349657832</v>
      </c>
      <c r="DM4" s="36"/>
      <c r="DN4" s="36" t="str">
        <f t="shared" si="11"/>
        <v>#REF!</v>
      </c>
      <c r="DO4" s="36">
        <f t="shared" si="12"/>
        <v>0.007729467483</v>
      </c>
      <c r="DP4" s="36"/>
    </row>
    <row r="5" ht="14.25" customHeight="1">
      <c r="A5" s="24">
        <v>45078.0</v>
      </c>
      <c r="B5" s="21">
        <v>-0.042232358</v>
      </c>
      <c r="C5" s="21">
        <v>8.0117E-4</v>
      </c>
      <c r="D5" s="21">
        <v>0.073607531</v>
      </c>
      <c r="E5" s="21">
        <v>0.112704623</v>
      </c>
      <c r="F5" s="21">
        <v>0.064297584</v>
      </c>
      <c r="H5" s="25" t="s">
        <v>35</v>
      </c>
      <c r="I5" s="21">
        <f t="shared" ref="I5:M5" si="13">SKEW(B3:B62)</f>
        <v>0.1319074948</v>
      </c>
      <c r="J5" s="21">
        <f t="shared" si="13"/>
        <v>1.239691264</v>
      </c>
      <c r="K5" s="21">
        <f t="shared" si="13"/>
        <v>1.109259352</v>
      </c>
      <c r="L5" s="21">
        <f t="shared" si="13"/>
        <v>2.132287205</v>
      </c>
      <c r="M5" s="21">
        <f t="shared" si="13"/>
        <v>-0.1462002114</v>
      </c>
      <c r="O5" s="21">
        <f t="shared" ref="O5:S5" si="14">B5-I$3</f>
        <v>-0.1083791032</v>
      </c>
      <c r="P5" s="21">
        <f t="shared" si="14"/>
        <v>-0.05435115167</v>
      </c>
      <c r="Q5" s="21">
        <f t="shared" si="14"/>
        <v>0.03778204713</v>
      </c>
      <c r="R5" s="21">
        <f t="shared" si="14"/>
        <v>0.07636686878</v>
      </c>
      <c r="S5" s="21">
        <f t="shared" si="14"/>
        <v>0.03648234952</v>
      </c>
      <c r="U5" s="14" t="s">
        <v>73</v>
      </c>
      <c r="V5" s="21">
        <v>0.007019608693090892</v>
      </c>
      <c r="W5" s="21">
        <v>0.009966970865990969</v>
      </c>
      <c r="X5" s="26">
        <v>0.023827239347230637</v>
      </c>
      <c r="Y5" s="21">
        <v>0.007124703420752919</v>
      </c>
      <c r="Z5" s="21">
        <v>0.006767449271509436</v>
      </c>
      <c r="AA5" s="27"/>
      <c r="AB5" s="15" t="s">
        <v>74</v>
      </c>
      <c r="AC5" s="16">
        <v>0.2</v>
      </c>
      <c r="AD5" s="27"/>
      <c r="AE5" s="27"/>
      <c r="AF5" s="27"/>
      <c r="AH5" s="21">
        <v>0.014039217386181784</v>
      </c>
      <c r="AI5" s="21">
        <v>0.019933941731981937</v>
      </c>
      <c r="AJ5" s="21">
        <v>0.04765447869446127</v>
      </c>
      <c r="AK5" s="21">
        <v>0.014249406841505838</v>
      </c>
      <c r="AL5" s="21">
        <v>0.013534898543018871</v>
      </c>
      <c r="AM5" s="21">
        <v>1.0</v>
      </c>
      <c r="AO5" s="21">
        <v>0.0</v>
      </c>
      <c r="AQ5" s="28"/>
      <c r="AR5" s="17" t="s">
        <v>74</v>
      </c>
      <c r="AS5" s="18">
        <v>0.2256523362687234</v>
      </c>
      <c r="AT5" s="28"/>
      <c r="AU5" s="28"/>
      <c r="AV5" s="28"/>
      <c r="AX5" s="21">
        <v>0.014039217386181784</v>
      </c>
      <c r="AY5" s="21">
        <v>0.019933941731981937</v>
      </c>
      <c r="AZ5" s="21">
        <v>0.04765447869446127</v>
      </c>
      <c r="BA5" s="21">
        <v>0.014249406841505838</v>
      </c>
      <c r="BB5" s="21">
        <v>0.013534898543018871</v>
      </c>
      <c r="BC5" s="21">
        <v>1.0</v>
      </c>
      <c r="BD5" s="21">
        <v>0.03582548386666668</v>
      </c>
      <c r="BF5" s="21">
        <v>0.0</v>
      </c>
      <c r="BH5" s="29"/>
      <c r="BI5" s="19" t="s">
        <v>74</v>
      </c>
      <c r="BJ5" s="20">
        <v>0.2253681047331416</v>
      </c>
      <c r="BK5" s="29"/>
      <c r="BL5" s="29"/>
      <c r="BM5" s="29"/>
      <c r="BO5" s="29"/>
      <c r="BP5" s="19" t="s">
        <v>74</v>
      </c>
      <c r="BQ5" s="20">
        <v>0.22507479640844608</v>
      </c>
      <c r="BR5" s="29"/>
      <c r="BS5" s="29"/>
      <c r="BT5" s="29"/>
      <c r="BV5" s="29"/>
      <c r="BW5" s="19" t="s">
        <v>74</v>
      </c>
      <c r="BX5" s="20">
        <v>0.22491929869448246</v>
      </c>
      <c r="BY5" s="29"/>
      <c r="BZ5" s="29"/>
      <c r="CA5" s="29"/>
      <c r="CC5" s="21">
        <v>1.0</v>
      </c>
      <c r="CF5" s="30"/>
      <c r="CG5" s="22" t="s">
        <v>74</v>
      </c>
      <c r="CH5" s="23">
        <v>0.2249191502901483</v>
      </c>
      <c r="CI5" s="30"/>
      <c r="CJ5" s="30"/>
      <c r="CK5" s="30"/>
      <c r="CM5" s="31">
        <v>0.96</v>
      </c>
      <c r="CN5" s="32">
        <f t="shared" si="5"/>
        <v>0.04</v>
      </c>
      <c r="CO5" s="33">
        <f t="array" ref="CO5:CS5">TRANSPOSE(CM5*gmvwt+CN5*epwt2)</f>
        <v>0.09805741184</v>
      </c>
      <c r="CP5" s="33">
        <v>0.08446247306692992</v>
      </c>
      <c r="CQ5" s="33">
        <v>0.30996699958540486</v>
      </c>
      <c r="CR5" s="33">
        <v>0.2256292346743123</v>
      </c>
      <c r="CS5" s="33">
        <v>0.2818838808283379</v>
      </c>
      <c r="CU5" s="36" t="str">
        <f t="array" ref="CU5:CV5">MMULT((CO5:CS5),muvec)</f>
        <v>#REF!</v>
      </c>
      <c r="CV5" s="36">
        <f t="array" ref="CV5">SQRT(MMULT(MMULT((CO5:CS5),covmat),TRANSPOSE(CO5:CS5)))</f>
        <v>0.1115728619</v>
      </c>
      <c r="CW5" s="35" t="str">
        <f t="shared" si="6"/>
        <v>#REF!</v>
      </c>
      <c r="CX5" s="36">
        <f t="shared" si="7"/>
        <v>0.3864997312</v>
      </c>
      <c r="CY5" s="36"/>
      <c r="CZ5" s="31">
        <v>0.95</v>
      </c>
      <c r="DA5" s="32">
        <f t="shared" si="8"/>
        <v>0.05</v>
      </c>
      <c r="DB5" s="33">
        <f t="array" ref="DB5:DF5">TRANSPOSE(CZ5*opwt)</f>
        <v>0.4877162065</v>
      </c>
      <c r="DC5" s="33">
        <v>0.09442862842842388</v>
      </c>
      <c r="DD5" s="33">
        <v>0.2439430657666856</v>
      </c>
      <c r="DE5" s="33">
        <v>0.21367319277564087</v>
      </c>
      <c r="DF5" s="33">
        <v>-0.0897610934904587</v>
      </c>
      <c r="DG5" s="35"/>
      <c r="DH5" s="35"/>
      <c r="DI5" s="36">
        <f t="array" ref="DI5">SQRT(MMULT(MMULT(DB5:DF5,covmat), TRANSPOSE(DB5:DF5)))</f>
        <v>0.1284201824</v>
      </c>
      <c r="DJ5" s="36">
        <f t="array" ref="DJ5">MMULT((DB5:DF5),muvec) + DA5*rfp</f>
        <v>0.05164252086</v>
      </c>
      <c r="DK5" s="36">
        <f t="shared" si="9"/>
        <v>0.4448605612</v>
      </c>
      <c r="DL5" s="35">
        <f t="shared" si="10"/>
        <v>0.6197102503</v>
      </c>
      <c r="DM5" s="36"/>
      <c r="DN5" s="36" t="str">
        <f t="shared" si="11"/>
        <v>#REF!</v>
      </c>
      <c r="DO5" s="36">
        <f t="shared" si="12"/>
        <v>0.01545998925</v>
      </c>
      <c r="DP5" s="36"/>
    </row>
    <row r="6" ht="14.25" customHeight="1">
      <c r="A6" s="24">
        <v>45047.0</v>
      </c>
      <c r="B6" s="21">
        <v>0.295280501</v>
      </c>
      <c r="C6" s="21">
        <v>0.110295695</v>
      </c>
      <c r="D6" s="21">
        <v>-0.025508286</v>
      </c>
      <c r="E6" s="21">
        <v>0.075097578</v>
      </c>
      <c r="F6" s="21">
        <v>0.073091491</v>
      </c>
      <c r="H6" s="25" t="s">
        <v>36</v>
      </c>
      <c r="I6" s="21">
        <f t="shared" ref="I6:M6" si="15">KURT(B3:B62)</f>
        <v>2.985011953</v>
      </c>
      <c r="J6" s="21">
        <f t="shared" si="15"/>
        <v>4.215664518</v>
      </c>
      <c r="K6" s="21">
        <f t="shared" si="15"/>
        <v>2.089379835</v>
      </c>
      <c r="L6" s="21">
        <f t="shared" si="15"/>
        <v>7.182419753</v>
      </c>
      <c r="M6" s="21">
        <f t="shared" si="15"/>
        <v>1.826560158</v>
      </c>
      <c r="O6" s="21">
        <f t="shared" ref="O6:S6" si="16">B6-I$3</f>
        <v>0.2291337558</v>
      </c>
      <c r="P6" s="21">
        <f t="shared" si="16"/>
        <v>0.05514337333</v>
      </c>
      <c r="Q6" s="21">
        <f t="shared" si="16"/>
        <v>-0.06133376987</v>
      </c>
      <c r="R6" s="21">
        <f t="shared" si="16"/>
        <v>0.03875982378</v>
      </c>
      <c r="S6" s="21">
        <f t="shared" si="16"/>
        <v>0.04527625652</v>
      </c>
      <c r="U6" s="14" t="s">
        <v>74</v>
      </c>
      <c r="V6" s="21">
        <v>0.007899284845644429</v>
      </c>
      <c r="W6" s="21">
        <v>0.0040436655576646195</v>
      </c>
      <c r="X6" s="21">
        <v>0.007124703420752919</v>
      </c>
      <c r="Y6" s="26">
        <v>0.028703537518621713</v>
      </c>
      <c r="Z6" s="21">
        <v>0.009342896132858923</v>
      </c>
      <c r="AA6" s="27"/>
      <c r="AB6" s="15" t="s">
        <v>75</v>
      </c>
      <c r="AC6" s="16">
        <v>0.2</v>
      </c>
      <c r="AD6" s="27"/>
      <c r="AE6" s="27"/>
      <c r="AF6" s="27"/>
      <c r="AH6" s="21">
        <v>0.015798569691288858</v>
      </c>
      <c r="AI6" s="21">
        <v>0.008087331115329239</v>
      </c>
      <c r="AJ6" s="21">
        <v>0.014249406841505838</v>
      </c>
      <c r="AK6" s="21">
        <v>0.057407075037243425</v>
      </c>
      <c r="AL6" s="21">
        <v>0.018685792265717847</v>
      </c>
      <c r="AM6" s="21">
        <v>1.0</v>
      </c>
      <c r="AO6" s="21">
        <v>0.0</v>
      </c>
      <c r="AQ6" s="28"/>
      <c r="AR6" s="17" t="s">
        <v>75</v>
      </c>
      <c r="AS6" s="18">
        <v>0.28944174997207234</v>
      </c>
      <c r="AT6" s="28"/>
      <c r="AU6" s="28"/>
      <c r="AV6" s="28"/>
      <c r="AX6" s="21">
        <v>0.015798569691288858</v>
      </c>
      <c r="AY6" s="21">
        <v>0.008087331115329239</v>
      </c>
      <c r="AZ6" s="21">
        <v>0.014249406841505838</v>
      </c>
      <c r="BA6" s="21">
        <v>0.057407075037243425</v>
      </c>
      <c r="BB6" s="21">
        <v>0.018685792265717847</v>
      </c>
      <c r="BC6" s="21">
        <v>1.0</v>
      </c>
      <c r="BD6" s="21">
        <v>0.03633775421666667</v>
      </c>
      <c r="BF6" s="21">
        <v>0.0</v>
      </c>
      <c r="BH6" s="29"/>
      <c r="BI6" s="19" t="s">
        <v>75</v>
      </c>
      <c r="BJ6" s="20">
        <v>0.14060612619624147</v>
      </c>
      <c r="BK6" s="29"/>
      <c r="BL6" s="29"/>
      <c r="BM6" s="29"/>
      <c r="BO6" s="29"/>
      <c r="BP6" s="19" t="s">
        <v>75</v>
      </c>
      <c r="BQ6" s="20">
        <v>0.10049502137870969</v>
      </c>
      <c r="BR6" s="29"/>
      <c r="BS6" s="29"/>
      <c r="BT6" s="29"/>
      <c r="BV6" s="29"/>
      <c r="BW6" s="19" t="s">
        <v>75</v>
      </c>
      <c r="BX6" s="20">
        <v>-0.09448559858682377</v>
      </c>
      <c r="BY6" s="29"/>
      <c r="BZ6" s="29"/>
      <c r="CA6" s="29"/>
      <c r="CC6" s="21">
        <v>1.0</v>
      </c>
      <c r="CF6" s="30"/>
      <c r="CG6" s="22" t="s">
        <v>75</v>
      </c>
      <c r="CH6" s="23">
        <v>-0.0944853615689039</v>
      </c>
      <c r="CI6" s="30"/>
      <c r="CJ6" s="30"/>
      <c r="CK6" s="30"/>
      <c r="CM6" s="31">
        <v>0.94</v>
      </c>
      <c r="CN6" s="32">
        <f t="shared" si="5"/>
        <v>0.06</v>
      </c>
      <c r="CO6" s="33">
        <f t="array" ref="CO6:CS6">TRANSPOSE(CM6*gmvwt+CN6*epwt2)</f>
        <v>0.1022333044</v>
      </c>
      <c r="CP6" s="33">
        <v>0.0846137620906167</v>
      </c>
      <c r="CQ6" s="33">
        <v>0.3094303033679302</v>
      </c>
      <c r="CR6" s="33">
        <v>0.22561768387710676</v>
      </c>
      <c r="CS6" s="33">
        <v>0.27810494625647053</v>
      </c>
      <c r="CU6" s="36" t="str">
        <f t="array" ref="CU6:CV6">MMULT((CO6:CS6),muvec)</f>
        <v>#REF!</v>
      </c>
      <c r="CV6" s="36">
        <f t="array" ref="CV6">SQRT(MMULT(MMULT((CO6:CS6),covmat),TRANSPOSE(CO6:CS6)))</f>
        <v>0.1115855418</v>
      </c>
      <c r="CW6" s="35" t="str">
        <f t="shared" si="6"/>
        <v>#REF!</v>
      </c>
      <c r="CX6" s="36">
        <f t="shared" si="7"/>
        <v>0.3865436557</v>
      </c>
      <c r="CY6" s="36"/>
      <c r="CZ6" s="32">
        <v>0.925</v>
      </c>
      <c r="DA6" s="32">
        <f t="shared" si="8"/>
        <v>0.075</v>
      </c>
      <c r="DB6" s="33">
        <f t="array" ref="DB6:DF6">TRANSPOSE(CZ6*opwt)</f>
        <v>0.4748815695</v>
      </c>
      <c r="DC6" s="33">
        <v>0.09194366452241273</v>
      </c>
      <c r="DD6" s="33">
        <v>0.23752351140440442</v>
      </c>
      <c r="DE6" s="33">
        <v>0.2080502140183872</v>
      </c>
      <c r="DF6" s="33">
        <v>-0.08739895945123612</v>
      </c>
      <c r="DG6" s="35"/>
      <c r="DH6" s="35"/>
      <c r="DI6" s="36">
        <f t="array" ref="DI6">SQRT(MMULT(MMULT(DB6:DF6,covmat), TRANSPOSE(DB6:DF6)))</f>
        <v>0.1250407039</v>
      </c>
      <c r="DJ6" s="36">
        <f t="array" ref="DJ6">MMULT((DB6:DF6),muvec) + DA6*rfp</f>
        <v>0.05037122645</v>
      </c>
      <c r="DK6" s="36">
        <f t="shared" si="9"/>
        <v>0.4331537043</v>
      </c>
      <c r="DL6" s="35">
        <f t="shared" si="10"/>
        <v>0.6044547174</v>
      </c>
      <c r="DM6" s="36"/>
      <c r="DN6" s="36" t="str">
        <f t="shared" si="11"/>
        <v>#REF!</v>
      </c>
      <c r="DO6" s="36">
        <f t="shared" si="12"/>
        <v>0.02319261934</v>
      </c>
      <c r="DP6" s="36"/>
    </row>
    <row r="7" ht="14.25" customHeight="1">
      <c r="A7" s="24">
        <v>45017.0</v>
      </c>
      <c r="B7" s="21">
        <v>0.099688622</v>
      </c>
      <c r="C7" s="21">
        <v>0.173538617</v>
      </c>
      <c r="D7" s="21">
        <v>0.082416431</v>
      </c>
      <c r="E7" s="21">
        <v>0.050008505</v>
      </c>
      <c r="F7" s="21">
        <v>0.017853855</v>
      </c>
      <c r="H7" s="25" t="s">
        <v>37</v>
      </c>
      <c r="I7" s="21">
        <f t="shared" ref="I7:M7" si="17">_xlfn.VAR.S(B3:B62)</f>
        <v>0.03496802434</v>
      </c>
      <c r="J7" s="21">
        <f t="shared" si="17"/>
        <v>0.04724181963</v>
      </c>
      <c r="K7" s="21">
        <f t="shared" si="17"/>
        <v>0.02382723935</v>
      </c>
      <c r="L7" s="21">
        <f t="shared" si="17"/>
        <v>0.02870353752</v>
      </c>
      <c r="M7" s="21">
        <f t="shared" si="17"/>
        <v>0.02220075495</v>
      </c>
      <c r="O7" s="21">
        <f t="shared" ref="O7:S7" si="18">B7-I$3</f>
        <v>0.03354187682</v>
      </c>
      <c r="P7" s="21">
        <f t="shared" si="18"/>
        <v>0.1183862953</v>
      </c>
      <c r="Q7" s="21">
        <f t="shared" si="18"/>
        <v>0.04659094713</v>
      </c>
      <c r="R7" s="21">
        <f t="shared" si="18"/>
        <v>0.01367075078</v>
      </c>
      <c r="S7" s="21">
        <f t="shared" si="18"/>
        <v>-0.009961379483</v>
      </c>
      <c r="U7" s="14" t="s">
        <v>75</v>
      </c>
      <c r="V7" s="21">
        <v>0.012079225826778343</v>
      </c>
      <c r="W7" s="21">
        <v>0.008598436563535199</v>
      </c>
      <c r="X7" s="21">
        <v>0.006767449271509436</v>
      </c>
      <c r="Y7" s="21">
        <v>0.009342896132858923</v>
      </c>
      <c r="Z7" s="26">
        <v>0.022200754946573687</v>
      </c>
      <c r="AA7" s="27"/>
      <c r="AB7" s="27"/>
      <c r="AC7" s="27"/>
      <c r="AD7" s="27"/>
      <c r="AE7" s="27"/>
      <c r="AF7" s="27"/>
      <c r="AH7" s="21">
        <v>0.024158451653556685</v>
      </c>
      <c r="AI7" s="21">
        <v>0.017196873127070397</v>
      </c>
      <c r="AJ7" s="21">
        <v>0.013534898543018871</v>
      </c>
      <c r="AK7" s="21">
        <v>0.018685792265717847</v>
      </c>
      <c r="AL7" s="21">
        <v>0.044401509893147374</v>
      </c>
      <c r="AM7" s="21">
        <v>1.0</v>
      </c>
      <c r="AO7" s="21">
        <v>0.0</v>
      </c>
      <c r="AQ7" s="28"/>
      <c r="AR7" s="28"/>
      <c r="AS7" s="28"/>
      <c r="AT7" s="28"/>
      <c r="AU7" s="28"/>
      <c r="AV7" s="28"/>
      <c r="AX7" s="21">
        <v>0.024158451653556685</v>
      </c>
      <c r="AY7" s="21">
        <v>0.017196873127070397</v>
      </c>
      <c r="AZ7" s="21">
        <v>0.013534898543018871</v>
      </c>
      <c r="BA7" s="21">
        <v>0.018685792265717847</v>
      </c>
      <c r="BB7" s="21">
        <v>0.044401509893147374</v>
      </c>
      <c r="BC7" s="21">
        <v>1.0</v>
      </c>
      <c r="BD7" s="21">
        <v>0.027815234483333322</v>
      </c>
      <c r="BF7" s="21">
        <v>0.0</v>
      </c>
      <c r="BH7" s="29"/>
      <c r="BI7" s="29"/>
      <c r="BJ7" s="29"/>
      <c r="BK7" s="29"/>
      <c r="BL7" s="29"/>
      <c r="BM7" s="29"/>
      <c r="BO7" s="29"/>
      <c r="BP7" s="29"/>
      <c r="BQ7" s="29"/>
      <c r="BR7" s="29"/>
      <c r="BS7" s="29"/>
      <c r="BT7" s="29"/>
      <c r="BV7" s="29"/>
      <c r="BW7" s="29"/>
      <c r="BX7" s="29"/>
      <c r="BY7" s="29"/>
      <c r="BZ7" s="29"/>
      <c r="CA7" s="29"/>
      <c r="CF7" s="30"/>
      <c r="CG7" s="30"/>
      <c r="CH7" s="30"/>
      <c r="CI7" s="30"/>
      <c r="CJ7" s="30"/>
      <c r="CK7" s="30"/>
      <c r="CM7" s="32">
        <v>0.92</v>
      </c>
      <c r="CN7" s="32">
        <f t="shared" si="5"/>
        <v>0.08</v>
      </c>
      <c r="CO7" s="33">
        <f t="array" ref="CO7:CS7">TRANSPOSE(CM7*gmvwt+CN7*epwt2)</f>
        <v>0.106409197</v>
      </c>
      <c r="CP7" s="33">
        <v>0.0847650511143035</v>
      </c>
      <c r="CQ7" s="33">
        <v>0.30889360715045566</v>
      </c>
      <c r="CR7" s="33">
        <v>0.2256061330799012</v>
      </c>
      <c r="CS7" s="33">
        <v>0.27432601168460335</v>
      </c>
      <c r="CU7" s="36" t="str">
        <f t="array" ref="CU7:CV7">MMULT((CO7:CS7),muvec)</f>
        <v>#REF!</v>
      </c>
      <c r="CV7" s="36">
        <f t="array" ref="CV7">SQRT(MMULT(MMULT((CO7:CS7),covmat),TRANSPOSE(CO7:CS7)))</f>
        <v>0.1116032913</v>
      </c>
      <c r="CW7" s="35" t="str">
        <f t="shared" si="6"/>
        <v>#REF!</v>
      </c>
      <c r="CX7" s="36">
        <f t="shared" si="7"/>
        <v>0.3866051416</v>
      </c>
      <c r="CY7" s="36"/>
      <c r="CZ7" s="31">
        <v>0.9</v>
      </c>
      <c r="DA7" s="32">
        <f t="shared" si="8"/>
        <v>0.1</v>
      </c>
      <c r="DB7" s="33">
        <f t="array" ref="DB7:DF7">TRANSPOSE(CZ7*opwt)</f>
        <v>0.4620469325</v>
      </c>
      <c r="DC7" s="33">
        <v>0.08945870061640157</v>
      </c>
      <c r="DD7" s="33">
        <v>0.23110395704212322</v>
      </c>
      <c r="DE7" s="33">
        <v>0.2024272352611335</v>
      </c>
      <c r="DF7" s="33">
        <v>-0.08503682541201352</v>
      </c>
      <c r="DG7" s="35"/>
      <c r="DH7" s="35"/>
      <c r="DI7" s="36">
        <f t="array" ref="DI7">SQRT(MMULT(MMULT(DB7:DF7,covmat), TRANSPOSE(DB7:DF7)))</f>
        <v>0.1216612254</v>
      </c>
      <c r="DJ7" s="36">
        <f t="array" ref="DJ7">MMULT((DB7:DF7),muvec) + DA7*rfp</f>
        <v>0.04909993204</v>
      </c>
      <c r="DK7" s="36">
        <f t="shared" si="9"/>
        <v>0.4214468475</v>
      </c>
      <c r="DL7" s="35">
        <f t="shared" si="10"/>
        <v>0.5891991845</v>
      </c>
      <c r="DM7" s="36"/>
      <c r="DN7" s="36" t="str">
        <f t="shared" si="11"/>
        <v>#REF!</v>
      </c>
      <c r="DO7" s="36">
        <f t="shared" si="12"/>
        <v>0.03092841133</v>
      </c>
      <c r="DP7" s="36"/>
    </row>
    <row r="8" ht="14.25" customHeight="1">
      <c r="A8" s="24">
        <v>44986.0</v>
      </c>
      <c r="B8" s="21">
        <v>0.283462232</v>
      </c>
      <c r="C8" s="21">
        <v>0.309637745</v>
      </c>
      <c r="D8" s="21">
        <v>0.026422407</v>
      </c>
      <c r="E8" s="21">
        <v>-0.068076986</v>
      </c>
      <c r="F8" s="21">
        <v>0.063374211</v>
      </c>
      <c r="H8" s="25" t="s">
        <v>38</v>
      </c>
      <c r="I8" s="21">
        <f t="shared" ref="I8:M8" si="19">I3*12</f>
        <v>0.7937609422</v>
      </c>
      <c r="J8" s="21">
        <f t="shared" si="19"/>
        <v>0.66182786</v>
      </c>
      <c r="K8" s="21">
        <f t="shared" si="19"/>
        <v>0.4299058064</v>
      </c>
      <c r="L8" s="21">
        <f t="shared" si="19"/>
        <v>0.4360530506</v>
      </c>
      <c r="M8" s="21">
        <f t="shared" si="19"/>
        <v>0.3337828138</v>
      </c>
      <c r="O8" s="21">
        <f t="shared" ref="O8:S8" si="20">B8-I$3</f>
        <v>0.2173154868</v>
      </c>
      <c r="P8" s="21">
        <f t="shared" si="20"/>
        <v>0.2544854233</v>
      </c>
      <c r="Q8" s="21">
        <f t="shared" si="20"/>
        <v>-0.009403076867</v>
      </c>
      <c r="R8" s="21">
        <f t="shared" si="20"/>
        <v>-0.1044147402</v>
      </c>
      <c r="S8" s="21">
        <f t="shared" si="20"/>
        <v>0.03555897652</v>
      </c>
      <c r="AA8" s="27"/>
      <c r="AB8" s="40" t="s">
        <v>39</v>
      </c>
      <c r="AC8" s="41">
        <f>SUM(AC2:AC7)</f>
        <v>1</v>
      </c>
      <c r="AD8" s="27"/>
      <c r="AE8" s="27"/>
      <c r="AF8" s="27"/>
      <c r="AH8" s="21">
        <v>1.0</v>
      </c>
      <c r="AI8" s="21">
        <v>1.0</v>
      </c>
      <c r="AJ8" s="21">
        <v>1.0</v>
      </c>
      <c r="AK8" s="21">
        <v>1.0</v>
      </c>
      <c r="AL8" s="21">
        <v>1.0</v>
      </c>
      <c r="AM8" s="21">
        <v>0.0</v>
      </c>
      <c r="AO8" s="21">
        <v>1.0</v>
      </c>
      <c r="AQ8" s="28"/>
      <c r="AR8" s="42" t="s">
        <v>39</v>
      </c>
      <c r="AS8" s="43">
        <f>SUM(AS2:AS7)</f>
        <v>1</v>
      </c>
      <c r="AT8" s="28"/>
      <c r="AU8" s="28"/>
      <c r="AV8" s="28"/>
      <c r="AX8" s="21">
        <v>1.0</v>
      </c>
      <c r="AY8" s="21">
        <v>1.0</v>
      </c>
      <c r="AZ8" s="21">
        <v>1.0</v>
      </c>
      <c r="BA8" s="21">
        <v>1.0</v>
      </c>
      <c r="BB8" s="21">
        <v>1.0</v>
      </c>
      <c r="BC8" s="21">
        <v>0.0</v>
      </c>
      <c r="BD8" s="21">
        <v>0.0</v>
      </c>
      <c r="BF8" s="21">
        <v>1.0</v>
      </c>
      <c r="BH8" s="29"/>
      <c r="BI8" s="44" t="s">
        <v>39</v>
      </c>
      <c r="BJ8" s="45">
        <f>SUM(BJ2:BJ7)</f>
        <v>1</v>
      </c>
      <c r="BK8" s="29"/>
      <c r="BL8" s="29"/>
      <c r="BM8" s="29"/>
      <c r="BO8" s="29"/>
      <c r="BP8" s="44" t="s">
        <v>39</v>
      </c>
      <c r="BQ8" s="45">
        <f>SUM(BQ2:BQ7)</f>
        <v>1</v>
      </c>
      <c r="BR8" s="29"/>
      <c r="BS8" s="29"/>
      <c r="BT8" s="29"/>
      <c r="BV8" s="29"/>
      <c r="BW8" s="44" t="s">
        <v>39</v>
      </c>
      <c r="BX8" s="45">
        <f>SUM(BX2:BX7)</f>
        <v>0.9999999879</v>
      </c>
      <c r="BY8" s="29"/>
      <c r="BZ8" s="29"/>
      <c r="CA8" s="29"/>
      <c r="CF8" s="30"/>
      <c r="CG8" s="46" t="s">
        <v>39</v>
      </c>
      <c r="CH8" s="47">
        <f>SUM(CH2:CH7)</f>
        <v>1</v>
      </c>
      <c r="CI8" s="30"/>
      <c r="CJ8" s="30"/>
      <c r="CK8" s="30"/>
      <c r="CM8" s="31">
        <v>0.9</v>
      </c>
      <c r="CN8" s="32">
        <f t="shared" si="5"/>
        <v>0.1</v>
      </c>
      <c r="CO8" s="33">
        <f t="array" ref="CO8:CS8">TRANSPOSE(CM8*gmvwt+CN8*epwt2)</f>
        <v>0.1105850895</v>
      </c>
      <c r="CP8" s="33">
        <v>0.0849163401379903</v>
      </c>
      <c r="CQ8" s="33">
        <v>0.308356910932981</v>
      </c>
      <c r="CR8" s="33">
        <v>0.22559458228269566</v>
      </c>
      <c r="CS8" s="33">
        <v>0.27054707711273607</v>
      </c>
      <c r="CU8" s="36" t="str">
        <f t="array" ref="CU8:CV8">MMULT((CO8:CS8),muvec)</f>
        <v>#REF!</v>
      </c>
      <c r="CV8" s="36">
        <f t="array" ref="CV8">SQRT(MMULT(MMULT((CO8:CS8),covmat),TRANSPOSE(CO8:CS8)))</f>
        <v>0.1116261079</v>
      </c>
      <c r="CW8" s="35" t="str">
        <f t="shared" si="6"/>
        <v>#REF!</v>
      </c>
      <c r="CX8" s="36">
        <f t="shared" si="7"/>
        <v>0.3866841806</v>
      </c>
      <c r="CY8" s="36"/>
      <c r="CZ8" s="32">
        <v>0.875</v>
      </c>
      <c r="DA8" s="32">
        <f t="shared" si="8"/>
        <v>0.125</v>
      </c>
      <c r="DB8" s="33">
        <f t="array" ref="DB8:DF8">TRANSPOSE(CZ8*opwt)</f>
        <v>0.4492122955</v>
      </c>
      <c r="DC8" s="33">
        <v>0.08697373671039041</v>
      </c>
      <c r="DD8" s="33">
        <v>0.22468440267984202</v>
      </c>
      <c r="DE8" s="33">
        <v>0.19680425650387978</v>
      </c>
      <c r="DF8" s="33">
        <v>-0.08267469137279092</v>
      </c>
      <c r="DG8" s="35"/>
      <c r="DH8" s="35"/>
      <c r="DI8" s="36">
        <f t="array" ref="DI8">SQRT(MMULT(MMULT(DB8:DF8,covmat), TRANSPOSE(DB8:DF8)))</f>
        <v>0.1182817469</v>
      </c>
      <c r="DJ8" s="36">
        <f t="array" ref="DJ8">MMULT((DB8:DF8),muvec) + DA8*rfp</f>
        <v>0.04782863763</v>
      </c>
      <c r="DK8" s="36">
        <f t="shared" si="9"/>
        <v>0.4097399906</v>
      </c>
      <c r="DL8" s="35">
        <f t="shared" si="10"/>
        <v>0.5739436516</v>
      </c>
      <c r="DM8" s="36"/>
      <c r="DN8" s="36" t="str">
        <f t="shared" si="11"/>
        <v>#REF!</v>
      </c>
      <c r="DO8" s="36">
        <f t="shared" si="12"/>
        <v>0.03866841806</v>
      </c>
      <c r="DP8" s="36"/>
    </row>
    <row r="9" ht="14.25" customHeight="1">
      <c r="A9" s="24">
        <v>44958.0</v>
      </c>
      <c r="B9" s="21">
        <v>-0.54139344</v>
      </c>
      <c r="C9" s="21">
        <v>-0.346291327</v>
      </c>
      <c r="D9" s="21">
        <v>-0.015523471</v>
      </c>
      <c r="E9" s="21">
        <v>-0.048289372</v>
      </c>
      <c r="F9" s="21">
        <v>-0.19268956</v>
      </c>
      <c r="H9" s="25" t="s">
        <v>40</v>
      </c>
      <c r="I9" s="21">
        <f t="shared" ref="I9:M9" si="21">I7*12</f>
        <v>0.419616292</v>
      </c>
      <c r="J9" s="21">
        <f t="shared" si="21"/>
        <v>0.5669018355</v>
      </c>
      <c r="K9" s="21">
        <f t="shared" si="21"/>
        <v>0.2859268722</v>
      </c>
      <c r="L9" s="21">
        <f t="shared" si="21"/>
        <v>0.3444424502</v>
      </c>
      <c r="M9" s="21">
        <f t="shared" si="21"/>
        <v>0.2664090594</v>
      </c>
      <c r="O9" s="21">
        <f t="shared" ref="O9:S9" si="22">B9-I$3</f>
        <v>-0.6075401852</v>
      </c>
      <c r="P9" s="21">
        <f t="shared" si="22"/>
        <v>-0.4014436487</v>
      </c>
      <c r="Q9" s="21">
        <f t="shared" si="22"/>
        <v>-0.05134895487</v>
      </c>
      <c r="R9" s="21">
        <f t="shared" si="22"/>
        <v>-0.08462712622</v>
      </c>
      <c r="S9" s="21">
        <f t="shared" si="22"/>
        <v>-0.2205047945</v>
      </c>
      <c r="AA9" s="27"/>
      <c r="AB9" s="27"/>
      <c r="AC9" s="27"/>
      <c r="AD9" s="27"/>
      <c r="AE9" s="27"/>
      <c r="AF9" s="27"/>
      <c r="AQ9" s="28"/>
      <c r="AR9" s="28"/>
      <c r="AS9" s="28"/>
      <c r="AT9" s="28"/>
      <c r="AU9" s="28"/>
      <c r="AV9" s="28"/>
      <c r="AX9" s="21">
        <f t="array" ref="AX9:BB9">TRANSPOSE(muvec)</f>
        <v>0.06614674518</v>
      </c>
      <c r="AY9" s="21">
        <v>0.05515232166666668</v>
      </c>
      <c r="AZ9" s="21">
        <v>0.03582548386666668</v>
      </c>
      <c r="BA9" s="21">
        <v>0.03633775421666667</v>
      </c>
      <c r="BB9" s="21">
        <v>0.027815234483333322</v>
      </c>
      <c r="BC9" s="21">
        <v>0.0</v>
      </c>
      <c r="BD9" s="21">
        <v>0.0</v>
      </c>
      <c r="BF9" s="35">
        <f>AC10</f>
        <v>0.04425550788</v>
      </c>
      <c r="BH9" s="29"/>
      <c r="BI9" s="29"/>
      <c r="BJ9" s="29"/>
      <c r="BK9" s="29"/>
      <c r="BL9" s="29"/>
      <c r="BM9" s="29"/>
      <c r="BO9" s="29"/>
      <c r="BP9" s="29"/>
      <c r="BQ9" s="29"/>
      <c r="BR9" s="29"/>
      <c r="BS9" s="29"/>
      <c r="BT9" s="29"/>
      <c r="BV9" s="29"/>
      <c r="BW9" s="29"/>
      <c r="BX9" s="29"/>
      <c r="BY9" s="29"/>
      <c r="BZ9" s="29"/>
      <c r="CA9" s="29"/>
      <c r="CF9" s="30"/>
      <c r="CG9" s="30"/>
      <c r="CH9" s="30"/>
      <c r="CI9" s="30"/>
      <c r="CJ9" s="30"/>
      <c r="CK9" s="30"/>
      <c r="CM9" s="31">
        <v>0.88</v>
      </c>
      <c r="CN9" s="32">
        <f t="shared" si="5"/>
        <v>0.12</v>
      </c>
      <c r="CO9" s="33">
        <f t="array" ref="CO9:CS9">TRANSPOSE(CM9*gmvwt+CN9*epwt2)</f>
        <v>0.1147609821</v>
      </c>
      <c r="CP9" s="33">
        <v>0.0850676291616771</v>
      </c>
      <c r="CQ9" s="33">
        <v>0.30782021471550647</v>
      </c>
      <c r="CR9" s="33">
        <v>0.22558303148549014</v>
      </c>
      <c r="CS9" s="33">
        <v>0.26676814254086884</v>
      </c>
      <c r="CU9" s="36" t="str">
        <f t="array" ref="CU9:CV9">MMULT((CO9:CS9),muvec)</f>
        <v>#REF!</v>
      </c>
      <c r="CV9" s="36">
        <f t="array" ref="CV9">SQRT(MMULT(MMULT((CO9:CS9),covmat),TRANSPOSE(CO9:CS9)))</f>
        <v>0.1116539885</v>
      </c>
      <c r="CW9" s="35" t="str">
        <f t="shared" si="6"/>
        <v>#REF!</v>
      </c>
      <c r="CX9" s="36">
        <f t="shared" si="7"/>
        <v>0.3867807618</v>
      </c>
      <c r="CY9" s="36"/>
      <c r="CZ9" s="31">
        <v>0.85</v>
      </c>
      <c r="DA9" s="32">
        <f t="shared" si="8"/>
        <v>0.15</v>
      </c>
      <c r="DB9" s="33">
        <f t="array" ref="DB9:DF9">TRANSPOSE(CZ9*opwt)</f>
        <v>0.4363776585</v>
      </c>
      <c r="DC9" s="33">
        <v>0.08448877280437926</v>
      </c>
      <c r="DD9" s="33">
        <v>0.2182648483175608</v>
      </c>
      <c r="DE9" s="33">
        <v>0.19118127774662605</v>
      </c>
      <c r="DF9" s="33">
        <v>-0.08031255733356832</v>
      </c>
      <c r="DG9" s="35"/>
      <c r="DH9" s="35"/>
      <c r="DI9" s="36">
        <f t="array" ref="DI9">SQRT(MMULT(MMULT(DB9:DF9,covmat), TRANSPOSE(DB9:DF9)))</f>
        <v>0.1149022684</v>
      </c>
      <c r="DJ9" s="36">
        <f t="array" ref="DJ9">MMULT((DB9:DF9),muvec) + DA9*rfp</f>
        <v>0.04655734322</v>
      </c>
      <c r="DK9" s="36">
        <f t="shared" si="9"/>
        <v>0.3980331337</v>
      </c>
      <c r="DL9" s="35">
        <f t="shared" si="10"/>
        <v>0.5586881187</v>
      </c>
      <c r="DM9" s="36"/>
      <c r="DN9" s="36" t="str">
        <f t="shared" si="11"/>
        <v>#REF!</v>
      </c>
      <c r="DO9" s="36">
        <f t="shared" si="12"/>
        <v>0.04641369142</v>
      </c>
      <c r="DP9" s="36"/>
    </row>
    <row r="10" ht="14.25" customHeight="1">
      <c r="A10" s="24">
        <v>44927.0</v>
      </c>
      <c r="B10" s="21">
        <v>-0.229230171</v>
      </c>
      <c r="C10" s="21">
        <v>-0.252879278</v>
      </c>
      <c r="D10" s="21">
        <v>-0.171244723</v>
      </c>
      <c r="E10" s="21">
        <v>-0.119786804</v>
      </c>
      <c r="F10" s="21">
        <v>0.077821048</v>
      </c>
      <c r="O10" s="21">
        <f t="shared" ref="O10:S10" si="23">B10-I$3</f>
        <v>-0.2953769162</v>
      </c>
      <c r="P10" s="21">
        <f t="shared" si="23"/>
        <v>-0.3080315997</v>
      </c>
      <c r="Q10" s="21">
        <f t="shared" si="23"/>
        <v>-0.2070702069</v>
      </c>
      <c r="R10" s="21">
        <f t="shared" si="23"/>
        <v>-0.1561245582</v>
      </c>
      <c r="S10" s="21">
        <f t="shared" si="23"/>
        <v>0.05000581352</v>
      </c>
      <c r="AA10" s="48" t="s">
        <v>18</v>
      </c>
      <c r="AB10" s="49" t="s">
        <v>30</v>
      </c>
      <c r="AC10" s="50">
        <f t="array" ref="AC10">MMULT(TRANSPOSE(currwt),muvec)</f>
        <v>0.04425550788</v>
      </c>
      <c r="AD10" s="27" t="s">
        <v>41</v>
      </c>
      <c r="AE10" s="27"/>
      <c r="AF10" s="27"/>
      <c r="AQ10" s="51" t="s">
        <v>18</v>
      </c>
      <c r="AR10" s="52" t="s">
        <v>30</v>
      </c>
      <c r="AS10" s="53">
        <f t="array" ref="AS10">MMULT(TRANSPOSE(gmvwt),muvec)</f>
        <v>0.03796911066</v>
      </c>
      <c r="AT10" s="28" t="s">
        <v>41</v>
      </c>
      <c r="AU10" s="28"/>
      <c r="AV10" s="28"/>
      <c r="BH10" s="54" t="s">
        <v>18</v>
      </c>
      <c r="BI10" s="55" t="s">
        <v>30</v>
      </c>
      <c r="BJ10" s="56">
        <f t="array" ref="BJ10">MMULT(TRANSPOSE(epwt),muvec)</f>
        <v>0.04425550788</v>
      </c>
      <c r="BK10" s="29" t="s">
        <v>41</v>
      </c>
      <c r="BL10" s="29"/>
      <c r="BM10" s="29"/>
      <c r="BO10" s="54" t="s">
        <v>18</v>
      </c>
      <c r="BP10" s="55" t="s">
        <v>30</v>
      </c>
      <c r="BQ10" s="56">
        <f t="array" ref="BQ10">MMULT(TRANSPOSE(epwt2),muvec)</f>
        <v>0.04595943862</v>
      </c>
      <c r="BR10" s="29" t="s">
        <v>41</v>
      </c>
      <c r="BS10" s="29"/>
      <c r="BT10" s="29"/>
      <c r="BV10" s="54" t="s">
        <v>18</v>
      </c>
      <c r="BW10" s="55" t="s">
        <v>30</v>
      </c>
      <c r="BX10" s="56">
        <f t="array" ref="BX10">MMULT(TRANSPOSE(epwt3),muvec)</f>
        <v>0.05418511581</v>
      </c>
      <c r="BY10" s="29" t="s">
        <v>41</v>
      </c>
      <c r="BZ10" s="29"/>
      <c r="CA10" s="29"/>
      <c r="CF10" s="58" t="s">
        <v>18</v>
      </c>
      <c r="CG10" s="59" t="s">
        <v>30</v>
      </c>
      <c r="CH10" s="60">
        <f t="array" ref="CH10">MMULT(TRANSPOSE(opwt),muvec)</f>
        <v>0.05418510967</v>
      </c>
      <c r="CI10" s="30" t="s">
        <v>41</v>
      </c>
      <c r="CJ10" s="30"/>
      <c r="CK10" s="30"/>
      <c r="CM10" s="32">
        <v>0.86</v>
      </c>
      <c r="CN10" s="32">
        <f t="shared" si="5"/>
        <v>0.14</v>
      </c>
      <c r="CO10" s="33">
        <f t="array" ref="CO10:CS10">TRANSPOSE(CM10*gmvwt+CN10*epwt2)</f>
        <v>0.1189368747</v>
      </c>
      <c r="CP10" s="33">
        <v>0.0852189181853639</v>
      </c>
      <c r="CQ10" s="33">
        <v>0.30728351849803187</v>
      </c>
      <c r="CR10" s="33">
        <v>0.2255714806882846</v>
      </c>
      <c r="CS10" s="33">
        <v>0.26298920796900155</v>
      </c>
      <c r="CU10" s="36" t="str">
        <f t="array" ref="CU10:CV10">MMULT((CO10:CS10),muvec)</f>
        <v>#REF!</v>
      </c>
      <c r="CV10" s="36">
        <f t="array" ref="CV10">SQRT(MMULT(MMULT((CO10:CS10),covmat),TRANSPOSE(CO10:CS10)))</f>
        <v>0.1116869293</v>
      </c>
      <c r="CW10" s="35" t="str">
        <f t="shared" si="6"/>
        <v>#REF!</v>
      </c>
      <c r="CX10" s="36">
        <f t="shared" si="7"/>
        <v>0.3868948721</v>
      </c>
      <c r="CY10" s="36"/>
      <c r="CZ10" s="32">
        <v>0.825</v>
      </c>
      <c r="DA10" s="32">
        <f t="shared" si="8"/>
        <v>0.175</v>
      </c>
      <c r="DB10" s="33">
        <f t="array" ref="DB10:DF10">TRANSPOSE(CZ10*opwt)</f>
        <v>0.4235430215</v>
      </c>
      <c r="DC10" s="33">
        <v>0.0820038088983681</v>
      </c>
      <c r="DD10" s="33">
        <v>0.2118452939552796</v>
      </c>
      <c r="DE10" s="33">
        <v>0.18555829898937234</v>
      </c>
      <c r="DF10" s="33">
        <v>-0.07795042329434572</v>
      </c>
      <c r="DG10" s="35"/>
      <c r="DH10" s="35"/>
      <c r="DI10" s="36">
        <f t="array" ref="DI10">SQRT(MMULT(MMULT(DB10:DF10,covmat), TRANSPOSE(DB10:DF10)))</f>
        <v>0.11152279</v>
      </c>
      <c r="DJ10" s="36">
        <f t="array" ref="DJ10">MMULT((DB10:DF10),muvec) + DA10*rfp</f>
        <v>0.04528604881</v>
      </c>
      <c r="DK10" s="36">
        <f t="shared" si="9"/>
        <v>0.3863262768</v>
      </c>
      <c r="DL10" s="35">
        <f t="shared" si="10"/>
        <v>0.5434325858</v>
      </c>
      <c r="DM10" s="36"/>
      <c r="DN10" s="36" t="str">
        <f t="shared" si="11"/>
        <v>#REF!</v>
      </c>
      <c r="DO10" s="36">
        <f t="shared" si="12"/>
        <v>0.0541652821</v>
      </c>
      <c r="DP10" s="36"/>
    </row>
    <row r="11" ht="14.25" customHeight="1">
      <c r="A11" s="24">
        <v>44896.0</v>
      </c>
      <c r="B11" s="21">
        <v>-0.015199404</v>
      </c>
      <c r="C11" s="21">
        <v>-0.099774642</v>
      </c>
      <c r="D11" s="21">
        <v>-0.066688335</v>
      </c>
      <c r="E11" s="21">
        <v>-0.09958118</v>
      </c>
      <c r="F11" s="21">
        <v>0.073818367</v>
      </c>
      <c r="O11" s="21">
        <f t="shared" ref="O11:S11" si="24">B11-I$3</f>
        <v>-0.08134614918</v>
      </c>
      <c r="P11" s="21">
        <f t="shared" si="24"/>
        <v>-0.1549269637</v>
      </c>
      <c r="Q11" s="21">
        <f t="shared" si="24"/>
        <v>-0.1025138189</v>
      </c>
      <c r="R11" s="21">
        <f t="shared" si="24"/>
        <v>-0.1359189342</v>
      </c>
      <c r="S11" s="21">
        <f t="shared" si="24"/>
        <v>0.04600313252</v>
      </c>
      <c r="AA11" s="61"/>
      <c r="AB11" s="62" t="s">
        <v>31</v>
      </c>
      <c r="AC11" s="63">
        <f t="array" ref="AC11">SQRT(MMULT(MMULT(TRANSPOSE(currwt),covmat),currwt))</f>
        <v>0.1177328754</v>
      </c>
      <c r="AD11" s="27" t="s">
        <v>42</v>
      </c>
      <c r="AE11" s="27"/>
      <c r="AF11" s="27"/>
      <c r="AQ11" s="61"/>
      <c r="AR11" s="64" t="s">
        <v>31</v>
      </c>
      <c r="AS11" s="65">
        <f t="array" ref="AS11">SQRT(MMULT(MMULT(TRANSPOSE(gmvwt),covmat),gmvwt))</f>
        <v>0.111562717</v>
      </c>
      <c r="AT11" s="28" t="s">
        <v>42</v>
      </c>
      <c r="AU11" s="28"/>
      <c r="AV11" s="28"/>
      <c r="BH11" s="61"/>
      <c r="BI11" s="66" t="s">
        <v>31</v>
      </c>
      <c r="BJ11" s="68">
        <f t="array" ref="BJ11">SQRT(MMULT(MMULT(TRANSPOSE(epwt),covmat),epwt))</f>
        <v>0.1154208635</v>
      </c>
      <c r="BK11" s="29" t="s">
        <v>42</v>
      </c>
      <c r="BL11" s="29"/>
      <c r="BM11" s="29"/>
      <c r="BO11" s="61"/>
      <c r="BP11" s="66" t="s">
        <v>31</v>
      </c>
      <c r="BQ11" s="68">
        <f t="array" ref="BQ11">SQRT(MMULT(MMULT(TRANSPOSE(epwt2),covmat),epwt2))</f>
        <v>0.1177329771</v>
      </c>
      <c r="BR11" s="29" t="s">
        <v>42</v>
      </c>
      <c r="BS11" s="29"/>
      <c r="BT11" s="29"/>
      <c r="BV11" s="61"/>
      <c r="BW11" s="66" t="s">
        <v>31</v>
      </c>
      <c r="BX11" s="68">
        <f t="array" ref="BX11">SQRT(MMULT(MMULT(TRANSPOSE(epwt3),covmat),epwt3))</f>
        <v>0.1351791558</v>
      </c>
      <c r="BY11" s="29" t="s">
        <v>42</v>
      </c>
      <c r="BZ11" s="29"/>
      <c r="CA11" s="29"/>
      <c r="CF11" s="61"/>
      <c r="CG11" s="69" t="s">
        <v>31</v>
      </c>
      <c r="CH11" s="70">
        <f t="array" ref="CH11">SQRT(MMULT(MMULT(TRANSPOSE(opwt),covmat),opwt))</f>
        <v>0.1351791394</v>
      </c>
      <c r="CI11" s="30" t="s">
        <v>42</v>
      </c>
      <c r="CJ11" s="30"/>
      <c r="CK11" s="30"/>
      <c r="CM11" s="31">
        <v>0.84</v>
      </c>
      <c r="CN11" s="32">
        <f t="shared" si="5"/>
        <v>0.16</v>
      </c>
      <c r="CO11" s="33">
        <f t="array" ref="CO11:CS11">TRANSPOSE(CM11*gmvwt+CN11*epwt2)</f>
        <v>0.1231127672</v>
      </c>
      <c r="CP11" s="33">
        <v>0.08537020720905068</v>
      </c>
      <c r="CQ11" s="33">
        <v>0.3067468222805573</v>
      </c>
      <c r="CR11" s="33">
        <v>0.22555992989107904</v>
      </c>
      <c r="CS11" s="33">
        <v>0.2592102733971343</v>
      </c>
      <c r="CU11" s="36" t="str">
        <f t="array" ref="CU11:CV11">MMULT((CO11:CS11),muvec)</f>
        <v>#REF!</v>
      </c>
      <c r="CV11" s="36">
        <f t="array" ref="CV11">SQRT(MMULT(MMULT((CO11:CS11),covmat),TRANSPOSE(CO11:CS11)))</f>
        <v>0.1117249259</v>
      </c>
      <c r="CW11" s="35" t="str">
        <f t="shared" si="6"/>
        <v>#REF!</v>
      </c>
      <c r="CX11" s="36">
        <f t="shared" si="7"/>
        <v>0.3870264961</v>
      </c>
      <c r="CY11" s="36"/>
      <c r="CZ11" s="31">
        <v>0.8</v>
      </c>
      <c r="DA11" s="32">
        <f t="shared" si="8"/>
        <v>0.2</v>
      </c>
      <c r="DB11" s="33">
        <f t="array" ref="DB11:DF11">TRANSPOSE(CZ11*opwt)</f>
        <v>0.4107083844</v>
      </c>
      <c r="DC11" s="33">
        <v>0.07951884499235695</v>
      </c>
      <c r="DD11" s="33">
        <v>0.20542573959299842</v>
      </c>
      <c r="DE11" s="33">
        <v>0.17993532023211867</v>
      </c>
      <c r="DF11" s="33">
        <v>-0.07558828925512312</v>
      </c>
      <c r="DG11" s="35"/>
      <c r="DH11" s="35"/>
      <c r="DI11" s="36">
        <f t="array" ref="DI11">SQRT(MMULT(MMULT(DB11:DF11,covmat), TRANSPOSE(DB11:DF11)))</f>
        <v>0.1081433115</v>
      </c>
      <c r="DJ11" s="36">
        <f t="array" ref="DJ11">MMULT((DB11:DF11),muvec) + DA11*rfp</f>
        <v>0.04401475441</v>
      </c>
      <c r="DK11" s="36">
        <f t="shared" si="9"/>
        <v>0.37461942</v>
      </c>
      <c r="DL11" s="35">
        <f t="shared" si="10"/>
        <v>0.5281770529</v>
      </c>
      <c r="DM11" s="36"/>
      <c r="DN11" s="36" t="str">
        <f t="shared" si="11"/>
        <v>#REF!</v>
      </c>
      <c r="DO11" s="36">
        <f t="shared" si="12"/>
        <v>0.06192423938</v>
      </c>
      <c r="DP11" s="36"/>
    </row>
    <row r="12" ht="14.25" customHeight="1">
      <c r="A12" s="24">
        <v>44866.0</v>
      </c>
      <c r="B12" s="21">
        <v>0.170413288</v>
      </c>
      <c r="C12" s="21">
        <v>-0.006419809</v>
      </c>
      <c r="D12" s="21">
        <v>-0.087368576</v>
      </c>
      <c r="E12" s="21">
        <v>-0.081619105</v>
      </c>
      <c r="F12" s="21">
        <v>0.08386767</v>
      </c>
      <c r="I12" s="71" t="s">
        <v>43</v>
      </c>
      <c r="O12" s="21">
        <f t="shared" ref="O12:S12" si="25">B12-I$3</f>
        <v>0.1042665428</v>
      </c>
      <c r="P12" s="21">
        <f t="shared" si="25"/>
        <v>-0.06157213067</v>
      </c>
      <c r="Q12" s="21">
        <f t="shared" si="25"/>
        <v>-0.1231940599</v>
      </c>
      <c r="R12" s="21">
        <f t="shared" si="25"/>
        <v>-0.1179568592</v>
      </c>
      <c r="S12" s="21">
        <f t="shared" si="25"/>
        <v>0.05605243552</v>
      </c>
      <c r="AA12" s="72"/>
      <c r="AB12" s="73" t="s">
        <v>44</v>
      </c>
      <c r="AC12" s="74">
        <f>(AC10-AC22)/AC11</f>
        <v>0.3475849409</v>
      </c>
      <c r="AD12" s="27" t="s">
        <v>45</v>
      </c>
      <c r="AE12" s="27"/>
      <c r="AF12" s="27"/>
      <c r="AQ12" s="72"/>
      <c r="AR12" s="75" t="s">
        <v>44</v>
      </c>
      <c r="AS12" s="76">
        <f>(AS10-AS22)/AS11</f>
        <v>0.3104601453</v>
      </c>
      <c r="AT12" s="28" t="s">
        <v>45</v>
      </c>
      <c r="AU12" s="28"/>
      <c r="AV12" s="28"/>
      <c r="BH12" s="72"/>
      <c r="BI12" s="77" t="s">
        <v>44</v>
      </c>
      <c r="BJ12" s="78">
        <f>(BJ10-BJ22)/BJ11</f>
        <v>0.354547465</v>
      </c>
      <c r="BK12" s="29" t="s">
        <v>45</v>
      </c>
      <c r="BL12" s="29"/>
      <c r="BM12" s="29"/>
      <c r="BO12" s="72"/>
      <c r="BP12" s="77" t="s">
        <v>44</v>
      </c>
      <c r="BQ12" s="78">
        <f>(BQ10-BQ22)/BQ11</f>
        <v>0.3620574824</v>
      </c>
      <c r="BR12" s="29" t="s">
        <v>45</v>
      </c>
      <c r="BS12" s="29"/>
      <c r="BT12" s="29"/>
      <c r="BV12" s="72"/>
      <c r="BW12" s="77" t="s">
        <v>44</v>
      </c>
      <c r="BX12" s="78">
        <f>(BX10-BX22)/BX11</f>
        <v>0.3761806485</v>
      </c>
      <c r="BY12" s="29" t="s">
        <v>45</v>
      </c>
      <c r="BZ12" s="29"/>
      <c r="CA12" s="29"/>
      <c r="CF12" s="72"/>
      <c r="CG12" s="79" t="s">
        <v>44</v>
      </c>
      <c r="CH12" s="80">
        <f>(CH10-CH22)/CH11</f>
        <v>0.3761806488</v>
      </c>
      <c r="CI12" s="30" t="s">
        <v>45</v>
      </c>
      <c r="CJ12" s="30"/>
      <c r="CK12" s="30"/>
      <c r="CM12" s="31">
        <v>0.82</v>
      </c>
      <c r="CN12" s="32">
        <f t="shared" si="5"/>
        <v>0.18</v>
      </c>
      <c r="CO12" s="33">
        <f t="array" ref="CO12:CS12">TRANSPOSE(CM12*gmvwt+CN12*epwt2)</f>
        <v>0.1272886598</v>
      </c>
      <c r="CP12" s="33">
        <v>0.08552149623273748</v>
      </c>
      <c r="CQ12" s="33">
        <v>0.3062101260630827</v>
      </c>
      <c r="CR12" s="33">
        <v>0.22554837909387349</v>
      </c>
      <c r="CS12" s="33">
        <v>0.25543133882526703</v>
      </c>
      <c r="CU12" s="36" t="str">
        <f t="array" ref="CU12:CV12">MMULT((CO12:CS12),muvec)</f>
        <v>#REF!</v>
      </c>
      <c r="CV12" s="36">
        <f t="array" ref="CV12">SQRT(MMULT(MMULT((CO12:CS12),covmat),TRANSPOSE(CO12:CS12)))</f>
        <v>0.111767973</v>
      </c>
      <c r="CW12" s="35" t="str">
        <f t="shared" si="6"/>
        <v>#REF!</v>
      </c>
      <c r="CX12" s="36">
        <f t="shared" si="7"/>
        <v>0.3871756159</v>
      </c>
      <c r="CY12" s="36"/>
      <c r="CZ12" s="32">
        <v>0.775</v>
      </c>
      <c r="DA12" s="32">
        <f t="shared" si="8"/>
        <v>0.225</v>
      </c>
      <c r="DB12" s="33">
        <f t="array" ref="DB12:DF12">TRANSPOSE(CZ12*opwt)</f>
        <v>0.3978737474</v>
      </c>
      <c r="DC12" s="33">
        <v>0.0770338810863458</v>
      </c>
      <c r="DD12" s="33">
        <v>0.19900618523071723</v>
      </c>
      <c r="DE12" s="33">
        <v>0.17431234147486493</v>
      </c>
      <c r="DF12" s="33">
        <v>-0.07322615521590052</v>
      </c>
      <c r="DG12" s="35"/>
      <c r="DH12" s="35"/>
      <c r="DI12" s="36">
        <f t="array" ref="DI12">SQRT(MMULT(MMULT(DB12:DF12,covmat), TRANSPOSE(DB12:DF12)))</f>
        <v>0.104763833</v>
      </c>
      <c r="DJ12" s="36">
        <f t="array" ref="DJ12">MMULT((DB12:DF12),muvec) + DA12*rfp</f>
        <v>0.04274346</v>
      </c>
      <c r="DK12" s="36">
        <f t="shared" si="9"/>
        <v>0.3629125631</v>
      </c>
      <c r="DL12" s="35">
        <f t="shared" si="10"/>
        <v>0.51292152</v>
      </c>
      <c r="DM12" s="36"/>
      <c r="DN12" s="36" t="str">
        <f t="shared" si="11"/>
        <v>#REF!</v>
      </c>
      <c r="DO12" s="36">
        <f t="shared" si="12"/>
        <v>0.06969161086</v>
      </c>
      <c r="DP12" s="36"/>
    </row>
    <row r="13" ht="14.25" customHeight="1">
      <c r="A13" s="24">
        <v>44835.0</v>
      </c>
      <c r="B13" s="21">
        <v>-0.031339107</v>
      </c>
      <c r="C13" s="21">
        <v>-0.103346737</v>
      </c>
      <c r="D13" s="21">
        <v>0.124188388</v>
      </c>
      <c r="E13" s="21">
        <v>-0.11393765</v>
      </c>
      <c r="F13" s="21">
        <v>0.039807474</v>
      </c>
      <c r="I13" s="14" t="str">
        <f t="array" ref="I13:M17">TRANSPOSE(I2:M6)</f>
        <v>ADANIENT.NS</v>
      </c>
      <c r="J13" s="21">
        <v>0.06614674518333331</v>
      </c>
      <c r="K13" s="21">
        <v>0.18699739125583456</v>
      </c>
      <c r="L13" s="21">
        <v>0.1319074948190226</v>
      </c>
      <c r="M13" s="21">
        <v>2.9850119528280588</v>
      </c>
      <c r="O13" s="21">
        <f t="shared" ref="O13:S13" si="26">B13-I$3</f>
        <v>-0.09748585218</v>
      </c>
      <c r="P13" s="21">
        <f t="shared" si="26"/>
        <v>-0.1584990587</v>
      </c>
      <c r="Q13" s="21">
        <f t="shared" si="26"/>
        <v>0.08836290413</v>
      </c>
      <c r="R13" s="21">
        <f t="shared" si="26"/>
        <v>-0.1502754042</v>
      </c>
      <c r="S13" s="21">
        <f t="shared" si="26"/>
        <v>0.01199223952</v>
      </c>
      <c r="AA13" s="27"/>
      <c r="AB13" s="27"/>
      <c r="AC13" s="27"/>
      <c r="AD13" s="27"/>
      <c r="AE13" s="27"/>
      <c r="AF13" s="27"/>
      <c r="AQ13" s="28"/>
      <c r="AR13" s="28"/>
      <c r="AS13" s="28"/>
      <c r="AT13" s="28"/>
      <c r="AU13" s="28"/>
      <c r="AV13" s="28"/>
      <c r="BH13" s="29"/>
      <c r="BI13" s="29"/>
      <c r="BJ13" s="29"/>
      <c r="BK13" s="29"/>
      <c r="BL13" s="29"/>
      <c r="BM13" s="29"/>
      <c r="BO13" s="29"/>
      <c r="BP13" s="29"/>
      <c r="BQ13" s="29"/>
      <c r="BR13" s="29"/>
      <c r="BS13" s="29"/>
      <c r="BT13" s="29"/>
      <c r="BV13" s="29"/>
      <c r="BW13" s="29"/>
      <c r="BX13" s="29"/>
      <c r="BY13" s="29"/>
      <c r="BZ13" s="29"/>
      <c r="CA13" s="29"/>
      <c r="CD13" s="35"/>
      <c r="CF13" s="30"/>
      <c r="CG13" s="30"/>
      <c r="CH13" s="30"/>
      <c r="CI13" s="30"/>
      <c r="CJ13" s="30"/>
      <c r="CK13" s="30"/>
      <c r="CM13" s="31">
        <v>0.8</v>
      </c>
      <c r="CN13" s="32">
        <f t="shared" si="5"/>
        <v>0.2</v>
      </c>
      <c r="CO13" s="33">
        <f t="array" ref="CO13:CS13">TRANSPOSE(CM13*gmvwt+CN13*epwt2)</f>
        <v>0.1314645523</v>
      </c>
      <c r="CP13" s="33">
        <v>0.08567278525642427</v>
      </c>
      <c r="CQ13" s="33">
        <v>0.30567342984560814</v>
      </c>
      <c r="CR13" s="33">
        <v>0.22553682829666793</v>
      </c>
      <c r="CS13" s="33">
        <v>0.25165240425339985</v>
      </c>
      <c r="CU13" s="36" t="str">
        <f t="array" ref="CU13:CV13">MMULT((CO13:CS13),muvec)</f>
        <v>#REF!</v>
      </c>
      <c r="CV13" s="36">
        <f t="array" ref="CV13">SQRT(MMULT(MMULT((CO13:CS13),covmat),TRANSPOSE(CO13:CS13)))</f>
        <v>0.111816065</v>
      </c>
      <c r="CW13" s="35" t="str">
        <f t="shared" si="6"/>
        <v>#REF!</v>
      </c>
      <c r="CX13" s="36">
        <f t="shared" si="7"/>
        <v>0.3873422112</v>
      </c>
      <c r="CY13" s="36"/>
      <c r="CZ13" s="31">
        <v>0.75</v>
      </c>
      <c r="DA13" s="32">
        <f t="shared" si="8"/>
        <v>0.25</v>
      </c>
      <c r="DB13" s="33">
        <f t="array" ref="DB13:DF13">TRANSPOSE(CZ13*opwt)</f>
        <v>0.3850391104</v>
      </c>
      <c r="DC13" s="33">
        <v>0.07454891718033464</v>
      </c>
      <c r="DD13" s="33">
        <v>0.19258663086843603</v>
      </c>
      <c r="DE13" s="33">
        <v>0.16868936271761123</v>
      </c>
      <c r="DF13" s="33">
        <v>-0.07086402117667792</v>
      </c>
      <c r="DG13" s="35"/>
      <c r="DH13" s="35"/>
      <c r="DI13" s="36">
        <f t="array" ref="DI13">SQRT(MMULT(MMULT(DB13:DF13,covmat), TRANSPOSE(DB13:DF13)))</f>
        <v>0.1013843545</v>
      </c>
      <c r="DJ13" s="36">
        <f t="array" ref="DJ13">MMULT((DB13:DF13),muvec) + DA13*rfp</f>
        <v>0.04147216559</v>
      </c>
      <c r="DK13" s="36">
        <f t="shared" si="9"/>
        <v>0.3512057062</v>
      </c>
      <c r="DL13" s="35">
        <f t="shared" si="10"/>
        <v>0.4976659871</v>
      </c>
      <c r="DM13" s="36"/>
      <c r="DN13" s="36" t="str">
        <f t="shared" si="11"/>
        <v>#REF!</v>
      </c>
      <c r="DO13" s="36">
        <f t="shared" si="12"/>
        <v>0.07746844224</v>
      </c>
      <c r="DP13" s="36"/>
    </row>
    <row r="14" ht="14.25" customHeight="1">
      <c r="A14" s="24">
        <v>44805.0</v>
      </c>
      <c r="B14" s="21">
        <v>0.081831948</v>
      </c>
      <c r="C14" s="21">
        <v>-0.097717142</v>
      </c>
      <c r="D14" s="21">
        <v>-0.119337291</v>
      </c>
      <c r="E14" s="21">
        <v>-0.114066088</v>
      </c>
      <c r="F14" s="21">
        <v>-7.4015E-4</v>
      </c>
      <c r="I14" s="14" t="s">
        <v>72</v>
      </c>
      <c r="J14" s="21">
        <v>0.05515232166666668</v>
      </c>
      <c r="K14" s="21">
        <v>0.21735183373473674</v>
      </c>
      <c r="L14" s="21">
        <v>1.2396912640689792</v>
      </c>
      <c r="M14" s="21">
        <v>4.21566451796617</v>
      </c>
      <c r="O14" s="21">
        <f t="shared" ref="O14:S14" si="27">B14-I$3</f>
        <v>0.01568520282</v>
      </c>
      <c r="P14" s="21">
        <f t="shared" si="27"/>
        <v>-0.1528694637</v>
      </c>
      <c r="Q14" s="21">
        <f t="shared" si="27"/>
        <v>-0.1551627749</v>
      </c>
      <c r="R14" s="21">
        <f t="shared" si="27"/>
        <v>-0.1504038422</v>
      </c>
      <c r="S14" s="21">
        <f t="shared" si="27"/>
        <v>-0.02855538448</v>
      </c>
      <c r="AA14" s="27"/>
      <c r="AB14" s="27"/>
      <c r="AC14" s="27"/>
      <c r="AD14" s="27"/>
      <c r="AE14" s="27"/>
      <c r="AF14" s="27"/>
      <c r="AQ14" s="28"/>
      <c r="AR14" s="28"/>
      <c r="AS14" s="28"/>
      <c r="AT14" s="28"/>
      <c r="AU14" s="28"/>
      <c r="AV14" s="28"/>
      <c r="BH14" s="29"/>
      <c r="BI14" s="29"/>
      <c r="BJ14" s="82"/>
      <c r="BK14" s="29"/>
      <c r="BL14" s="29"/>
      <c r="BM14" s="29"/>
      <c r="BO14" s="29"/>
      <c r="BP14" s="29"/>
      <c r="BQ14" s="82"/>
      <c r="BR14" s="29"/>
      <c r="BS14" s="29"/>
      <c r="BT14" s="29"/>
      <c r="BV14" s="29"/>
      <c r="BW14" s="29"/>
      <c r="BX14" s="82"/>
      <c r="BY14" s="29"/>
      <c r="BZ14" s="29"/>
      <c r="CA14" s="29"/>
      <c r="CD14" s="83"/>
      <c r="CF14" s="30"/>
      <c r="CG14" s="30"/>
      <c r="CH14" s="30"/>
      <c r="CI14" s="30"/>
      <c r="CJ14" s="30"/>
      <c r="CK14" s="30"/>
      <c r="CM14" s="32">
        <v>0.78</v>
      </c>
      <c r="CN14" s="32">
        <f t="shared" si="5"/>
        <v>0.22</v>
      </c>
      <c r="CO14" s="33">
        <f t="array" ref="CO14:CS14">TRANSPOSE(CM14*gmvwt+CN14*epwt2)</f>
        <v>0.1356404449</v>
      </c>
      <c r="CP14" s="33">
        <v>0.08582407428011107</v>
      </c>
      <c r="CQ14" s="33">
        <v>0.30513673362813354</v>
      </c>
      <c r="CR14" s="33">
        <v>0.22552527749946238</v>
      </c>
      <c r="CS14" s="33">
        <v>0.24787346968153257</v>
      </c>
      <c r="CU14" s="36" t="str">
        <f t="array" ref="CU14:CV14">MMULT((CO14:CS14),muvec)</f>
        <v>#REF!</v>
      </c>
      <c r="CV14" s="36">
        <f t="array" ref="CV14">SQRT(MMULT(MMULT((CO14:CS14),covmat),TRANSPOSE(CO14:CS14)))</f>
        <v>0.1118691951</v>
      </c>
      <c r="CW14" s="35" t="str">
        <f t="shared" si="6"/>
        <v>#REF!</v>
      </c>
      <c r="CX14" s="36">
        <f t="shared" si="7"/>
        <v>0.3875262595</v>
      </c>
      <c r="CY14" s="36"/>
      <c r="CZ14" s="32">
        <v>0.725</v>
      </c>
      <c r="DA14" s="32">
        <f t="shared" si="8"/>
        <v>0.275</v>
      </c>
      <c r="DB14" s="33">
        <f t="array" ref="DB14:DF14">TRANSPOSE(CZ14*opwt)</f>
        <v>0.3722044734</v>
      </c>
      <c r="DC14" s="33">
        <v>0.07206395327432348</v>
      </c>
      <c r="DD14" s="33">
        <v>0.1861670765061548</v>
      </c>
      <c r="DE14" s="33">
        <v>0.16306638396035752</v>
      </c>
      <c r="DF14" s="33">
        <v>-0.06850188713745532</v>
      </c>
      <c r="DG14" s="35"/>
      <c r="DH14" s="35"/>
      <c r="DI14" s="36">
        <f t="array" ref="DI14">SQRT(MMULT(MMULT(DB14:DF14,covmat), TRANSPOSE(DB14:DF14)))</f>
        <v>0.09800487603</v>
      </c>
      <c r="DJ14" s="36">
        <f t="array" ref="DJ14">MMULT((DB14:DF14),muvec) + DA14*rfp</f>
        <v>0.04020087118</v>
      </c>
      <c r="DK14" s="36">
        <f t="shared" si="9"/>
        <v>0.3394988493</v>
      </c>
      <c r="DL14" s="35">
        <f t="shared" si="10"/>
        <v>0.4824104542</v>
      </c>
      <c r="DM14" s="36"/>
      <c r="DN14" s="36" t="str">
        <f t="shared" si="11"/>
        <v>#REF!</v>
      </c>
      <c r="DO14" s="36">
        <f t="shared" si="12"/>
        <v>0.0852557771</v>
      </c>
      <c r="DP14" s="36"/>
    </row>
    <row r="15" ht="14.25" customHeight="1">
      <c r="A15" s="24">
        <v>44774.0</v>
      </c>
      <c r="B15" s="21">
        <v>0.243853452</v>
      </c>
      <c r="C15" s="21">
        <v>0.318522045</v>
      </c>
      <c r="D15" s="21">
        <v>0.428481665</v>
      </c>
      <c r="E15" s="21">
        <v>0.107805584</v>
      </c>
      <c r="F15" s="21">
        <v>0.149610293</v>
      </c>
      <c r="I15" s="14" t="s">
        <v>73</v>
      </c>
      <c r="J15" s="21">
        <v>0.03582548386666668</v>
      </c>
      <c r="K15" s="21">
        <v>0.15436074419110138</v>
      </c>
      <c r="L15" s="21">
        <v>1.1092593515627434</v>
      </c>
      <c r="M15" s="21">
        <v>2.089379835494609</v>
      </c>
      <c r="O15" s="21">
        <f t="shared" ref="O15:S15" si="28">B15-I$3</f>
        <v>0.1777067068</v>
      </c>
      <c r="P15" s="21">
        <f t="shared" si="28"/>
        <v>0.2633697233</v>
      </c>
      <c r="Q15" s="21">
        <f t="shared" si="28"/>
        <v>0.3926561811</v>
      </c>
      <c r="R15" s="21">
        <f t="shared" si="28"/>
        <v>0.07146782978</v>
      </c>
      <c r="S15" s="21">
        <f t="shared" si="28"/>
        <v>0.1217950585</v>
      </c>
      <c r="AA15" s="48" t="s">
        <v>46</v>
      </c>
      <c r="AB15" s="49" t="s">
        <v>30</v>
      </c>
      <c r="AC15" s="50">
        <f>AC10*12</f>
        <v>0.5310660946</v>
      </c>
      <c r="AD15" s="27" t="s">
        <v>47</v>
      </c>
      <c r="AE15" s="27"/>
      <c r="AF15" s="27"/>
      <c r="AQ15" s="51" t="s">
        <v>46</v>
      </c>
      <c r="AR15" s="52" t="s">
        <v>30</v>
      </c>
      <c r="AS15" s="84">
        <f>AS10*12</f>
        <v>0.4556293279</v>
      </c>
      <c r="AT15" s="28" t="s">
        <v>47</v>
      </c>
      <c r="AU15" s="28"/>
      <c r="AV15" s="28"/>
      <c r="BH15" s="54" t="s">
        <v>46</v>
      </c>
      <c r="BI15" s="55" t="s">
        <v>30</v>
      </c>
      <c r="BJ15" s="56">
        <f>BJ10*12</f>
        <v>0.5310660946</v>
      </c>
      <c r="BK15" s="29" t="s">
        <v>47</v>
      </c>
      <c r="BL15" s="29"/>
      <c r="BM15" s="29"/>
      <c r="BO15" s="54" t="s">
        <v>46</v>
      </c>
      <c r="BP15" s="55" t="s">
        <v>30</v>
      </c>
      <c r="BQ15" s="56">
        <f>BQ10*12</f>
        <v>0.5515132634</v>
      </c>
      <c r="BR15" s="29" t="s">
        <v>47</v>
      </c>
      <c r="BS15" s="29"/>
      <c r="BT15" s="29"/>
      <c r="BV15" s="54" t="s">
        <v>46</v>
      </c>
      <c r="BW15" s="55" t="s">
        <v>30</v>
      </c>
      <c r="BX15" s="56">
        <f>BX10*12</f>
        <v>0.6502213897</v>
      </c>
      <c r="BY15" s="29" t="s">
        <v>47</v>
      </c>
      <c r="BZ15" s="29"/>
      <c r="CA15" s="29"/>
      <c r="CD15" s="31"/>
      <c r="CF15" s="58" t="s">
        <v>46</v>
      </c>
      <c r="CG15" s="59" t="s">
        <v>30</v>
      </c>
      <c r="CH15" s="60">
        <f>CH10*12</f>
        <v>0.6502213161</v>
      </c>
      <c r="CI15" s="30" t="s">
        <v>47</v>
      </c>
      <c r="CJ15" s="30"/>
      <c r="CK15" s="30"/>
      <c r="CM15" s="31">
        <v>0.76</v>
      </c>
      <c r="CN15" s="32">
        <f t="shared" si="5"/>
        <v>0.24</v>
      </c>
      <c r="CO15" s="33">
        <f t="array" ref="CO15:CS15">TRANSPOSE(CM15*gmvwt+CN15*epwt2)</f>
        <v>0.1398163375</v>
      </c>
      <c r="CP15" s="33">
        <v>0.08597536330379787</v>
      </c>
      <c r="CQ15" s="33">
        <v>0.30460003741065894</v>
      </c>
      <c r="CR15" s="33">
        <v>0.22551372670225683</v>
      </c>
      <c r="CS15" s="33">
        <v>0.2440945351096653</v>
      </c>
      <c r="CU15" s="36" t="str">
        <f t="array" ref="CU15:CV15">MMULT((CO15:CS15),muvec)</f>
        <v>#REF!</v>
      </c>
      <c r="CV15" s="36">
        <f t="array" ref="CV15">SQRT(MMULT(MMULT((CO15:CS15),covmat),TRANSPOSE(CO15:CS15)))</f>
        <v>0.1119273564</v>
      </c>
      <c r="CW15" s="35" t="str">
        <f t="shared" si="6"/>
        <v>#REF!</v>
      </c>
      <c r="CX15" s="36">
        <f t="shared" si="7"/>
        <v>0.3877277361</v>
      </c>
      <c r="CY15" s="36"/>
      <c r="CZ15" s="31">
        <v>0.7</v>
      </c>
      <c r="DA15" s="32">
        <f t="shared" si="8"/>
        <v>0.3</v>
      </c>
      <c r="DB15" s="33">
        <f t="array" ref="DB15:DF15">TRANSPOSE(CZ15*opwt)</f>
        <v>0.3593698364</v>
      </c>
      <c r="DC15" s="33">
        <v>0.06957898936831233</v>
      </c>
      <c r="DD15" s="33">
        <v>0.1797475221438736</v>
      </c>
      <c r="DE15" s="33">
        <v>0.1574434052031038</v>
      </c>
      <c r="DF15" s="33">
        <v>-0.06613975309823272</v>
      </c>
      <c r="DG15" s="35"/>
      <c r="DH15" s="35"/>
      <c r="DI15" s="36">
        <f t="array" ref="DI15">SQRT(MMULT(MMULT(DB15:DF15,covmat), TRANSPOSE(DB15:DF15)))</f>
        <v>0.09462539755</v>
      </c>
      <c r="DJ15" s="36">
        <f t="array" ref="DJ15">MMULT((DB15:DF15),muvec) + DA15*rfp</f>
        <v>0.03892957677</v>
      </c>
      <c r="DK15" s="36">
        <f t="shared" si="9"/>
        <v>0.3277919925</v>
      </c>
      <c r="DL15" s="35">
        <f t="shared" si="10"/>
        <v>0.4671549213</v>
      </c>
      <c r="DM15" s="36"/>
      <c r="DN15" s="36" t="str">
        <f t="shared" si="11"/>
        <v>#REF!</v>
      </c>
      <c r="DO15" s="36">
        <f t="shared" si="12"/>
        <v>0.09305465665</v>
      </c>
      <c r="DP15" s="36"/>
    </row>
    <row r="16" ht="14.25" customHeight="1">
      <c r="A16" s="24">
        <v>44743.0</v>
      </c>
      <c r="B16" s="21">
        <v>0.172668706</v>
      </c>
      <c r="C16" s="21">
        <v>0.194407475</v>
      </c>
      <c r="D16" s="21">
        <v>0.148112568</v>
      </c>
      <c r="E16" s="21">
        <v>0.124811673</v>
      </c>
      <c r="F16" s="21">
        <v>0.140358762</v>
      </c>
      <c r="I16" s="14" t="s">
        <v>74</v>
      </c>
      <c r="J16" s="21">
        <v>0.03633775421666667</v>
      </c>
      <c r="K16" s="21">
        <v>0.16942118379536167</v>
      </c>
      <c r="L16" s="21">
        <v>2.1322872051903836</v>
      </c>
      <c r="M16" s="21">
        <v>7.182419753369027</v>
      </c>
      <c r="O16" s="21">
        <f t="shared" ref="O16:S16" si="29">B16-I$3</f>
        <v>0.1065219608</v>
      </c>
      <c r="P16" s="21">
        <f t="shared" si="29"/>
        <v>0.1392551533</v>
      </c>
      <c r="Q16" s="21">
        <f t="shared" si="29"/>
        <v>0.1122870841</v>
      </c>
      <c r="R16" s="21">
        <f t="shared" si="29"/>
        <v>0.08847391878</v>
      </c>
      <c r="S16" s="21">
        <f t="shared" si="29"/>
        <v>0.1125435275</v>
      </c>
      <c r="AA16" s="61"/>
      <c r="AB16" s="62" t="s">
        <v>31</v>
      </c>
      <c r="AC16" s="63">
        <f>AC11*SQRT(12)</f>
        <v>0.4078386439</v>
      </c>
      <c r="AD16" s="27" t="s">
        <v>48</v>
      </c>
      <c r="AE16" s="27"/>
      <c r="AF16" s="27"/>
      <c r="AQ16" s="61"/>
      <c r="AR16" s="64" t="s">
        <v>31</v>
      </c>
      <c r="AS16" s="85">
        <f>AS11*SQRT(12)</f>
        <v>0.3864645881</v>
      </c>
      <c r="AT16" s="28" t="s">
        <v>48</v>
      </c>
      <c r="AU16" s="28"/>
      <c r="AV16" s="28"/>
      <c r="BH16" s="61"/>
      <c r="BI16" s="66" t="s">
        <v>31</v>
      </c>
      <c r="BJ16" s="86">
        <f>BJ11*SQRT(12)</f>
        <v>0.3998295996</v>
      </c>
      <c r="BK16" s="29" t="s">
        <v>48</v>
      </c>
      <c r="BL16" s="29"/>
      <c r="BM16" s="29"/>
      <c r="BO16" s="61"/>
      <c r="BP16" s="66" t="s">
        <v>31</v>
      </c>
      <c r="BQ16" s="86">
        <f>BQ11*SQRT(12)</f>
        <v>0.4078389962</v>
      </c>
      <c r="BR16" s="29" t="s">
        <v>48</v>
      </c>
      <c r="BS16" s="29"/>
      <c r="BT16" s="29"/>
      <c r="BV16" s="61"/>
      <c r="BW16" s="66" t="s">
        <v>31</v>
      </c>
      <c r="BX16" s="86">
        <f>BX11*SQRT(12)</f>
        <v>0.4682743318</v>
      </c>
      <c r="BY16" s="29" t="s">
        <v>48</v>
      </c>
      <c r="BZ16" s="29"/>
      <c r="CA16" s="29"/>
      <c r="CD16" s="31"/>
      <c r="CF16" s="61"/>
      <c r="CG16" s="69" t="s">
        <v>31</v>
      </c>
      <c r="CH16" s="70">
        <f>CH11*SQRT(12)</f>
        <v>0.468274275</v>
      </c>
      <c r="CI16" s="30" t="s">
        <v>48</v>
      </c>
      <c r="CJ16" s="30"/>
      <c r="CK16" s="30"/>
      <c r="CM16" s="31">
        <v>0.74</v>
      </c>
      <c r="CN16" s="32">
        <f t="shared" si="5"/>
        <v>0.26</v>
      </c>
      <c r="CO16" s="33">
        <f t="array" ref="CO16:CS16">TRANSPOSE(CM16*gmvwt+CN16*epwt2)</f>
        <v>0.14399223</v>
      </c>
      <c r="CP16" s="33">
        <v>0.08612665232748466</v>
      </c>
      <c r="CQ16" s="33">
        <v>0.30406334119318434</v>
      </c>
      <c r="CR16" s="33">
        <v>0.22550217590505128</v>
      </c>
      <c r="CS16" s="33">
        <v>0.24031560053779805</v>
      </c>
      <c r="CU16" s="36" t="str">
        <f t="array" ref="CU16:CV16">MMULT((CO16:CS16),muvec)</f>
        <v>#REF!</v>
      </c>
      <c r="CV16" s="36">
        <f t="array" ref="CV16">SQRT(MMULT(MMULT((CO16:CS16),covmat),TRANSPOSE(CO16:CS16)))</f>
        <v>0.1119905409</v>
      </c>
      <c r="CW16" s="35" t="str">
        <f t="shared" si="6"/>
        <v>#REF!</v>
      </c>
      <c r="CX16" s="36">
        <f t="shared" si="7"/>
        <v>0.3879466136</v>
      </c>
      <c r="CY16" s="36"/>
      <c r="CZ16" s="32">
        <v>0.675</v>
      </c>
      <c r="DA16" s="32">
        <f t="shared" si="8"/>
        <v>0.325</v>
      </c>
      <c r="DB16" s="33">
        <f t="array" ref="DB16:DF16">TRANSPOSE(CZ16*opwt)</f>
        <v>0.3465351994</v>
      </c>
      <c r="DC16" s="33">
        <v>0.06709402546230119</v>
      </c>
      <c r="DD16" s="33">
        <v>0.17332796778159243</v>
      </c>
      <c r="DE16" s="33">
        <v>0.15182042644585012</v>
      </c>
      <c r="DF16" s="33">
        <v>-0.06377761905901014</v>
      </c>
      <c r="DG16" s="35"/>
      <c r="DH16" s="35"/>
      <c r="DI16" s="36">
        <f t="array" ref="DI16">SQRT(MMULT(MMULT(DB16:DF16,covmat), TRANSPOSE(DB16:DF16)))</f>
        <v>0.09124591906</v>
      </c>
      <c r="DJ16" s="36">
        <f t="array" ref="DJ16">MMULT((DB16:DF16),muvec) + DA16*rfp</f>
        <v>0.03765828236</v>
      </c>
      <c r="DK16" s="36">
        <f t="shared" si="9"/>
        <v>0.3160851356</v>
      </c>
      <c r="DL16" s="35">
        <f t="shared" si="10"/>
        <v>0.4518993884</v>
      </c>
      <c r="DM16" s="36"/>
      <c r="DN16" s="36" t="str">
        <f t="shared" si="11"/>
        <v>#REF!</v>
      </c>
      <c r="DO16" s="36">
        <f t="shared" si="12"/>
        <v>0.1008661195</v>
      </c>
      <c r="DP16" s="36"/>
    </row>
    <row r="17" ht="14.25" customHeight="1">
      <c r="A17" s="24">
        <v>44713.0</v>
      </c>
      <c r="B17" s="21">
        <v>0.010772597</v>
      </c>
      <c r="C17" s="21">
        <v>-0.186852263</v>
      </c>
      <c r="D17" s="21">
        <v>-0.242985872</v>
      </c>
      <c r="E17" s="21">
        <v>-0.179258089</v>
      </c>
      <c r="F17" s="21">
        <v>-0.246503</v>
      </c>
      <c r="I17" s="14" t="s">
        <v>75</v>
      </c>
      <c r="J17" s="21">
        <v>0.027815234483333322</v>
      </c>
      <c r="K17" s="21">
        <v>0.14899917767079687</v>
      </c>
      <c r="L17" s="21">
        <v>-0.14620021140283398</v>
      </c>
      <c r="M17" s="21">
        <v>1.8265601582442552</v>
      </c>
      <c r="O17" s="21">
        <f t="shared" ref="O17:S17" si="30">B17-I$3</f>
        <v>-0.05537414818</v>
      </c>
      <c r="P17" s="21">
        <f t="shared" si="30"/>
        <v>-0.2420045847</v>
      </c>
      <c r="Q17" s="21">
        <f t="shared" si="30"/>
        <v>-0.2788113559</v>
      </c>
      <c r="R17" s="21">
        <f t="shared" si="30"/>
        <v>-0.2155958432</v>
      </c>
      <c r="S17" s="21">
        <f t="shared" si="30"/>
        <v>-0.2743182345</v>
      </c>
      <c r="AA17" s="72"/>
      <c r="AB17" s="73" t="s">
        <v>44</v>
      </c>
      <c r="AC17" s="74">
        <f>(AC15-AC23)/AC16</f>
        <v>1.204069555</v>
      </c>
      <c r="AD17" s="27" t="s">
        <v>49</v>
      </c>
      <c r="AE17" s="27"/>
      <c r="AF17" s="27"/>
      <c r="AQ17" s="72"/>
      <c r="AR17" s="75" t="s">
        <v>44</v>
      </c>
      <c r="AS17" s="76">
        <f>(AS15-AS23)/AS16</f>
        <v>1.075465491</v>
      </c>
      <c r="AT17" s="28" t="s">
        <v>49</v>
      </c>
      <c r="AU17" s="28"/>
      <c r="AV17" s="28"/>
      <c r="BH17" s="72"/>
      <c r="BI17" s="77" t="s">
        <v>44</v>
      </c>
      <c r="BJ17" s="78">
        <f>(BJ15-BJ23)/BJ16</f>
        <v>1.228188446</v>
      </c>
      <c r="BK17" s="29" t="s">
        <v>49</v>
      </c>
      <c r="BL17" s="29"/>
      <c r="BM17" s="29"/>
      <c r="BO17" s="72"/>
      <c r="BP17" s="77" t="s">
        <v>44</v>
      </c>
      <c r="BQ17" s="78">
        <f>(BQ15-BQ23)/BQ16</f>
        <v>1.254203909</v>
      </c>
      <c r="BR17" s="29" t="s">
        <v>49</v>
      </c>
      <c r="BS17" s="29"/>
      <c r="BT17" s="29"/>
      <c r="BV17" s="72"/>
      <c r="BW17" s="77" t="s">
        <v>44</v>
      </c>
      <c r="BX17" s="78">
        <f>(BX15-BX23)/BX16</f>
        <v>1.303127992</v>
      </c>
      <c r="BY17" s="29" t="s">
        <v>49</v>
      </c>
      <c r="BZ17" s="29"/>
      <c r="CA17" s="29"/>
      <c r="CD17" s="31"/>
      <c r="CF17" s="72"/>
      <c r="CG17" s="79" t="s">
        <v>44</v>
      </c>
      <c r="CH17" s="80">
        <f>(CH15-CH23)/CH16</f>
        <v>1.303127993</v>
      </c>
      <c r="CI17" s="30" t="s">
        <v>49</v>
      </c>
      <c r="CJ17" s="30"/>
      <c r="CK17" s="30"/>
      <c r="CM17" s="32">
        <v>0.72</v>
      </c>
      <c r="CN17" s="32">
        <f t="shared" si="5"/>
        <v>0.28</v>
      </c>
      <c r="CO17" s="33">
        <f t="array" ref="CO17:CS17">TRANSPOSE(CM17*gmvwt+CN17*epwt2)</f>
        <v>0.1481681226</v>
      </c>
      <c r="CP17" s="33">
        <v>0.08627794135117145</v>
      </c>
      <c r="CQ17" s="33">
        <v>0.30352664497570975</v>
      </c>
      <c r="CR17" s="33">
        <v>0.22549062510784573</v>
      </c>
      <c r="CS17" s="33">
        <v>0.2365366659659308</v>
      </c>
      <c r="CU17" s="36" t="str">
        <f t="array" ref="CU17:CV17">MMULT((CO17:CS17),muvec)</f>
        <v>#REF!</v>
      </c>
      <c r="CV17" s="36">
        <f t="array" ref="CV17">SQRT(MMULT(MMULT((CO17:CS17),covmat),TRANSPOSE(CO17:CS17)))</f>
        <v>0.1120587401</v>
      </c>
      <c r="CW17" s="35" t="str">
        <f t="shared" si="6"/>
        <v>#REF!</v>
      </c>
      <c r="CX17" s="36">
        <f t="shared" si="7"/>
        <v>0.3881828627</v>
      </c>
      <c r="CY17" s="36"/>
      <c r="CZ17" s="31">
        <v>0.65</v>
      </c>
      <c r="DA17" s="32">
        <f t="shared" si="8"/>
        <v>0.35</v>
      </c>
      <c r="DB17" s="33">
        <f t="array" ref="DB17:DF17">TRANSPOSE(CZ17*opwt)</f>
        <v>0.3337005624</v>
      </c>
      <c r="DC17" s="33">
        <v>0.06460906155629002</v>
      </c>
      <c r="DD17" s="33">
        <v>0.16690841341931123</v>
      </c>
      <c r="DE17" s="33">
        <v>0.1461974476885964</v>
      </c>
      <c r="DF17" s="33">
        <v>-0.06141548501978754</v>
      </c>
      <c r="DG17" s="35"/>
      <c r="DH17" s="35"/>
      <c r="DI17" s="36">
        <f t="array" ref="DI17">SQRT(MMULT(MMULT(DB17:DF17,covmat), TRANSPOSE(DB17:DF17)))</f>
        <v>0.08786644058</v>
      </c>
      <c r="DJ17" s="36">
        <f t="array" ref="DJ17">MMULT((DB17:DF17),muvec) + DA17*rfp</f>
        <v>0.03638698795</v>
      </c>
      <c r="DK17" s="36">
        <f t="shared" si="9"/>
        <v>0.3043782787</v>
      </c>
      <c r="DL17" s="35">
        <f t="shared" si="10"/>
        <v>0.4366438555</v>
      </c>
      <c r="DM17" s="36"/>
      <c r="DN17" s="36" t="str">
        <f t="shared" si="11"/>
        <v>#REF!</v>
      </c>
      <c r="DO17" s="36">
        <f t="shared" si="12"/>
        <v>0.1086912016</v>
      </c>
      <c r="DP17" s="36"/>
    </row>
    <row r="18" ht="14.25" customHeight="1">
      <c r="A18" s="24">
        <v>44682.0</v>
      </c>
      <c r="B18" s="21">
        <v>-0.070518958</v>
      </c>
      <c r="C18" s="21">
        <v>0.153022982</v>
      </c>
      <c r="D18" s="21">
        <v>-0.129072794</v>
      </c>
      <c r="E18" s="21">
        <v>-0.02725626</v>
      </c>
      <c r="F18" s="21">
        <v>-0.214154649</v>
      </c>
      <c r="O18" s="21">
        <f t="shared" ref="O18:S18" si="31">B18-I$3</f>
        <v>-0.1366657032</v>
      </c>
      <c r="P18" s="21">
        <f t="shared" si="31"/>
        <v>0.09787066033</v>
      </c>
      <c r="Q18" s="21">
        <f t="shared" si="31"/>
        <v>-0.1648982779</v>
      </c>
      <c r="R18" s="21">
        <f t="shared" si="31"/>
        <v>-0.06359401422</v>
      </c>
      <c r="S18" s="21">
        <f t="shared" si="31"/>
        <v>-0.2419698835</v>
      </c>
      <c r="AA18" s="27"/>
      <c r="AB18" s="27"/>
      <c r="AC18" s="27"/>
      <c r="AD18" s="27"/>
      <c r="AE18" s="27"/>
      <c r="AF18" s="27"/>
      <c r="AQ18" s="28"/>
      <c r="AR18" s="28"/>
      <c r="AS18" s="28"/>
      <c r="AT18" s="28"/>
      <c r="AU18" s="28"/>
      <c r="AV18" s="28"/>
      <c r="BH18" s="29"/>
      <c r="BI18" s="29"/>
      <c r="BJ18" s="29"/>
      <c r="BK18" s="29"/>
      <c r="BL18" s="29"/>
      <c r="BM18" s="29"/>
      <c r="BO18" s="29"/>
      <c r="BP18" s="29"/>
      <c r="BQ18" s="29"/>
      <c r="BR18" s="29"/>
      <c r="BS18" s="29"/>
      <c r="BT18" s="29"/>
      <c r="BV18" s="29"/>
      <c r="BW18" s="29"/>
      <c r="BX18" s="29"/>
      <c r="BY18" s="29"/>
      <c r="BZ18" s="29"/>
      <c r="CA18" s="29"/>
      <c r="CD18" s="31"/>
      <c r="CF18" s="30"/>
      <c r="CG18" s="30"/>
      <c r="CH18" s="30"/>
      <c r="CI18" s="30"/>
      <c r="CJ18" s="30"/>
      <c r="CK18" s="30"/>
      <c r="CM18" s="31">
        <v>0.7</v>
      </c>
      <c r="CN18" s="32">
        <f t="shared" si="5"/>
        <v>0.3</v>
      </c>
      <c r="CO18" s="33">
        <f t="array" ref="CO18:CS18">TRANSPOSE(CM18*gmvwt+CN18*epwt2)</f>
        <v>0.1523440152</v>
      </c>
      <c r="CP18" s="33">
        <v>0.08642923037485825</v>
      </c>
      <c r="CQ18" s="33">
        <v>0.30298994875823515</v>
      </c>
      <c r="CR18" s="33">
        <v>0.22547907431064024</v>
      </c>
      <c r="CS18" s="33">
        <v>0.23275773139406353</v>
      </c>
      <c r="CU18" s="36" t="str">
        <f t="array" ref="CU18:CV18">MMULT((CO18:CS18),muvec)</f>
        <v>#REF!</v>
      </c>
      <c r="CV18" s="36">
        <f t="array" ref="CV18">SQRT(MMULT(MMULT((CO18:CS18),covmat),TRANSPOSE(CO18:CS18)))</f>
        <v>0.112131945</v>
      </c>
      <c r="CW18" s="35" t="str">
        <f t="shared" si="6"/>
        <v>#REF!</v>
      </c>
      <c r="CX18" s="36">
        <f t="shared" si="7"/>
        <v>0.3884364517</v>
      </c>
      <c r="CY18" s="36"/>
      <c r="CZ18" s="32">
        <v>0.625</v>
      </c>
      <c r="DA18" s="32">
        <f t="shared" si="8"/>
        <v>0.375</v>
      </c>
      <c r="DB18" s="33">
        <f t="array" ref="DB18:DF18">TRANSPOSE(CZ18*opwt)</f>
        <v>0.3208659253</v>
      </c>
      <c r="DC18" s="33">
        <v>0.06212409765027887</v>
      </c>
      <c r="DD18" s="33">
        <v>0.16048885905703</v>
      </c>
      <c r="DE18" s="33">
        <v>0.14057446893134268</v>
      </c>
      <c r="DF18" s="33">
        <v>-0.05905335098056494</v>
      </c>
      <c r="DG18" s="35"/>
      <c r="DH18" s="35"/>
      <c r="DI18" s="36">
        <f t="array" ref="DI18">SQRT(MMULT(MMULT(DB18:DF18,covmat), TRANSPOSE(DB18:DF18)))</f>
        <v>0.08448696209</v>
      </c>
      <c r="DJ18" s="36">
        <f t="array" ref="DJ18">MMULT((DB18:DF18),muvec) + DA18*rfp</f>
        <v>0.03511569355</v>
      </c>
      <c r="DK18" s="36">
        <f t="shared" si="9"/>
        <v>0.2926714218</v>
      </c>
      <c r="DL18" s="35">
        <f t="shared" si="10"/>
        <v>0.4213883226</v>
      </c>
      <c r="DM18" s="36"/>
      <c r="DN18" s="36" t="str">
        <f t="shared" si="11"/>
        <v>#REF!</v>
      </c>
      <c r="DO18" s="36">
        <f t="shared" si="12"/>
        <v>0.1165309355</v>
      </c>
      <c r="DP18" s="36"/>
    </row>
    <row r="19" ht="14.25" customHeight="1">
      <c r="A19" s="24">
        <v>44652.0</v>
      </c>
      <c r="B19" s="21">
        <v>0.157463659</v>
      </c>
      <c r="C19" s="21">
        <v>0.514586693</v>
      </c>
      <c r="D19" s="21">
        <v>0.05112498</v>
      </c>
      <c r="E19" s="21">
        <v>-0.011438854</v>
      </c>
      <c r="F19" s="21">
        <v>0.048126292</v>
      </c>
      <c r="O19" s="21">
        <f t="shared" ref="O19:S19" si="32">B19-I$3</f>
        <v>0.09131691382</v>
      </c>
      <c r="P19" s="21">
        <f t="shared" si="32"/>
        <v>0.4594343713</v>
      </c>
      <c r="Q19" s="21">
        <f t="shared" si="32"/>
        <v>0.01529949613</v>
      </c>
      <c r="R19" s="21">
        <f t="shared" si="32"/>
        <v>-0.04777660822</v>
      </c>
      <c r="S19" s="21">
        <f t="shared" si="32"/>
        <v>0.02031105752</v>
      </c>
      <c r="AA19" s="27"/>
      <c r="AB19" s="27"/>
      <c r="AC19" s="27"/>
      <c r="AD19" s="27"/>
      <c r="AE19" s="27"/>
      <c r="AF19" s="27"/>
      <c r="AQ19" s="28"/>
      <c r="AR19" s="28"/>
      <c r="AS19" s="28"/>
      <c r="AT19" s="28"/>
      <c r="AU19" s="28"/>
      <c r="AV19" s="28"/>
      <c r="BH19" s="29"/>
      <c r="BI19" s="29"/>
      <c r="BJ19" s="29"/>
      <c r="BK19" s="29"/>
      <c r="BL19" s="29"/>
      <c r="BM19" s="29"/>
      <c r="BO19" s="29"/>
      <c r="BP19" s="29"/>
      <c r="BQ19" s="29"/>
      <c r="BR19" s="29"/>
      <c r="BS19" s="29"/>
      <c r="BT19" s="29"/>
      <c r="BV19" s="29"/>
      <c r="BW19" s="29"/>
      <c r="BX19" s="29"/>
      <c r="BY19" s="29"/>
      <c r="BZ19" s="29"/>
      <c r="CA19" s="29"/>
      <c r="CD19" s="31"/>
      <c r="CF19" s="30"/>
      <c r="CG19" s="30"/>
      <c r="CH19" s="30"/>
      <c r="CI19" s="30"/>
      <c r="CJ19" s="30"/>
      <c r="CK19" s="30"/>
      <c r="CM19" s="31">
        <v>0.68</v>
      </c>
      <c r="CN19" s="32">
        <f t="shared" si="5"/>
        <v>0.32</v>
      </c>
      <c r="CO19" s="33">
        <f t="array" ref="CO19:CS19">TRANSPOSE(CM19*gmvwt+CN19*epwt2)</f>
        <v>0.1565199077</v>
      </c>
      <c r="CP19" s="33">
        <v>0.08658051939854504</v>
      </c>
      <c r="CQ19" s="33">
        <v>0.3024532525407606</v>
      </c>
      <c r="CR19" s="33">
        <v>0.2254675235134347</v>
      </c>
      <c r="CS19" s="33">
        <v>0.2289787968221963</v>
      </c>
      <c r="CU19" s="36" t="str">
        <f t="array" ref="CU19:CV19">MMULT((CO19:CS19),muvec)</f>
        <v>#REF!</v>
      </c>
      <c r="CV19" s="36">
        <f t="array" ref="CV19">SQRT(MMULT(MMULT((CO19:CS19),covmat),TRANSPOSE(CO19:CS19)))</f>
        <v>0.1122101456</v>
      </c>
      <c r="CW19" s="35" t="str">
        <f t="shared" si="6"/>
        <v>#REF!</v>
      </c>
      <c r="CX19" s="36">
        <f t="shared" si="7"/>
        <v>0.3887073467</v>
      </c>
      <c r="CY19" s="36"/>
      <c r="CZ19" s="31">
        <v>0.6</v>
      </c>
      <c r="DA19" s="32">
        <f t="shared" si="8"/>
        <v>0.4</v>
      </c>
      <c r="DB19" s="33">
        <f t="array" ref="DB19:DF19">TRANSPOSE(CZ19*opwt)</f>
        <v>0.3080312883</v>
      </c>
      <c r="DC19" s="33">
        <v>0.059639133744267714</v>
      </c>
      <c r="DD19" s="33">
        <v>0.1540693046947488</v>
      </c>
      <c r="DE19" s="33">
        <v>0.13495149017408897</v>
      </c>
      <c r="DF19" s="33">
        <v>-0.05669121694134234</v>
      </c>
      <c r="DG19" s="35"/>
      <c r="DH19" s="35"/>
      <c r="DI19" s="36">
        <f t="array" ref="DI19">SQRT(MMULT(MMULT(DB19:DF19,covmat), TRANSPOSE(DB19:DF19)))</f>
        <v>0.08110748361</v>
      </c>
      <c r="DJ19" s="36">
        <f t="array" ref="DJ19">MMULT((DB19:DF19),muvec) + DA19*rfp</f>
        <v>0.03384439914</v>
      </c>
      <c r="DK19" s="36">
        <f t="shared" si="9"/>
        <v>0.280964565</v>
      </c>
      <c r="DL19" s="35">
        <f t="shared" si="10"/>
        <v>0.4061327897</v>
      </c>
      <c r="DM19" s="36"/>
      <c r="DN19" s="36" t="str">
        <f t="shared" si="11"/>
        <v>#REF!</v>
      </c>
      <c r="DO19" s="36">
        <f t="shared" si="12"/>
        <v>0.1243863509</v>
      </c>
      <c r="DP19" s="36"/>
    </row>
    <row r="20" ht="14.25" customHeight="1">
      <c r="A20" s="24">
        <v>44621.0</v>
      </c>
      <c r="B20" s="21">
        <v>0.225181707</v>
      </c>
      <c r="C20" s="21">
        <v>0.495757625</v>
      </c>
      <c r="D20" s="21">
        <v>-0.111699001</v>
      </c>
      <c r="E20" s="21">
        <v>0.089650009</v>
      </c>
      <c r="F20" s="21">
        <v>0.060610053</v>
      </c>
      <c r="O20" s="21">
        <f t="shared" ref="O20:S20" si="33">B20-I$3</f>
        <v>0.1590349618</v>
      </c>
      <c r="P20" s="21">
        <f t="shared" si="33"/>
        <v>0.4406053033</v>
      </c>
      <c r="Q20" s="21">
        <f t="shared" si="33"/>
        <v>-0.1475244849</v>
      </c>
      <c r="R20" s="21">
        <f t="shared" si="33"/>
        <v>0.05331225478</v>
      </c>
      <c r="S20" s="21">
        <f t="shared" si="33"/>
        <v>0.03279481852</v>
      </c>
      <c r="AA20" s="27"/>
      <c r="AB20" s="87" t="s">
        <v>50</v>
      </c>
      <c r="AC20" s="6"/>
      <c r="AD20" s="15"/>
      <c r="AE20" s="27"/>
      <c r="AF20" s="27"/>
      <c r="AQ20" s="28"/>
      <c r="AR20" s="88" t="s">
        <v>50</v>
      </c>
      <c r="AS20" s="6"/>
      <c r="AT20" s="17"/>
      <c r="AU20" s="28"/>
      <c r="AV20" s="28"/>
      <c r="BH20" s="29"/>
      <c r="BI20" s="89" t="s">
        <v>50</v>
      </c>
      <c r="BJ20" s="6"/>
      <c r="BK20" s="19"/>
      <c r="BL20" s="29"/>
      <c r="BM20" s="29"/>
      <c r="BO20" s="29"/>
      <c r="BP20" s="89" t="s">
        <v>50</v>
      </c>
      <c r="BQ20" s="6"/>
      <c r="BR20" s="19"/>
      <c r="BS20" s="29"/>
      <c r="BT20" s="29"/>
      <c r="BV20" s="29"/>
      <c r="BW20" s="89" t="s">
        <v>50</v>
      </c>
      <c r="BX20" s="6"/>
      <c r="BY20" s="19"/>
      <c r="BZ20" s="29"/>
      <c r="CA20" s="29"/>
      <c r="CF20" s="30"/>
      <c r="CG20" s="90" t="s">
        <v>50</v>
      </c>
      <c r="CH20" s="6"/>
      <c r="CI20" s="22"/>
      <c r="CJ20" s="30"/>
      <c r="CK20" s="30"/>
      <c r="CM20" s="32">
        <v>0.66</v>
      </c>
      <c r="CN20" s="32">
        <f t="shared" si="5"/>
        <v>0.34</v>
      </c>
      <c r="CO20" s="33">
        <f t="array" ref="CO20:CS20">TRANSPOSE(CM20*gmvwt+CN20*epwt2)</f>
        <v>0.1606958003</v>
      </c>
      <c r="CP20" s="33">
        <v>0.08673180842223184</v>
      </c>
      <c r="CQ20" s="33">
        <v>0.301916556323286</v>
      </c>
      <c r="CR20" s="33">
        <v>0.22545597271622914</v>
      </c>
      <c r="CS20" s="33">
        <v>0.22519986225032906</v>
      </c>
      <c r="CU20" s="36" t="str">
        <f t="array" ref="CU20:CV20">MMULT((CO20:CS20),muvec)</f>
        <v>#REF!</v>
      </c>
      <c r="CV20" s="36">
        <f t="array" ref="CV20">SQRT(MMULT(MMULT((CO20:CS20),covmat),TRANSPOSE(CO20:CS20)))</f>
        <v>0.1122933316</v>
      </c>
      <c r="CW20" s="35" t="str">
        <f t="shared" si="6"/>
        <v>#REF!</v>
      </c>
      <c r="CX20" s="36">
        <f t="shared" si="7"/>
        <v>0.3889955114</v>
      </c>
      <c r="CY20" s="36"/>
      <c r="CZ20" s="32">
        <v>0.575</v>
      </c>
      <c r="DA20" s="32">
        <f t="shared" si="8"/>
        <v>0.425</v>
      </c>
      <c r="DB20" s="33">
        <f t="array" ref="DB20:DF20">TRANSPOSE(CZ20*opwt)</f>
        <v>0.2951966513</v>
      </c>
      <c r="DC20" s="33">
        <v>0.05715416983825655</v>
      </c>
      <c r="DD20" s="33">
        <v>0.1476497503324676</v>
      </c>
      <c r="DE20" s="33">
        <v>0.12932851141683527</v>
      </c>
      <c r="DF20" s="33">
        <v>-0.05432908290211974</v>
      </c>
      <c r="DG20" s="35"/>
      <c r="DH20" s="35"/>
      <c r="DI20" s="36">
        <f t="array" ref="DI20">SQRT(MMULT(MMULT(DB20:DF20,covmat), TRANSPOSE(DB20:DF20)))</f>
        <v>0.07772800513</v>
      </c>
      <c r="DJ20" s="36">
        <f t="array" ref="DJ20">MMULT((DB20:DF20),muvec) + DA20*rfp</f>
        <v>0.03257310473</v>
      </c>
      <c r="DK20" s="36">
        <f t="shared" si="9"/>
        <v>0.2692577081</v>
      </c>
      <c r="DL20" s="35">
        <f t="shared" si="10"/>
        <v>0.3908772567</v>
      </c>
      <c r="DM20" s="36"/>
      <c r="DN20" s="36" t="str">
        <f t="shared" si="11"/>
        <v>#REF!</v>
      </c>
      <c r="DO20" s="36">
        <f t="shared" si="12"/>
        <v>0.1322584739</v>
      </c>
      <c r="DP20" s="36"/>
    </row>
    <row r="21" ht="14.25" customHeight="1">
      <c r="A21" s="24">
        <v>44593.0</v>
      </c>
      <c r="B21" s="21">
        <v>-0.041108953</v>
      </c>
      <c r="C21" s="21">
        <v>0.164705882</v>
      </c>
      <c r="D21" s="21">
        <v>0.110132159</v>
      </c>
      <c r="E21" s="21">
        <v>0.077282672</v>
      </c>
      <c r="F21" s="21">
        <v>0.181973558</v>
      </c>
      <c r="O21" s="21">
        <f t="shared" ref="O21:S21" si="34">B21-I$3</f>
        <v>-0.1072556982</v>
      </c>
      <c r="P21" s="21">
        <f t="shared" si="34"/>
        <v>0.1095535603</v>
      </c>
      <c r="Q21" s="21">
        <f t="shared" si="34"/>
        <v>0.07430667513</v>
      </c>
      <c r="R21" s="21">
        <f t="shared" si="34"/>
        <v>0.04094491778</v>
      </c>
      <c r="S21" s="21">
        <f t="shared" si="34"/>
        <v>0.1541583235</v>
      </c>
      <c r="AA21" s="27"/>
      <c r="AB21" s="91" t="s">
        <v>51</v>
      </c>
      <c r="AC21" s="6"/>
      <c r="AD21" s="27"/>
      <c r="AE21" s="27"/>
      <c r="AF21" s="27"/>
      <c r="AQ21" s="28"/>
      <c r="AR21" s="92" t="s">
        <v>51</v>
      </c>
      <c r="AS21" s="6"/>
      <c r="AT21" s="28"/>
      <c r="AU21" s="28"/>
      <c r="AV21" s="28"/>
      <c r="BH21" s="29"/>
      <c r="BI21" s="93" t="s">
        <v>51</v>
      </c>
      <c r="BJ21" s="6"/>
      <c r="BK21" s="29"/>
      <c r="BL21" s="29"/>
      <c r="BM21" s="29"/>
      <c r="BO21" s="29"/>
      <c r="BP21" s="93" t="s">
        <v>51</v>
      </c>
      <c r="BQ21" s="6"/>
      <c r="BR21" s="29"/>
      <c r="BS21" s="29"/>
      <c r="BT21" s="29"/>
      <c r="BV21" s="29"/>
      <c r="BW21" s="93" t="s">
        <v>51</v>
      </c>
      <c r="BX21" s="6"/>
      <c r="BY21" s="29"/>
      <c r="BZ21" s="29"/>
      <c r="CA21" s="29"/>
      <c r="CF21" s="30"/>
      <c r="CG21" s="94" t="s">
        <v>51</v>
      </c>
      <c r="CH21" s="6"/>
      <c r="CI21" s="30"/>
      <c r="CJ21" s="30"/>
      <c r="CK21" s="30"/>
      <c r="CM21" s="31">
        <v>0.64</v>
      </c>
      <c r="CN21" s="32">
        <f t="shared" si="5"/>
        <v>0.36</v>
      </c>
      <c r="CO21" s="33">
        <f t="array" ref="CO21:CS21">TRANSPOSE(CM21*gmvwt+CN21*epwt2)</f>
        <v>0.1648716928</v>
      </c>
      <c r="CP21" s="33">
        <v>0.08688309744591863</v>
      </c>
      <c r="CQ21" s="33">
        <v>0.3013798601058114</v>
      </c>
      <c r="CR21" s="33">
        <v>0.22544442191902359</v>
      </c>
      <c r="CS21" s="33">
        <v>0.22142092767846178</v>
      </c>
      <c r="CU21" s="36" t="str">
        <f t="array" ref="CU21:CV21">MMULT((CO21:CS21),muvec)</f>
        <v>#REF!</v>
      </c>
      <c r="CV21" s="36">
        <f t="array" ref="CV21">SQRT(MMULT(MMULT((CO21:CS21),covmat),TRANSPOSE(CO21:CS21)))</f>
        <v>0.1123814919</v>
      </c>
      <c r="CW21" s="35" t="str">
        <f t="shared" si="6"/>
        <v>#REF!</v>
      </c>
      <c r="CX21" s="36">
        <f t="shared" si="7"/>
        <v>0.3893009076</v>
      </c>
      <c r="CY21" s="36"/>
      <c r="CZ21" s="31">
        <v>0.55</v>
      </c>
      <c r="DA21" s="32">
        <f t="shared" si="8"/>
        <v>0.45</v>
      </c>
      <c r="DB21" s="33">
        <f t="array" ref="DB21:DF21">TRANSPOSE(CZ21*opwt)</f>
        <v>0.2823620143</v>
      </c>
      <c r="DC21" s="33">
        <v>0.05466920593224541</v>
      </c>
      <c r="DD21" s="33">
        <v>0.14123019597018643</v>
      </c>
      <c r="DE21" s="33">
        <v>0.12370553265958158</v>
      </c>
      <c r="DF21" s="33">
        <v>-0.05196694886289715</v>
      </c>
      <c r="DG21" s="35"/>
      <c r="DH21" s="35"/>
      <c r="DI21" s="36">
        <f t="array" ref="DI21">SQRT(MMULT(MMULT(DB21:DF21,covmat), TRANSPOSE(DB21:DF21)))</f>
        <v>0.07434852664</v>
      </c>
      <c r="DJ21" s="36">
        <f t="array" ref="DJ21">MMULT((DB21:DF21),muvec) + DA21*rfp</f>
        <v>0.03130181032</v>
      </c>
      <c r="DK21" s="36">
        <f t="shared" si="9"/>
        <v>0.2575508512</v>
      </c>
      <c r="DL21" s="35">
        <f t="shared" si="10"/>
        <v>0.3756217238</v>
      </c>
      <c r="DM21" s="36"/>
      <c r="DN21" s="36" t="str">
        <f t="shared" si="11"/>
        <v>#REF!</v>
      </c>
      <c r="DO21" s="36">
        <f t="shared" si="12"/>
        <v>0.1401483267</v>
      </c>
      <c r="DP21" s="36"/>
    </row>
    <row r="22" ht="14.25" customHeight="1">
      <c r="A22" s="24">
        <v>44562.0</v>
      </c>
      <c r="B22" s="21">
        <v>0.003217349</v>
      </c>
      <c r="C22" s="21">
        <v>0.065697124</v>
      </c>
      <c r="D22" s="21">
        <v>0.019800333</v>
      </c>
      <c r="E22" s="21">
        <v>-0.06717373</v>
      </c>
      <c r="F22" s="21">
        <v>0.018977186</v>
      </c>
      <c r="O22" s="21">
        <f t="shared" ref="O22:S22" si="35">B22-I$3</f>
        <v>-0.06292939618</v>
      </c>
      <c r="P22" s="21">
        <f t="shared" si="35"/>
        <v>0.01054480233</v>
      </c>
      <c r="Q22" s="21">
        <f t="shared" si="35"/>
        <v>-0.01602515087</v>
      </c>
      <c r="R22" s="21">
        <f t="shared" si="35"/>
        <v>-0.1035114842</v>
      </c>
      <c r="S22" s="21">
        <f t="shared" si="35"/>
        <v>-0.008838048483</v>
      </c>
      <c r="AA22" s="27"/>
      <c r="AB22" s="49" t="s">
        <v>18</v>
      </c>
      <c r="AC22" s="50">
        <f>AC23/12</f>
        <v>0.003333333333</v>
      </c>
      <c r="AD22" s="27"/>
      <c r="AE22" s="27"/>
      <c r="AF22" s="27"/>
      <c r="AQ22" s="28"/>
      <c r="AR22" s="52" t="s">
        <v>18</v>
      </c>
      <c r="AS22" s="84">
        <f>AS23/12</f>
        <v>0.003333333333</v>
      </c>
      <c r="AT22" s="28"/>
      <c r="AU22" s="28"/>
      <c r="AV22" s="28"/>
      <c r="BH22" s="29"/>
      <c r="BI22" s="55" t="s">
        <v>18</v>
      </c>
      <c r="BJ22" s="95">
        <f>BJ23/12</f>
        <v>0.003333333333</v>
      </c>
      <c r="BK22" s="29"/>
      <c r="BL22" s="29"/>
      <c r="BM22" s="29"/>
      <c r="BO22" s="29"/>
      <c r="BP22" s="55" t="s">
        <v>18</v>
      </c>
      <c r="BQ22" s="95">
        <f>BQ23/12</f>
        <v>0.003333333333</v>
      </c>
      <c r="BR22" s="29"/>
      <c r="BS22" s="29"/>
      <c r="BT22" s="29"/>
      <c r="BV22" s="29"/>
      <c r="BW22" s="55" t="s">
        <v>18</v>
      </c>
      <c r="BX22" s="95">
        <f>BX23/12</f>
        <v>0.003333333333</v>
      </c>
      <c r="BY22" s="29"/>
      <c r="BZ22" s="29"/>
      <c r="CA22" s="29"/>
      <c r="CF22" s="30"/>
      <c r="CG22" s="59" t="s">
        <v>18</v>
      </c>
      <c r="CH22" s="60">
        <f>CH23/12</f>
        <v>0.003333333333</v>
      </c>
      <c r="CI22" s="30"/>
      <c r="CJ22" s="30"/>
      <c r="CK22" s="30"/>
      <c r="CM22" s="31">
        <v>0.62</v>
      </c>
      <c r="CN22" s="32">
        <f t="shared" si="5"/>
        <v>0.38</v>
      </c>
      <c r="CO22" s="33">
        <f t="array" ref="CO22:CS22">TRANSPOSE(CM22*gmvwt+CN22*epwt2)</f>
        <v>0.1690475854</v>
      </c>
      <c r="CP22" s="33">
        <v>0.08703438646960543</v>
      </c>
      <c r="CQ22" s="33">
        <v>0.3008431638883368</v>
      </c>
      <c r="CR22" s="33">
        <v>0.22543287112181803</v>
      </c>
      <c r="CS22" s="33">
        <v>0.21764199310659454</v>
      </c>
      <c r="CU22" s="36" t="str">
        <f t="array" ref="CU22:CV22">MMULT((CO22:CS22),muvec)</f>
        <v>#REF!</v>
      </c>
      <c r="CV22" s="36">
        <f t="array" ref="CV22">SQRT(MMULT(MMULT((CO22:CS22),covmat),TRANSPOSE(CO22:CS22)))</f>
        <v>0.1124746148</v>
      </c>
      <c r="CW22" s="35" t="str">
        <f t="shared" si="6"/>
        <v>#REF!</v>
      </c>
      <c r="CX22" s="36">
        <f t="shared" si="7"/>
        <v>0.3896234947</v>
      </c>
      <c r="CY22" s="36"/>
      <c r="CZ22" s="32">
        <v>0.525</v>
      </c>
      <c r="DA22" s="32">
        <f t="shared" si="8"/>
        <v>0.475</v>
      </c>
      <c r="DB22" s="33">
        <f t="array" ref="DB22:DF22">TRANSPOSE(CZ22*opwt)</f>
        <v>0.2695273773</v>
      </c>
      <c r="DC22" s="33">
        <v>0.05218424202623425</v>
      </c>
      <c r="DD22" s="33">
        <v>0.1348106416079052</v>
      </c>
      <c r="DE22" s="33">
        <v>0.11808255390232787</v>
      </c>
      <c r="DF22" s="33">
        <v>-0.04960481482367455</v>
      </c>
      <c r="DG22" s="35"/>
      <c r="DH22" s="35"/>
      <c r="DI22" s="36">
        <f t="array" ref="DI22">SQRT(MMULT(MMULT(DB22:DF22,covmat), TRANSPOSE(DB22:DF22)))</f>
        <v>0.07096904816</v>
      </c>
      <c r="DJ22" s="36">
        <f t="array" ref="DJ22">MMULT((DB22:DF22),muvec) + DA22*rfp</f>
        <v>0.03003051591</v>
      </c>
      <c r="DK22" s="36">
        <f t="shared" si="9"/>
        <v>0.2458439944</v>
      </c>
      <c r="DL22" s="35">
        <f t="shared" si="10"/>
        <v>0.3603661909</v>
      </c>
      <c r="DM22" s="36"/>
      <c r="DN22" s="36" t="str">
        <f t="shared" si="11"/>
        <v>#REF!</v>
      </c>
      <c r="DO22" s="36">
        <f t="shared" si="12"/>
        <v>0.148056928</v>
      </c>
      <c r="DP22" s="36"/>
      <c r="DR22" s="96" t="s">
        <v>52</v>
      </c>
      <c r="DS22" s="97"/>
      <c r="DT22" s="97"/>
      <c r="DU22" s="97"/>
      <c r="DV22" s="98"/>
    </row>
    <row r="23" ht="14.25" customHeight="1">
      <c r="A23" s="24">
        <v>44531.0</v>
      </c>
      <c r="B23" s="21">
        <v>0.028024126</v>
      </c>
      <c r="C23" s="21">
        <v>0.003522884</v>
      </c>
      <c r="D23" s="21">
        <v>0.045945118</v>
      </c>
      <c r="E23" s="21">
        <v>0.061198415</v>
      </c>
      <c r="F23" s="21">
        <v>0.006935318</v>
      </c>
      <c r="O23" s="21">
        <f t="shared" ref="O23:S23" si="36">B23-I$3</f>
        <v>-0.03812261918</v>
      </c>
      <c r="P23" s="21">
        <f t="shared" si="36"/>
        <v>-0.05162943767</v>
      </c>
      <c r="Q23" s="21">
        <f t="shared" si="36"/>
        <v>0.01011963413</v>
      </c>
      <c r="R23" s="21">
        <f t="shared" si="36"/>
        <v>0.02486066078</v>
      </c>
      <c r="S23" s="21">
        <f t="shared" si="36"/>
        <v>-0.02087991648</v>
      </c>
      <c r="AA23" s="27"/>
      <c r="AB23" s="73" t="s">
        <v>46</v>
      </c>
      <c r="AC23" s="99">
        <v>0.04</v>
      </c>
      <c r="AD23" s="27"/>
      <c r="AE23" s="27"/>
      <c r="AF23" s="27"/>
      <c r="AQ23" s="28"/>
      <c r="AR23" s="75" t="s">
        <v>46</v>
      </c>
      <c r="AS23" s="100">
        <v>0.04</v>
      </c>
      <c r="AT23" s="28"/>
      <c r="AU23" s="28"/>
      <c r="AV23" s="28"/>
      <c r="BH23" s="29"/>
      <c r="BI23" s="77" t="s">
        <v>46</v>
      </c>
      <c r="BJ23" s="101">
        <v>0.04</v>
      </c>
      <c r="BK23" s="29"/>
      <c r="BL23" s="29"/>
      <c r="BM23" s="29"/>
      <c r="BO23" s="29"/>
      <c r="BP23" s="77" t="s">
        <v>46</v>
      </c>
      <c r="BQ23" s="101">
        <v>0.04</v>
      </c>
      <c r="BR23" s="29"/>
      <c r="BS23" s="29"/>
      <c r="BT23" s="29"/>
      <c r="BV23" s="29"/>
      <c r="BW23" s="77" t="s">
        <v>46</v>
      </c>
      <c r="BX23" s="101">
        <v>0.04</v>
      </c>
      <c r="BY23" s="29"/>
      <c r="BZ23" s="29"/>
      <c r="CA23" s="29"/>
      <c r="CF23" s="30" t="s">
        <v>53</v>
      </c>
      <c r="CG23" s="79" t="s">
        <v>46</v>
      </c>
      <c r="CH23" s="102">
        <v>0.04</v>
      </c>
      <c r="CI23" s="103" t="s">
        <v>54</v>
      </c>
      <c r="CJ23" s="30"/>
      <c r="CK23" s="30"/>
      <c r="CM23" s="31">
        <v>0.6</v>
      </c>
      <c r="CN23" s="32">
        <f t="shared" si="5"/>
        <v>0.4</v>
      </c>
      <c r="CO23" s="33">
        <f t="array" ref="CO23:CS23">TRANSPOSE(CM23*gmvwt+CN23*epwt2)</f>
        <v>0.173223478</v>
      </c>
      <c r="CP23" s="33">
        <v>0.08718567549329222</v>
      </c>
      <c r="CQ23" s="33">
        <v>0.3003064676708622</v>
      </c>
      <c r="CR23" s="33">
        <v>0.22542132032461248</v>
      </c>
      <c r="CS23" s="33">
        <v>0.21386305853472726</v>
      </c>
      <c r="CU23" s="36" t="str">
        <f t="array" ref="CU23:CV23">MMULT((CO23:CS23),muvec)</f>
        <v>#REF!</v>
      </c>
      <c r="CV23" s="36">
        <f t="array" ref="CV23">SQRT(MMULT(MMULT((CO23:CS23),covmat),TRANSPOSE(CO23:CS23)))</f>
        <v>0.1125726879</v>
      </c>
      <c r="CW23" s="35" t="str">
        <f t="shared" si="6"/>
        <v>#REF!</v>
      </c>
      <c r="CX23" s="36">
        <f t="shared" si="7"/>
        <v>0.3899632301</v>
      </c>
      <c r="CY23" s="36"/>
      <c r="CZ23" s="31">
        <v>0.5</v>
      </c>
      <c r="DA23" s="32">
        <f t="shared" si="8"/>
        <v>0.5</v>
      </c>
      <c r="DB23" s="33">
        <f t="array" ref="DB23:DF23">TRANSPOSE(CZ23*opwt)</f>
        <v>0.2566927403</v>
      </c>
      <c r="DC23" s="33">
        <v>0.049699278120223095</v>
      </c>
      <c r="DD23" s="33">
        <v>0.128391087245624</v>
      </c>
      <c r="DE23" s="33">
        <v>0.11245957514507415</v>
      </c>
      <c r="DF23" s="33">
        <v>-0.04724268078445195</v>
      </c>
      <c r="DG23" s="35"/>
      <c r="DH23" s="35"/>
      <c r="DI23" s="36">
        <f t="array" ref="DI23">SQRT(MMULT(MMULT(DB23:DF23,covmat), TRANSPOSE(DB23:DF23)))</f>
        <v>0.06758956968</v>
      </c>
      <c r="DJ23" s="36">
        <f t="array" ref="DJ23">MMULT((DB23:DF23),muvec) + DA23*rfp</f>
        <v>0.0287592215</v>
      </c>
      <c r="DK23" s="36">
        <f t="shared" si="9"/>
        <v>0.2341371375</v>
      </c>
      <c r="DL23" s="35">
        <f t="shared" si="10"/>
        <v>0.345110658</v>
      </c>
      <c r="DM23" s="36"/>
      <c r="DN23" s="36" t="str">
        <f t="shared" si="11"/>
        <v>#REF!</v>
      </c>
      <c r="DO23" s="36">
        <f t="shared" si="12"/>
        <v>0.1559852921</v>
      </c>
      <c r="DP23" s="36"/>
      <c r="DR23" s="104"/>
      <c r="DS23" s="21" t="s">
        <v>55</v>
      </c>
      <c r="DT23" s="21" t="s">
        <v>56</v>
      </c>
      <c r="DU23" s="21" t="s">
        <v>57</v>
      </c>
      <c r="DV23" s="105" t="s">
        <v>58</v>
      </c>
    </row>
    <row r="24" ht="14.25" customHeight="1">
      <c r="A24" s="24">
        <v>44501.0</v>
      </c>
      <c r="B24" s="21">
        <v>0.168059805</v>
      </c>
      <c r="C24" s="21">
        <v>-0.011442801</v>
      </c>
      <c r="D24" s="21">
        <v>-0.17596445</v>
      </c>
      <c r="E24" s="21">
        <v>-0.013862098</v>
      </c>
      <c r="F24" s="21">
        <v>0.114638182</v>
      </c>
      <c r="O24" s="21">
        <f t="shared" ref="O24:S24" si="37">B24-I$3</f>
        <v>0.1019130598</v>
      </c>
      <c r="P24" s="21">
        <f t="shared" si="37"/>
        <v>-0.06659512267</v>
      </c>
      <c r="Q24" s="21">
        <f t="shared" si="37"/>
        <v>-0.2117899339</v>
      </c>
      <c r="R24" s="21">
        <f t="shared" si="37"/>
        <v>-0.05019985222</v>
      </c>
      <c r="S24" s="21">
        <f t="shared" si="37"/>
        <v>0.08682294752</v>
      </c>
      <c r="AA24" s="27"/>
      <c r="AB24" s="27"/>
      <c r="AC24" s="27"/>
      <c r="AD24" s="27"/>
      <c r="AE24" s="27"/>
      <c r="AF24" s="27"/>
      <c r="AQ24" s="28"/>
      <c r="AR24" s="28"/>
      <c r="AS24" s="28"/>
      <c r="AT24" s="28"/>
      <c r="AU24" s="28"/>
      <c r="AV24" s="28"/>
      <c r="BH24" s="29"/>
      <c r="BI24" s="29"/>
      <c r="BJ24" s="29"/>
      <c r="BK24" s="29"/>
      <c r="BL24" s="29"/>
      <c r="BM24" s="29"/>
      <c r="BO24" s="29"/>
      <c r="BP24" s="29"/>
      <c r="BQ24" s="29"/>
      <c r="BR24" s="29"/>
      <c r="BS24" s="29"/>
      <c r="BT24" s="29"/>
      <c r="BV24" s="29"/>
      <c r="BW24" s="29"/>
      <c r="BX24" s="29"/>
      <c r="BY24" s="29"/>
      <c r="BZ24" s="29"/>
      <c r="CA24" s="29"/>
      <c r="CF24" s="30"/>
      <c r="CG24" s="30"/>
      <c r="CH24" s="30"/>
      <c r="CI24" s="30"/>
      <c r="CJ24" s="30"/>
      <c r="CK24" s="30"/>
      <c r="CM24" s="32">
        <v>0.58</v>
      </c>
      <c r="CN24" s="32">
        <f t="shared" si="5"/>
        <v>0.42</v>
      </c>
      <c r="CO24" s="33">
        <f t="array" ref="CO24:CS24">TRANSPOSE(CM24*gmvwt+CN24*epwt2)</f>
        <v>0.1773993705</v>
      </c>
      <c r="CP24" s="33">
        <v>0.08733696451697902</v>
      </c>
      <c r="CQ24" s="33">
        <v>0.2997697714533877</v>
      </c>
      <c r="CR24" s="33">
        <v>0.22540976952740693</v>
      </c>
      <c r="CS24" s="33">
        <v>0.21008412396286003</v>
      </c>
      <c r="CU24" s="36" t="str">
        <f t="array" ref="CU24:CV24">MMULT((CO24:CS24),muvec)</f>
        <v>#REF!</v>
      </c>
      <c r="CV24" s="36">
        <f t="array" ref="CV24">SQRT(MMULT(MMULT((CO24:CS24),covmat),TRANSPOSE(CO24:CS24)))</f>
        <v>0.1126756985</v>
      </c>
      <c r="CW24" s="35" t="str">
        <f t="shared" si="6"/>
        <v>#REF!</v>
      </c>
      <c r="CX24" s="36">
        <f t="shared" si="7"/>
        <v>0.390320069</v>
      </c>
      <c r="CY24" s="36"/>
      <c r="CZ24" s="32">
        <v>0.475</v>
      </c>
      <c r="DA24" s="32">
        <f t="shared" si="8"/>
        <v>0.525</v>
      </c>
      <c r="DB24" s="33">
        <f t="array" ref="DB24:DF24">TRANSPOSE(CZ24*opwt)</f>
        <v>0.2438581033</v>
      </c>
      <c r="DC24" s="33">
        <v>0.04721431421421194</v>
      </c>
      <c r="DD24" s="33">
        <v>0.1219715328833428</v>
      </c>
      <c r="DE24" s="33">
        <v>0.10683659638782043</v>
      </c>
      <c r="DF24" s="33">
        <v>-0.04488054674522935</v>
      </c>
      <c r="DG24" s="35"/>
      <c r="DH24" s="35"/>
      <c r="DI24" s="36">
        <f t="array" ref="DI24">SQRT(MMULT(MMULT(DB24:DF24,covmat), TRANSPOSE(DB24:DF24)))</f>
        <v>0.06421009119</v>
      </c>
      <c r="DJ24" s="36">
        <f t="array" ref="DJ24">MMULT((DB24:DF24),muvec) + DA24*rfp</f>
        <v>0.02748792709</v>
      </c>
      <c r="DK24" s="36">
        <f t="shared" si="9"/>
        <v>0.2224302806</v>
      </c>
      <c r="DL24" s="35">
        <f t="shared" si="10"/>
        <v>0.3298551251</v>
      </c>
      <c r="DM24" s="36"/>
      <c r="DN24" s="36" t="str">
        <f t="shared" si="11"/>
        <v>#REF!</v>
      </c>
      <c r="DO24" s="36">
        <f t="shared" si="12"/>
        <v>0.163934429</v>
      </c>
      <c r="DP24" s="36"/>
      <c r="DR24" s="106" t="s">
        <v>59</v>
      </c>
      <c r="DS24" s="36">
        <f t="shared" ref="DS24:DS26" si="39">AC15</f>
        <v>0.5310660946</v>
      </c>
      <c r="DT24" s="36">
        <f t="shared" ref="DT24:DT26" si="40">BJ15</f>
        <v>0.5310660946</v>
      </c>
      <c r="DU24" s="36">
        <f t="shared" ref="DU24:DU26" si="41">BQ15</f>
        <v>0.5515132634</v>
      </c>
      <c r="DV24" s="107">
        <f t="shared" ref="DV24:DV26" si="42">CH15</f>
        <v>0.6502213161</v>
      </c>
    </row>
    <row r="25" ht="14.25" customHeight="1">
      <c r="A25" s="24">
        <v>44470.0</v>
      </c>
      <c r="B25" s="21">
        <v>-0.030311289</v>
      </c>
      <c r="C25" s="21">
        <v>0.035015464</v>
      </c>
      <c r="D25" s="21">
        <v>-0.105796366</v>
      </c>
      <c r="E25" s="21">
        <v>-0.163273465</v>
      </c>
      <c r="F25" s="21">
        <v>0.12346631</v>
      </c>
      <c r="O25" s="21">
        <f t="shared" ref="O25:S25" si="38">B25-I$3</f>
        <v>-0.09645803418</v>
      </c>
      <c r="P25" s="21">
        <f t="shared" si="38"/>
        <v>-0.02013685767</v>
      </c>
      <c r="Q25" s="21">
        <f t="shared" si="38"/>
        <v>-0.1416218499</v>
      </c>
      <c r="R25" s="21">
        <f t="shared" si="38"/>
        <v>-0.1996112192</v>
      </c>
      <c r="S25" s="21">
        <f t="shared" si="38"/>
        <v>0.09565107552</v>
      </c>
      <c r="AA25" s="27"/>
      <c r="AB25" s="27"/>
      <c r="AC25" s="27"/>
      <c r="AD25" s="27"/>
      <c r="AE25" s="27"/>
      <c r="AF25" s="27"/>
      <c r="AQ25" s="28"/>
      <c r="AR25" s="28"/>
      <c r="AS25" s="28"/>
      <c r="AT25" s="28"/>
      <c r="AU25" s="28"/>
      <c r="AV25" s="28"/>
      <c r="BH25" s="29"/>
      <c r="BI25" s="29"/>
      <c r="BJ25" s="29"/>
      <c r="BK25" s="29"/>
      <c r="BL25" s="29"/>
      <c r="BM25" s="29"/>
      <c r="BO25" s="29"/>
      <c r="BP25" s="29"/>
      <c r="BQ25" s="29"/>
      <c r="BR25" s="29"/>
      <c r="BS25" s="29"/>
      <c r="BT25" s="29"/>
      <c r="BV25" s="29"/>
      <c r="BW25" s="29"/>
      <c r="BX25" s="29"/>
      <c r="BY25" s="29"/>
      <c r="BZ25" s="29"/>
      <c r="CA25" s="29"/>
      <c r="CF25" s="30"/>
      <c r="CG25" s="30"/>
      <c r="CH25" s="30"/>
      <c r="CI25" s="30"/>
      <c r="CJ25" s="30"/>
      <c r="CK25" s="30"/>
      <c r="CM25" s="31">
        <v>0.56</v>
      </c>
      <c r="CN25" s="32">
        <f t="shared" si="5"/>
        <v>0.44</v>
      </c>
      <c r="CO25" s="33">
        <f t="array" ref="CO25:CS25">TRANSPOSE(CM25*gmvwt+CN25*epwt2)</f>
        <v>0.1815752631</v>
      </c>
      <c r="CP25" s="33">
        <v>0.0874882535406658</v>
      </c>
      <c r="CQ25" s="33">
        <v>0.299233075235913</v>
      </c>
      <c r="CR25" s="33">
        <v>0.22539821873020138</v>
      </c>
      <c r="CS25" s="33">
        <v>0.20630518939099277</v>
      </c>
      <c r="CU25" s="36" t="str">
        <f t="array" ref="CU25:CV25">MMULT((CO25:CS25),muvec)</f>
        <v>#REF!</v>
      </c>
      <c r="CV25" s="36">
        <f t="array" ref="CV25">SQRT(MMULT(MMULT((CO25:CS25),covmat),TRANSPOSE(CO25:CS25)))</f>
        <v>0.1127836328</v>
      </c>
      <c r="CW25" s="35" t="str">
        <f t="shared" si="6"/>
        <v>#REF!</v>
      </c>
      <c r="CX25" s="36">
        <f t="shared" si="7"/>
        <v>0.3906939645</v>
      </c>
      <c r="CY25" s="36"/>
      <c r="CZ25" s="31">
        <v>0.45</v>
      </c>
      <c r="DA25" s="32">
        <f t="shared" si="8"/>
        <v>0.55</v>
      </c>
      <c r="DB25" s="33">
        <f t="array" ref="DB25:DF25">TRANSPOSE(CZ25*opwt)</f>
        <v>0.2310234662</v>
      </c>
      <c r="DC25" s="33">
        <v>0.044729350308200785</v>
      </c>
      <c r="DD25" s="33">
        <v>0.11555197852106161</v>
      </c>
      <c r="DE25" s="33">
        <v>0.10121361763056674</v>
      </c>
      <c r="DF25" s="33">
        <v>-0.04251841270600676</v>
      </c>
      <c r="DG25" s="35"/>
      <c r="DH25" s="35"/>
      <c r="DI25" s="36">
        <f t="array" ref="DI25">SQRT(MMULT(MMULT(DB25:DF25,covmat), TRANSPOSE(DB25:DF25)))</f>
        <v>0.06083061271</v>
      </c>
      <c r="DJ25" s="36">
        <f t="array" ref="DJ25">MMULT((DB25:DF25),muvec) + DA25*rfp</f>
        <v>0.02621663269</v>
      </c>
      <c r="DK25" s="36">
        <f t="shared" si="9"/>
        <v>0.2107234237</v>
      </c>
      <c r="DL25" s="35">
        <f t="shared" si="10"/>
        <v>0.3145995922</v>
      </c>
      <c r="DM25" s="36"/>
      <c r="DN25" s="36" t="str">
        <f t="shared" si="11"/>
        <v>#REF!</v>
      </c>
      <c r="DO25" s="36">
        <f t="shared" si="12"/>
        <v>0.1719053444</v>
      </c>
      <c r="DP25" s="36"/>
      <c r="DR25" s="106" t="s">
        <v>60</v>
      </c>
      <c r="DS25" s="36">
        <f t="shared" si="39"/>
        <v>0.4078386439</v>
      </c>
      <c r="DT25" s="36">
        <f t="shared" si="40"/>
        <v>0.3998295996</v>
      </c>
      <c r="DU25" s="36">
        <f t="shared" si="41"/>
        <v>0.4078389962</v>
      </c>
      <c r="DV25" s="107">
        <f t="shared" si="42"/>
        <v>0.468274275</v>
      </c>
    </row>
    <row r="26" ht="14.25" customHeight="1">
      <c r="A26" s="24">
        <v>44440.0</v>
      </c>
      <c r="B26" s="21">
        <v>-0.075270834</v>
      </c>
      <c r="C26" s="21">
        <v>-0.014213213</v>
      </c>
      <c r="D26" s="21">
        <v>0.473266461</v>
      </c>
      <c r="E26" s="21">
        <v>-0.075232445</v>
      </c>
      <c r="F26" s="21">
        <v>-0.050033058</v>
      </c>
      <c r="O26" s="21">
        <f t="shared" ref="O26:S26" si="43">B26-I$3</f>
        <v>-0.1414175792</v>
      </c>
      <c r="P26" s="21">
        <f t="shared" si="43"/>
        <v>-0.06936553467</v>
      </c>
      <c r="Q26" s="21">
        <f t="shared" si="43"/>
        <v>0.4374409771</v>
      </c>
      <c r="R26" s="21">
        <f t="shared" si="43"/>
        <v>-0.1115701992</v>
      </c>
      <c r="S26" s="21">
        <f t="shared" si="43"/>
        <v>-0.07784829248</v>
      </c>
      <c r="CM26" s="31">
        <v>0.54</v>
      </c>
      <c r="CN26" s="32">
        <f t="shared" si="5"/>
        <v>0.46</v>
      </c>
      <c r="CO26" s="33">
        <f t="array" ref="CO26:CS26">TRANSPOSE(CM26*gmvwt+CN26*epwt2)</f>
        <v>0.1857511557</v>
      </c>
      <c r="CP26" s="33">
        <v>0.08763954256435261</v>
      </c>
      <c r="CQ26" s="33">
        <v>0.2986963790184385</v>
      </c>
      <c r="CR26" s="33">
        <v>0.22538666793299583</v>
      </c>
      <c r="CS26" s="33">
        <v>0.20252625481912553</v>
      </c>
      <c r="CU26" s="36" t="str">
        <f t="array" ref="CU26:CV26">MMULT((CO26:CS26),muvec)</f>
        <v>#REF!</v>
      </c>
      <c r="CV26" s="36">
        <f t="array" ref="CV26">SQRT(MMULT(MMULT((CO26:CS26),covmat),TRANSPOSE(CO26:CS26)))</f>
        <v>0.1128964768</v>
      </c>
      <c r="CW26" s="35" t="str">
        <f t="shared" si="6"/>
        <v>#REF!</v>
      </c>
      <c r="CX26" s="36">
        <f t="shared" si="7"/>
        <v>0.3910848677</v>
      </c>
      <c r="CY26" s="36"/>
      <c r="CZ26" s="32">
        <v>0.424999999999999</v>
      </c>
      <c r="DA26" s="32">
        <f t="shared" si="8"/>
        <v>0.575</v>
      </c>
      <c r="DB26" s="33">
        <f t="array" ref="DB26:DF26">TRANSPOSE(CZ26*opwt)</f>
        <v>0.2181888292</v>
      </c>
      <c r="DC26" s="33">
        <v>0.042244386402189534</v>
      </c>
      <c r="DD26" s="33">
        <v>0.10913242415878015</v>
      </c>
      <c r="DE26" s="33">
        <v>0.0955906388733128</v>
      </c>
      <c r="DF26" s="33">
        <v>-0.04015627866678406</v>
      </c>
      <c r="DG26" s="35"/>
      <c r="DH26" s="35"/>
      <c r="DI26" s="36">
        <f t="array" ref="DI26">SQRT(MMULT(MMULT(DB26:DF26,covmat), TRANSPOSE(DB26:DF26)))</f>
        <v>0.05745113422</v>
      </c>
      <c r="DJ26" s="36">
        <f t="array" ref="DJ26">MMULT((DB26:DF26),muvec) + DA26*rfp</f>
        <v>0.02494533828</v>
      </c>
      <c r="DK26" s="36">
        <f t="shared" si="9"/>
        <v>0.1990165669</v>
      </c>
      <c r="DL26" s="35">
        <f t="shared" si="10"/>
        <v>0.2993440593</v>
      </c>
      <c r="DM26" s="36"/>
      <c r="DN26" s="36" t="str">
        <f t="shared" si="11"/>
        <v>#REF!</v>
      </c>
      <c r="DO26" s="36">
        <f t="shared" si="12"/>
        <v>0.1798990391</v>
      </c>
      <c r="DP26" s="36"/>
      <c r="DR26" s="106" t="s">
        <v>61</v>
      </c>
      <c r="DS26" s="36">
        <f t="shared" si="39"/>
        <v>1.204069555</v>
      </c>
      <c r="DT26" s="36">
        <f t="shared" si="40"/>
        <v>1.228188446</v>
      </c>
      <c r="DU26" s="36">
        <f t="shared" si="41"/>
        <v>1.254203909</v>
      </c>
      <c r="DV26" s="107">
        <f t="shared" si="42"/>
        <v>1.303127993</v>
      </c>
    </row>
    <row r="27" ht="14.25" customHeight="1">
      <c r="A27" s="24">
        <v>44409.0</v>
      </c>
      <c r="B27" s="21">
        <v>0.118573453</v>
      </c>
      <c r="C27" s="21">
        <v>0.027647382</v>
      </c>
      <c r="D27" s="21">
        <v>0.056678665</v>
      </c>
      <c r="E27" s="21">
        <v>0.039126866</v>
      </c>
      <c r="F27" s="21">
        <v>0.003147191</v>
      </c>
      <c r="O27" s="21">
        <f t="shared" ref="O27:S27" si="44">B27-I$3</f>
        <v>0.05242670782</v>
      </c>
      <c r="P27" s="21">
        <f t="shared" si="44"/>
        <v>-0.02750493967</v>
      </c>
      <c r="Q27" s="21">
        <f t="shared" si="44"/>
        <v>0.02085318113</v>
      </c>
      <c r="R27" s="21">
        <f t="shared" si="44"/>
        <v>0.002789111783</v>
      </c>
      <c r="S27" s="21">
        <f t="shared" si="44"/>
        <v>-0.02466804348</v>
      </c>
      <c r="CM27" s="32">
        <v>0.52</v>
      </c>
      <c r="CN27" s="32">
        <f t="shared" si="5"/>
        <v>0.48</v>
      </c>
      <c r="CO27" s="33">
        <f t="array" ref="CO27:CS27">TRANSPOSE(CM27*gmvwt+CN27*epwt2)</f>
        <v>0.1899270482</v>
      </c>
      <c r="CP27" s="33">
        <v>0.08779083158803941</v>
      </c>
      <c r="CQ27" s="33">
        <v>0.29815968280096383</v>
      </c>
      <c r="CR27" s="33">
        <v>0.22537511713579028</v>
      </c>
      <c r="CS27" s="33">
        <v>0.19874732024725827</v>
      </c>
      <c r="CU27" s="36" t="str">
        <f t="array" ref="CU27:CV27">MMULT((CO27:CS27),muvec)</f>
        <v>#REF!</v>
      </c>
      <c r="CV27" s="36">
        <f t="array" ref="CV27">SQRT(MMULT(MMULT((CO27:CS27),covmat),TRANSPOSE(CO27:CS27)))</f>
        <v>0.1130142158</v>
      </c>
      <c r="CW27" s="35" t="str">
        <f t="shared" si="6"/>
        <v>#REF!</v>
      </c>
      <c r="CX27" s="36">
        <f t="shared" si="7"/>
        <v>0.3914927276</v>
      </c>
      <c r="CY27" s="36"/>
      <c r="CZ27" s="31">
        <v>0.399999999999999</v>
      </c>
      <c r="DA27" s="32">
        <f t="shared" si="8"/>
        <v>0.6</v>
      </c>
      <c r="DB27" s="33">
        <f t="array" ref="DB27:DF27">TRANSPOSE(CZ27*opwt)</f>
        <v>0.2053541922</v>
      </c>
      <c r="DC27" s="33">
        <v>0.03975942249617838</v>
      </c>
      <c r="DD27" s="33">
        <v>0.10271286979649896</v>
      </c>
      <c r="DE27" s="33">
        <v>0.0899676601160591</v>
      </c>
      <c r="DF27" s="33">
        <v>-0.03779414462756147</v>
      </c>
      <c r="DG27" s="35"/>
      <c r="DH27" s="35"/>
      <c r="DI27" s="36">
        <f t="array" ref="DI27">SQRT(MMULT(MMULT(DB27:DF27,covmat), TRANSPOSE(DB27:DF27)))</f>
        <v>0.05407165574</v>
      </c>
      <c r="DJ27" s="36">
        <f t="array" ref="DJ27">MMULT((DB27:DF27),muvec) + DA27*rfp</f>
        <v>0.02367404387</v>
      </c>
      <c r="DK27" s="36">
        <f t="shared" si="9"/>
        <v>0.18730971</v>
      </c>
      <c r="DL27" s="35">
        <f t="shared" si="10"/>
        <v>0.2840885264</v>
      </c>
      <c r="DM27" s="36"/>
      <c r="DN27" s="36" t="str">
        <f t="shared" si="11"/>
        <v>#REF!</v>
      </c>
      <c r="DO27" s="36">
        <f t="shared" si="12"/>
        <v>0.1879165093</v>
      </c>
      <c r="DP27" s="36"/>
      <c r="DR27" s="109" t="s">
        <v>52</v>
      </c>
      <c r="DS27" s="110">
        <f t="shared" ref="DS27:DV27" si="45">_xlfn.NORM.DIST(0, DS24, DS25, TRUE)</f>
        <v>0.09643297397</v>
      </c>
      <c r="DT27" s="110">
        <f t="shared" si="45"/>
        <v>0.09205089252</v>
      </c>
      <c r="DU27" s="110">
        <f t="shared" si="45"/>
        <v>0.08814258762</v>
      </c>
      <c r="DV27" s="111">
        <f t="shared" si="45"/>
        <v>0.0824851169</v>
      </c>
    </row>
    <row r="28" ht="14.25" customHeight="1">
      <c r="A28" s="24">
        <v>44378.0</v>
      </c>
      <c r="B28" s="21">
        <v>-0.057908635</v>
      </c>
      <c r="C28" s="21">
        <v>-0.155134411</v>
      </c>
      <c r="D28" s="21">
        <v>0.505514016</v>
      </c>
      <c r="E28" s="21">
        <v>-0.068467282</v>
      </c>
      <c r="F28" s="21">
        <v>0.148373908</v>
      </c>
      <c r="O28" s="21">
        <f t="shared" ref="O28:S28" si="46">B28-I$3</f>
        <v>-0.1240553802</v>
      </c>
      <c r="P28" s="21">
        <f t="shared" si="46"/>
        <v>-0.2102867327</v>
      </c>
      <c r="Q28" s="21">
        <f t="shared" si="46"/>
        <v>0.4696885321</v>
      </c>
      <c r="R28" s="21">
        <f t="shared" si="46"/>
        <v>-0.1048050362</v>
      </c>
      <c r="S28" s="21">
        <f t="shared" si="46"/>
        <v>0.1205586735</v>
      </c>
      <c r="CM28" s="31">
        <v>0.5</v>
      </c>
      <c r="CN28" s="32">
        <f t="shared" si="5"/>
        <v>0.5</v>
      </c>
      <c r="CO28" s="33">
        <f t="array" ref="CO28:CS28">TRANSPOSE(CM28*gmvwt+CN28*epwt2)</f>
        <v>0.1941029408</v>
      </c>
      <c r="CP28" s="33">
        <v>0.0879421206117262</v>
      </c>
      <c r="CQ28" s="33">
        <v>0.2976229865834893</v>
      </c>
      <c r="CR28" s="33">
        <v>0.22536356633858473</v>
      </c>
      <c r="CS28" s="33">
        <v>0.19496838567539101</v>
      </c>
      <c r="CU28" s="36" t="str">
        <f t="array" ref="CU28:CV28">MMULT((CO28:CS28),muvec)</f>
        <v>#REF!</v>
      </c>
      <c r="CV28" s="36">
        <f t="array" ref="CV28">SQRT(MMULT(MMULT((CO28:CS28),covmat),TRANSPOSE(CO28:CS28)))</f>
        <v>0.1131368346</v>
      </c>
      <c r="CW28" s="35" t="str">
        <f t="shared" si="6"/>
        <v>#REF!</v>
      </c>
      <c r="CX28" s="36">
        <f t="shared" si="7"/>
        <v>0.3919174914</v>
      </c>
      <c r="CY28" s="36"/>
      <c r="CZ28" s="32">
        <v>0.374999999999999</v>
      </c>
      <c r="DA28" s="32">
        <f t="shared" si="8"/>
        <v>0.625</v>
      </c>
      <c r="DB28" s="33">
        <f t="array" ref="DB28:DF28">TRANSPOSE(CZ28*opwt)</f>
        <v>0.1925195552</v>
      </c>
      <c r="DC28" s="33">
        <v>0.037274458590167224</v>
      </c>
      <c r="DD28" s="33">
        <v>0.09629331543421775</v>
      </c>
      <c r="DE28" s="33">
        <v>0.08434468135880539</v>
      </c>
      <c r="DF28" s="33">
        <v>-0.03543201058833887</v>
      </c>
      <c r="DG28" s="35"/>
      <c r="DH28" s="35"/>
      <c r="DI28" s="36">
        <f t="array" ref="DI28">SQRT(MMULT(MMULT(DB28:DF28,covmat), TRANSPOSE(DB28:DF28)))</f>
        <v>0.05069217726</v>
      </c>
      <c r="DJ28" s="36">
        <f t="array" ref="DJ28">MMULT((DB28:DF28),muvec) + DA28*rfp</f>
        <v>0.02240274946</v>
      </c>
      <c r="DK28" s="36">
        <f t="shared" si="9"/>
        <v>0.1756028531</v>
      </c>
      <c r="DL28" s="35">
        <f t="shared" si="10"/>
        <v>0.2688329935</v>
      </c>
      <c r="DM28" s="36"/>
      <c r="DN28" s="36" t="str">
        <f t="shared" si="11"/>
        <v>#REF!</v>
      </c>
      <c r="DO28" s="36">
        <f t="shared" si="12"/>
        <v>0.1959587457</v>
      </c>
      <c r="DP28" s="36"/>
    </row>
    <row r="29" ht="14.25" customHeight="1">
      <c r="A29" s="24">
        <v>44348.0</v>
      </c>
      <c r="B29" s="21">
        <v>0.145293669</v>
      </c>
      <c r="C29" s="21">
        <v>0.226486453</v>
      </c>
      <c r="D29" s="21">
        <v>0.42462849</v>
      </c>
      <c r="E29" s="21">
        <v>0.316992309</v>
      </c>
      <c r="F29" s="21">
        <v>-0.04139347</v>
      </c>
      <c r="O29" s="21">
        <f t="shared" ref="O29:S29" si="47">B29-I$3</f>
        <v>0.07914692382</v>
      </c>
      <c r="P29" s="21">
        <f t="shared" si="47"/>
        <v>0.1713341313</v>
      </c>
      <c r="Q29" s="21">
        <f t="shared" si="47"/>
        <v>0.3888030061</v>
      </c>
      <c r="R29" s="21">
        <f t="shared" si="47"/>
        <v>0.2806545548</v>
      </c>
      <c r="S29" s="21">
        <f t="shared" si="47"/>
        <v>-0.06920870448</v>
      </c>
      <c r="CM29" s="31">
        <v>0.48</v>
      </c>
      <c r="CN29" s="32">
        <f t="shared" si="5"/>
        <v>0.52</v>
      </c>
      <c r="CO29" s="33">
        <f t="array" ref="CO29:CS29">TRANSPOSE(CM29*gmvwt+CN29*epwt2)</f>
        <v>0.1982788333</v>
      </c>
      <c r="CP29" s="33">
        <v>0.08809340963541298</v>
      </c>
      <c r="CQ29" s="33">
        <v>0.29708629036601475</v>
      </c>
      <c r="CR29" s="33">
        <v>0.22535201554137918</v>
      </c>
      <c r="CS29" s="33">
        <v>0.19118945110352376</v>
      </c>
      <c r="CU29" s="36" t="str">
        <f t="array" ref="CU29:CV29">MMULT((CO29:CS29),muvec)</f>
        <v>#REF!</v>
      </c>
      <c r="CV29" s="36">
        <f t="array" ref="CV29">SQRT(MMULT(MMULT((CO29:CS29),covmat),TRANSPOSE(CO29:CS29)))</f>
        <v>0.1132643172</v>
      </c>
      <c r="CW29" s="35" t="str">
        <f t="shared" si="6"/>
        <v>#REF!</v>
      </c>
      <c r="CX29" s="36">
        <f t="shared" si="7"/>
        <v>0.3923591041</v>
      </c>
      <c r="CY29" s="36"/>
      <c r="CZ29" s="31">
        <v>0.349999999999999</v>
      </c>
      <c r="DA29" s="32">
        <f t="shared" si="8"/>
        <v>0.65</v>
      </c>
      <c r="DB29" s="33">
        <f t="array" ref="DB29:DF29">TRANSPOSE(CZ29*opwt)</f>
        <v>0.1796849182</v>
      </c>
      <c r="DC29" s="33">
        <v>0.03478949468415606</v>
      </c>
      <c r="DD29" s="33">
        <v>0.08987376107193655</v>
      </c>
      <c r="DE29" s="33">
        <v>0.07872170260155167</v>
      </c>
      <c r="DF29" s="33">
        <v>-0.03306987654911627</v>
      </c>
      <c r="DG29" s="35"/>
      <c r="DH29" s="35"/>
      <c r="DI29" s="36">
        <f t="array" ref="DI29">SQRT(MMULT(MMULT(DB29:DF29,covmat), TRANSPOSE(DB29:DF29)))</f>
        <v>0.04731269877</v>
      </c>
      <c r="DJ29" s="36">
        <f t="array" ref="DJ29">MMULT((DB29:DF29),muvec) + DA29*rfp</f>
        <v>0.02113145505</v>
      </c>
      <c r="DK29" s="36">
        <f t="shared" si="9"/>
        <v>0.1638959962</v>
      </c>
      <c r="DL29" s="35">
        <f t="shared" si="10"/>
        <v>0.2535774606</v>
      </c>
      <c r="DM29" s="36"/>
      <c r="DN29" s="36" t="str">
        <f t="shared" si="11"/>
        <v>#REF!</v>
      </c>
      <c r="DO29" s="36">
        <f t="shared" si="12"/>
        <v>0.2040267341</v>
      </c>
      <c r="DP29" s="36"/>
    </row>
    <row r="30" ht="14.25" customHeight="1">
      <c r="A30" s="24">
        <v>44317.0</v>
      </c>
      <c r="B30" s="21">
        <v>0.136014522</v>
      </c>
      <c r="C30" s="21">
        <v>-0.023746702</v>
      </c>
      <c r="D30" s="21">
        <v>0.074361405</v>
      </c>
      <c r="E30" s="21">
        <v>0.156819391</v>
      </c>
      <c r="F30" s="21">
        <v>0.065889502</v>
      </c>
      <c r="O30" s="21">
        <f t="shared" ref="O30:S30" si="48">B30-I$3</f>
        <v>0.06986777682</v>
      </c>
      <c r="P30" s="21">
        <f t="shared" si="48"/>
        <v>-0.07889902367</v>
      </c>
      <c r="Q30" s="21">
        <f t="shared" si="48"/>
        <v>0.03853592113</v>
      </c>
      <c r="R30" s="21">
        <f t="shared" si="48"/>
        <v>0.1204816368</v>
      </c>
      <c r="S30" s="21">
        <f t="shared" si="48"/>
        <v>0.03807426752</v>
      </c>
      <c r="CM30" s="32">
        <v>0.46</v>
      </c>
      <c r="CN30" s="32">
        <f t="shared" si="5"/>
        <v>0.54</v>
      </c>
      <c r="CO30" s="33">
        <f t="array" ref="CO30:CS30">TRANSPOSE(CM30*gmvwt+CN30*epwt2)</f>
        <v>0.2024547259</v>
      </c>
      <c r="CP30" s="33">
        <v>0.08824469865909979</v>
      </c>
      <c r="CQ30" s="33">
        <v>0.29654959414854015</v>
      </c>
      <c r="CR30" s="33">
        <v>0.22534046474417366</v>
      </c>
      <c r="CS30" s="33">
        <v>0.18741051653165652</v>
      </c>
      <c r="CU30" s="36" t="str">
        <f t="array" ref="CU30:CV30">MMULT((CO30:CS30),muvec)</f>
        <v>#REF!</v>
      </c>
      <c r="CV30" s="36">
        <f t="array" ref="CV30">SQRT(MMULT(MMULT((CO30:CS30),covmat),TRANSPOSE(CO30:CS30)))</f>
        <v>0.1133966472</v>
      </c>
      <c r="CW30" s="35" t="str">
        <f t="shared" si="6"/>
        <v>#REF!</v>
      </c>
      <c r="CX30" s="36">
        <f t="shared" si="7"/>
        <v>0.3928175088</v>
      </c>
      <c r="CY30" s="36"/>
      <c r="CZ30" s="32">
        <v>0.324999999999999</v>
      </c>
      <c r="DA30" s="32">
        <f t="shared" si="8"/>
        <v>0.675</v>
      </c>
      <c r="DB30" s="33">
        <f t="array" ref="DB30:DF30">TRANSPOSE(CZ30*opwt)</f>
        <v>0.1668502812</v>
      </c>
      <c r="DC30" s="33">
        <v>0.032304530778144915</v>
      </c>
      <c r="DD30" s="33">
        <v>0.08345420670965535</v>
      </c>
      <c r="DE30" s="33">
        <v>0.07309872384429798</v>
      </c>
      <c r="DF30" s="33">
        <v>-0.030707742509893676</v>
      </c>
      <c r="DG30" s="35"/>
      <c r="DH30" s="35"/>
      <c r="DI30" s="36">
        <f t="array" ref="DI30">SQRT(MMULT(MMULT(DB30:DF30,covmat), TRANSPOSE(DB30:DF30)))</f>
        <v>0.04393322029</v>
      </c>
      <c r="DJ30" s="36">
        <f t="array" ref="DJ30">MMULT((DB30:DF30),muvec) + DA30*rfp</f>
        <v>0.01986016064</v>
      </c>
      <c r="DK30" s="36">
        <f t="shared" si="9"/>
        <v>0.1521891394</v>
      </c>
      <c r="DL30" s="35">
        <f t="shared" si="10"/>
        <v>0.2383219277</v>
      </c>
      <c r="DM30" s="36"/>
      <c r="DN30" s="36" t="str">
        <f t="shared" si="11"/>
        <v>#REF!</v>
      </c>
      <c r="DO30" s="36">
        <f t="shared" si="12"/>
        <v>0.2121214548</v>
      </c>
      <c r="DP30" s="36"/>
    </row>
    <row r="31" ht="14.25" customHeight="1">
      <c r="A31" s="24">
        <v>44287.0</v>
      </c>
      <c r="B31" s="21">
        <v>0.123696877</v>
      </c>
      <c r="C31" s="21">
        <v>0.114050519</v>
      </c>
      <c r="D31" s="21">
        <v>0.247581135</v>
      </c>
      <c r="E31" s="21">
        <v>0.250690487</v>
      </c>
      <c r="F31" s="21">
        <v>0.124590107</v>
      </c>
      <c r="O31" s="21">
        <f t="shared" ref="O31:S31" si="49">B31-I$3</f>
        <v>0.05755013182</v>
      </c>
      <c r="P31" s="21">
        <f t="shared" si="49"/>
        <v>0.05889819733</v>
      </c>
      <c r="Q31" s="21">
        <f t="shared" si="49"/>
        <v>0.2117556511</v>
      </c>
      <c r="R31" s="21">
        <f t="shared" si="49"/>
        <v>0.2143527328</v>
      </c>
      <c r="S31" s="21">
        <f t="shared" si="49"/>
        <v>0.09677487252</v>
      </c>
      <c r="CM31" s="31">
        <v>0.44</v>
      </c>
      <c r="CN31" s="32">
        <f t="shared" si="5"/>
        <v>0.56</v>
      </c>
      <c r="CO31" s="33">
        <f t="array" ref="CO31:CS31">TRANSPOSE(CM31*gmvwt+CN31*epwt2)</f>
        <v>0.2066306185</v>
      </c>
      <c r="CP31" s="33">
        <v>0.08839598768278659</v>
      </c>
      <c r="CQ31" s="33">
        <v>0.29601289793106556</v>
      </c>
      <c r="CR31" s="33">
        <v>0.22532891394696813</v>
      </c>
      <c r="CS31" s="33">
        <v>0.18363158195978926</v>
      </c>
      <c r="CU31" s="36" t="str">
        <f t="array" ref="CU31:CV31">MMULT((CO31:CS31),muvec)</f>
        <v>#REF!</v>
      </c>
      <c r="CV31" s="36">
        <f t="array" ref="CV31">SQRT(MMULT(MMULT((CO31:CS31),covmat),TRANSPOSE(CO31:CS31)))</f>
        <v>0.1135338078</v>
      </c>
      <c r="CW31" s="35" t="str">
        <f t="shared" si="6"/>
        <v>#REF!</v>
      </c>
      <c r="CX31" s="36">
        <f t="shared" si="7"/>
        <v>0.393292647</v>
      </c>
      <c r="CY31" s="36"/>
      <c r="CZ31" s="31">
        <v>0.299999999999999</v>
      </c>
      <c r="DA31" s="32">
        <f t="shared" si="8"/>
        <v>0.7</v>
      </c>
      <c r="DB31" s="33">
        <f t="array" ref="DB31:DF31">TRANSPOSE(CZ31*opwt)</f>
        <v>0.1540156442</v>
      </c>
      <c r="DC31" s="33">
        <v>0.029819566872133756</v>
      </c>
      <c r="DD31" s="33">
        <v>0.07703465234737415</v>
      </c>
      <c r="DE31" s="33">
        <v>0.06747574508704426</v>
      </c>
      <c r="DF31" s="33">
        <v>-0.028345608470671073</v>
      </c>
      <c r="DG31" s="35"/>
      <c r="DH31" s="35"/>
      <c r="DI31" s="36">
        <f t="array" ref="DI31">SQRT(MMULT(MMULT(DB31:DF31,covmat), TRANSPOSE(DB31:DF31)))</f>
        <v>0.04055374181</v>
      </c>
      <c r="DJ31" s="36">
        <f t="array" ref="DJ31">MMULT((DB31:DF31),muvec) + DA31*rfp</f>
        <v>0.01858886624</v>
      </c>
      <c r="DK31" s="36">
        <f t="shared" si="9"/>
        <v>0.1404822825</v>
      </c>
      <c r="DL31" s="35">
        <f t="shared" si="10"/>
        <v>0.2230663948</v>
      </c>
      <c r="DM31" s="36"/>
      <c r="DN31" s="36" t="str">
        <f t="shared" si="11"/>
        <v>#REF!</v>
      </c>
      <c r="DO31" s="36">
        <f t="shared" si="12"/>
        <v>0.2202438823</v>
      </c>
      <c r="DP31" s="36"/>
    </row>
    <row r="32" ht="14.25" customHeight="1">
      <c r="A32" s="24">
        <v>44256.0</v>
      </c>
      <c r="B32" s="21">
        <v>0.236909858</v>
      </c>
      <c r="C32" s="21">
        <v>0.540760904</v>
      </c>
      <c r="D32" s="21">
        <v>0.221835837</v>
      </c>
      <c r="E32" s="21">
        <v>0.035054124</v>
      </c>
      <c r="F32" s="21">
        <v>0.103473159</v>
      </c>
      <c r="O32" s="21">
        <f t="shared" ref="O32:S32" si="50">B32-I$3</f>
        <v>0.1707631128</v>
      </c>
      <c r="P32" s="21">
        <f t="shared" si="50"/>
        <v>0.4856085823</v>
      </c>
      <c r="Q32" s="21">
        <f t="shared" si="50"/>
        <v>0.1860103531</v>
      </c>
      <c r="R32" s="21">
        <f t="shared" si="50"/>
        <v>-0.001283630217</v>
      </c>
      <c r="S32" s="21">
        <f t="shared" si="50"/>
        <v>0.07565792452</v>
      </c>
      <c r="CM32" s="31">
        <v>0.419999999999999</v>
      </c>
      <c r="CN32" s="32">
        <f t="shared" si="5"/>
        <v>0.58</v>
      </c>
      <c r="CO32" s="33">
        <f t="array" ref="CO32:CS32">TRANSPOSE(CM32*gmvwt+CN32*epwt2)</f>
        <v>0.210806511</v>
      </c>
      <c r="CP32" s="33">
        <v>0.08854727670647339</v>
      </c>
      <c r="CQ32" s="33">
        <v>0.2954762017135909</v>
      </c>
      <c r="CR32" s="33">
        <v>0.22531736314976253</v>
      </c>
      <c r="CS32" s="33">
        <v>0.1798526473879218</v>
      </c>
      <c r="CU32" s="36" t="str">
        <f t="array" ref="CU32:CV32">MMULT((CO32:CS32),muvec)</f>
        <v>#REF!</v>
      </c>
      <c r="CV32" s="36">
        <f t="array" ref="CV32">SQRT(MMULT(MMULT((CO32:CS32),covmat),TRANSPOSE(CO32:CS32)))</f>
        <v>0.1136757814</v>
      </c>
      <c r="CW32" s="35" t="str">
        <f t="shared" si="6"/>
        <v>#REF!</v>
      </c>
      <c r="CX32" s="36">
        <f t="shared" si="7"/>
        <v>0.3937844579</v>
      </c>
      <c r="CY32" s="36"/>
      <c r="CZ32" s="32">
        <v>0.274999999999999</v>
      </c>
      <c r="DA32" s="32">
        <f t="shared" si="8"/>
        <v>0.725</v>
      </c>
      <c r="DB32" s="33">
        <f t="array" ref="DB32:DF32">TRANSPOSE(CZ32*opwt)</f>
        <v>0.1411810072</v>
      </c>
      <c r="DC32" s="33">
        <v>0.027334602966122605</v>
      </c>
      <c r="DD32" s="33">
        <v>0.07061509798509295</v>
      </c>
      <c r="DE32" s="33">
        <v>0.061852766329790566</v>
      </c>
      <c r="DF32" s="33">
        <v>-0.02598347443144848</v>
      </c>
      <c r="DG32" s="35"/>
      <c r="DH32" s="35"/>
      <c r="DI32" s="36">
        <f t="array" ref="DI32">SQRT(MMULT(MMULT(DB32:DF32,covmat), TRANSPOSE(DB32:DF32)))</f>
        <v>0.03717426332</v>
      </c>
      <c r="DJ32" s="36">
        <f t="array" ref="DJ32">MMULT((DB32:DF32),muvec) + DA32*rfp</f>
        <v>0.01731757183</v>
      </c>
      <c r="DK32" s="36">
        <f t="shared" si="9"/>
        <v>0.1287754256</v>
      </c>
      <c r="DL32" s="35">
        <f t="shared" si="10"/>
        <v>0.2078108619</v>
      </c>
      <c r="DM32" s="36"/>
      <c r="DN32" s="36" t="str">
        <f t="shared" si="11"/>
        <v>#REF!</v>
      </c>
      <c r="DO32" s="36">
        <f t="shared" si="12"/>
        <v>0.2283949856</v>
      </c>
      <c r="DP32" s="36"/>
    </row>
    <row r="33" ht="14.25" customHeight="1">
      <c r="A33" s="24">
        <v>44228.0</v>
      </c>
      <c r="B33" s="21">
        <v>0.645416095</v>
      </c>
      <c r="C33" s="21">
        <v>0.076023423</v>
      </c>
      <c r="D33" s="21">
        <v>-0.004844287</v>
      </c>
      <c r="E33" s="21">
        <v>0.013898982</v>
      </c>
      <c r="F33" s="21">
        <v>0.285581556</v>
      </c>
      <c r="O33" s="21">
        <f t="shared" ref="O33:S33" si="51">B33-I$3</f>
        <v>0.5792693498</v>
      </c>
      <c r="P33" s="21">
        <f t="shared" si="51"/>
        <v>0.02087110133</v>
      </c>
      <c r="Q33" s="21">
        <f t="shared" si="51"/>
        <v>-0.04066977087</v>
      </c>
      <c r="R33" s="21">
        <f t="shared" si="51"/>
        <v>-0.02243877222</v>
      </c>
      <c r="S33" s="21">
        <f t="shared" si="51"/>
        <v>0.2577663215</v>
      </c>
      <c r="CM33" s="31">
        <v>0.399999999999999</v>
      </c>
      <c r="CN33" s="32">
        <f t="shared" si="5"/>
        <v>0.6</v>
      </c>
      <c r="CO33" s="33">
        <f t="array" ref="CO33:CS33">TRANSPOSE(CM33*gmvwt+CN33*epwt2)</f>
        <v>0.2149824036</v>
      </c>
      <c r="CP33" s="33">
        <v>0.08869856573016019</v>
      </c>
      <c r="CQ33" s="33">
        <v>0.2949395054961163</v>
      </c>
      <c r="CR33" s="33">
        <v>0.225305812352557</v>
      </c>
      <c r="CS33" s="33">
        <v>0.17607371281605458</v>
      </c>
      <c r="CU33" s="36" t="str">
        <f t="array" ref="CU33:CV33">MMULT((CO33:CS33),muvec)</f>
        <v>#REF!</v>
      </c>
      <c r="CV33" s="36">
        <f t="array" ref="CV33">SQRT(MMULT(MMULT((CO33:CS33),covmat),TRANSPOSE(CO33:CS33)))</f>
        <v>0.11382255</v>
      </c>
      <c r="CW33" s="35" t="str">
        <f t="shared" si="6"/>
        <v>#REF!</v>
      </c>
      <c r="CX33" s="36">
        <f t="shared" si="7"/>
        <v>0.3942928793</v>
      </c>
      <c r="CY33" s="36"/>
      <c r="CZ33" s="31">
        <v>0.249999999999999</v>
      </c>
      <c r="DA33" s="32">
        <f t="shared" si="8"/>
        <v>0.75</v>
      </c>
      <c r="DB33" s="33">
        <f t="array" ref="DB33:DF33">TRANSPOSE(CZ33*opwt)</f>
        <v>0.1283463701</v>
      </c>
      <c r="DC33" s="33">
        <v>0.024849639060111447</v>
      </c>
      <c r="DD33" s="33">
        <v>0.06419554362281175</v>
      </c>
      <c r="DE33" s="33">
        <v>0.056229787572536855</v>
      </c>
      <c r="DF33" s="33">
        <v>-0.02362134039222588</v>
      </c>
      <c r="DG33" s="35"/>
      <c r="DH33" s="35"/>
      <c r="DI33" s="36">
        <f t="array" ref="DI33">SQRT(MMULT(MMULT(DB33:DF33,covmat), TRANSPOSE(DB33:DF33)))</f>
        <v>0.03379478484</v>
      </c>
      <c r="DJ33" s="36">
        <f t="array" ref="DJ33">MMULT((DB33:DF33),muvec) + DA33*rfp</f>
        <v>0.01604627742</v>
      </c>
      <c r="DK33" s="36">
        <f t="shared" si="9"/>
        <v>0.1170685687</v>
      </c>
      <c r="DL33" s="35">
        <f t="shared" si="10"/>
        <v>0.192555329</v>
      </c>
      <c r="DM33" s="36"/>
      <c r="DN33" s="36" t="str">
        <f t="shared" si="11"/>
        <v>#REF!</v>
      </c>
      <c r="DO33" s="36">
        <f t="shared" si="12"/>
        <v>0.2365757276</v>
      </c>
      <c r="DP33" s="36"/>
    </row>
    <row r="34" ht="14.25" customHeight="1">
      <c r="A34" s="24">
        <v>44197.0</v>
      </c>
      <c r="B34" s="21">
        <v>0.056511366</v>
      </c>
      <c r="C34" s="21">
        <v>0.030120482</v>
      </c>
      <c r="D34" s="21">
        <v>0.065634142</v>
      </c>
      <c r="E34" s="21">
        <v>-0.022086703</v>
      </c>
      <c r="F34" s="21">
        <v>-9.29331E-4</v>
      </c>
      <c r="O34" s="21">
        <f t="shared" ref="O34:S34" si="52">B34-I$3</f>
        <v>-0.009635379183</v>
      </c>
      <c r="P34" s="21">
        <f t="shared" si="52"/>
        <v>-0.02503183967</v>
      </c>
      <c r="Q34" s="21">
        <f t="shared" si="52"/>
        <v>0.02980865813</v>
      </c>
      <c r="R34" s="21">
        <f t="shared" si="52"/>
        <v>-0.05842445722</v>
      </c>
      <c r="S34" s="21">
        <f t="shared" si="52"/>
        <v>-0.02874456548</v>
      </c>
      <c r="CM34" s="32">
        <v>0.379999999999999</v>
      </c>
      <c r="CN34" s="32">
        <f t="shared" si="5"/>
        <v>0.62</v>
      </c>
      <c r="CO34" s="33">
        <f t="array" ref="CO34:CS34">TRANSPOSE(CM34*gmvwt+CN34*epwt2)</f>
        <v>0.2191582962</v>
      </c>
      <c r="CP34" s="33">
        <v>0.08884985475384696</v>
      </c>
      <c r="CQ34" s="33">
        <v>0.2944028092786417</v>
      </c>
      <c r="CR34" s="33">
        <v>0.22529426155535145</v>
      </c>
      <c r="CS34" s="33">
        <v>0.17229477824418732</v>
      </c>
      <c r="CU34" s="36" t="str">
        <f t="array" ref="CU34:CV34">MMULT((CO34:CS34),muvec)</f>
        <v>#REF!</v>
      </c>
      <c r="CV34" s="36">
        <f t="array" ref="CV34">SQRT(MMULT(MMULT((CO34:CS34),covmat),TRANSPOSE(CO34:CS34)))</f>
        <v>0.1139740951</v>
      </c>
      <c r="CW34" s="35" t="str">
        <f t="shared" si="6"/>
        <v>#REF!</v>
      </c>
      <c r="CX34" s="36">
        <f t="shared" si="7"/>
        <v>0.3948178469</v>
      </c>
      <c r="CY34" s="36"/>
      <c r="CZ34" s="32">
        <v>0.224999999999999</v>
      </c>
      <c r="DA34" s="32">
        <f t="shared" si="8"/>
        <v>0.775</v>
      </c>
      <c r="DB34" s="33">
        <f t="array" ref="DB34:DF34">TRANSPOSE(CZ34*opwt)</f>
        <v>0.1155117331</v>
      </c>
      <c r="DC34" s="33">
        <v>0.022364675154100296</v>
      </c>
      <c r="DD34" s="33">
        <v>0.05777598926053055</v>
      </c>
      <c r="DE34" s="33">
        <v>0.05060680881528314</v>
      </c>
      <c r="DF34" s="33">
        <v>-0.021259206353003282</v>
      </c>
      <c r="DG34" s="35"/>
      <c r="DH34" s="35"/>
      <c r="DI34" s="36">
        <f t="array" ref="DI34">SQRT(MMULT(MMULT(DB34:DF34,covmat), TRANSPOSE(DB34:DF34)))</f>
        <v>0.03041530635</v>
      </c>
      <c r="DJ34" s="36">
        <f t="array" ref="DJ34">MMULT((DB34:DF34),muvec) + DA34*rfp</f>
        <v>0.01477498301</v>
      </c>
      <c r="DK34" s="36">
        <f t="shared" si="9"/>
        <v>0.1053617119</v>
      </c>
      <c r="DL34" s="35">
        <f t="shared" si="10"/>
        <v>0.1772997961</v>
      </c>
      <c r="DM34" s="36"/>
      <c r="DN34" s="36" t="str">
        <f t="shared" si="11"/>
        <v>#REF!</v>
      </c>
      <c r="DO34" s="36">
        <f t="shared" si="12"/>
        <v>0.2447870651</v>
      </c>
      <c r="DP34" s="36"/>
    </row>
    <row r="35" ht="14.25" customHeight="1">
      <c r="A35" s="24">
        <v>44166.0</v>
      </c>
      <c r="B35" s="21">
        <v>0.2036898</v>
      </c>
      <c r="C35" s="21">
        <v>0.293506474</v>
      </c>
      <c r="D35" s="21">
        <v>0.095314989</v>
      </c>
      <c r="E35" s="21">
        <v>0.117950222</v>
      </c>
      <c r="F35" s="21">
        <v>0.336645532</v>
      </c>
      <c r="O35" s="21">
        <f t="shared" ref="O35:S35" si="53">B35-I$3</f>
        <v>0.1375430548</v>
      </c>
      <c r="P35" s="21">
        <f t="shared" si="53"/>
        <v>0.2383541523</v>
      </c>
      <c r="Q35" s="21">
        <f t="shared" si="53"/>
        <v>0.05948950513</v>
      </c>
      <c r="R35" s="21">
        <f t="shared" si="53"/>
        <v>0.08161246778</v>
      </c>
      <c r="S35" s="21">
        <f t="shared" si="53"/>
        <v>0.3088302975</v>
      </c>
      <c r="CM35" s="31">
        <v>0.359999999999999</v>
      </c>
      <c r="CN35" s="32">
        <f t="shared" si="5"/>
        <v>0.64</v>
      </c>
      <c r="CO35" s="33">
        <f t="array" ref="CO35:CS35">TRANSPOSE(CM35*gmvwt+CN35*epwt2)</f>
        <v>0.2233341887</v>
      </c>
      <c r="CP35" s="33">
        <v>0.08900114377753376</v>
      </c>
      <c r="CQ35" s="33">
        <v>0.29386611306116717</v>
      </c>
      <c r="CR35" s="33">
        <v>0.2252827107581459</v>
      </c>
      <c r="CS35" s="33">
        <v>0.16851584367232006</v>
      </c>
      <c r="CU35" s="36" t="str">
        <f t="array" ref="CU35:CV35">MMULT((CO35:CS35),muvec)</f>
        <v>#REF!</v>
      </c>
      <c r="CV35" s="36">
        <f t="array" ref="CV35">SQRT(MMULT(MMULT((CO35:CS35),covmat),TRANSPOSE(CO35:CS35)))</f>
        <v>0.1141303976</v>
      </c>
      <c r="CW35" s="35" t="str">
        <f t="shared" si="6"/>
        <v>#REF!</v>
      </c>
      <c r="CX35" s="36">
        <f t="shared" si="7"/>
        <v>0.3953592948</v>
      </c>
      <c r="CY35" s="36"/>
      <c r="CZ35" s="31">
        <v>0.199999999999999</v>
      </c>
      <c r="DA35" s="32">
        <f t="shared" si="8"/>
        <v>0.8</v>
      </c>
      <c r="DB35" s="33">
        <f t="array" ref="DB35:DF35">TRANSPOSE(CZ35*opwt)</f>
        <v>0.1026770961</v>
      </c>
      <c r="DC35" s="33">
        <v>0.01987971124808914</v>
      </c>
      <c r="DD35" s="33">
        <v>0.05135643489824935</v>
      </c>
      <c r="DE35" s="33">
        <v>0.04498383005802944</v>
      </c>
      <c r="DF35" s="33">
        <v>-0.018897072313780686</v>
      </c>
      <c r="DG35" s="35"/>
      <c r="DH35" s="35"/>
      <c r="DI35" s="36">
        <f t="array" ref="DI35">SQRT(MMULT(MMULT(DB35:DF35,covmat), TRANSPOSE(DB35:DF35)))</f>
        <v>0.02703582787</v>
      </c>
      <c r="DJ35" s="36">
        <f t="array" ref="DJ35">MMULT((DB35:DF35),muvec) + DA35*rfp</f>
        <v>0.0135036886</v>
      </c>
      <c r="DK35" s="36">
        <f t="shared" si="9"/>
        <v>0.09365485499</v>
      </c>
      <c r="DL35" s="35">
        <f t="shared" si="10"/>
        <v>0.1620442632</v>
      </c>
      <c r="DM35" s="36"/>
      <c r="DN35" s="36" t="str">
        <f t="shared" si="11"/>
        <v>#REF!</v>
      </c>
      <c r="DO35" s="36">
        <f t="shared" si="12"/>
        <v>0.2530299487</v>
      </c>
      <c r="DP35" s="36"/>
    </row>
    <row r="36" ht="14.25" customHeight="1">
      <c r="A36" s="24">
        <v>44136.0</v>
      </c>
      <c r="B36" s="21">
        <v>0.172799462</v>
      </c>
      <c r="C36" s="21">
        <v>0.076923077</v>
      </c>
      <c r="D36" s="21">
        <v>0.031666732</v>
      </c>
      <c r="E36" s="21">
        <v>-0.007983602</v>
      </c>
      <c r="F36" s="21">
        <v>0.389918643</v>
      </c>
      <c r="O36" s="21">
        <f t="shared" ref="O36:S36" si="54">B36-I$3</f>
        <v>0.1066527168</v>
      </c>
      <c r="P36" s="21">
        <f t="shared" si="54"/>
        <v>0.02177075533</v>
      </c>
      <c r="Q36" s="21">
        <f t="shared" si="54"/>
        <v>-0.004158751867</v>
      </c>
      <c r="R36" s="21">
        <f t="shared" si="54"/>
        <v>-0.04432135622</v>
      </c>
      <c r="S36" s="21">
        <f t="shared" si="54"/>
        <v>0.3621034085</v>
      </c>
      <c r="CM36" s="31">
        <v>0.339999999999999</v>
      </c>
      <c r="CN36" s="32">
        <f t="shared" si="5"/>
        <v>0.66</v>
      </c>
      <c r="CO36" s="33">
        <f t="array" ref="CO36:CS36">TRANSPOSE(CM36*gmvwt+CN36*epwt2)</f>
        <v>0.2275100813</v>
      </c>
      <c r="CP36" s="33">
        <v>0.08915243280122057</v>
      </c>
      <c r="CQ36" s="33">
        <v>0.29332941684369257</v>
      </c>
      <c r="CR36" s="33">
        <v>0.22527115996094038</v>
      </c>
      <c r="CS36" s="33">
        <v>0.1647369091004528</v>
      </c>
      <c r="CU36" s="36" t="str">
        <f t="array" ref="CU36:CV36">MMULT((CO36:CS36),muvec)</f>
        <v>#REF!</v>
      </c>
      <c r="CV36" s="36">
        <f t="array" ref="CV36">SQRT(MMULT(MMULT((CO36:CS36),covmat),TRANSPOSE(CO36:CS36)))</f>
        <v>0.1142914381</v>
      </c>
      <c r="CW36" s="35" t="str">
        <f t="shared" si="6"/>
        <v>#REF!</v>
      </c>
      <c r="CX36" s="36">
        <f t="shared" si="7"/>
        <v>0.3959171555</v>
      </c>
      <c r="CY36" s="36"/>
      <c r="CZ36" s="32">
        <v>0.174999999999999</v>
      </c>
      <c r="DA36" s="32">
        <f t="shared" si="8"/>
        <v>0.825</v>
      </c>
      <c r="DB36" s="33">
        <f t="array" ref="DB36:DF36">TRANSPOSE(CZ36*opwt)</f>
        <v>0.0898424591</v>
      </c>
      <c r="DC36" s="33">
        <v>0.017394747342077983</v>
      </c>
      <c r="DD36" s="33">
        <v>0.04493688053596814</v>
      </c>
      <c r="DE36" s="33">
        <v>0.039360851300775726</v>
      </c>
      <c r="DF36" s="33">
        <v>-0.016534938274558087</v>
      </c>
      <c r="DG36" s="35"/>
      <c r="DH36" s="35"/>
      <c r="DI36" s="36">
        <f t="array" ref="DI36">SQRT(MMULT(MMULT(DB36:DF36,covmat), TRANSPOSE(DB36:DF36)))</f>
        <v>0.02365634939</v>
      </c>
      <c r="DJ36" s="36">
        <f t="array" ref="DJ36">MMULT((DB36:DF36),muvec) + DA36*rfp</f>
        <v>0.01223239419</v>
      </c>
      <c r="DK36" s="36">
        <f t="shared" si="9"/>
        <v>0.08194799812</v>
      </c>
      <c r="DL36" s="35">
        <f t="shared" si="10"/>
        <v>0.1467887303</v>
      </c>
      <c r="DM36" s="36"/>
      <c r="DN36" s="36" t="str">
        <f t="shared" si="11"/>
        <v>#REF!</v>
      </c>
      <c r="DO36" s="36">
        <f t="shared" si="12"/>
        <v>0.2613053226</v>
      </c>
      <c r="DP36" s="36"/>
    </row>
    <row r="37" ht="14.25" customHeight="1">
      <c r="A37" s="24">
        <v>44105.0</v>
      </c>
      <c r="B37" s="21">
        <v>0.143385998</v>
      </c>
      <c r="C37" s="21">
        <v>-0.031165352</v>
      </c>
      <c r="D37" s="21">
        <v>0.063829823</v>
      </c>
      <c r="E37" s="21">
        <v>0.112310734</v>
      </c>
      <c r="F37" s="21">
        <v>-0.300584376</v>
      </c>
      <c r="O37" s="21">
        <f t="shared" ref="O37:S37" si="55">B37-I$3</f>
        <v>0.07723925282</v>
      </c>
      <c r="P37" s="21">
        <f t="shared" si="55"/>
        <v>-0.08631767367</v>
      </c>
      <c r="Q37" s="21">
        <f t="shared" si="55"/>
        <v>0.02800433913</v>
      </c>
      <c r="R37" s="21">
        <f t="shared" si="55"/>
        <v>0.07597297978</v>
      </c>
      <c r="S37" s="21">
        <f t="shared" si="55"/>
        <v>-0.3283996105</v>
      </c>
      <c r="CM37" s="32">
        <v>0.319999999999999</v>
      </c>
      <c r="CN37" s="32">
        <f t="shared" si="5"/>
        <v>0.68</v>
      </c>
      <c r="CO37" s="33">
        <f t="array" ref="CO37:CS37">TRANSPOSE(CM37*gmvwt+CN37*epwt2)</f>
        <v>0.2316859738</v>
      </c>
      <c r="CP37" s="33">
        <v>0.08930372182490735</v>
      </c>
      <c r="CQ37" s="33">
        <v>0.292792720626218</v>
      </c>
      <c r="CR37" s="33">
        <v>0.22525960916373483</v>
      </c>
      <c r="CS37" s="33">
        <v>0.16095797452858557</v>
      </c>
      <c r="CU37" s="36" t="str">
        <f t="array" ref="CU37:CV37">MMULT((CO37:CS37),muvec)</f>
        <v>#REF!</v>
      </c>
      <c r="CV37" s="36">
        <f t="array" ref="CV37">SQRT(MMULT(MMULT((CO37:CS37),covmat),TRANSPOSE(CO37:CS37)))</f>
        <v>0.1144571966</v>
      </c>
      <c r="CW37" s="35" t="str">
        <f t="shared" si="6"/>
        <v>#REF!</v>
      </c>
      <c r="CX37" s="36">
        <f t="shared" si="7"/>
        <v>0.3964913595</v>
      </c>
      <c r="CY37" s="36"/>
      <c r="CZ37" s="31">
        <v>0.149999999999999</v>
      </c>
      <c r="DA37" s="32">
        <f t="shared" si="8"/>
        <v>0.85</v>
      </c>
      <c r="DB37" s="33">
        <f t="array" ref="DB37:DF37">TRANSPOSE(CZ37*opwt)</f>
        <v>0.07700782208</v>
      </c>
      <c r="DC37" s="33">
        <v>0.014909783436066828</v>
      </c>
      <c r="DD37" s="33">
        <v>0.038517326173686944</v>
      </c>
      <c r="DE37" s="33">
        <v>0.03373787254352202</v>
      </c>
      <c r="DF37" s="33">
        <v>-0.01417280423533549</v>
      </c>
      <c r="DG37" s="35"/>
      <c r="DH37" s="35"/>
      <c r="DI37" s="36">
        <f t="array" ref="DI37">SQRT(MMULT(MMULT(DB37:DF37,covmat), TRANSPOSE(DB37:DF37)))</f>
        <v>0.0202768709</v>
      </c>
      <c r="DJ37" s="36">
        <f t="array" ref="DJ37">MMULT((DB37:DF37),muvec) + DA37*rfp</f>
        <v>0.01096109978</v>
      </c>
      <c r="DK37" s="36">
        <f t="shared" si="9"/>
        <v>0.07024114124</v>
      </c>
      <c r="DL37" s="35">
        <f t="shared" si="10"/>
        <v>0.1315331974</v>
      </c>
      <c r="DM37" s="36"/>
      <c r="DN37" s="36" t="str">
        <f t="shared" si="11"/>
        <v>#REF!</v>
      </c>
      <c r="DO37" s="36">
        <f t="shared" si="12"/>
        <v>0.2696141245</v>
      </c>
      <c r="DP37" s="36"/>
    </row>
    <row r="38" ht="14.25" customHeight="1">
      <c r="A38" s="24">
        <v>44075.0</v>
      </c>
      <c r="B38" s="21">
        <v>0.062779504</v>
      </c>
      <c r="C38" s="21">
        <v>-0.009395932</v>
      </c>
      <c r="D38" s="21">
        <v>0.07661335</v>
      </c>
      <c r="E38" s="21">
        <v>0.266875264</v>
      </c>
      <c r="F38" s="21">
        <v>0.064127589</v>
      </c>
      <c r="O38" s="21">
        <f t="shared" ref="O38:S38" si="56">B38-I$3</f>
        <v>-0.003367241183</v>
      </c>
      <c r="P38" s="21">
        <f t="shared" si="56"/>
        <v>-0.06454825367</v>
      </c>
      <c r="Q38" s="21">
        <f t="shared" si="56"/>
        <v>0.04078786613</v>
      </c>
      <c r="R38" s="21">
        <f t="shared" si="56"/>
        <v>0.2305375098</v>
      </c>
      <c r="S38" s="21">
        <f t="shared" si="56"/>
        <v>0.03631235452</v>
      </c>
      <c r="CM38" s="31">
        <v>0.299999999999999</v>
      </c>
      <c r="CN38" s="32">
        <f t="shared" si="5"/>
        <v>0.7</v>
      </c>
      <c r="CO38" s="33">
        <f t="array" ref="CO38:CS38">TRANSPOSE(CM38*gmvwt+CN38*epwt2)</f>
        <v>0.2358618664</v>
      </c>
      <c r="CP38" s="33">
        <v>0.08945501084859415</v>
      </c>
      <c r="CQ38" s="33">
        <v>0.29225602440874343</v>
      </c>
      <c r="CR38" s="33">
        <v>0.22524805836652928</v>
      </c>
      <c r="CS38" s="33">
        <v>0.15717903995671828</v>
      </c>
      <c r="CU38" s="36" t="str">
        <f t="array" ref="CU38:CV38">MMULT((CO38:CS38),muvec)</f>
        <v>#REF!</v>
      </c>
      <c r="CV38" s="36">
        <f t="array" ref="CV38">SQRT(MMULT(MMULT((CO38:CS38),covmat),TRANSPOSE(CO38:CS38)))</f>
        <v>0.1146276525</v>
      </c>
      <c r="CW38" s="35" t="str">
        <f t="shared" si="6"/>
        <v>#REF!</v>
      </c>
      <c r="CX38" s="36">
        <f t="shared" si="7"/>
        <v>0.3970818362</v>
      </c>
      <c r="CY38" s="36"/>
      <c r="CZ38" s="32">
        <v>0.124999999999999</v>
      </c>
      <c r="DA38" s="32">
        <f t="shared" si="8"/>
        <v>0.875</v>
      </c>
      <c r="DB38" s="33">
        <f t="array" ref="DB38:DF38">TRANSPOSE(CZ38*opwt)</f>
        <v>0.06417318507</v>
      </c>
      <c r="DC38" s="33">
        <v>0.012424819530055675</v>
      </c>
      <c r="DD38" s="33">
        <v>0.032097771811405745</v>
      </c>
      <c r="DE38" s="33">
        <v>0.028114893786268313</v>
      </c>
      <c r="DF38" s="33">
        <v>-0.011810670196112894</v>
      </c>
      <c r="DG38" s="35"/>
      <c r="DH38" s="35"/>
      <c r="DI38" s="36">
        <f t="array" ref="DI38">SQRT(MMULT(MMULT(DB38:DF38,covmat), TRANSPOSE(DB38:DF38)))</f>
        <v>0.01689739242</v>
      </c>
      <c r="DJ38" s="36">
        <f t="array" ref="DJ38">MMULT((DB38:DF38),muvec) + DA38*rfp</f>
        <v>0.009689805376</v>
      </c>
      <c r="DK38" s="36">
        <f t="shared" si="9"/>
        <v>0.05853428437</v>
      </c>
      <c r="DL38" s="35">
        <f t="shared" si="10"/>
        <v>0.1162776645</v>
      </c>
      <c r="DM38" s="36"/>
      <c r="DN38" s="36" t="str">
        <f t="shared" si="11"/>
        <v>#REF!</v>
      </c>
      <c r="DO38" s="36">
        <f t="shared" si="12"/>
        <v>0.2779572853</v>
      </c>
      <c r="DP38" s="36"/>
    </row>
    <row r="39" ht="14.25" customHeight="1">
      <c r="A39" s="24">
        <v>44044.0</v>
      </c>
      <c r="B39" s="21">
        <v>0.595149837</v>
      </c>
      <c r="C39" s="21">
        <v>0.052259842</v>
      </c>
      <c r="D39" s="21">
        <v>0.192810495</v>
      </c>
      <c r="E39" s="21">
        <v>0.228350373</v>
      </c>
      <c r="F39" s="21">
        <v>0.130491935</v>
      </c>
      <c r="O39" s="21">
        <f t="shared" ref="O39:S39" si="57">B39-I$3</f>
        <v>0.5290030918</v>
      </c>
      <c r="P39" s="21">
        <f t="shared" si="57"/>
        <v>-0.002892479667</v>
      </c>
      <c r="Q39" s="21">
        <f t="shared" si="57"/>
        <v>0.1569850111</v>
      </c>
      <c r="R39" s="21">
        <f t="shared" si="57"/>
        <v>0.1920126188</v>
      </c>
      <c r="S39" s="21">
        <f t="shared" si="57"/>
        <v>0.1026767005</v>
      </c>
      <c r="CM39" s="31">
        <v>0.279999999999999</v>
      </c>
      <c r="CN39" s="32">
        <f t="shared" si="5"/>
        <v>0.72</v>
      </c>
      <c r="CO39" s="33">
        <f t="array" ref="CO39:CS39">TRANSPOSE(CM39*gmvwt+CN39*epwt2)</f>
        <v>0.240037759</v>
      </c>
      <c r="CP39" s="33">
        <v>0.08960629987228094</v>
      </c>
      <c r="CQ39" s="33">
        <v>0.2917193281912688</v>
      </c>
      <c r="CR39" s="33">
        <v>0.22523650756932373</v>
      </c>
      <c r="CS39" s="33">
        <v>0.15340010538485105</v>
      </c>
      <c r="CU39" s="36" t="str">
        <f t="array" ref="CU39:CV39">MMULT((CO39:CS39),muvec)</f>
        <v>#REF!</v>
      </c>
      <c r="CV39" s="36">
        <f t="array" ref="CV39">SQRT(MMULT(MMULT((CO39:CS39),covmat),TRANSPOSE(CO39:CS39)))</f>
        <v>0.114802785</v>
      </c>
      <c r="CW39" s="35" t="str">
        <f t="shared" si="6"/>
        <v>#REF!</v>
      </c>
      <c r="CX39" s="36">
        <f t="shared" si="7"/>
        <v>0.3976885129</v>
      </c>
      <c r="CY39" s="36"/>
      <c r="CZ39" s="31">
        <v>0.099999999999999</v>
      </c>
      <c r="DA39" s="32">
        <f t="shared" si="8"/>
        <v>0.9</v>
      </c>
      <c r="DB39" s="33">
        <f t="array" ref="DB39:DF39">TRANSPOSE(CZ39*opwt)</f>
        <v>0.05133854805</v>
      </c>
      <c r="DC39" s="33">
        <v>0.00993985562404452</v>
      </c>
      <c r="DD39" s="33">
        <v>0.025678217449124546</v>
      </c>
      <c r="DE39" s="33">
        <v>0.022491915029014608</v>
      </c>
      <c r="DF39" s="33">
        <v>-0.009448536156890296</v>
      </c>
      <c r="DG39" s="35"/>
      <c r="DH39" s="35"/>
      <c r="DI39" s="36">
        <f t="array" ref="DI39">SQRT(MMULT(MMULT(DB39:DF39,covmat), TRANSPOSE(DB39:DF39)))</f>
        <v>0.01351791394</v>
      </c>
      <c r="DJ39" s="36">
        <f t="array" ref="DJ39">MMULT((DB39:DF39),muvec) + DA39*rfp</f>
        <v>0.008418510967</v>
      </c>
      <c r="DK39" s="36">
        <f t="shared" si="9"/>
        <v>0.0468274275</v>
      </c>
      <c r="DL39" s="35">
        <f t="shared" si="10"/>
        <v>0.1010221316</v>
      </c>
      <c r="DM39" s="36"/>
      <c r="DN39" s="36" t="str">
        <f t="shared" si="11"/>
        <v>#REF!</v>
      </c>
      <c r="DO39" s="36">
        <f t="shared" si="12"/>
        <v>0.2863357293</v>
      </c>
      <c r="DP39" s="36"/>
    </row>
    <row r="40" ht="14.25" customHeight="1">
      <c r="A40" s="24">
        <v>44013.0</v>
      </c>
      <c r="B40" s="21">
        <v>0.121599975</v>
      </c>
      <c r="C40" s="21">
        <v>-0.016666624</v>
      </c>
      <c r="D40" s="21">
        <v>-0.026511106</v>
      </c>
      <c r="E40" s="21">
        <v>0.796612074</v>
      </c>
      <c r="F40" s="21">
        <v>0.069548896</v>
      </c>
      <c r="O40" s="21">
        <f t="shared" ref="O40:S40" si="58">B40-I$3</f>
        <v>0.05545322982</v>
      </c>
      <c r="P40" s="21">
        <f t="shared" si="58"/>
        <v>-0.07181894567</v>
      </c>
      <c r="Q40" s="21">
        <f t="shared" si="58"/>
        <v>-0.06233658987</v>
      </c>
      <c r="R40" s="21">
        <f t="shared" si="58"/>
        <v>0.7602743198</v>
      </c>
      <c r="S40" s="21">
        <f t="shared" si="58"/>
        <v>0.04173366152</v>
      </c>
      <c r="CM40" s="32">
        <v>0.259999999999999</v>
      </c>
      <c r="CN40" s="32">
        <f t="shared" si="5"/>
        <v>0.74</v>
      </c>
      <c r="CO40" s="33">
        <f t="array" ref="CO40:CS40">TRANSPOSE(CM40*gmvwt+CN40*epwt2)</f>
        <v>0.2442136515</v>
      </c>
      <c r="CP40" s="33">
        <v>0.08975758889596774</v>
      </c>
      <c r="CQ40" s="33">
        <v>0.2911826319737942</v>
      </c>
      <c r="CR40" s="33">
        <v>0.22522495677211818</v>
      </c>
      <c r="CS40" s="33">
        <v>0.14962117081298382</v>
      </c>
      <c r="CU40" s="36" t="str">
        <f t="array" ref="CU40:CV40">MMULT((CO40:CS40),muvec)</f>
        <v>#REF!</v>
      </c>
      <c r="CV40" s="36">
        <f t="array" ref="CV40">SQRT(MMULT(MMULT((CO40:CS40),covmat),TRANSPOSE(CO40:CS40)))</f>
        <v>0.1149825726</v>
      </c>
      <c r="CW40" s="35" t="str">
        <f t="shared" si="6"/>
        <v>#REF!</v>
      </c>
      <c r="CX40" s="36">
        <f t="shared" si="7"/>
        <v>0.3983113156</v>
      </c>
      <c r="CY40" s="36"/>
      <c r="CZ40" s="32">
        <v>0.074999999999999</v>
      </c>
      <c r="DA40" s="32">
        <f t="shared" si="8"/>
        <v>0.925</v>
      </c>
      <c r="DB40" s="33">
        <f t="array" ref="DB40:DF40">TRANSPOSE(CZ40*opwt)</f>
        <v>0.03850391104</v>
      </c>
      <c r="DC40" s="33">
        <v>0.0074548917180333645</v>
      </c>
      <c r="DD40" s="33">
        <v>0.019258663086843344</v>
      </c>
      <c r="DE40" s="33">
        <v>0.016868936271760896</v>
      </c>
      <c r="DF40" s="33">
        <v>-0.007086402117667698</v>
      </c>
      <c r="DG40" s="35"/>
      <c r="DH40" s="35"/>
      <c r="DI40" s="36">
        <f t="array" ref="DI40">SQRT(MMULT(MMULT(DB40:DF40,covmat), TRANSPOSE(DB40:DF40)))</f>
        <v>0.01013843545</v>
      </c>
      <c r="DJ40" s="36">
        <f t="array" ref="DJ40">MMULT((DB40:DF40),muvec) + DA40*rfp</f>
        <v>0.007147216559</v>
      </c>
      <c r="DK40" s="36">
        <f t="shared" si="9"/>
        <v>0.03512057062</v>
      </c>
      <c r="DL40" s="35">
        <f t="shared" si="10"/>
        <v>0.08576659871</v>
      </c>
      <c r="DM40" s="36"/>
      <c r="DN40" s="36" t="str">
        <f t="shared" si="11"/>
        <v>#REF!</v>
      </c>
      <c r="DO40" s="36">
        <f t="shared" si="12"/>
        <v>0.2947503735</v>
      </c>
      <c r="DP40" s="36"/>
    </row>
    <row r="41" ht="14.25" customHeight="1">
      <c r="A41" s="24">
        <v>43983.0</v>
      </c>
      <c r="B41" s="21">
        <v>0.053252304</v>
      </c>
      <c r="C41" s="21">
        <v>-0.010989052</v>
      </c>
      <c r="D41" s="21">
        <v>0.177278492</v>
      </c>
      <c r="E41" s="21">
        <v>0.108869633</v>
      </c>
      <c r="F41" s="21">
        <v>0.154013021</v>
      </c>
      <c r="O41" s="21">
        <f t="shared" ref="O41:S41" si="59">B41-I$3</f>
        <v>-0.01289444118</v>
      </c>
      <c r="P41" s="21">
        <f t="shared" si="59"/>
        <v>-0.06614137367</v>
      </c>
      <c r="Q41" s="21">
        <f t="shared" si="59"/>
        <v>0.1414530081</v>
      </c>
      <c r="R41" s="21">
        <f t="shared" si="59"/>
        <v>0.07253187878</v>
      </c>
      <c r="S41" s="21">
        <f t="shared" si="59"/>
        <v>0.1261977865</v>
      </c>
      <c r="CM41" s="31">
        <v>0.239999999999999</v>
      </c>
      <c r="CN41" s="32">
        <f t="shared" si="5"/>
        <v>0.76</v>
      </c>
      <c r="CO41" s="33">
        <f t="array" ref="CO41:CS41">TRANSPOSE(CM41*gmvwt+CN41*epwt2)</f>
        <v>0.2483895441</v>
      </c>
      <c r="CP41" s="33">
        <v>0.08990887791965455</v>
      </c>
      <c r="CQ41" s="33">
        <v>0.2906459357563196</v>
      </c>
      <c r="CR41" s="33">
        <v>0.22521340597491266</v>
      </c>
      <c r="CS41" s="33">
        <v>0.14584223624111653</v>
      </c>
      <c r="CU41" s="36" t="str">
        <f t="array" ref="CU41:CV41">MMULT((CO41:CS41),muvec)</f>
        <v>#REF!</v>
      </c>
      <c r="CV41" s="36">
        <f t="array" ref="CV41">SQRT(MMULT(MMULT((CO41:CS41),covmat),TRANSPOSE(CO41:CS41)))</f>
        <v>0.1151669937</v>
      </c>
      <c r="CW41" s="35" t="str">
        <f t="shared" si="6"/>
        <v>#REF!</v>
      </c>
      <c r="CX41" s="36">
        <f t="shared" si="7"/>
        <v>0.3989501688</v>
      </c>
      <c r="CY41" s="36"/>
      <c r="CZ41" s="31">
        <v>0.049999999999999</v>
      </c>
      <c r="DA41" s="32">
        <f t="shared" si="8"/>
        <v>0.95</v>
      </c>
      <c r="DB41" s="33">
        <f t="array" ref="DB41:DF41">TRANSPOSE(CZ41*opwt)</f>
        <v>0.02566927403</v>
      </c>
      <c r="DC41" s="33">
        <v>0.00496992781202221</v>
      </c>
      <c r="DD41" s="33">
        <v>0.012839108724562143</v>
      </c>
      <c r="DE41" s="33">
        <v>0.01124595751450719</v>
      </c>
      <c r="DF41" s="33">
        <v>-0.0047242680784451005</v>
      </c>
      <c r="DG41" s="35"/>
      <c r="DH41" s="35"/>
      <c r="DI41" s="36">
        <f t="array" ref="DI41">SQRT(MMULT(MMULT(DB41:DF41,covmat), TRANSPOSE(DB41:DF41)))</f>
        <v>0.006758956968</v>
      </c>
      <c r="DJ41" s="36">
        <f t="array" ref="DJ41">MMULT((DB41:DF41),muvec) + DA41*rfp</f>
        <v>0.00587592215</v>
      </c>
      <c r="DK41" s="36">
        <f t="shared" si="9"/>
        <v>0.02341371375</v>
      </c>
      <c r="DL41" s="35">
        <f t="shared" si="10"/>
        <v>0.0705110658</v>
      </c>
      <c r="DM41" s="36"/>
      <c r="DN41" s="36" t="str">
        <f t="shared" si="11"/>
        <v>#REF!</v>
      </c>
      <c r="DO41" s="36">
        <f t="shared" si="12"/>
        <v>0.3032021283</v>
      </c>
      <c r="DP41" s="36"/>
    </row>
    <row r="42" ht="14.25" customHeight="1">
      <c r="A42" s="24">
        <v>43952.0</v>
      </c>
      <c r="B42" s="21">
        <v>0.049151567</v>
      </c>
      <c r="C42" s="21">
        <v>0.150079051</v>
      </c>
      <c r="D42" s="21">
        <v>-0.102017986</v>
      </c>
      <c r="E42" s="21">
        <v>-0.085951286</v>
      </c>
      <c r="F42" s="21">
        <v>0.029592435</v>
      </c>
      <c r="O42" s="21">
        <f t="shared" ref="O42:S42" si="60">B42-I$3</f>
        <v>-0.01699517818</v>
      </c>
      <c r="P42" s="21">
        <f t="shared" si="60"/>
        <v>0.09492672933</v>
      </c>
      <c r="Q42" s="21">
        <f t="shared" si="60"/>
        <v>-0.1378434699</v>
      </c>
      <c r="R42" s="21">
        <f t="shared" si="60"/>
        <v>-0.1222890402</v>
      </c>
      <c r="S42" s="21">
        <f t="shared" si="60"/>
        <v>0.001777200517</v>
      </c>
      <c r="CM42" s="31">
        <v>0.219999999999999</v>
      </c>
      <c r="CN42" s="32">
        <f t="shared" si="5"/>
        <v>0.78</v>
      </c>
      <c r="CO42" s="33">
        <f t="array" ref="CO42:CS42">TRANSPOSE(CM42*gmvwt+CN42*epwt2)</f>
        <v>0.2525654367</v>
      </c>
      <c r="CP42" s="33">
        <v>0.09006016694334133</v>
      </c>
      <c r="CQ42" s="33">
        <v>0.29010923953884504</v>
      </c>
      <c r="CR42" s="33">
        <v>0.2252018551777071</v>
      </c>
      <c r="CS42" s="33">
        <v>0.1420633016692493</v>
      </c>
      <c r="CU42" s="36" t="str">
        <f t="array" ref="CU42:CV42">MMULT((CO42:CS42),muvec)</f>
        <v>#REF!</v>
      </c>
      <c r="CV42" s="36">
        <f t="array" ref="CV42">SQRT(MMULT(MMULT((CO42:CS42),covmat),TRANSPOSE(CO42:CS42)))</f>
        <v>0.1153560259</v>
      </c>
      <c r="CW42" s="35" t="str">
        <f t="shared" si="6"/>
        <v>#REF!</v>
      </c>
      <c r="CX42" s="36">
        <f t="shared" si="7"/>
        <v>0.3996049955</v>
      </c>
      <c r="CY42" s="36"/>
      <c r="CZ42" s="32">
        <v>0.024999999999999</v>
      </c>
      <c r="DA42" s="32">
        <f t="shared" si="8"/>
        <v>0.975</v>
      </c>
      <c r="DB42" s="33">
        <f t="array" ref="DB42:DF42">TRANSPOSE(CZ42*opwt)</f>
        <v>0.01283463701</v>
      </c>
      <c r="DC42" s="33">
        <v>0.0024849639060110554</v>
      </c>
      <c r="DD42" s="33">
        <v>0.006419554362280943</v>
      </c>
      <c r="DE42" s="33">
        <v>0.005622978757253483</v>
      </c>
      <c r="DF42" s="33">
        <v>-0.002362134039222503</v>
      </c>
      <c r="DG42" s="35"/>
      <c r="DH42" s="35"/>
      <c r="DI42" s="36">
        <f t="array" ref="DI42">SQRT(MMULT(MMULT(DB42:DF42,covmat), TRANSPOSE(DB42:DF42)))</f>
        <v>0.003379478484</v>
      </c>
      <c r="DJ42" s="36">
        <f t="array" ref="DJ42">MMULT((DB42:DF42),muvec) + DA42*rfp</f>
        <v>0.004604627742</v>
      </c>
      <c r="DK42" s="36">
        <f t="shared" si="9"/>
        <v>0.01170685687</v>
      </c>
      <c r="DL42" s="35">
        <f t="shared" si="10"/>
        <v>0.0552555329</v>
      </c>
      <c r="DM42" s="36"/>
      <c r="DN42" s="36" t="str">
        <f t="shared" si="11"/>
        <v>#REF!</v>
      </c>
      <c r="DO42" s="36">
        <f t="shared" si="12"/>
        <v>0.3116918965</v>
      </c>
      <c r="DP42" s="36"/>
    </row>
    <row r="43" ht="14.25" customHeight="1">
      <c r="A43" s="24">
        <v>43922.0</v>
      </c>
      <c r="B43" s="21">
        <v>0.035133472</v>
      </c>
      <c r="C43" s="21">
        <v>0.140540527</v>
      </c>
      <c r="D43" s="21">
        <v>0.044496434</v>
      </c>
      <c r="E43" s="21">
        <v>0.58444073</v>
      </c>
      <c r="F43" s="21">
        <v>0.430836036</v>
      </c>
      <c r="O43" s="21">
        <f t="shared" ref="O43:S43" si="61">B43-I$3</f>
        <v>-0.03101327318</v>
      </c>
      <c r="P43" s="21">
        <f t="shared" si="61"/>
        <v>0.08538820533</v>
      </c>
      <c r="Q43" s="21">
        <f t="shared" si="61"/>
        <v>0.008670950133</v>
      </c>
      <c r="R43" s="21">
        <f t="shared" si="61"/>
        <v>0.5481029758</v>
      </c>
      <c r="S43" s="21">
        <f t="shared" si="61"/>
        <v>0.4030208015</v>
      </c>
      <c r="CM43" s="31">
        <v>0.199999999999999</v>
      </c>
      <c r="CN43" s="32">
        <f t="shared" si="5"/>
        <v>0.8</v>
      </c>
      <c r="CO43" s="33">
        <f t="array" ref="CO43:CS43">TRANSPOSE(CM43*gmvwt+CN43*epwt2)</f>
        <v>0.2567413292</v>
      </c>
      <c r="CP43" s="33">
        <v>0.09021145596702812</v>
      </c>
      <c r="CQ43" s="33">
        <v>0.28957254332137045</v>
      </c>
      <c r="CR43" s="33">
        <v>0.22519030438050153</v>
      </c>
      <c r="CS43" s="33">
        <v>0.138284367097382</v>
      </c>
      <c r="CU43" s="36" t="str">
        <f t="array" ref="CU43:CV43">MMULT((CO43:CS43),muvec)</f>
        <v>#REF!</v>
      </c>
      <c r="CV43" s="36">
        <f t="array" ref="CV43">SQRT(MMULT(MMULT((CO43:CS43),covmat),TRANSPOSE(CO43:CS43)))</f>
        <v>0.1155496466</v>
      </c>
      <c r="CW43" s="35" t="str">
        <f t="shared" si="6"/>
        <v>#REF!</v>
      </c>
      <c r="CX43" s="36">
        <f t="shared" si="7"/>
        <v>0.4002757174</v>
      </c>
      <c r="CY43" s="36"/>
      <c r="CZ43" s="31">
        <v>0.0</v>
      </c>
      <c r="DA43" s="32">
        <f t="shared" si="8"/>
        <v>1</v>
      </c>
      <c r="DB43" s="33">
        <f t="array" ref="DB43:DF43">TRANSPOSE(CZ43*opwt)</f>
        <v>0</v>
      </c>
      <c r="DC43" s="33">
        <v>0.0</v>
      </c>
      <c r="DD43" s="33">
        <v>0.0</v>
      </c>
      <c r="DE43" s="33">
        <v>0.0</v>
      </c>
      <c r="DF43" s="33">
        <v>0.0</v>
      </c>
      <c r="DG43" s="35"/>
      <c r="DH43" s="35"/>
      <c r="DI43" s="36">
        <f t="array" ref="DI43">SQRT(MMULT(MMULT(DB43:DF43,covmat), TRANSPOSE(DB43:DF43)))</f>
        <v>0</v>
      </c>
      <c r="DJ43" s="36">
        <f t="array" ref="DJ43">MMULT((DB43:DF43),muvec) + DA43*rfp</f>
        <v>0.003333333333</v>
      </c>
      <c r="DK43" s="36">
        <f t="shared" si="9"/>
        <v>0</v>
      </c>
      <c r="DL43" s="35">
        <f t="shared" si="10"/>
        <v>0.04</v>
      </c>
      <c r="DM43" s="36"/>
      <c r="DN43" s="36" t="str">
        <f t="shared" si="11"/>
        <v>#REF!</v>
      </c>
      <c r="DO43" s="36">
        <f t="shared" si="12"/>
        <v>0.3202205739</v>
      </c>
      <c r="DP43" s="36"/>
    </row>
    <row r="44" ht="14.25" customHeight="1">
      <c r="A44" s="24">
        <v>43891.0</v>
      </c>
      <c r="B44" s="21">
        <v>-0.370683712</v>
      </c>
      <c r="C44" s="21">
        <v>-0.413319229</v>
      </c>
      <c r="D44" s="21">
        <v>-0.254799283</v>
      </c>
      <c r="E44" s="21">
        <v>-0.214605455</v>
      </c>
      <c r="F44" s="21">
        <v>-0.432456181</v>
      </c>
      <c r="O44" s="21">
        <f t="shared" ref="O44:S44" si="62">B44-I$3</f>
        <v>-0.4368304572</v>
      </c>
      <c r="P44" s="21">
        <f t="shared" si="62"/>
        <v>-0.4684715507</v>
      </c>
      <c r="Q44" s="21">
        <f t="shared" si="62"/>
        <v>-0.2906247669</v>
      </c>
      <c r="R44" s="21">
        <f t="shared" si="62"/>
        <v>-0.2509432092</v>
      </c>
      <c r="S44" s="21">
        <f t="shared" si="62"/>
        <v>-0.4602714155</v>
      </c>
      <c r="CM44" s="32">
        <v>0.179999999999999</v>
      </c>
      <c r="CN44" s="32">
        <f t="shared" si="5"/>
        <v>0.82</v>
      </c>
      <c r="CO44" s="33">
        <f t="array" ref="CO44:CS44">TRANSPOSE(CM44*gmvwt+CN44*epwt2)</f>
        <v>0.2609172218</v>
      </c>
      <c r="CP44" s="33">
        <v>0.09036274499071491</v>
      </c>
      <c r="CQ44" s="33">
        <v>0.28903584710389585</v>
      </c>
      <c r="CR44" s="33">
        <v>0.22517875358329598</v>
      </c>
      <c r="CS44" s="33">
        <v>0.13450543252551478</v>
      </c>
      <c r="CU44" s="36" t="str">
        <f t="array" ref="CU44:CV44">MMULT((CO44:CS44),muvec)</f>
        <v>#REF!</v>
      </c>
      <c r="CV44" s="36">
        <f t="array" ref="CV44">SQRT(MMULT(MMULT((CO44:CS44),covmat),TRANSPOSE(CO44:CS44)))</f>
        <v>0.1157478328</v>
      </c>
      <c r="CW44" s="35" t="str">
        <f t="shared" si="6"/>
        <v>#REF!</v>
      </c>
      <c r="CX44" s="36">
        <f t="shared" si="7"/>
        <v>0.4009622547</v>
      </c>
      <c r="CY44" s="36"/>
      <c r="CZ44" s="31">
        <v>-0.025000000000001</v>
      </c>
      <c r="DA44" s="32">
        <f t="shared" si="8"/>
        <v>1.025</v>
      </c>
      <c r="DB44" s="33">
        <f t="array" ref="DB44:DF44">TRANSPOSE(CZ44*opwt)</f>
        <v>-0.01283463701</v>
      </c>
      <c r="DC44" s="33">
        <v>-0.002484963906011254</v>
      </c>
      <c r="DD44" s="33">
        <v>-0.0064195543622814575</v>
      </c>
      <c r="DE44" s="33">
        <v>-0.005622978757253933</v>
      </c>
      <c r="DF44" s="33">
        <v>0.002362134039222692</v>
      </c>
      <c r="DI44" s="36"/>
      <c r="DJ44" s="36"/>
      <c r="DK44" s="36"/>
      <c r="DL44" s="35"/>
    </row>
    <row r="45" ht="14.25" customHeight="1">
      <c r="A45" s="24">
        <v>43862.0</v>
      </c>
      <c r="B45" s="21">
        <v>-0.047069153</v>
      </c>
      <c r="C45" s="21">
        <v>-0.225225228</v>
      </c>
      <c r="D45" s="21">
        <v>-0.091197419</v>
      </c>
      <c r="E45" s="21">
        <v>-0.039037801</v>
      </c>
      <c r="F45" s="21">
        <v>-0.173314024</v>
      </c>
      <c r="O45" s="21">
        <f t="shared" ref="O45:S45" si="63">B45-I$3</f>
        <v>-0.1132158982</v>
      </c>
      <c r="P45" s="21">
        <f t="shared" si="63"/>
        <v>-0.2803775497</v>
      </c>
      <c r="Q45" s="21">
        <f t="shared" si="63"/>
        <v>-0.1270229029</v>
      </c>
      <c r="R45" s="21">
        <f t="shared" si="63"/>
        <v>-0.07537555522</v>
      </c>
      <c r="S45" s="21">
        <f t="shared" si="63"/>
        <v>-0.2011292585</v>
      </c>
      <c r="CM45" s="31">
        <v>0.159999999999999</v>
      </c>
      <c r="CN45" s="32">
        <f t="shared" si="5"/>
        <v>0.84</v>
      </c>
      <c r="CO45" s="33">
        <f t="array" ref="CO45:CS45">TRANSPOSE(CM45*gmvwt+CN45*epwt2)</f>
        <v>0.2650931143</v>
      </c>
      <c r="CP45" s="33">
        <v>0.09051403401440172</v>
      </c>
      <c r="CQ45" s="33">
        <v>0.28849915088642125</v>
      </c>
      <c r="CR45" s="33">
        <v>0.22516720278609045</v>
      </c>
      <c r="CS45" s="33">
        <v>0.13072649795364752</v>
      </c>
      <c r="CU45" s="36" t="str">
        <f t="array" ref="CU45:CV45">MMULT((CO45:CS45),muvec)</f>
        <v>#REF!</v>
      </c>
      <c r="CV45" s="36">
        <f t="array" ref="CV45">SQRT(MMULT(MMULT((CO45:CS45),covmat),TRANSPOSE(CO45:CS45)))</f>
        <v>0.1159505612</v>
      </c>
      <c r="CW45" s="35" t="str">
        <f t="shared" si="6"/>
        <v>#REF!</v>
      </c>
      <c r="CX45" s="36">
        <f t="shared" si="7"/>
        <v>0.4016645262</v>
      </c>
      <c r="CY45" s="36"/>
      <c r="CZ45" s="32">
        <v>-0.050000000000001</v>
      </c>
      <c r="DA45" s="32">
        <f t="shared" si="8"/>
        <v>1.05</v>
      </c>
      <c r="DB45" s="33">
        <f t="array" ref="DB45:DF45">TRANSPOSE(CZ45*opwt)</f>
        <v>-0.02566927403</v>
      </c>
      <c r="DC45" s="33">
        <v>-0.004969927812022409</v>
      </c>
      <c r="DD45" s="33">
        <v>-0.012839108724562658</v>
      </c>
      <c r="DE45" s="33">
        <v>-0.01124595751450764</v>
      </c>
      <c r="DF45" s="33">
        <v>0.0047242680784452895</v>
      </c>
      <c r="DI45" s="36"/>
      <c r="DJ45" s="36"/>
      <c r="DK45" s="36"/>
      <c r="DL45" s="35"/>
    </row>
    <row r="46" ht="14.25" customHeight="1">
      <c r="A46" s="24">
        <v>43831.0</v>
      </c>
      <c r="B46" s="21">
        <v>0.101272013</v>
      </c>
      <c r="C46" s="21">
        <v>-0.012135922</v>
      </c>
      <c r="D46" s="21">
        <v>-0.090843617</v>
      </c>
      <c r="E46" s="21">
        <v>0.196247311</v>
      </c>
      <c r="F46" s="21">
        <v>-0.095441244</v>
      </c>
      <c r="O46" s="21">
        <f t="shared" ref="O46:S46" si="64">B46-I$3</f>
        <v>0.03512526782</v>
      </c>
      <c r="P46" s="21">
        <f t="shared" si="64"/>
        <v>-0.06728824367</v>
      </c>
      <c r="Q46" s="21">
        <f t="shared" si="64"/>
        <v>-0.1266691009</v>
      </c>
      <c r="R46" s="21">
        <f t="shared" si="64"/>
        <v>0.1599095568</v>
      </c>
      <c r="S46" s="21">
        <f t="shared" si="64"/>
        <v>-0.1232564785</v>
      </c>
      <c r="CM46" s="31">
        <v>0.139999999999999</v>
      </c>
      <c r="CN46" s="32">
        <f t="shared" si="5"/>
        <v>0.86</v>
      </c>
      <c r="CO46" s="33">
        <f t="array" ref="CO46:CS46">TRANSPOSE(CM46*gmvwt+CN46*epwt2)</f>
        <v>0.2692690069</v>
      </c>
      <c r="CP46" s="33">
        <v>0.09066532303808851</v>
      </c>
      <c r="CQ46" s="33">
        <v>0.28796245466894665</v>
      </c>
      <c r="CR46" s="33">
        <v>0.2251556519888849</v>
      </c>
      <c r="CS46" s="33">
        <v>0.12694756338178026</v>
      </c>
      <c r="CU46" s="36" t="str">
        <f t="array" ref="CU46:CV46">MMULT((CO46:CS46),muvec)</f>
        <v>#REF!</v>
      </c>
      <c r="CV46" s="36">
        <f t="array" ref="CV46">SQRT(MMULT(MMULT((CO46:CS46),covmat),TRANSPOSE(CO46:CS46)))</f>
        <v>0.1161578078</v>
      </c>
      <c r="CW46" s="35" t="str">
        <f t="shared" si="6"/>
        <v>#REF!</v>
      </c>
      <c r="CX46" s="36">
        <f t="shared" si="7"/>
        <v>0.4023824496</v>
      </c>
      <c r="CY46" s="36"/>
      <c r="CZ46" s="31">
        <v>-0.075000000000001</v>
      </c>
      <c r="DA46" s="32">
        <f t="shared" si="8"/>
        <v>1.075</v>
      </c>
      <c r="DB46" s="33">
        <f t="array" ref="DB46:DF46">TRANSPOSE(CZ46*opwt)</f>
        <v>-0.03850391104</v>
      </c>
      <c r="DC46" s="33">
        <v>-0.007454891718033563</v>
      </c>
      <c r="DD46" s="33">
        <v>-0.019258663086843857</v>
      </c>
      <c r="DE46" s="33">
        <v>-0.016868936271761347</v>
      </c>
      <c r="DF46" s="33">
        <v>0.007086402117667887</v>
      </c>
      <c r="DI46" s="36"/>
      <c r="DJ46" s="36"/>
      <c r="DK46" s="36"/>
      <c r="DL46" s="35"/>
    </row>
    <row r="47" ht="14.25" customHeight="1">
      <c r="A47" s="24">
        <v>43800.0</v>
      </c>
      <c r="B47" s="21">
        <v>-0.030479405</v>
      </c>
      <c r="C47" s="21">
        <v>-0.028301875</v>
      </c>
      <c r="D47" s="21">
        <v>-0.053888162</v>
      </c>
      <c r="E47" s="21">
        <v>0.027123507</v>
      </c>
      <c r="F47" s="21">
        <v>0.054287548</v>
      </c>
      <c r="O47" s="21">
        <f t="shared" ref="O47:S47" si="65">B47-I$3</f>
        <v>-0.09662615018</v>
      </c>
      <c r="P47" s="21">
        <f t="shared" si="65"/>
        <v>-0.08345419667</v>
      </c>
      <c r="Q47" s="21">
        <f t="shared" si="65"/>
        <v>-0.08971364587</v>
      </c>
      <c r="R47" s="21">
        <f t="shared" si="65"/>
        <v>-0.009214247217</v>
      </c>
      <c r="S47" s="21">
        <f t="shared" si="65"/>
        <v>0.02647231352</v>
      </c>
      <c r="CM47" s="32">
        <v>0.119999999999999</v>
      </c>
      <c r="CN47" s="32">
        <f t="shared" si="5"/>
        <v>0.88</v>
      </c>
      <c r="CO47" s="33">
        <f t="array" ref="CO47:CS47">TRANSPOSE(CM47*gmvwt+CN47*epwt2)</f>
        <v>0.2734448995</v>
      </c>
      <c r="CP47" s="33">
        <v>0.09081661206177531</v>
      </c>
      <c r="CQ47" s="33">
        <v>0.28742575845147206</v>
      </c>
      <c r="CR47" s="33">
        <v>0.22514410119167935</v>
      </c>
      <c r="CS47" s="33">
        <v>0.12316862880991303</v>
      </c>
      <c r="CU47" s="36" t="str">
        <f t="array" ref="CU47:CV47">MMULT((CO47:CS47),muvec)</f>
        <v>#REF!</v>
      </c>
      <c r="CV47" s="36">
        <f t="array" ref="CV47">SQRT(MMULT(MMULT((CO47:CS47),covmat),TRANSPOSE(CO47:CS47)))</f>
        <v>0.1163695486</v>
      </c>
      <c r="CW47" s="35" t="str">
        <f t="shared" si="6"/>
        <v>#REF!</v>
      </c>
      <c r="CX47" s="36">
        <f t="shared" si="7"/>
        <v>0.4031159413</v>
      </c>
      <c r="CY47" s="36"/>
      <c r="CZ47" s="32">
        <v>-0.100000000000001</v>
      </c>
      <c r="DA47" s="32">
        <f t="shared" si="8"/>
        <v>1.1</v>
      </c>
      <c r="DB47" s="33">
        <f t="array" ref="DB47:DF47">TRANSPOSE(CZ47*opwt)</f>
        <v>-0.05133854805</v>
      </c>
      <c r="DC47" s="33">
        <v>-0.00993985562404472</v>
      </c>
      <c r="DD47" s="33">
        <v>-0.02567821744912506</v>
      </c>
      <c r="DE47" s="33">
        <v>-0.022491915029015055</v>
      </c>
      <c r="DF47" s="33">
        <v>0.009448536156890485</v>
      </c>
      <c r="DI47" s="36"/>
      <c r="DJ47" s="36"/>
      <c r="DK47" s="36"/>
      <c r="DL47" s="35"/>
    </row>
    <row r="48" ht="14.25" customHeight="1">
      <c r="A48" s="24">
        <v>43770.0</v>
      </c>
      <c r="B48" s="21">
        <v>0.076383737</v>
      </c>
      <c r="C48" s="21">
        <v>-0.037093179</v>
      </c>
      <c r="D48" s="21">
        <v>0.077148969</v>
      </c>
      <c r="E48" s="21">
        <v>-0.052866345</v>
      </c>
      <c r="F48" s="21">
        <v>-0.025277822</v>
      </c>
      <c r="O48" s="21">
        <f t="shared" ref="O48:S48" si="66">B48-I$3</f>
        <v>0.01023699182</v>
      </c>
      <c r="P48" s="21">
        <f t="shared" si="66"/>
        <v>-0.09224550067</v>
      </c>
      <c r="Q48" s="21">
        <f t="shared" si="66"/>
        <v>0.04132348513</v>
      </c>
      <c r="R48" s="21">
        <f t="shared" si="66"/>
        <v>-0.08920409922</v>
      </c>
      <c r="S48" s="21">
        <f t="shared" si="66"/>
        <v>-0.05309305648</v>
      </c>
      <c r="CM48" s="31">
        <v>0.099999999999999</v>
      </c>
      <c r="CN48" s="32">
        <f t="shared" si="5"/>
        <v>0.9</v>
      </c>
      <c r="CO48" s="33">
        <f t="array" ref="CO48:CS48">TRANSPOSE(CM48*gmvwt+CN48*epwt2)</f>
        <v>0.277620792</v>
      </c>
      <c r="CP48" s="33">
        <v>0.0909679010854621</v>
      </c>
      <c r="CQ48" s="33">
        <v>0.2868890622339975</v>
      </c>
      <c r="CR48" s="33">
        <v>0.22513255039447383</v>
      </c>
      <c r="CS48" s="33">
        <v>0.11938969423804577</v>
      </c>
      <c r="CU48" s="36" t="str">
        <f t="array" ref="CU48:CV48">MMULT((CO48:CS48),muvec)</f>
        <v>#REF!</v>
      </c>
      <c r="CV48" s="36">
        <f t="array" ref="CV48">SQRT(MMULT(MMULT((CO48:CS48),covmat),TRANSPOSE(CO48:CS48)))</f>
        <v>0.1165857591</v>
      </c>
      <c r="CW48" s="35" t="str">
        <f t="shared" si="6"/>
        <v>#REF!</v>
      </c>
      <c r="CX48" s="36">
        <f t="shared" si="7"/>
        <v>0.4038649164</v>
      </c>
      <c r="CY48" s="36"/>
      <c r="CZ48" s="31">
        <v>-0.125000000000001</v>
      </c>
      <c r="DA48" s="32">
        <f t="shared" si="8"/>
        <v>1.125</v>
      </c>
      <c r="DB48" s="33">
        <f t="array" ref="DB48:DF48">TRANSPOSE(CZ48*opwt)</f>
        <v>-0.06417318507</v>
      </c>
      <c r="DC48" s="33">
        <v>-0.012424819530055873</v>
      </c>
      <c r="DD48" s="33">
        <v>-0.03209777181140626</v>
      </c>
      <c r="DE48" s="33">
        <v>-0.028114893786268764</v>
      </c>
      <c r="DF48" s="33">
        <v>0.011810670196113081</v>
      </c>
      <c r="DI48" s="36"/>
      <c r="DJ48" s="36"/>
      <c r="DK48" s="36"/>
      <c r="DL48" s="35"/>
    </row>
    <row r="49" ht="14.25" customHeight="1">
      <c r="A49" s="24">
        <v>43739.0</v>
      </c>
      <c r="B49" s="21">
        <v>0.368871932</v>
      </c>
      <c r="C49" s="21">
        <v>0.027216173</v>
      </c>
      <c r="D49" s="21">
        <v>0.046118582</v>
      </c>
      <c r="E49" s="21">
        <v>-0.01215453</v>
      </c>
      <c r="F49" s="21">
        <v>-0.037625809</v>
      </c>
      <c r="O49" s="21">
        <f t="shared" ref="O49:S49" si="67">B49-I$3</f>
        <v>0.3027251868</v>
      </c>
      <c r="P49" s="21">
        <f t="shared" si="67"/>
        <v>-0.02793614867</v>
      </c>
      <c r="Q49" s="21">
        <f t="shared" si="67"/>
        <v>0.01029309813</v>
      </c>
      <c r="R49" s="21">
        <f t="shared" si="67"/>
        <v>-0.04849228422</v>
      </c>
      <c r="S49" s="21">
        <f t="shared" si="67"/>
        <v>-0.06544104348</v>
      </c>
      <c r="CM49" s="31">
        <v>0.079999999999999</v>
      </c>
      <c r="CN49" s="32">
        <f t="shared" si="5"/>
        <v>0.92</v>
      </c>
      <c r="CO49" s="33">
        <f t="array" ref="CO49:CS49">TRANSPOSE(CM49*gmvwt+CN49*epwt2)</f>
        <v>0.2817966846</v>
      </c>
      <c r="CP49" s="33">
        <v>0.0911191901091489</v>
      </c>
      <c r="CQ49" s="33">
        <v>0.2863523660165229</v>
      </c>
      <c r="CR49" s="33">
        <v>0.22512099959726828</v>
      </c>
      <c r="CS49" s="33">
        <v>0.11561075966617851</v>
      </c>
      <c r="CU49" s="36" t="str">
        <f t="array" ref="CU49:CV49">MMULT((CO49:CS49),muvec)</f>
        <v>#REF!</v>
      </c>
      <c r="CV49" s="36">
        <f t="array" ref="CV49">SQRT(MMULT(MMULT((CO49:CS49),covmat),TRANSPOSE(CO49:CS49)))</f>
        <v>0.1168064145</v>
      </c>
      <c r="CW49" s="35" t="str">
        <f t="shared" si="6"/>
        <v>#REF!</v>
      </c>
      <c r="CX49" s="36">
        <f t="shared" si="7"/>
        <v>0.404629289</v>
      </c>
      <c r="CY49" s="36"/>
      <c r="CZ49" s="31">
        <v>-0.150000000000001</v>
      </c>
      <c r="DA49" s="32">
        <f t="shared" si="8"/>
        <v>1.15</v>
      </c>
      <c r="DB49" s="33">
        <f t="array" ref="DB49:DF49">TRANSPOSE(CZ49*opwt)</f>
        <v>-0.07700782208</v>
      </c>
      <c r="DC49" s="33">
        <v>-0.014909783436067027</v>
      </c>
      <c r="DD49" s="33">
        <v>-0.03851732617368746</v>
      </c>
      <c r="DE49" s="33">
        <v>-0.03373787254352247</v>
      </c>
      <c r="DF49" s="33">
        <v>0.014172804235335679</v>
      </c>
      <c r="DI49" s="36"/>
      <c r="DJ49" s="36"/>
      <c r="DK49" s="36"/>
      <c r="DL49" s="35"/>
    </row>
    <row r="50" ht="14.25" customHeight="1">
      <c r="A50" s="24">
        <v>43709.0</v>
      </c>
      <c r="B50" s="21">
        <v>0.0618857</v>
      </c>
      <c r="C50" s="21">
        <v>0.101027421</v>
      </c>
      <c r="D50" s="21">
        <v>0.004173754</v>
      </c>
      <c r="E50" s="21">
        <v>0.138707192</v>
      </c>
      <c r="F50" s="21">
        <v>0.107797431</v>
      </c>
      <c r="O50" s="21">
        <f t="shared" ref="O50:S50" si="68">B50-I$3</f>
        <v>-0.004261045183</v>
      </c>
      <c r="P50" s="21">
        <f t="shared" si="68"/>
        <v>0.04587509933</v>
      </c>
      <c r="Q50" s="21">
        <f t="shared" si="68"/>
        <v>-0.03165172987</v>
      </c>
      <c r="R50" s="21">
        <f t="shared" si="68"/>
        <v>0.1023694378</v>
      </c>
      <c r="S50" s="21">
        <f t="shared" si="68"/>
        <v>0.07998219652</v>
      </c>
      <c r="CM50" s="32">
        <v>0.0599999999999991</v>
      </c>
      <c r="CN50" s="32">
        <f t="shared" si="5"/>
        <v>0.94</v>
      </c>
      <c r="CO50" s="33">
        <f t="array" ref="CO50:CS50">TRANSPOSE(CM50*gmvwt+CN50*epwt2)</f>
        <v>0.2859725772</v>
      </c>
      <c r="CP50" s="33">
        <v>0.09127047913283569</v>
      </c>
      <c r="CQ50" s="33">
        <v>0.2858156697990483</v>
      </c>
      <c r="CR50" s="33">
        <v>0.22510944880006273</v>
      </c>
      <c r="CS50" s="33">
        <v>0.11183182509431129</v>
      </c>
      <c r="CU50" s="36" t="str">
        <f t="array" ref="CU50:CV50">MMULT((CO50:CS50),muvec)</f>
        <v>#REF!</v>
      </c>
      <c r="CV50" s="36">
        <f t="array" ref="CV50">SQRT(MMULT(MMULT((CO50:CS50),covmat),TRANSPOSE(CO50:CS50)))</f>
        <v>0.1170314895</v>
      </c>
      <c r="CW50" s="35" t="str">
        <f t="shared" si="6"/>
        <v>#REF!</v>
      </c>
      <c r="CX50" s="36">
        <f t="shared" si="7"/>
        <v>0.4054089719</v>
      </c>
      <c r="CY50" s="36"/>
      <c r="CZ50" s="32">
        <v>-0.175000000000001</v>
      </c>
      <c r="DA50" s="32">
        <f t="shared" si="8"/>
        <v>1.175</v>
      </c>
      <c r="DB50" s="33">
        <f t="array" ref="DB50:DF50">TRANSPOSE(CZ50*opwt)</f>
        <v>-0.0898424591</v>
      </c>
      <c r="DC50" s="33">
        <v>-0.01739474734207818</v>
      </c>
      <c r="DD50" s="33">
        <v>-0.04493688053596866</v>
      </c>
      <c r="DE50" s="33">
        <v>-0.03936085130077618</v>
      </c>
      <c r="DF50" s="33">
        <v>0.016534938274558274</v>
      </c>
      <c r="DI50" s="36"/>
      <c r="DJ50" s="36"/>
      <c r="DK50" s="36"/>
      <c r="DL50" s="35"/>
    </row>
    <row r="51" ht="14.25" customHeight="1">
      <c r="A51" s="24">
        <v>43678.0</v>
      </c>
      <c r="B51" s="21">
        <v>0.069627012</v>
      </c>
      <c r="C51" s="21">
        <v>-0.042622926</v>
      </c>
      <c r="D51" s="21">
        <v>-0.019103593</v>
      </c>
      <c r="E51" s="21">
        <v>0.004325224</v>
      </c>
      <c r="F51" s="21">
        <v>-0.097015032</v>
      </c>
      <c r="O51" s="21">
        <f t="shared" ref="O51:S51" si="69">B51-I$3</f>
        <v>0.003480266817</v>
      </c>
      <c r="P51" s="21">
        <f t="shared" si="69"/>
        <v>-0.09777524767</v>
      </c>
      <c r="Q51" s="21">
        <f t="shared" si="69"/>
        <v>-0.05492907687</v>
      </c>
      <c r="R51" s="21">
        <f t="shared" si="69"/>
        <v>-0.03201253022</v>
      </c>
      <c r="S51" s="21">
        <f t="shared" si="69"/>
        <v>-0.1248302665</v>
      </c>
      <c r="CM51" s="31">
        <v>0.039999999999999</v>
      </c>
      <c r="CN51" s="32">
        <f t="shared" si="5"/>
        <v>0.96</v>
      </c>
      <c r="CO51" s="33">
        <f t="array" ref="CO51:CS51">TRANSPOSE(CM51*gmvwt+CN51*epwt2)</f>
        <v>0.2901484697</v>
      </c>
      <c r="CP51" s="33">
        <v>0.09142176815652248</v>
      </c>
      <c r="CQ51" s="33">
        <v>0.2852789735815737</v>
      </c>
      <c r="CR51" s="33">
        <v>0.22509789800285715</v>
      </c>
      <c r="CS51" s="33">
        <v>0.108052890522444</v>
      </c>
      <c r="CU51" s="36" t="str">
        <f t="array" ref="CU51:CV51">MMULT((CO51:CS51),muvec)</f>
        <v>#REF!</v>
      </c>
      <c r="CV51" s="36">
        <f t="array" ref="CV51">SQRT(MMULT(MMULT((CO51:CS51),covmat),TRANSPOSE(CO51:CS51)))</f>
        <v>0.1172609589</v>
      </c>
      <c r="CW51" s="35" t="str">
        <f t="shared" si="6"/>
        <v>#REF!</v>
      </c>
      <c r="CX51" s="36">
        <f t="shared" si="7"/>
        <v>0.406203877</v>
      </c>
      <c r="CY51" s="36"/>
      <c r="CZ51" s="31">
        <v>-0.200000000000001</v>
      </c>
      <c r="DA51" s="32">
        <f t="shared" si="8"/>
        <v>1.2</v>
      </c>
      <c r="DB51" s="33">
        <f t="array" ref="DB51:DF51">TRANSPOSE(CZ51*opwt)</f>
        <v>-0.1026770961</v>
      </c>
      <c r="DC51" s="33">
        <v>-0.01987971124808934</v>
      </c>
      <c r="DD51" s="33">
        <v>-0.05135643489824986</v>
      </c>
      <c r="DE51" s="33">
        <v>-0.04498383005802989</v>
      </c>
      <c r="DF51" s="33">
        <v>0.018897072313780877</v>
      </c>
      <c r="DI51" s="36"/>
      <c r="DJ51" s="36"/>
      <c r="DK51" s="36"/>
      <c r="DL51" s="35"/>
    </row>
    <row r="52" ht="14.25" customHeight="1">
      <c r="A52" s="24">
        <v>43647.0</v>
      </c>
      <c r="B52" s="21">
        <v>-0.14418599</v>
      </c>
      <c r="C52" s="21">
        <v>0.187926033</v>
      </c>
      <c r="D52" s="21">
        <v>0.01643021</v>
      </c>
      <c r="E52" s="21">
        <v>-0.002375784</v>
      </c>
      <c r="F52" s="21">
        <v>-0.116145532</v>
      </c>
      <c r="O52" s="21">
        <f t="shared" ref="O52:S52" si="70">B52-I$3</f>
        <v>-0.2103327352</v>
      </c>
      <c r="P52" s="21">
        <f t="shared" si="70"/>
        <v>0.1327737113</v>
      </c>
      <c r="Q52" s="21">
        <f t="shared" si="70"/>
        <v>-0.01939527387</v>
      </c>
      <c r="R52" s="21">
        <f t="shared" si="70"/>
        <v>-0.03871353822</v>
      </c>
      <c r="S52" s="21">
        <f t="shared" si="70"/>
        <v>-0.1439607665</v>
      </c>
      <c r="CM52" s="31">
        <v>0.019999999999999</v>
      </c>
      <c r="CN52" s="32">
        <f t="shared" si="5"/>
        <v>0.98</v>
      </c>
      <c r="CO52" s="33">
        <f t="array" ref="CO52:CS52">TRANSPOSE(CM52*gmvwt+CN52*epwt2)</f>
        <v>0.2943243623</v>
      </c>
      <c r="CP52" s="33">
        <v>0.09157305718020928</v>
      </c>
      <c r="CQ52" s="33">
        <v>0.2847422773640992</v>
      </c>
      <c r="CR52" s="33">
        <v>0.22508634720565163</v>
      </c>
      <c r="CS52" s="33">
        <v>0.10427395595057676</v>
      </c>
      <c r="CU52" s="36" t="str">
        <f t="array" ref="CU52:CV52">MMULT((CO52:CS52),muvec)</f>
        <v>#REF!</v>
      </c>
      <c r="CV52" s="36">
        <f t="array" ref="CV52">SQRT(MMULT(MMULT((CO52:CS52),covmat),TRANSPOSE(CO52:CS52)))</f>
        <v>0.1174947967</v>
      </c>
      <c r="CW52" s="35" t="str">
        <f t="shared" si="6"/>
        <v>#REF!</v>
      </c>
      <c r="CX52" s="36">
        <f t="shared" si="7"/>
        <v>0.4070139152</v>
      </c>
      <c r="CY52" s="36"/>
      <c r="CZ52" s="32">
        <v>-0.225000000000001</v>
      </c>
      <c r="DA52" s="32">
        <f t="shared" si="8"/>
        <v>1.225</v>
      </c>
      <c r="DB52" s="33">
        <f t="array" ref="DB52:DF52">TRANSPOSE(CZ52*opwt)</f>
        <v>-0.1155117331</v>
      </c>
      <c r="DC52" s="33">
        <v>-0.022364675154100493</v>
      </c>
      <c r="DD52" s="33">
        <v>-0.05777598926053106</v>
      </c>
      <c r="DE52" s="33">
        <v>-0.050606808815283594</v>
      </c>
      <c r="DF52" s="33">
        <v>0.021259206353003473</v>
      </c>
      <c r="DI52" s="36"/>
      <c r="DJ52" s="36"/>
      <c r="DK52" s="36"/>
      <c r="DL52" s="35"/>
    </row>
    <row r="53" ht="14.25" customHeight="1">
      <c r="A53" s="24">
        <v>43617.0</v>
      </c>
      <c r="B53" s="21">
        <v>-0.02746352</v>
      </c>
      <c r="C53" s="21">
        <v>0.019860974</v>
      </c>
      <c r="D53" s="21">
        <v>-0.087252966</v>
      </c>
      <c r="E53" s="21">
        <v>-0.066148878</v>
      </c>
      <c r="F53" s="21">
        <v>0.085954419</v>
      </c>
      <c r="O53" s="21">
        <f t="shared" ref="O53:S53" si="71">B53-I$3</f>
        <v>-0.09361026518</v>
      </c>
      <c r="P53" s="21">
        <f t="shared" si="71"/>
        <v>-0.03529134767</v>
      </c>
      <c r="Q53" s="21">
        <f t="shared" si="71"/>
        <v>-0.1230784499</v>
      </c>
      <c r="R53" s="21">
        <f t="shared" si="71"/>
        <v>-0.1024866322</v>
      </c>
      <c r="S53" s="21">
        <f t="shared" si="71"/>
        <v>0.05813918452</v>
      </c>
      <c r="CM53" s="31">
        <v>0.0</v>
      </c>
      <c r="CN53" s="32">
        <f t="shared" si="5"/>
        <v>1</v>
      </c>
      <c r="CO53" s="33">
        <f t="array" ref="CO53:CS53">TRANSPOSE(CM53*gmvwt+CN53*epwt2)</f>
        <v>0.2985002548</v>
      </c>
      <c r="CP53" s="33">
        <v>0.09172434620389606</v>
      </c>
      <c r="CQ53" s="33">
        <v>0.2842055811466246</v>
      </c>
      <c r="CR53" s="33">
        <v>0.22507479640844608</v>
      </c>
      <c r="CS53" s="33">
        <v>0.10049502137870969</v>
      </c>
      <c r="CU53" s="36" t="str">
        <f t="array" ref="CU53:CV53">MMULT((CO53:CS53),muvec)</f>
        <v>#REF!</v>
      </c>
      <c r="CV53" s="36">
        <f t="array" ref="CV53">SQRT(MMULT(MMULT((CO53:CS53),covmat),TRANSPOSE(CO53:CS53)))</f>
        <v>0.1177329771</v>
      </c>
      <c r="CW53" s="35" t="str">
        <f t="shared" si="6"/>
        <v>#REF!</v>
      </c>
      <c r="CX53" s="36">
        <f t="shared" si="7"/>
        <v>0.4078389962</v>
      </c>
      <c r="CY53" s="36"/>
      <c r="CZ53" s="31">
        <v>-0.250000000000001</v>
      </c>
      <c r="DA53" s="32">
        <f t="shared" si="8"/>
        <v>1.25</v>
      </c>
      <c r="DB53" s="33">
        <f t="array" ref="DB53:DF53">TRANSPOSE(CZ53*opwt)</f>
        <v>-0.1283463701</v>
      </c>
      <c r="DC53" s="33">
        <v>-0.024849639060111648</v>
      </c>
      <c r="DD53" s="33">
        <v>-0.06419554362281225</v>
      </c>
      <c r="DE53" s="33">
        <v>-0.0562297875725373</v>
      </c>
      <c r="DF53" s="33">
        <v>0.02362134039222607</v>
      </c>
      <c r="DI53" s="36"/>
      <c r="DJ53" s="36"/>
      <c r="DK53" s="36"/>
      <c r="DL53" s="35"/>
    </row>
    <row r="54" ht="14.25" customHeight="1">
      <c r="A54" s="24">
        <v>43586.0</v>
      </c>
      <c r="B54" s="21">
        <v>0.218024169</v>
      </c>
      <c r="C54" s="21">
        <v>0.121380774</v>
      </c>
      <c r="D54" s="21">
        <v>0.050107375</v>
      </c>
      <c r="E54" s="21">
        <v>-0.056892417</v>
      </c>
      <c r="F54" s="21">
        <v>-0.037758505</v>
      </c>
      <c r="O54" s="21">
        <f t="shared" ref="O54:S54" si="72">B54-I$3</f>
        <v>0.1518774238</v>
      </c>
      <c r="P54" s="21">
        <f t="shared" si="72"/>
        <v>0.06622845233</v>
      </c>
      <c r="Q54" s="21">
        <f t="shared" si="72"/>
        <v>0.01428189113</v>
      </c>
      <c r="R54" s="21">
        <f t="shared" si="72"/>
        <v>-0.09323017122</v>
      </c>
      <c r="S54" s="21">
        <f t="shared" si="72"/>
        <v>-0.06557373948</v>
      </c>
      <c r="CM54" s="32">
        <v>-0.0200000000000013</v>
      </c>
      <c r="CN54" s="32">
        <f t="shared" si="5"/>
        <v>1.02</v>
      </c>
      <c r="CO54" s="33">
        <f t="array" ref="CO54:CS54">TRANSPOSE(CM54*gmvwt+CN54*epwt2)</f>
        <v>0.3026761474</v>
      </c>
      <c r="CP54" s="33">
        <v>0.09187563522758288</v>
      </c>
      <c r="CQ54" s="33">
        <v>0.28366888492915</v>
      </c>
      <c r="CR54" s="33">
        <v>0.22506324561124055</v>
      </c>
      <c r="CS54" s="33">
        <v>0.0967160868068422</v>
      </c>
      <c r="CU54" s="36" t="str">
        <f t="array" ref="CU54:CV54">MMULT((CO54:CS54),muvec)</f>
        <v>#REF!</v>
      </c>
      <c r="CV54" s="36">
        <f t="array" ref="CV54">SQRT(MMULT(MMULT((CO54:CS54),covmat),TRANSPOSE(CO54:CS54)))</f>
        <v>0.1179754737</v>
      </c>
      <c r="CW54" s="35" t="str">
        <f t="shared" si="6"/>
        <v>#REF!</v>
      </c>
      <c r="CX54" s="36">
        <f t="shared" si="7"/>
        <v>0.4086790289</v>
      </c>
      <c r="CY54" s="36"/>
      <c r="CZ54" s="31">
        <v>-0.275000000000001</v>
      </c>
      <c r="DA54" s="32">
        <f t="shared" si="8"/>
        <v>1.275</v>
      </c>
      <c r="DB54" s="33">
        <f t="array" ref="DB54:DF54">TRANSPOSE(CZ54*opwt)</f>
        <v>-0.1411810072</v>
      </c>
      <c r="DC54" s="33">
        <v>-0.027334602966122803</v>
      </c>
      <c r="DD54" s="33">
        <v>-0.07061509798509347</v>
      </c>
      <c r="DE54" s="33">
        <v>-0.06185276632979102</v>
      </c>
      <c r="DF54" s="33">
        <v>0.025983474431448668</v>
      </c>
      <c r="DI54" s="36"/>
      <c r="DJ54" s="36"/>
      <c r="DK54" s="36"/>
      <c r="DL54" s="35"/>
    </row>
    <row r="55" ht="14.25" customHeight="1">
      <c r="A55" s="24">
        <v>43556.0</v>
      </c>
      <c r="B55" s="21">
        <v>-0.134241829</v>
      </c>
      <c r="C55" s="21">
        <v>-0.068464713</v>
      </c>
      <c r="D55" s="21">
        <v>-0.037878702</v>
      </c>
      <c r="E55" s="21">
        <v>-0.043173765</v>
      </c>
      <c r="F55" s="21">
        <v>-0.085942745</v>
      </c>
      <c r="O55" s="21">
        <f t="shared" ref="O55:S55" si="73">B55-I$3</f>
        <v>-0.2003885742</v>
      </c>
      <c r="P55" s="21">
        <f t="shared" si="73"/>
        <v>-0.1236170347</v>
      </c>
      <c r="Q55" s="21">
        <f t="shared" si="73"/>
        <v>-0.07370418587</v>
      </c>
      <c r="R55" s="21">
        <f t="shared" si="73"/>
        <v>-0.07951151922</v>
      </c>
      <c r="S55" s="21">
        <f t="shared" si="73"/>
        <v>-0.1137579795</v>
      </c>
      <c r="CM55" s="31">
        <v>-0.0400000000000019</v>
      </c>
      <c r="CN55" s="32">
        <f t="shared" si="5"/>
        <v>1.04</v>
      </c>
      <c r="CO55" s="33">
        <f t="array" ref="CO55:CS55">TRANSPOSE(CM55*gmvwt+CN55*epwt2)</f>
        <v>0.30685204</v>
      </c>
      <c r="CP55" s="33">
        <v>0.09202692425126967</v>
      </c>
      <c r="CQ55" s="33">
        <v>0.28313218871167534</v>
      </c>
      <c r="CR55" s="33">
        <v>0.22505169481403495</v>
      </c>
      <c r="CS55" s="33">
        <v>0.09293715223497481</v>
      </c>
      <c r="CU55" s="36" t="str">
        <f t="array" ref="CU55:CV55">MMULT((CO55:CS55),muvec)</f>
        <v>#REF!</v>
      </c>
      <c r="CV55" s="36">
        <f t="array" ref="CV55">SQRT(MMULT(MMULT((CO55:CS55),covmat),TRANSPOSE(CO55:CS55)))</f>
        <v>0.1182222599</v>
      </c>
      <c r="CW55" s="35" t="str">
        <f t="shared" si="6"/>
        <v>#REF!</v>
      </c>
      <c r="CX55" s="36">
        <f t="shared" si="7"/>
        <v>0.4095339214</v>
      </c>
      <c r="CY55" s="36"/>
      <c r="CZ55" s="32">
        <v>-0.300000000000001</v>
      </c>
      <c r="DA55" s="32">
        <f t="shared" si="8"/>
        <v>1.3</v>
      </c>
      <c r="DB55" s="33">
        <f t="array" ref="DB55:DF55">TRANSPOSE(CZ55*opwt)</f>
        <v>-0.1540156442</v>
      </c>
      <c r="DC55" s="33">
        <v>-0.029819566872133954</v>
      </c>
      <c r="DD55" s="33">
        <v>-0.07703465234737465</v>
      </c>
      <c r="DE55" s="33">
        <v>-0.06747574508704471</v>
      </c>
      <c r="DF55" s="33">
        <v>0.028345608470671264</v>
      </c>
      <c r="DI55" s="36"/>
      <c r="DJ55" s="36"/>
      <c r="DK55" s="36"/>
      <c r="DL55" s="35"/>
    </row>
    <row r="56" ht="14.25" customHeight="1">
      <c r="A56" s="24">
        <v>43525.0</v>
      </c>
      <c r="B56" s="21">
        <v>0.138921229</v>
      </c>
      <c r="C56" s="21">
        <v>0.001038406</v>
      </c>
      <c r="D56" s="21">
        <v>0.126454645</v>
      </c>
      <c r="E56" s="21">
        <v>0.198230812</v>
      </c>
      <c r="F56" s="21">
        <v>0.088842904</v>
      </c>
      <c r="O56" s="21">
        <f t="shared" ref="O56:S56" si="74">B56-I$3</f>
        <v>0.07277448382</v>
      </c>
      <c r="P56" s="21">
        <f t="shared" si="74"/>
        <v>-0.05411391567</v>
      </c>
      <c r="Q56" s="21">
        <f t="shared" si="74"/>
        <v>0.09062916113</v>
      </c>
      <c r="R56" s="21">
        <f t="shared" si="74"/>
        <v>0.1618930578</v>
      </c>
      <c r="S56" s="21">
        <f t="shared" si="74"/>
        <v>0.06102766952</v>
      </c>
      <c r="CM56" s="31">
        <v>-0.0600000000000019</v>
      </c>
      <c r="CN56" s="32">
        <f t="shared" si="5"/>
        <v>1.06</v>
      </c>
      <c r="CO56" s="33">
        <f t="array" ref="CO56:CS56">TRANSPOSE(CM56*gmvwt+CN56*epwt2)</f>
        <v>0.3110279325</v>
      </c>
      <c r="CP56" s="33">
        <v>0.09217821327495646</v>
      </c>
      <c r="CQ56" s="33">
        <v>0.28259549249420074</v>
      </c>
      <c r="CR56" s="33">
        <v>0.2250401440168294</v>
      </c>
      <c r="CS56" s="33">
        <v>0.08915821766310757</v>
      </c>
      <c r="CU56" s="36" t="str">
        <f t="array" ref="CU56:CV56">MMULT((CO56:CS56),muvec)</f>
        <v>#REF!</v>
      </c>
      <c r="CV56" s="36">
        <f t="array" ref="CV56">SQRT(MMULT(MMULT((CO56:CS56),covmat),TRANSPOSE(CO56:CS56)))</f>
        <v>0.1184733089</v>
      </c>
      <c r="CW56" s="35" t="str">
        <f t="shared" si="6"/>
        <v>#REF!</v>
      </c>
      <c r="CX56" s="36">
        <f t="shared" si="7"/>
        <v>0.4104035807</v>
      </c>
      <c r="CY56" s="36"/>
      <c r="CZ56" s="31">
        <v>-0.325000000000001</v>
      </c>
      <c r="DA56" s="32">
        <f t="shared" si="8"/>
        <v>1.325</v>
      </c>
      <c r="DB56" s="33">
        <f t="array" ref="DB56:DF56">TRANSPOSE(CZ56*opwt)</f>
        <v>-0.1668502812</v>
      </c>
      <c r="DC56" s="33">
        <v>-0.03230453077814511</v>
      </c>
      <c r="DD56" s="33">
        <v>-0.08345420670965586</v>
      </c>
      <c r="DE56" s="33">
        <v>-0.07309872384429843</v>
      </c>
      <c r="DF56" s="33">
        <v>0.030707742509893863</v>
      </c>
      <c r="DI56" s="36"/>
      <c r="DJ56" s="36"/>
      <c r="DK56" s="36"/>
      <c r="DL56" s="35"/>
    </row>
    <row r="57" ht="14.25" customHeight="1">
      <c r="A57" s="24">
        <v>43497.0</v>
      </c>
      <c r="B57" s="21">
        <v>-0.060517555</v>
      </c>
      <c r="C57" s="21">
        <v>0.058241792</v>
      </c>
      <c r="D57" s="21">
        <v>-0.035901424</v>
      </c>
      <c r="E57" s="21">
        <v>-0.099513898</v>
      </c>
      <c r="F57" s="21">
        <v>-0.141626638</v>
      </c>
      <c r="O57" s="21">
        <f t="shared" ref="O57:S57" si="75">B57-I$3</f>
        <v>-0.1266643002</v>
      </c>
      <c r="P57" s="21">
        <f t="shared" si="75"/>
        <v>0.003089470333</v>
      </c>
      <c r="Q57" s="21">
        <f t="shared" si="75"/>
        <v>-0.07172690787</v>
      </c>
      <c r="R57" s="21">
        <f t="shared" si="75"/>
        <v>-0.1358516522</v>
      </c>
      <c r="S57" s="21">
        <f t="shared" si="75"/>
        <v>-0.1694418725</v>
      </c>
      <c r="CM57" s="31">
        <v>-0.0800000000000019</v>
      </c>
      <c r="CN57" s="32">
        <f t="shared" si="5"/>
        <v>1.08</v>
      </c>
      <c r="CO57" s="33">
        <f t="array" ref="CO57:CS57">TRANSPOSE(CM57*gmvwt+CN57*epwt2)</f>
        <v>0.3152038251</v>
      </c>
      <c r="CP57" s="33">
        <v>0.09232950229864326</v>
      </c>
      <c r="CQ57" s="33">
        <v>0.2820587962767262</v>
      </c>
      <c r="CR57" s="33">
        <v>0.2250285932196239</v>
      </c>
      <c r="CS57" s="33">
        <v>0.08537928309124032</v>
      </c>
      <c r="CU57" s="36" t="str">
        <f t="array" ref="CU57:CV57">MMULT((CO57:CS57),muvec)</f>
        <v>#REF!</v>
      </c>
      <c r="CV57" s="36">
        <f t="array" ref="CV57">SQRT(MMULT(MMULT((CO57:CS57),covmat),TRANSPOSE(CO57:CS57)))</f>
        <v>0.1187285937</v>
      </c>
      <c r="CW57" s="35" t="str">
        <f t="shared" si="6"/>
        <v>#REF!</v>
      </c>
      <c r="CX57" s="36">
        <f t="shared" si="7"/>
        <v>0.4112879132</v>
      </c>
      <c r="CY57" s="36"/>
      <c r="CZ57" s="32">
        <v>-0.350000000000001</v>
      </c>
      <c r="DA57" s="32">
        <f t="shared" si="8"/>
        <v>1.35</v>
      </c>
      <c r="DB57" s="33">
        <f t="array" ref="DB57:DF57">TRANSPOSE(CZ57*opwt)</f>
        <v>-0.1796849182</v>
      </c>
      <c r="DC57" s="33">
        <v>-0.034789494684156264</v>
      </c>
      <c r="DD57" s="33">
        <v>-0.08987376107193705</v>
      </c>
      <c r="DE57" s="33">
        <v>-0.07872170260155213</v>
      </c>
      <c r="DF57" s="33">
        <v>0.03306987654911646</v>
      </c>
      <c r="DI57" s="36"/>
      <c r="DJ57" s="36"/>
      <c r="DK57" s="36"/>
      <c r="DL57" s="35"/>
    </row>
    <row r="58" ht="14.25" customHeight="1">
      <c r="A58" s="24">
        <v>43466.0</v>
      </c>
      <c r="B58" s="21">
        <v>-0.148136839</v>
      </c>
      <c r="C58" s="21">
        <v>-0.106967629</v>
      </c>
      <c r="D58" s="21">
        <v>-0.026219811</v>
      </c>
      <c r="E58" s="21">
        <v>-0.024371194</v>
      </c>
      <c r="F58" s="21">
        <v>-0.023985925</v>
      </c>
      <c r="O58" s="21">
        <f t="shared" ref="O58:S58" si="76">B58-I$3</f>
        <v>-0.2142835842</v>
      </c>
      <c r="P58" s="21">
        <f t="shared" si="76"/>
        <v>-0.1621199507</v>
      </c>
      <c r="Q58" s="21">
        <f t="shared" si="76"/>
        <v>-0.06204529487</v>
      </c>
      <c r="R58" s="21">
        <f t="shared" si="76"/>
        <v>-0.06070894822</v>
      </c>
      <c r="S58" s="21">
        <f t="shared" si="76"/>
        <v>-0.05180115948</v>
      </c>
      <c r="CM58" s="32">
        <v>-0.100000000000002</v>
      </c>
      <c r="CN58" s="32">
        <f t="shared" si="5"/>
        <v>1.1</v>
      </c>
      <c r="CO58" s="33">
        <f t="array" ref="CO58:CS58">TRANSPOSE(CM58*gmvwt+CN58*epwt2)</f>
        <v>0.3193797177</v>
      </c>
      <c r="CP58" s="33">
        <v>0.09248079132233006</v>
      </c>
      <c r="CQ58" s="33">
        <v>0.2815221000592516</v>
      </c>
      <c r="CR58" s="33">
        <v>0.22501704242241835</v>
      </c>
      <c r="CS58" s="33">
        <v>0.08160034851937306</v>
      </c>
      <c r="CU58" s="36" t="str">
        <f t="array" ref="CU58:CV58">MMULT((CO58:CS58),muvec)</f>
        <v>#REF!</v>
      </c>
      <c r="CV58" s="36">
        <f t="array" ref="CV58">SQRT(MMULT(MMULT((CO58:CS58),covmat),TRANSPOSE(CO58:CS58)))</f>
        <v>0.118988087</v>
      </c>
      <c r="CW58" s="35" t="str">
        <f t="shared" si="6"/>
        <v>#REF!</v>
      </c>
      <c r="CX58" s="36">
        <f t="shared" si="7"/>
        <v>0.4121868245</v>
      </c>
      <c r="CY58" s="36"/>
      <c r="CZ58" s="31">
        <v>-0.375000000000001</v>
      </c>
      <c r="DA58" s="32">
        <f t="shared" si="8"/>
        <v>1.375</v>
      </c>
      <c r="DB58" s="33">
        <f t="array" ref="DB58:DF58">TRANSPOSE(CZ58*opwt)</f>
        <v>-0.1925195552</v>
      </c>
      <c r="DC58" s="33">
        <v>-0.03727445859016742</v>
      </c>
      <c r="DD58" s="33">
        <v>-0.09629331543421826</v>
      </c>
      <c r="DE58" s="33">
        <v>-0.08434468135880584</v>
      </c>
      <c r="DF58" s="33">
        <v>0.03543201058833906</v>
      </c>
      <c r="DI58" s="36"/>
      <c r="DJ58" s="36"/>
      <c r="DK58" s="36"/>
      <c r="DL58" s="35"/>
    </row>
    <row r="59" ht="14.25" customHeight="1">
      <c r="A59" s="24">
        <v>43435.0</v>
      </c>
      <c r="B59" s="21">
        <v>-0.024242194</v>
      </c>
      <c r="C59" s="21">
        <v>-0.081981968</v>
      </c>
      <c r="D59" s="21">
        <v>0.004389201</v>
      </c>
      <c r="E59" s="21">
        <v>-0.01158824</v>
      </c>
      <c r="F59" s="21">
        <v>0.117850828</v>
      </c>
      <c r="O59" s="21">
        <f t="shared" ref="O59:S59" si="77">B59-I$3</f>
        <v>-0.09038893918</v>
      </c>
      <c r="P59" s="21">
        <f t="shared" si="77"/>
        <v>-0.1371342897</v>
      </c>
      <c r="Q59" s="21">
        <f t="shared" si="77"/>
        <v>-0.03143628287</v>
      </c>
      <c r="R59" s="21">
        <f t="shared" si="77"/>
        <v>-0.04792599422</v>
      </c>
      <c r="S59" s="21">
        <f t="shared" si="77"/>
        <v>0.09003559352</v>
      </c>
      <c r="CM59" s="31">
        <v>-0.120000000000002</v>
      </c>
      <c r="CN59" s="32">
        <f t="shared" si="5"/>
        <v>1.12</v>
      </c>
      <c r="CO59" s="33">
        <f t="array" ref="CO59:CS59">TRANSPOSE(CM59*gmvwt+CN59*epwt2)</f>
        <v>0.3235556102</v>
      </c>
      <c r="CP59" s="33">
        <v>0.09263208034601683</v>
      </c>
      <c r="CQ59" s="33">
        <v>0.28098540384177695</v>
      </c>
      <c r="CR59" s="33">
        <v>0.22500549162521274</v>
      </c>
      <c r="CS59" s="33">
        <v>0.07782141394750579</v>
      </c>
      <c r="CU59" s="36" t="str">
        <f t="array" ref="CU59:CV59">MMULT((CO59:CS59),muvec)</f>
        <v>#REF!</v>
      </c>
      <c r="CV59" s="36">
        <f t="array" ref="CV59">SQRT(MMULT(MMULT((CO59:CS59),covmat),TRANSPOSE(CO59:CS59)))</f>
        <v>0.1192517614</v>
      </c>
      <c r="CW59" s="35" t="str">
        <f t="shared" si="6"/>
        <v>#REF!</v>
      </c>
      <c r="CX59" s="36">
        <f t="shared" si="7"/>
        <v>0.4131002194</v>
      </c>
      <c r="CY59" s="36"/>
      <c r="CZ59" s="31">
        <v>-0.400000000000001</v>
      </c>
      <c r="DA59" s="32">
        <f t="shared" si="8"/>
        <v>1.4</v>
      </c>
      <c r="DB59" s="33">
        <f t="array" ref="DB59:DF59">TRANSPOSE(CZ59*opwt)</f>
        <v>-0.2053541922</v>
      </c>
      <c r="DC59" s="33">
        <v>-0.03975942249617858</v>
      </c>
      <c r="DD59" s="33">
        <v>-0.10271286979649946</v>
      </c>
      <c r="DE59" s="33">
        <v>-0.08996766011605956</v>
      </c>
      <c r="DF59" s="33">
        <v>0.03779414462756166</v>
      </c>
      <c r="DI59" s="36"/>
      <c r="DJ59" s="36"/>
      <c r="DK59" s="36"/>
      <c r="DL59" s="35"/>
    </row>
    <row r="60" ht="14.25" customHeight="1">
      <c r="A60" s="24">
        <v>43405.0</v>
      </c>
      <c r="B60" s="21">
        <v>-0.029411957</v>
      </c>
      <c r="C60" s="21">
        <v>0.203904595</v>
      </c>
      <c r="D60" s="21">
        <v>0.052347892</v>
      </c>
      <c r="E60" s="21">
        <v>0.12659483</v>
      </c>
      <c r="F60" s="21">
        <v>-0.072460417</v>
      </c>
      <c r="O60" s="21">
        <f t="shared" ref="O60:S60" si="78">B60-I$3</f>
        <v>-0.09555870218</v>
      </c>
      <c r="P60" s="21">
        <f t="shared" si="78"/>
        <v>0.1487522733</v>
      </c>
      <c r="Q60" s="21">
        <f t="shared" si="78"/>
        <v>0.01652240813</v>
      </c>
      <c r="R60" s="21">
        <f t="shared" si="78"/>
        <v>0.09025707578</v>
      </c>
      <c r="S60" s="21">
        <f t="shared" si="78"/>
        <v>-0.1002756515</v>
      </c>
      <c r="CM60" s="31">
        <v>-0.140000000000002</v>
      </c>
      <c r="CN60" s="32">
        <f t="shared" si="5"/>
        <v>1.14</v>
      </c>
      <c r="CO60" s="33">
        <f t="array" ref="CO60:CS60">TRANSPOSE(CM60*gmvwt+CN60*epwt2)</f>
        <v>0.3277315028</v>
      </c>
      <c r="CP60" s="33">
        <v>0.09278336936970363</v>
      </c>
      <c r="CQ60" s="33">
        <v>0.2804487076243024</v>
      </c>
      <c r="CR60" s="33">
        <v>0.22499394082800722</v>
      </c>
      <c r="CS60" s="33">
        <v>0.07404247937563853</v>
      </c>
      <c r="CU60" s="36" t="str">
        <f t="array" ref="CU60:CV60">MMULT((CO60:CS60),muvec)</f>
        <v>#REF!</v>
      </c>
      <c r="CV60" s="36">
        <f t="array" ref="CV60">SQRT(MMULT(MMULT((CO60:CS60),covmat),TRANSPOSE(CO60:CS60)))</f>
        <v>0.1195195892</v>
      </c>
      <c r="CW60" s="35" t="str">
        <f t="shared" si="6"/>
        <v>#REF!</v>
      </c>
      <c r="CX60" s="36">
        <f t="shared" si="7"/>
        <v>0.4140280019</v>
      </c>
      <c r="CY60" s="36"/>
      <c r="CZ60" s="32">
        <v>-0.425000000000001</v>
      </c>
      <c r="DA60" s="32">
        <f t="shared" si="8"/>
        <v>1.425</v>
      </c>
      <c r="DB60" s="33">
        <f t="array" ref="DB60:DF60">TRANSPOSE(CZ60*opwt)</f>
        <v>-0.2181888292</v>
      </c>
      <c r="DC60" s="33">
        <v>-0.04224438640218973</v>
      </c>
      <c r="DD60" s="33">
        <v>-0.10913242415878066</v>
      </c>
      <c r="DE60" s="33">
        <v>-0.09559063887331325</v>
      </c>
      <c r="DF60" s="33">
        <v>0.04015627866678425</v>
      </c>
      <c r="DI60" s="36"/>
      <c r="DJ60" s="36"/>
      <c r="DK60" s="36"/>
      <c r="DL60" s="35"/>
    </row>
    <row r="61" ht="14.25" customHeight="1">
      <c r="A61" s="24">
        <v>43374.0</v>
      </c>
      <c r="B61" s="21">
        <v>0.301684589</v>
      </c>
      <c r="C61" s="21">
        <v>0.936974788</v>
      </c>
      <c r="D61" s="21">
        <v>0.060408118</v>
      </c>
      <c r="E61" s="21">
        <v>-0.212271747</v>
      </c>
      <c r="F61" s="21">
        <v>-0.091045956</v>
      </c>
      <c r="O61" s="21">
        <f t="shared" ref="O61:S61" si="79">B61-I$3</f>
        <v>0.2355378438</v>
      </c>
      <c r="P61" s="21">
        <f t="shared" si="79"/>
        <v>0.8818224663</v>
      </c>
      <c r="Q61" s="21">
        <f t="shared" si="79"/>
        <v>0.02458263413</v>
      </c>
      <c r="R61" s="21">
        <f t="shared" si="79"/>
        <v>-0.2486095012</v>
      </c>
      <c r="S61" s="21">
        <f t="shared" si="79"/>
        <v>-0.1188611905</v>
      </c>
      <c r="CM61" s="31">
        <v>-0.160000000000002</v>
      </c>
      <c r="CN61" s="32">
        <f t="shared" si="5"/>
        <v>1.16</v>
      </c>
      <c r="CO61" s="33">
        <f t="array" ref="CO61:CS61">TRANSPOSE(CM61*gmvwt+CN61*epwt2)</f>
        <v>0.3319073953</v>
      </c>
      <c r="CP61" s="33">
        <v>0.09293465839339043</v>
      </c>
      <c r="CQ61" s="33">
        <v>0.2799120114068278</v>
      </c>
      <c r="CR61" s="33">
        <v>0.22498239003080167</v>
      </c>
      <c r="CS61" s="33">
        <v>0.07026354480377128</v>
      </c>
      <c r="CU61" s="36" t="str">
        <f t="array" ref="CU61:CV61">MMULT((CO61:CS61),muvec)</f>
        <v>#REF!</v>
      </c>
      <c r="CV61" s="36">
        <f t="array" ref="CV61">SQRT(MMULT(MMULT((CO61:CS61),covmat),TRANSPOSE(CO61:CS61)))</f>
        <v>0.1197915425</v>
      </c>
      <c r="CW61" s="35" t="str">
        <f t="shared" si="6"/>
        <v>#REF!</v>
      </c>
      <c r="CX61" s="36">
        <f t="shared" si="7"/>
        <v>0.4149700757</v>
      </c>
      <c r="CY61" s="36"/>
      <c r="CZ61" s="31">
        <v>-0.450000000000001</v>
      </c>
      <c r="DA61" s="32">
        <f t="shared" si="8"/>
        <v>1.45</v>
      </c>
      <c r="DB61" s="33">
        <f t="array" ref="DB61:DF61">TRANSPOSE(CZ61*opwt)</f>
        <v>-0.2310234662</v>
      </c>
      <c r="DC61" s="33">
        <v>-0.04472935030820088</v>
      </c>
      <c r="DD61" s="33">
        <v>-0.11555197852106186</v>
      </c>
      <c r="DE61" s="33">
        <v>-0.10121361763056697</v>
      </c>
      <c r="DF61" s="33">
        <v>0.04251841270600685</v>
      </c>
      <c r="DI61" s="36"/>
      <c r="DJ61" s="36"/>
      <c r="DK61" s="36"/>
      <c r="DL61" s="35"/>
    </row>
    <row r="62" ht="14.25" customHeight="1">
      <c r="A62" s="24">
        <v>43344.0</v>
      </c>
      <c r="B62" s="21">
        <v>-0.09635111</v>
      </c>
      <c r="C62" s="21">
        <v>-0.327683666</v>
      </c>
      <c r="D62" s="21">
        <v>-0.159807972</v>
      </c>
      <c r="E62" s="21">
        <v>-0.013114165</v>
      </c>
      <c r="F62" s="21">
        <v>0.020202046</v>
      </c>
      <c r="O62" s="21">
        <f t="shared" ref="O62:S62" si="80">B62-I$3</f>
        <v>-0.1624978552</v>
      </c>
      <c r="P62" s="21">
        <f t="shared" si="80"/>
        <v>-0.3828359877</v>
      </c>
      <c r="Q62" s="21">
        <f t="shared" si="80"/>
        <v>-0.1956334559</v>
      </c>
      <c r="R62" s="21">
        <f t="shared" si="80"/>
        <v>-0.04945191922</v>
      </c>
      <c r="S62" s="21">
        <f t="shared" si="80"/>
        <v>-0.007613188483</v>
      </c>
      <c r="CM62" s="32">
        <v>-0.180000000000002</v>
      </c>
      <c r="CN62" s="32">
        <f t="shared" si="5"/>
        <v>1.18</v>
      </c>
      <c r="CO62" s="33">
        <f t="array" ref="CO62:CS62">TRANSPOSE(CM62*gmvwt+CN62*epwt2)</f>
        <v>0.3360832879</v>
      </c>
      <c r="CP62" s="33">
        <v>0.09308594741707724</v>
      </c>
      <c r="CQ62" s="33">
        <v>0.27937531518935327</v>
      </c>
      <c r="CR62" s="33">
        <v>0.22497083923359615</v>
      </c>
      <c r="CS62" s="33">
        <v>0.06648461023190402</v>
      </c>
      <c r="CU62" s="36" t="str">
        <f t="array" ref="CU62:CV62">MMULT((CO62:CS62),muvec)</f>
        <v>#REF!</v>
      </c>
      <c r="CV62" s="36">
        <f t="array" ref="CV62">SQRT(MMULT(MMULT((CO62:CS62),covmat),TRANSPOSE(CO62:CS62)))</f>
        <v>0.1200675932</v>
      </c>
      <c r="CW62" s="35" t="str">
        <f t="shared" si="6"/>
        <v>#REF!</v>
      </c>
      <c r="CX62" s="36">
        <f t="shared" si="7"/>
        <v>0.4159263437</v>
      </c>
      <c r="CY62" s="36"/>
      <c r="CZ62" s="32">
        <v>-0.475000000000001</v>
      </c>
      <c r="DA62" s="32">
        <f t="shared" si="8"/>
        <v>1.475</v>
      </c>
      <c r="DB62" s="33">
        <f t="array" ref="DB62:DF62">TRANSPOSE(CZ62*opwt)</f>
        <v>-0.2438581033</v>
      </c>
      <c r="DC62" s="33">
        <v>-0.04721431421421204</v>
      </c>
      <c r="DD62" s="33">
        <v>-0.12197153288334306</v>
      </c>
      <c r="DE62" s="33">
        <v>-0.10683659638782067</v>
      </c>
      <c r="DF62" s="33">
        <v>0.04488054674522945</v>
      </c>
      <c r="DI62" s="36"/>
      <c r="DJ62" s="36"/>
      <c r="DK62" s="36"/>
      <c r="DL62" s="35"/>
    </row>
    <row r="63" ht="14.25" customHeight="1">
      <c r="CM63" s="31">
        <v>-0.200000000000002</v>
      </c>
      <c r="CN63" s="32">
        <f t="shared" si="5"/>
        <v>1.2</v>
      </c>
      <c r="CO63" s="33">
        <f t="array" ref="CO63:CS63">TRANSPOSE(CM63*gmvwt+CN63*epwt2)</f>
        <v>0.3402591805</v>
      </c>
      <c r="CP63" s="33">
        <v>0.09323723644076402</v>
      </c>
      <c r="CQ63" s="33">
        <v>0.2788386189718786</v>
      </c>
      <c r="CR63" s="33">
        <v>0.22495928843639057</v>
      </c>
      <c r="CS63" s="33">
        <v>0.06270567566003679</v>
      </c>
      <c r="CU63" s="36" t="str">
        <f t="array" ref="CU63:CV63">MMULT((CO63:CS63),muvec)</f>
        <v>#REF!</v>
      </c>
      <c r="CV63" s="36">
        <f t="array" ref="CV63">SQRT(MMULT(MMULT((CO63:CS63),covmat),TRANSPOSE(CO63:CS63)))</f>
        <v>0.1203477133</v>
      </c>
      <c r="CW63" s="35" t="str">
        <f t="shared" si="6"/>
        <v>#REF!</v>
      </c>
      <c r="CX63" s="36">
        <f t="shared" si="7"/>
        <v>0.416896708</v>
      </c>
      <c r="CY63" s="36"/>
      <c r="CZ63" s="31">
        <v>-0.500000000000001</v>
      </c>
      <c r="DA63" s="32">
        <f t="shared" si="8"/>
        <v>1.5</v>
      </c>
      <c r="DB63" s="33">
        <f t="array" ref="DB63:DF63">TRANSPOSE(CZ63*opwt)</f>
        <v>-0.2566927403</v>
      </c>
      <c r="DC63" s="33">
        <v>-0.04969927812022319</v>
      </c>
      <c r="DD63" s="33">
        <v>-0.12839108724562426</v>
      </c>
      <c r="DE63" s="33">
        <v>-0.11245957514507438</v>
      </c>
      <c r="DF63" s="33">
        <v>0.04724268078445205</v>
      </c>
      <c r="DI63" s="36"/>
      <c r="DJ63" s="36"/>
      <c r="DK63" s="36"/>
      <c r="DL63" s="35"/>
    </row>
    <row r="64" ht="14.25" customHeight="1">
      <c r="CM64" s="31">
        <v>-0.220000000000002</v>
      </c>
      <c r="CN64" s="32">
        <f t="shared" si="5"/>
        <v>1.22</v>
      </c>
      <c r="CO64" s="33">
        <f t="array" ref="CO64:CS64">TRANSPOSE(CM64*gmvwt+CN64*epwt2)</f>
        <v>0.344435073</v>
      </c>
      <c r="CP64" s="33">
        <v>0.09338852546445083</v>
      </c>
      <c r="CQ64" s="33">
        <v>0.278301922754404</v>
      </c>
      <c r="CR64" s="33">
        <v>0.22494773763918507</v>
      </c>
      <c r="CS64" s="33">
        <v>0.05892674108816953</v>
      </c>
      <c r="CU64" s="36" t="str">
        <f t="array" ref="CU64:CV64">MMULT((CO64:CS64),muvec)</f>
        <v>#REF!</v>
      </c>
      <c r="CV64" s="36">
        <f t="array" ref="CV64">SQRT(MMULT(MMULT((CO64:CS64),covmat),TRANSPOSE(CO64:CS64)))</f>
        <v>0.1206318743</v>
      </c>
      <c r="CW64" s="35" t="str">
        <f t="shared" si="6"/>
        <v>#REF!</v>
      </c>
      <c r="CX64" s="36">
        <f t="shared" si="7"/>
        <v>0.4178810706</v>
      </c>
      <c r="CY64" s="36"/>
      <c r="CZ64" s="31">
        <v>-0.525000000000001</v>
      </c>
      <c r="DA64" s="32">
        <f t="shared" si="8"/>
        <v>1.525</v>
      </c>
      <c r="DB64" s="33">
        <f t="array" ref="DB64:DF64">TRANSPOSE(CZ64*opwt)</f>
        <v>-0.2695273773</v>
      </c>
      <c r="DC64" s="33">
        <v>-0.052184242026234354</v>
      </c>
      <c r="DD64" s="33">
        <v>-0.13481064160790546</v>
      </c>
      <c r="DE64" s="33">
        <v>-0.1180825539023281</v>
      </c>
      <c r="DF64" s="33">
        <v>0.049604814823674646</v>
      </c>
      <c r="DI64" s="36"/>
      <c r="DJ64" s="36"/>
      <c r="DK64" s="36"/>
      <c r="DL64" s="35"/>
    </row>
    <row r="65" ht="14.25" customHeight="1">
      <c r="CM65" s="31">
        <v>-0.240000000000002</v>
      </c>
      <c r="CN65" s="32">
        <f t="shared" si="5"/>
        <v>1.24</v>
      </c>
      <c r="CO65" s="33">
        <f t="array" ref="CO65:CS65">TRANSPOSE(CM65*gmvwt+CN65*epwt2)</f>
        <v>0.3486109656</v>
      </c>
      <c r="CP65" s="33">
        <v>0.09353981448813761</v>
      </c>
      <c r="CQ65" s="33">
        <v>0.2777652265369295</v>
      </c>
      <c r="CR65" s="33">
        <v>0.2249361868419795</v>
      </c>
      <c r="CS65" s="33">
        <v>0.055147806516302286</v>
      </c>
      <c r="CU65" s="36" t="str">
        <f t="array" ref="CU65:CV65">MMULT((CO65:CS65),muvec)</f>
        <v>#REF!</v>
      </c>
      <c r="CV65" s="36">
        <f t="array" ref="CV65">SQRT(MMULT(MMULT((CO65:CS65),covmat),TRANSPOSE(CO65:CS65)))</f>
        <v>0.1209200478</v>
      </c>
      <c r="CW65" s="35" t="str">
        <f t="shared" si="6"/>
        <v>#REF!</v>
      </c>
      <c r="CX65" s="36">
        <f t="shared" si="7"/>
        <v>0.4188793328</v>
      </c>
      <c r="CY65" s="36"/>
      <c r="CZ65" s="32">
        <v>-0.550000000000001</v>
      </c>
      <c r="DA65" s="32">
        <f t="shared" si="8"/>
        <v>1.55</v>
      </c>
      <c r="DB65" s="33">
        <f t="array" ref="DB65:DF65">TRANSPOSE(CZ65*opwt)</f>
        <v>-0.2823620143</v>
      </c>
      <c r="DC65" s="33">
        <v>-0.05466920593224551</v>
      </c>
      <c r="DD65" s="33">
        <v>-0.14123019597018668</v>
      </c>
      <c r="DE65" s="33">
        <v>-0.1237055326595818</v>
      </c>
      <c r="DF65" s="33">
        <v>0.051966948862897246</v>
      </c>
      <c r="DI65" s="36"/>
      <c r="DJ65" s="36"/>
      <c r="DK65" s="36"/>
      <c r="DL65" s="35"/>
    </row>
    <row r="66" ht="14.25" customHeight="1">
      <c r="CM66" s="32">
        <v>-0.260000000000003</v>
      </c>
      <c r="CN66" s="32">
        <f t="shared" si="5"/>
        <v>1.26</v>
      </c>
      <c r="CO66" s="33">
        <f t="array" ref="CO66:CS66">TRANSPOSE(CM66*gmvwt+CN66*epwt2)</f>
        <v>0.3527868582</v>
      </c>
      <c r="CP66" s="33">
        <v>0.09369110351182441</v>
      </c>
      <c r="CQ66" s="33">
        <v>0.2772285303194548</v>
      </c>
      <c r="CR66" s="33">
        <v>0.22492463604477392</v>
      </c>
      <c r="CS66" s="33">
        <v>0.05136887194443482</v>
      </c>
      <c r="CU66" s="36" t="str">
        <f t="array" ref="CU66:CV66">MMULT((CO66:CS66),muvec)</f>
        <v>#REF!</v>
      </c>
      <c r="CV66" s="36">
        <f t="array" ref="CV66">SQRT(MMULT(MMULT((CO66:CS66),covmat),TRANSPOSE(CO66:CS66)))</f>
        <v>0.1212122051</v>
      </c>
      <c r="CW66" s="35" t="str">
        <f t="shared" si="6"/>
        <v>#REF!</v>
      </c>
      <c r="CX66" s="36">
        <f t="shared" si="7"/>
        <v>0.4198913953</v>
      </c>
      <c r="CY66" s="36"/>
      <c r="CZ66" s="31">
        <v>-0.575000000000001</v>
      </c>
      <c r="DA66" s="32">
        <f t="shared" si="8"/>
        <v>1.575</v>
      </c>
      <c r="DB66" s="33">
        <f t="array" ref="DB66:DF66">TRANSPOSE(CZ66*opwt)</f>
        <v>-0.2951966513</v>
      </c>
      <c r="DC66" s="33">
        <v>-0.057154169838256656</v>
      </c>
      <c r="DD66" s="33">
        <v>-0.14764975033246786</v>
      </c>
      <c r="DE66" s="33">
        <v>-0.1293285114168355</v>
      </c>
      <c r="DF66" s="33">
        <v>0.05432908290211983</v>
      </c>
      <c r="DI66" s="36"/>
      <c r="DJ66" s="36"/>
      <c r="DK66" s="36"/>
      <c r="DL66" s="35"/>
    </row>
    <row r="67" ht="14.25" customHeight="1">
      <c r="CM67" s="31">
        <v>-0.280000000000003</v>
      </c>
      <c r="CN67" s="32">
        <f t="shared" si="5"/>
        <v>1.28</v>
      </c>
      <c r="CO67" s="33">
        <f t="array" ref="CO67:CS67">TRANSPOSE(CM67*gmvwt+CN67*epwt2)</f>
        <v>0.3569627507</v>
      </c>
      <c r="CP67" s="33">
        <v>0.0938423925355112</v>
      </c>
      <c r="CQ67" s="33">
        <v>0.2766918341019802</v>
      </c>
      <c r="CR67" s="33">
        <v>0.2249130852475684</v>
      </c>
      <c r="CS67" s="33">
        <v>0.04758993737256757</v>
      </c>
      <c r="CU67" s="36" t="str">
        <f t="array" ref="CU67:CV67">MMULT((CO67:CS67),muvec)</f>
        <v>#REF!</v>
      </c>
      <c r="CV67" s="36">
        <f t="array" ref="CV67">SQRT(MMULT(MMULT((CO67:CS67),covmat),TRANSPOSE(CO67:CS67)))</f>
        <v>0.1215083175</v>
      </c>
      <c r="CW67" s="35" t="str">
        <f t="shared" si="6"/>
        <v>#REF!</v>
      </c>
      <c r="CX67" s="36">
        <f t="shared" si="7"/>
        <v>0.4209171587</v>
      </c>
      <c r="CY67" s="36"/>
      <c r="CZ67" s="32">
        <v>-0.600000000000001</v>
      </c>
      <c r="DA67" s="32">
        <f t="shared" si="8"/>
        <v>1.6</v>
      </c>
      <c r="DB67" s="33">
        <f t="array" ref="DB67:DF67">TRANSPOSE(CZ67*opwt)</f>
        <v>-0.3080312883</v>
      </c>
      <c r="DC67" s="33">
        <v>-0.05963913374426781</v>
      </c>
      <c r="DD67" s="33">
        <v>-0.15406930469474905</v>
      </c>
      <c r="DE67" s="33">
        <v>-0.1349514901740892</v>
      </c>
      <c r="DF67" s="33">
        <v>0.05669121694134243</v>
      </c>
      <c r="DI67" s="36"/>
      <c r="DJ67" s="36"/>
      <c r="DK67" s="36"/>
      <c r="DL67" s="35"/>
    </row>
    <row r="68" ht="14.25" customHeight="1">
      <c r="CM68" s="31">
        <v>-0.300000000000003</v>
      </c>
      <c r="CN68" s="32">
        <f t="shared" si="5"/>
        <v>1.3</v>
      </c>
      <c r="CO68" s="33">
        <f t="array" ref="CO68:CS68">TRANSPOSE(CM68*gmvwt+CN68*epwt2)</f>
        <v>0.3611386433</v>
      </c>
      <c r="CP68" s="33">
        <v>0.093993681559198</v>
      </c>
      <c r="CQ68" s="33">
        <v>0.2761551378845057</v>
      </c>
      <c r="CR68" s="33">
        <v>0.22490153445036282</v>
      </c>
      <c r="CS68" s="33">
        <v>0.04381100280070031</v>
      </c>
      <c r="CU68" s="36" t="str">
        <f t="array" ref="CU68:CV68">MMULT((CO68:CS68),muvec)</f>
        <v>#REF!</v>
      </c>
      <c r="CV68" s="36">
        <f t="array" ref="CV68">SQRT(MMULT(MMULT((CO68:CS68),covmat),TRANSPOSE(CO68:CS68)))</f>
        <v>0.1218083561</v>
      </c>
      <c r="CW68" s="35" t="str">
        <f t="shared" si="6"/>
        <v>#REF!</v>
      </c>
      <c r="CX68" s="36">
        <f t="shared" si="7"/>
        <v>0.4219565231</v>
      </c>
      <c r="CY68" s="36"/>
      <c r="CZ68" s="31">
        <v>-0.625000000000001</v>
      </c>
      <c r="DA68" s="32">
        <f t="shared" si="8"/>
        <v>1.625</v>
      </c>
      <c r="DB68" s="33">
        <f t="array" ref="DB68:DF68">TRANSPOSE(CZ68*opwt)</f>
        <v>-0.3208659253</v>
      </c>
      <c r="DC68" s="33">
        <v>-0.062124097650278966</v>
      </c>
      <c r="DD68" s="33">
        <v>-0.16048885905703025</v>
      </c>
      <c r="DE68" s="33">
        <v>-0.14057446893134293</v>
      </c>
      <c r="DF68" s="33">
        <v>0.05905335098056503</v>
      </c>
      <c r="DI68" s="36"/>
      <c r="DJ68" s="36"/>
      <c r="DK68" s="36"/>
      <c r="DL68" s="35"/>
    </row>
    <row r="69" ht="14.25" customHeight="1">
      <c r="CM69" s="31">
        <v>-0.320000000000003</v>
      </c>
      <c r="CN69" s="32">
        <f t="shared" si="5"/>
        <v>1.32</v>
      </c>
      <c r="CO69" s="33">
        <f t="array" ref="CO69:CS69">TRANSPOSE(CM69*gmvwt+CN69*epwt2)</f>
        <v>0.3653145358</v>
      </c>
      <c r="CP69" s="33">
        <v>0.09414497058288479</v>
      </c>
      <c r="CQ69" s="33">
        <v>0.2756184416670311</v>
      </c>
      <c r="CR69" s="33">
        <v>0.22488998365315732</v>
      </c>
      <c r="CS69" s="33">
        <v>0.04003206822883307</v>
      </c>
      <c r="CU69" s="36" t="str">
        <f t="array" ref="CU69:CV69">MMULT((CO69:CS69),muvec)</f>
        <v>#REF!</v>
      </c>
      <c r="CV69" s="36">
        <f t="array" ref="CV69">SQRT(MMULT(MMULT((CO69:CS69),covmat),TRANSPOSE(CO69:CS69)))</f>
        <v>0.1221122921</v>
      </c>
      <c r="CW69" s="35" t="str">
        <f t="shared" si="6"/>
        <v>#REF!</v>
      </c>
      <c r="CX69" s="36">
        <f t="shared" si="7"/>
        <v>0.4230093882</v>
      </c>
      <c r="CY69" s="36"/>
      <c r="CZ69" s="31">
        <v>-0.650000000000001</v>
      </c>
      <c r="DA69" s="32">
        <f t="shared" si="8"/>
        <v>1.65</v>
      </c>
      <c r="DB69" s="33">
        <f t="array" ref="DB69:DF69">TRANSPOSE(CZ69*opwt)</f>
        <v>-0.3337005624</v>
      </c>
      <c r="DC69" s="33">
        <v>-0.06460906155629012</v>
      </c>
      <c r="DD69" s="33">
        <v>-0.16690841341931148</v>
      </c>
      <c r="DE69" s="33">
        <v>-0.14619744768859663</v>
      </c>
      <c r="DF69" s="33">
        <v>0.06141548501978763</v>
      </c>
      <c r="DI69" s="36"/>
      <c r="DJ69" s="36"/>
      <c r="DK69" s="36"/>
      <c r="DL69" s="35"/>
    </row>
    <row r="70" ht="14.25" customHeight="1">
      <c r="CM70" s="32">
        <v>-0.340000000000003</v>
      </c>
      <c r="CN70" s="32">
        <f t="shared" si="5"/>
        <v>1.34</v>
      </c>
      <c r="CO70" s="33">
        <f t="array" ref="CO70:CS70">TRANSPOSE(CM70*gmvwt+CN70*epwt2)</f>
        <v>0.3694904284</v>
      </c>
      <c r="CP70" s="33">
        <v>0.09429625960657159</v>
      </c>
      <c r="CQ70" s="33">
        <v>0.2750817454495565</v>
      </c>
      <c r="CR70" s="33">
        <v>0.2248784328559518</v>
      </c>
      <c r="CS70" s="33">
        <v>0.03625313365696582</v>
      </c>
      <c r="CU70" s="36" t="str">
        <f t="array" ref="CU70:CV70">MMULT((CO70:CS70),muvec)</f>
        <v>#REF!</v>
      </c>
      <c r="CV70" s="36">
        <f t="array" ref="CV70">SQRT(MMULT(MMULT((CO70:CS70),covmat),TRANSPOSE(CO70:CS70)))</f>
        <v>0.1224200963</v>
      </c>
      <c r="CW70" s="35" t="str">
        <f t="shared" si="6"/>
        <v>#REF!</v>
      </c>
      <c r="CX70" s="36">
        <f t="shared" si="7"/>
        <v>0.4240756534</v>
      </c>
      <c r="CY70" s="36"/>
      <c r="CZ70" s="32">
        <v>-0.675000000000001</v>
      </c>
      <c r="DA70" s="32">
        <f t="shared" si="8"/>
        <v>1.675</v>
      </c>
      <c r="DB70" s="33">
        <f t="array" ref="DB70:DF70">TRANSPOSE(CZ70*opwt)</f>
        <v>-0.3465351994</v>
      </c>
      <c r="DC70" s="33">
        <v>-0.06709402546230128</v>
      </c>
      <c r="DD70" s="33">
        <v>-0.17332796778159268</v>
      </c>
      <c r="DE70" s="33">
        <v>-0.15182042644585034</v>
      </c>
      <c r="DF70" s="33">
        <v>0.06377761905901023</v>
      </c>
      <c r="DI70" s="36"/>
      <c r="DJ70" s="36"/>
      <c r="DK70" s="36"/>
      <c r="DL70" s="35"/>
    </row>
    <row r="71" ht="14.25" customHeight="1">
      <c r="CM71" s="31">
        <v>-0.360000000000003</v>
      </c>
      <c r="CN71" s="32">
        <f t="shared" si="5"/>
        <v>1.36</v>
      </c>
      <c r="CO71" s="33">
        <f t="array" ref="CO71:CS71">TRANSPOSE(CM71*gmvwt+CN71*epwt2)</f>
        <v>0.373666321</v>
      </c>
      <c r="CP71" s="33">
        <v>0.0944475486302584</v>
      </c>
      <c r="CQ71" s="33">
        <v>0.27454504923208195</v>
      </c>
      <c r="CR71" s="33">
        <v>0.22486688205874622</v>
      </c>
      <c r="CS71" s="33">
        <v>0.032474199085098576</v>
      </c>
      <c r="CU71" s="36" t="str">
        <f t="array" ref="CU71:CV71">MMULT((CO71:CS71),muvec)</f>
        <v>#REF!</v>
      </c>
      <c r="CV71" s="36">
        <f t="array" ref="CV71">SQRT(MMULT(MMULT((CO71:CS71),covmat),TRANSPOSE(CO71:CS71)))</f>
        <v>0.1227317398</v>
      </c>
      <c r="CW71" s="35" t="str">
        <f t="shared" si="6"/>
        <v>#REF!</v>
      </c>
      <c r="CX71" s="36">
        <f t="shared" si="7"/>
        <v>0.4251552179</v>
      </c>
      <c r="CY71" s="36"/>
      <c r="CZ71" s="31">
        <v>-0.700000000000001</v>
      </c>
      <c r="DA71" s="32">
        <f t="shared" si="8"/>
        <v>1.7</v>
      </c>
      <c r="DB71" s="33">
        <f t="array" ref="DB71:DF71">TRANSPOSE(CZ71*opwt)</f>
        <v>-0.3593698364</v>
      </c>
      <c r="DC71" s="33">
        <v>-0.06957898936831243</v>
      </c>
      <c r="DD71" s="33">
        <v>-0.17974752214387385</v>
      </c>
      <c r="DE71" s="33">
        <v>-0.15744340520310404</v>
      </c>
      <c r="DF71" s="33">
        <v>0.06613975309823282</v>
      </c>
      <c r="DI71" s="36"/>
      <c r="DJ71" s="36"/>
      <c r="DK71" s="36"/>
      <c r="DL71" s="35"/>
    </row>
    <row r="72" ht="14.25" customHeight="1">
      <c r="CM72" s="31">
        <v>-0.380000000000003</v>
      </c>
      <c r="CN72" s="32">
        <f t="shared" si="5"/>
        <v>1.38</v>
      </c>
      <c r="CO72" s="33">
        <f t="array" ref="CO72:CS72">TRANSPOSE(CM72*gmvwt+CN72*epwt2)</f>
        <v>0.3778422135</v>
      </c>
      <c r="CP72" s="33">
        <v>0.09459883765394518</v>
      </c>
      <c r="CQ72" s="33">
        <v>0.27400835301460735</v>
      </c>
      <c r="CR72" s="33">
        <v>0.22485533126154073</v>
      </c>
      <c r="CS72" s="33">
        <v>0.02869526451323133</v>
      </c>
      <c r="CU72" s="36" t="str">
        <f t="array" ref="CU72:CV72">MMULT((CO72:CS72),muvec)</f>
        <v>#REF!</v>
      </c>
      <c r="CV72" s="36">
        <f t="array" ref="CV72">SQRT(MMULT(MMULT((CO72:CS72),covmat),TRANSPOSE(CO72:CS72)))</f>
        <v>0.1230471932</v>
      </c>
      <c r="CW72" s="35" t="str">
        <f t="shared" si="6"/>
        <v>#REF!</v>
      </c>
      <c r="CX72" s="36">
        <f t="shared" si="7"/>
        <v>0.4262479807</v>
      </c>
      <c r="CY72" s="36"/>
      <c r="CZ72" s="32">
        <v>-0.725000000000001</v>
      </c>
      <c r="DA72" s="32">
        <f t="shared" si="8"/>
        <v>1.725</v>
      </c>
      <c r="DB72" s="33">
        <f t="array" ref="DB72:DF72">TRANSPOSE(CZ72*opwt)</f>
        <v>-0.3722044734</v>
      </c>
      <c r="DC72" s="33">
        <v>-0.07206395327432358</v>
      </c>
      <c r="DD72" s="33">
        <v>-0.18616707650615505</v>
      </c>
      <c r="DE72" s="33">
        <v>-0.16306638396035775</v>
      </c>
      <c r="DF72" s="33">
        <v>0.06850188713745542</v>
      </c>
      <c r="DI72" s="36"/>
      <c r="DJ72" s="36"/>
      <c r="DK72" s="36"/>
      <c r="DL72" s="35"/>
    </row>
    <row r="73" ht="14.25" customHeight="1">
      <c r="CM73" s="31">
        <v>-0.400000000000003</v>
      </c>
      <c r="CN73" s="32">
        <f t="shared" si="5"/>
        <v>1.4</v>
      </c>
      <c r="CO73" s="33">
        <f t="array" ref="CO73:CS73">TRANSPOSE(CM73*gmvwt+CN73*epwt2)</f>
        <v>0.3820181061</v>
      </c>
      <c r="CP73" s="33">
        <v>0.09475012667763197</v>
      </c>
      <c r="CQ73" s="33">
        <v>0.2734716567971327</v>
      </c>
      <c r="CR73" s="33">
        <v>0.22484378046433512</v>
      </c>
      <c r="CS73" s="33">
        <v>0.024916329941364057</v>
      </c>
      <c r="CU73" s="36" t="str">
        <f t="array" ref="CU73:CV73">MMULT((CO73:CS73),muvec)</f>
        <v>#REF!</v>
      </c>
      <c r="CV73" s="36">
        <f t="array" ref="CV73">SQRT(MMULT(MMULT((CO73:CS73),covmat),TRANSPOSE(CO73:CS73)))</f>
        <v>0.1233664274</v>
      </c>
      <c r="CW73" s="35" t="str">
        <f t="shared" si="6"/>
        <v>#REF!</v>
      </c>
      <c r="CX73" s="36">
        <f t="shared" si="7"/>
        <v>0.4273538405</v>
      </c>
      <c r="CY73" s="36"/>
      <c r="CZ73" s="31">
        <v>-0.750000000000001</v>
      </c>
      <c r="DA73" s="32">
        <f t="shared" si="8"/>
        <v>1.75</v>
      </c>
      <c r="DB73" s="33">
        <f t="array" ref="DB73:DF73">TRANSPOSE(CZ73*opwt)</f>
        <v>-0.3850391104</v>
      </c>
      <c r="DC73" s="33">
        <v>-0.07454891718033474</v>
      </c>
      <c r="DD73" s="33">
        <v>-0.19258663086843628</v>
      </c>
      <c r="DE73" s="33">
        <v>-0.16868936271761145</v>
      </c>
      <c r="DF73" s="33">
        <v>0.07086402117667802</v>
      </c>
      <c r="DI73" s="36"/>
      <c r="DJ73" s="36"/>
      <c r="DK73" s="36"/>
      <c r="DL73" s="35"/>
    </row>
    <row r="74" ht="14.25" customHeight="1">
      <c r="CM74" s="32">
        <v>-0.420000000000003</v>
      </c>
      <c r="CN74" s="32">
        <f t="shared" si="5"/>
        <v>1.42</v>
      </c>
      <c r="CO74" s="33">
        <f t="array" ref="CO74:CS74">TRANSPOSE(CM74*gmvwt+CN74*epwt2)</f>
        <v>0.3861939987</v>
      </c>
      <c r="CP74" s="33">
        <v>0.09490141570131877</v>
      </c>
      <c r="CQ74" s="33">
        <v>0.27293496057965816</v>
      </c>
      <c r="CR74" s="33">
        <v>0.22483222966712962</v>
      </c>
      <c r="CS74" s="33">
        <v>0.021137395369496825</v>
      </c>
      <c r="CU74" s="36" t="str">
        <f t="array" ref="CU74:CV74">MMULT((CO74:CS74),muvec)</f>
        <v>#REF!</v>
      </c>
      <c r="CV74" s="36">
        <f t="array" ref="CV74">SQRT(MMULT(MMULT((CO74:CS74),covmat),TRANSPOSE(CO74:CS74)))</f>
        <v>0.1236894132</v>
      </c>
      <c r="CW74" s="35" t="str">
        <f t="shared" si="6"/>
        <v>#REF!</v>
      </c>
      <c r="CX74" s="36">
        <f t="shared" si="7"/>
        <v>0.428472696</v>
      </c>
      <c r="CY74" s="36"/>
      <c r="CZ74" s="31">
        <v>-0.775000000000001</v>
      </c>
      <c r="DA74" s="32">
        <f t="shared" si="8"/>
        <v>1.775</v>
      </c>
      <c r="DB74" s="33">
        <f t="array" ref="DB74:DF74">TRANSPOSE(CZ74*opwt)</f>
        <v>-0.3978737474</v>
      </c>
      <c r="DC74" s="33">
        <v>-0.0770338810863459</v>
      </c>
      <c r="DD74" s="33">
        <v>-0.19900618523071748</v>
      </c>
      <c r="DE74" s="33">
        <v>-0.17431234147486516</v>
      </c>
      <c r="DF74" s="33">
        <v>0.07322615521590062</v>
      </c>
      <c r="DI74" s="36"/>
      <c r="DJ74" s="36"/>
      <c r="DK74" s="36"/>
      <c r="DL74" s="35"/>
    </row>
    <row r="75" ht="14.25" customHeight="1">
      <c r="CM75" s="31">
        <v>-0.440000000000004</v>
      </c>
      <c r="CN75" s="32">
        <f t="shared" si="5"/>
        <v>1.44</v>
      </c>
      <c r="CO75" s="33">
        <f t="array" ref="CO75:CS75">TRANSPOSE(CM75*gmvwt+CN75*epwt2)</f>
        <v>0.3903698912</v>
      </c>
      <c r="CP75" s="33">
        <v>0.09505270472500557</v>
      </c>
      <c r="CQ75" s="33">
        <v>0.2723982643621835</v>
      </c>
      <c r="CR75" s="33">
        <v>0.22482067886992405</v>
      </c>
      <c r="CS75" s="33">
        <v>0.01735846079762937</v>
      </c>
      <c r="CU75" s="36" t="str">
        <f t="array" ref="CU75:CV75">MMULT((CO75:CS75),muvec)</f>
        <v>#REF!</v>
      </c>
      <c r="CV75" s="36">
        <f t="array" ref="CV75">SQRT(MMULT(MMULT((CO75:CS75),covmat),TRANSPOSE(CO75:CS75)))</f>
        <v>0.1240161211</v>
      </c>
      <c r="CW75" s="35" t="str">
        <f t="shared" si="6"/>
        <v>#REF!</v>
      </c>
      <c r="CX75" s="36">
        <f t="shared" si="7"/>
        <v>0.4296044455</v>
      </c>
      <c r="CY75" s="36"/>
      <c r="CZ75" s="32">
        <v>-0.800000000000001</v>
      </c>
      <c r="DA75" s="32">
        <f t="shared" si="8"/>
        <v>1.8</v>
      </c>
      <c r="DB75" s="33">
        <f t="array" ref="DB75:DF75">TRANSPOSE(CZ75*opwt)</f>
        <v>-0.4107083844</v>
      </c>
      <c r="DC75" s="33">
        <v>-0.07951884499235705</v>
      </c>
      <c r="DD75" s="33">
        <v>-0.20542573959299867</v>
      </c>
      <c r="DE75" s="33">
        <v>-0.1799353202321189</v>
      </c>
      <c r="DF75" s="33">
        <v>0.07558828925512322</v>
      </c>
      <c r="DI75" s="36"/>
      <c r="DJ75" s="36"/>
      <c r="DK75" s="36"/>
      <c r="DL75" s="35"/>
    </row>
    <row r="76" ht="14.25" customHeight="1">
      <c r="CM76" s="31">
        <v>-0.460000000000004</v>
      </c>
      <c r="CN76" s="32">
        <f t="shared" si="5"/>
        <v>1.46</v>
      </c>
      <c r="CO76" s="33">
        <f t="array" ref="CO76:CS76">TRANSPOSE(CM76*gmvwt+CN76*epwt2)</f>
        <v>0.3945457838</v>
      </c>
      <c r="CP76" s="33">
        <v>0.09520399374869236</v>
      </c>
      <c r="CQ76" s="33">
        <v>0.27186156814470896</v>
      </c>
      <c r="CR76" s="33">
        <v>0.22480912807271847</v>
      </c>
      <c r="CS76" s="33">
        <v>0.013579526225762112</v>
      </c>
      <c r="CU76" s="36" t="str">
        <f t="array" ref="CU76:CV76">MMULT((CO76:CS76),muvec)</f>
        <v>#REF!</v>
      </c>
      <c r="CV76" s="36">
        <f t="array" ref="CV76">SQRT(MMULT(MMULT((CO76:CS76),covmat),TRANSPOSE(CO76:CS76)))</f>
        <v>0.1243465219</v>
      </c>
      <c r="CW76" s="35" t="str">
        <f t="shared" si="6"/>
        <v>#REF!</v>
      </c>
      <c r="CX76" s="36">
        <f t="shared" si="7"/>
        <v>0.4307489874</v>
      </c>
      <c r="CY76" s="36"/>
      <c r="CZ76" s="31">
        <v>-0.825000000000001</v>
      </c>
      <c r="DA76" s="32">
        <f t="shared" si="8"/>
        <v>1.825</v>
      </c>
      <c r="DB76" s="33">
        <f t="array" ref="DB76:DF76">TRANSPOSE(CZ76*opwt)</f>
        <v>-0.4235430215</v>
      </c>
      <c r="DC76" s="33">
        <v>-0.0820038088983682</v>
      </c>
      <c r="DD76" s="33">
        <v>-0.21184529395527985</v>
      </c>
      <c r="DE76" s="33">
        <v>-0.18555829898937257</v>
      </c>
      <c r="DF76" s="33">
        <v>0.0779504232943458</v>
      </c>
      <c r="DI76" s="36"/>
      <c r="DJ76" s="36"/>
      <c r="DK76" s="36"/>
      <c r="DL76" s="35"/>
    </row>
    <row r="77" ht="14.25" customHeight="1">
      <c r="CM77" s="31">
        <v>-0.480000000000004</v>
      </c>
      <c r="CN77" s="32">
        <f t="shared" si="5"/>
        <v>1.48</v>
      </c>
      <c r="CO77" s="33">
        <f t="array" ref="CO77:CS77">TRANSPOSE(CM77*gmvwt+CN77*epwt2)</f>
        <v>0.3987216763</v>
      </c>
      <c r="CP77" s="33">
        <v>0.09535528277237916</v>
      </c>
      <c r="CQ77" s="33">
        <v>0.2713248719272344</v>
      </c>
      <c r="CR77" s="33">
        <v>0.22479757727551297</v>
      </c>
      <c r="CS77" s="33">
        <v>0.00980059165389488</v>
      </c>
      <c r="CU77" s="36" t="str">
        <f t="array" ref="CU77:CV77">MMULT((CO77:CS77),muvec)</f>
        <v>#REF!</v>
      </c>
      <c r="CV77" s="36">
        <f t="array" ref="CV77">SQRT(MMULT(MMULT((CO77:CS77),covmat),TRANSPOSE(CO77:CS77)))</f>
        <v>0.1246805862</v>
      </c>
      <c r="CW77" s="35" t="str">
        <f t="shared" si="6"/>
        <v>#REF!</v>
      </c>
      <c r="CX77" s="36">
        <f t="shared" si="7"/>
        <v>0.4319062201</v>
      </c>
      <c r="CY77" s="36"/>
      <c r="CZ77" s="32">
        <v>-0.850000000000001</v>
      </c>
      <c r="DA77" s="32">
        <f t="shared" si="8"/>
        <v>1.85</v>
      </c>
      <c r="DB77" s="33">
        <f t="array" ref="DB77:DF77">TRANSPOSE(CZ77*opwt)</f>
        <v>-0.4363776585</v>
      </c>
      <c r="DC77" s="33">
        <v>-0.08448877280437936</v>
      </c>
      <c r="DD77" s="33">
        <v>-0.21826484831756107</v>
      </c>
      <c r="DE77" s="33">
        <v>-0.19118127774662627</v>
      </c>
      <c r="DF77" s="33">
        <v>0.0803125573335684</v>
      </c>
      <c r="DI77" s="36"/>
      <c r="DJ77" s="36"/>
      <c r="DK77" s="36"/>
      <c r="DL77" s="35"/>
    </row>
    <row r="78" ht="14.25" customHeight="1">
      <c r="CM78" s="32">
        <v>-0.500000000000004</v>
      </c>
      <c r="CN78" s="32">
        <f t="shared" si="5"/>
        <v>1.5</v>
      </c>
      <c r="CO78" s="33">
        <f t="array" ref="CO78:CS78">TRANSPOSE(CM78*gmvwt+CN78*epwt2)</f>
        <v>0.4028975689</v>
      </c>
      <c r="CP78" s="33">
        <v>0.09550657179606595</v>
      </c>
      <c r="CQ78" s="33">
        <v>0.27078817570975977</v>
      </c>
      <c r="CR78" s="33">
        <v>0.2247860264783074</v>
      </c>
      <c r="CS78" s="33">
        <v>0.006021657082027593</v>
      </c>
      <c r="CU78" s="36" t="str">
        <f t="array" ref="CU78:CV78">MMULT((CO78:CS78),muvec)</f>
        <v>#REF!</v>
      </c>
      <c r="CV78" s="36">
        <f t="array" ref="CV78">SQRT(MMULT(MMULT((CO78:CS78),covmat),TRANSPOSE(CO78:CS78)))</f>
        <v>0.1250182847</v>
      </c>
      <c r="CW78" s="35" t="str">
        <f t="shared" si="6"/>
        <v>#REF!</v>
      </c>
      <c r="CX78" s="36">
        <f t="shared" si="7"/>
        <v>0.4330760419</v>
      </c>
      <c r="CY78" s="36"/>
      <c r="CZ78" s="31">
        <v>-0.875000000000001</v>
      </c>
      <c r="DA78" s="32">
        <f t="shared" si="8"/>
        <v>1.875</v>
      </c>
      <c r="DB78" s="33">
        <f t="array" ref="DB78:DF78">TRANSPOSE(CZ78*opwt)</f>
        <v>-0.4492122955</v>
      </c>
      <c r="DC78" s="33">
        <v>-0.08697373671039052</v>
      </c>
      <c r="DD78" s="33">
        <v>-0.22468440267984227</v>
      </c>
      <c r="DE78" s="33">
        <v>-0.19680425650388</v>
      </c>
      <c r="DF78" s="33">
        <v>0.082674691372791</v>
      </c>
      <c r="DI78" s="36"/>
      <c r="DJ78" s="36"/>
      <c r="DK78" s="36"/>
      <c r="DL78" s="35"/>
    </row>
    <row r="79" ht="14.25" customHeight="1">
      <c r="CM79" s="31">
        <v>-0.520000000000004</v>
      </c>
      <c r="CN79" s="32">
        <f t="shared" si="5"/>
        <v>1.52</v>
      </c>
      <c r="CO79" s="33">
        <f t="array" ref="CO79:CS79">TRANSPOSE(CM79*gmvwt+CN79*epwt2)</f>
        <v>0.4070734615</v>
      </c>
      <c r="CP79" s="33">
        <v>0.09565786081975278</v>
      </c>
      <c r="CQ79" s="33">
        <v>0.2702514794922852</v>
      </c>
      <c r="CR79" s="33">
        <v>0.22477447568110187</v>
      </c>
      <c r="CS79" s="33">
        <v>0.002242722510160361</v>
      </c>
      <c r="CU79" s="36" t="str">
        <f t="array" ref="CU79:CV79">MMULT((CO79:CS79),muvec)</f>
        <v>#REF!</v>
      </c>
      <c r="CV79" s="36">
        <f t="array" ref="CV79">SQRT(MMULT(MMULT((CO79:CS79),covmat),TRANSPOSE(CO79:CS79)))</f>
        <v>0.1253595879</v>
      </c>
      <c r="CW79" s="35" t="str">
        <f t="shared" si="6"/>
        <v>#REF!</v>
      </c>
      <c r="CX79" s="36">
        <f t="shared" si="7"/>
        <v>0.4342583508</v>
      </c>
      <c r="CY79" s="36"/>
      <c r="CZ79" s="31">
        <v>-0.900000000000001</v>
      </c>
      <c r="DA79" s="32">
        <f t="shared" si="8"/>
        <v>1.9</v>
      </c>
      <c r="DB79" s="33">
        <f t="array" ref="DB79:DF79">TRANSPOSE(CZ79*opwt)</f>
        <v>-0.4620469325</v>
      </c>
      <c r="DC79" s="33">
        <v>-0.08945870061640167</v>
      </c>
      <c r="DD79" s="33">
        <v>-0.23110395704212347</v>
      </c>
      <c r="DE79" s="33">
        <v>-0.2024272352611337</v>
      </c>
      <c r="DF79" s="33">
        <v>0.0850368254120136</v>
      </c>
      <c r="DI79" s="36"/>
      <c r="DJ79" s="36"/>
      <c r="DK79" s="36"/>
      <c r="DL79" s="35"/>
    </row>
    <row r="80" ht="14.25" customHeight="1">
      <c r="CM80" s="31">
        <v>-0.540000000000004</v>
      </c>
      <c r="CN80" s="32">
        <f t="shared" si="5"/>
        <v>1.54</v>
      </c>
      <c r="CO80" s="33">
        <f t="array" ref="CO80:CS80">TRANSPOSE(CM80*gmvwt+CN80*epwt2)</f>
        <v>0.411249354</v>
      </c>
      <c r="CP80" s="33">
        <v>0.09580914984343956</v>
      </c>
      <c r="CQ80" s="33">
        <v>0.2697147832748106</v>
      </c>
      <c r="CR80" s="33">
        <v>0.2247629248838963</v>
      </c>
      <c r="CS80" s="33">
        <v>-0.0015362120617068986</v>
      </c>
      <c r="CU80" s="36" t="str">
        <f t="array" ref="CU80:CV80">MMULT((CO80:CS80),muvec)</f>
        <v>#REF!</v>
      </c>
      <c r="CV80" s="36">
        <f t="array" ref="CV80">SQRT(MMULT(MMULT((CO80:CS80),covmat),TRANSPOSE(CO80:CS80)))</f>
        <v>0.1257044665</v>
      </c>
      <c r="CW80" s="35" t="str">
        <f t="shared" si="6"/>
        <v>#REF!</v>
      </c>
      <c r="CX80" s="36">
        <f t="shared" si="7"/>
        <v>0.4354530454</v>
      </c>
      <c r="CY80" s="36"/>
      <c r="CZ80" s="32">
        <v>-0.925000000000001</v>
      </c>
      <c r="DA80" s="32">
        <f t="shared" si="8"/>
        <v>1.925</v>
      </c>
      <c r="DB80" s="33">
        <f t="array" ref="DB80:DF80">TRANSPOSE(CZ80*opwt)</f>
        <v>-0.4748815695</v>
      </c>
      <c r="DC80" s="33">
        <v>-0.09194366452241283</v>
      </c>
      <c r="DD80" s="33">
        <v>-0.2375235114044047</v>
      </c>
      <c r="DE80" s="33">
        <v>-0.2080502140183874</v>
      </c>
      <c r="DF80" s="33">
        <v>0.0873989594512362</v>
      </c>
      <c r="DI80" s="36"/>
      <c r="DJ80" s="36"/>
      <c r="DK80" s="36"/>
      <c r="DL80" s="35"/>
    </row>
    <row r="81" ht="14.25" customHeight="1">
      <c r="CM81" s="31">
        <v>-0.560000000000004</v>
      </c>
      <c r="CN81" s="32">
        <f t="shared" si="5"/>
        <v>1.56</v>
      </c>
      <c r="CO81" s="33">
        <f t="array" ref="CO81:CS81">TRANSPOSE(CM81*gmvwt+CN81*epwt2)</f>
        <v>0.4154252466</v>
      </c>
      <c r="CP81" s="33">
        <v>0.09596043886712635</v>
      </c>
      <c r="CQ81" s="33">
        <v>0.26917808705733604</v>
      </c>
      <c r="CR81" s="33">
        <v>0.22475137408669077</v>
      </c>
      <c r="CS81" s="33">
        <v>-0.005315146633574158</v>
      </c>
      <c r="CU81" s="36" t="str">
        <f t="array" ref="CU81:CV81">MMULT((CO81:CS81),muvec)</f>
        <v>#REF!</v>
      </c>
      <c r="CV81" s="36">
        <f t="array" ref="CV81">SQRT(MMULT(MMULT((CO81:CS81),covmat),TRANSPOSE(CO81:CS81)))</f>
        <v>0.1260528912</v>
      </c>
      <c r="CW81" s="35" t="str">
        <f t="shared" si="6"/>
        <v>#REF!</v>
      </c>
      <c r="CX81" s="36">
        <f t="shared" si="7"/>
        <v>0.4366600238</v>
      </c>
      <c r="CY81" s="36"/>
      <c r="CZ81" s="31">
        <v>-0.950000000000001</v>
      </c>
      <c r="DA81" s="32">
        <f t="shared" si="8"/>
        <v>1.95</v>
      </c>
      <c r="DB81" s="33">
        <f t="array" ref="DB81:DF81">TRANSPOSE(CZ81*opwt)</f>
        <v>-0.4877162065</v>
      </c>
      <c r="DC81" s="33">
        <v>-0.09442862842842398</v>
      </c>
      <c r="DD81" s="33">
        <v>-0.24394306576668587</v>
      </c>
      <c r="DE81" s="33">
        <v>-0.21367319277564112</v>
      </c>
      <c r="DF81" s="33">
        <v>0.0897610934904588</v>
      </c>
      <c r="DI81" s="36"/>
      <c r="DJ81" s="36"/>
      <c r="DK81" s="36"/>
      <c r="DL81" s="35"/>
    </row>
    <row r="82" ht="14.25" customHeight="1">
      <c r="CM82" s="32">
        <v>-0.580000000000004</v>
      </c>
      <c r="CN82" s="32">
        <f t="shared" si="5"/>
        <v>1.58</v>
      </c>
      <c r="CO82" s="33">
        <f t="array" ref="CO82:CS82">TRANSPOSE(CM82*gmvwt+CN82*epwt2)</f>
        <v>0.4196011392</v>
      </c>
      <c r="CP82" s="33">
        <v>0.09611172789081315</v>
      </c>
      <c r="CQ82" s="33">
        <v>0.2686413908398615</v>
      </c>
      <c r="CR82" s="33">
        <v>0.22473982328948522</v>
      </c>
      <c r="CS82" s="33">
        <v>-0.009094081205441362</v>
      </c>
      <c r="CU82" s="36" t="str">
        <f t="array" ref="CU82:CV82">MMULT((CO82:CS82),muvec)</f>
        <v>#REF!</v>
      </c>
      <c r="CV82" s="36">
        <f t="array" ref="CV82">SQRT(MMULT(MMULT((CO82:CS82),covmat),TRANSPOSE(CO82:CS82)))</f>
        <v>0.1264048326</v>
      </c>
      <c r="CW82" s="35" t="str">
        <f t="shared" si="6"/>
        <v>#REF!</v>
      </c>
      <c r="CX82" s="36">
        <f t="shared" si="7"/>
        <v>0.4378791846</v>
      </c>
      <c r="CY82" s="36"/>
      <c r="CZ82" s="32">
        <v>-0.975000000000001</v>
      </c>
      <c r="DA82" s="32">
        <f t="shared" si="8"/>
        <v>1.975</v>
      </c>
      <c r="DB82" s="33">
        <f t="array" ref="DB82:DF82">TRANSPOSE(CZ82*opwt)</f>
        <v>-0.5005508435</v>
      </c>
      <c r="DC82" s="33">
        <v>-0.09691359233443513</v>
      </c>
      <c r="DD82" s="33">
        <v>-0.25036262012896704</v>
      </c>
      <c r="DE82" s="33">
        <v>-0.21929617153289482</v>
      </c>
      <c r="DF82" s="33">
        <v>0.0921232275296814</v>
      </c>
      <c r="DI82" s="36"/>
      <c r="DJ82" s="36"/>
      <c r="DK82" s="36"/>
      <c r="DL82" s="35"/>
    </row>
    <row r="83" ht="14.25" customHeight="1">
      <c r="CM83" s="31">
        <v>-0.600000000000004</v>
      </c>
      <c r="CN83" s="32">
        <f t="shared" si="5"/>
        <v>1.6</v>
      </c>
      <c r="CO83" s="33">
        <f t="array" ref="CO83:CS83">TRANSPOSE(CM83*gmvwt+CN83*epwt2)</f>
        <v>0.4237770317</v>
      </c>
      <c r="CP83" s="33">
        <v>0.09626301691449995</v>
      </c>
      <c r="CQ83" s="33">
        <v>0.26810469462238684</v>
      </c>
      <c r="CR83" s="33">
        <v>0.2247282724922797</v>
      </c>
      <c r="CS83" s="33">
        <v>-0.01287301577730865</v>
      </c>
      <c r="CU83" s="36" t="str">
        <f t="array" ref="CU83:CV83">MMULT((CO83:CS83),muvec)</f>
        <v>#REF!</v>
      </c>
      <c r="CV83" s="36">
        <f t="array" ref="CV83">SQRT(MMULT(MMULT((CO83:CS83),covmat),TRANSPOSE(CO83:CS83)))</f>
        <v>0.1267602614</v>
      </c>
      <c r="CW83" s="35" t="str">
        <f t="shared" si="6"/>
        <v>#REF!</v>
      </c>
      <c r="CX83" s="36">
        <f t="shared" si="7"/>
        <v>0.4391104262</v>
      </c>
      <c r="CY83" s="36"/>
      <c r="CZ83" s="31">
        <v>-1.0</v>
      </c>
      <c r="DA83" s="32">
        <f t="shared" si="8"/>
        <v>2</v>
      </c>
      <c r="DB83" s="33">
        <f t="array" ref="DB83:DF83">TRANSPOSE(CZ83*opwt)</f>
        <v>-0.5133854805</v>
      </c>
      <c r="DC83" s="33">
        <v>-0.09939855624044619</v>
      </c>
      <c r="DD83" s="33">
        <v>-0.256782174491248</v>
      </c>
      <c r="DE83" s="33">
        <v>-0.2249191502901483</v>
      </c>
      <c r="DF83" s="33">
        <v>0.0944853615689039</v>
      </c>
      <c r="DI83" s="36"/>
      <c r="DJ83" s="36"/>
      <c r="DK83" s="36"/>
      <c r="DL83" s="35"/>
    </row>
    <row r="84" ht="14.25" customHeight="1">
      <c r="CM84" s="31">
        <v>-0.620000000000004</v>
      </c>
      <c r="CN84" s="32">
        <f t="shared" si="5"/>
        <v>1.62</v>
      </c>
      <c r="CO84" s="33">
        <f t="array" ref="CO84:CS84">TRANSPOSE(CM84*gmvwt+CN84*epwt2)</f>
        <v>0.4279529243</v>
      </c>
      <c r="CP84" s="33">
        <v>0.09641430593818676</v>
      </c>
      <c r="CQ84" s="33">
        <v>0.2675679984049123</v>
      </c>
      <c r="CR84" s="33">
        <v>0.22471672169507415</v>
      </c>
      <c r="CS84" s="33">
        <v>-0.01665195034917588</v>
      </c>
      <c r="CU84" s="36" t="str">
        <f t="array" ref="CU84:CV84">MMULT((CO84:CS84),muvec)</f>
        <v>#REF!</v>
      </c>
      <c r="CV84" s="36">
        <f t="array" ref="CV84">SQRT(MMULT(MMULT((CO84:CS84),covmat),TRANSPOSE(CO84:CS84)))</f>
        <v>0.1271191484</v>
      </c>
      <c r="CW84" s="35" t="str">
        <f t="shared" si="6"/>
        <v>#REF!</v>
      </c>
      <c r="CX84" s="36">
        <f t="shared" si="7"/>
        <v>0.4403536474</v>
      </c>
      <c r="CY84" s="36"/>
      <c r="CZ84" s="31">
        <v>-1.025</v>
      </c>
      <c r="DA84" s="32">
        <f t="shared" si="8"/>
        <v>2.025</v>
      </c>
      <c r="DB84" s="33">
        <f t="array" ref="DB84:DF84">TRANSPOSE(CZ84*opwt)</f>
        <v>-0.5262201176</v>
      </c>
      <c r="DC84" s="33">
        <v>-0.10188352014645734</v>
      </c>
      <c r="DD84" s="33">
        <v>-0.2632017288535292</v>
      </c>
      <c r="DE84" s="33">
        <v>-0.23054212904740198</v>
      </c>
      <c r="DF84" s="33">
        <v>0.09684749560812649</v>
      </c>
      <c r="DI84" s="36"/>
      <c r="DJ84" s="36"/>
      <c r="DK84" s="36"/>
      <c r="DL84" s="35"/>
    </row>
    <row r="85" ht="14.25" customHeight="1">
      <c r="CM85" s="31">
        <v>-0.640000000000005</v>
      </c>
      <c r="CN85" s="32">
        <f t="shared" si="5"/>
        <v>1.64</v>
      </c>
      <c r="CO85" s="33">
        <f t="array" ref="CO85:CS85">TRANSPOSE(CM85*gmvwt+CN85*epwt2)</f>
        <v>0.4321288168</v>
      </c>
      <c r="CP85" s="33">
        <v>0.09656559496187354</v>
      </c>
      <c r="CQ85" s="33">
        <v>0.26703130218743765</v>
      </c>
      <c r="CR85" s="33">
        <v>0.22470517089786857</v>
      </c>
      <c r="CS85" s="33">
        <v>-0.020430884921043335</v>
      </c>
      <c r="CU85" s="36" t="str">
        <f t="array" ref="CU85:CV85">MMULT((CO85:CS85),muvec)</f>
        <v>#REF!</v>
      </c>
      <c r="CV85" s="36">
        <f t="array" ref="CV85">SQRT(MMULT(MMULT((CO85:CS85),covmat),TRANSPOSE(CO85:CS85)))</f>
        <v>0.1274814644</v>
      </c>
      <c r="CW85" s="35" t="str">
        <f t="shared" si="6"/>
        <v>#REF!</v>
      </c>
      <c r="CX85" s="36">
        <f t="shared" si="7"/>
        <v>0.4416087468</v>
      </c>
      <c r="CY85" s="36"/>
      <c r="CZ85" s="32">
        <v>-1.05</v>
      </c>
      <c r="DA85" s="32">
        <f t="shared" si="8"/>
        <v>2.05</v>
      </c>
      <c r="DB85" s="33">
        <f t="array" ref="DB85:DF85">TRANSPOSE(CZ85*opwt)</f>
        <v>-0.5390547546</v>
      </c>
      <c r="DC85" s="33">
        <v>-0.1043684840524685</v>
      </c>
      <c r="DD85" s="33">
        <v>-0.2696212832158104</v>
      </c>
      <c r="DE85" s="33">
        <v>-0.23616510780465574</v>
      </c>
      <c r="DF85" s="33">
        <v>0.0992096296473491</v>
      </c>
      <c r="DI85" s="36"/>
      <c r="DJ85" s="36"/>
      <c r="DK85" s="36"/>
      <c r="DL85" s="35"/>
    </row>
    <row r="86" ht="14.25" customHeight="1">
      <c r="CM86" s="32">
        <v>-0.660000000000005</v>
      </c>
      <c r="CN86" s="32">
        <f t="shared" si="5"/>
        <v>1.66</v>
      </c>
      <c r="CO86" s="33">
        <f t="array" ref="CO86:CS86">TRANSPOSE(CM86*gmvwt+CN86*epwt2)</f>
        <v>0.4363047094</v>
      </c>
      <c r="CP86" s="33">
        <v>0.09671688398556033</v>
      </c>
      <c r="CQ86" s="33">
        <v>0.26649460596996305</v>
      </c>
      <c r="CR86" s="33">
        <v>0.22469362010066304</v>
      </c>
      <c r="CS86" s="33">
        <v>-0.024209819492910623</v>
      </c>
      <c r="CU86" s="36" t="str">
        <f t="array" ref="CU86:CV86">MMULT((CO86:CS86),muvec)</f>
        <v>#REF!</v>
      </c>
      <c r="CV86" s="36">
        <f t="array" ref="CV86">SQRT(MMULT(MMULT((CO86:CS86),covmat),TRANSPOSE(CO86:CS86)))</f>
        <v>0.1278471803</v>
      </c>
      <c r="CW86" s="35" t="str">
        <f t="shared" si="6"/>
        <v>#REF!</v>
      </c>
      <c r="CX86" s="36">
        <f t="shared" si="7"/>
        <v>0.4428756237</v>
      </c>
      <c r="CY86" s="36"/>
      <c r="CZ86" s="31">
        <v>-1.075</v>
      </c>
      <c r="DA86" s="32">
        <f t="shared" si="8"/>
        <v>2.075</v>
      </c>
      <c r="DB86" s="33">
        <f t="array" ref="DB86:DF86">TRANSPOSE(CZ86*opwt)</f>
        <v>-0.5518893916</v>
      </c>
      <c r="DC86" s="33">
        <v>-0.10685344795847965</v>
      </c>
      <c r="DD86" s="33">
        <v>-0.2760408375780916</v>
      </c>
      <c r="DE86" s="33">
        <v>-0.24178808656190942</v>
      </c>
      <c r="DF86" s="33">
        <v>0.10157176368657168</v>
      </c>
      <c r="DI86" s="36"/>
      <c r="DJ86" s="36"/>
      <c r="DK86" s="36"/>
      <c r="DL86" s="35"/>
    </row>
    <row r="87" ht="14.25" customHeight="1">
      <c r="CM87" s="31">
        <v>-0.680000000000005</v>
      </c>
      <c r="CN87" s="32">
        <f t="shared" si="5"/>
        <v>1.68</v>
      </c>
      <c r="CO87" s="33">
        <f t="array" ref="CO87:CS87">TRANSPOSE(CM87*gmvwt+CN87*epwt2)</f>
        <v>0.440480602</v>
      </c>
      <c r="CP87" s="33">
        <v>0.09686817300924713</v>
      </c>
      <c r="CQ87" s="33">
        <v>0.26595790975248845</v>
      </c>
      <c r="CR87" s="33">
        <v>0.22468206930345747</v>
      </c>
      <c r="CS87" s="33">
        <v>-0.027988754064777854</v>
      </c>
      <c r="CU87" s="36" t="str">
        <f t="array" ref="CU87:CV87">MMULT((CO87:CS87),muvec)</f>
        <v>#REF!</v>
      </c>
      <c r="CV87" s="36">
        <f t="array" ref="CV87">SQRT(MMULT(MMULT((CO87:CS87),covmat),TRANSPOSE(CO87:CS87)))</f>
        <v>0.1282162668</v>
      </c>
      <c r="CW87" s="35" t="str">
        <f t="shared" si="6"/>
        <v>#REF!</v>
      </c>
      <c r="CX87" s="36">
        <f t="shared" si="7"/>
        <v>0.4441541771</v>
      </c>
      <c r="CY87" s="36"/>
      <c r="CZ87" s="32">
        <v>-1.1</v>
      </c>
      <c r="DA87" s="32">
        <f t="shared" si="8"/>
        <v>2.1</v>
      </c>
      <c r="DB87" s="33">
        <f t="array" ref="DB87:DF87">TRANSPOSE(CZ87*opwt)</f>
        <v>-0.5647240286</v>
      </c>
      <c r="DC87" s="33">
        <v>-0.10933841186449082</v>
      </c>
      <c r="DD87" s="33">
        <v>-0.28246039194037287</v>
      </c>
      <c r="DE87" s="33">
        <v>-0.24741106531916315</v>
      </c>
      <c r="DF87" s="33">
        <v>0.1039338977257943</v>
      </c>
      <c r="DI87" s="36"/>
      <c r="DJ87" s="36"/>
      <c r="DK87" s="36"/>
      <c r="DL87" s="35"/>
    </row>
    <row r="88" ht="14.25" customHeight="1">
      <c r="CM88" s="31">
        <v>-0.700000000000005</v>
      </c>
      <c r="CN88" s="32">
        <f t="shared" si="5"/>
        <v>1.7</v>
      </c>
      <c r="CO88" s="33">
        <f t="array" ref="CO88:CS88">TRANSPOSE(CM88*gmvwt+CN88*epwt2)</f>
        <v>0.4446564945</v>
      </c>
      <c r="CP88" s="33">
        <v>0.09701946203293393</v>
      </c>
      <c r="CQ88" s="33">
        <v>0.2654212135350139</v>
      </c>
      <c r="CR88" s="33">
        <v>0.22467051850625197</v>
      </c>
      <c r="CS88" s="33">
        <v>-0.03176768863664506</v>
      </c>
      <c r="CU88" s="36" t="str">
        <f t="array" ref="CU88:CV88">MMULT((CO88:CS88),muvec)</f>
        <v>#REF!</v>
      </c>
      <c r="CV88" s="36">
        <f t="array" ref="CV88">SQRT(MMULT(MMULT((CO88:CS88),covmat),TRANSPOSE(CO88:CS88)))</f>
        <v>0.1285886951</v>
      </c>
      <c r="CW88" s="35" t="str">
        <f t="shared" si="6"/>
        <v>#REF!</v>
      </c>
      <c r="CX88" s="36">
        <f t="shared" si="7"/>
        <v>0.4454443065</v>
      </c>
      <c r="CY88" s="36"/>
      <c r="CZ88" s="31">
        <v>-1.125</v>
      </c>
      <c r="DA88" s="32">
        <f t="shared" si="8"/>
        <v>2.125</v>
      </c>
      <c r="DB88" s="33">
        <f t="array" ref="DB88:DF88">TRANSPOSE(CZ88*opwt)</f>
        <v>-0.5775586656</v>
      </c>
      <c r="DC88" s="33">
        <v>-0.11182337577050197</v>
      </c>
      <c r="DD88" s="33">
        <v>-0.288879946302654</v>
      </c>
      <c r="DE88" s="33">
        <v>-0.25303404407641683</v>
      </c>
      <c r="DF88" s="33">
        <v>0.10629603176501688</v>
      </c>
      <c r="DI88" s="36"/>
      <c r="DJ88" s="36"/>
      <c r="DK88" s="36"/>
      <c r="DL88" s="35"/>
    </row>
    <row r="89" ht="14.25" customHeight="1">
      <c r="CM89" s="31">
        <v>-0.720000000000005</v>
      </c>
      <c r="CN89" s="32">
        <f t="shared" si="5"/>
        <v>1.72</v>
      </c>
      <c r="CO89" s="33">
        <f t="array" ref="CO89:CS89">TRANSPOSE(CM89*gmvwt+CN89*epwt2)</f>
        <v>0.4488323871</v>
      </c>
      <c r="CP89" s="33">
        <v>0.09717075105662074</v>
      </c>
      <c r="CQ89" s="33">
        <v>0.2648845173175393</v>
      </c>
      <c r="CR89" s="33">
        <v>0.2246589677090464</v>
      </c>
      <c r="CS89" s="33">
        <v>-0.035546623208512346</v>
      </c>
      <c r="CU89" s="36" t="str">
        <f t="array" ref="CU89:CV89">MMULT((CO89:CS89),muvec)</f>
        <v>#REF!</v>
      </c>
      <c r="CV89" s="36">
        <f t="array" ref="CV89">SQRT(MMULT(MMULT((CO89:CS89),covmat),TRANSPOSE(CO89:CS89)))</f>
        <v>0.1289644362</v>
      </c>
      <c r="CW89" s="35" t="str">
        <f t="shared" si="6"/>
        <v>#REF!</v>
      </c>
      <c r="CX89" s="36">
        <f t="shared" si="7"/>
        <v>0.4467459117</v>
      </c>
      <c r="CY89" s="36"/>
      <c r="CZ89" s="31">
        <v>-1.15</v>
      </c>
      <c r="DA89" s="32">
        <f t="shared" si="8"/>
        <v>2.15</v>
      </c>
      <c r="DB89" s="33">
        <f t="array" ref="DB89:DF89">TRANSPOSE(CZ89*opwt)</f>
        <v>-0.5903933026</v>
      </c>
      <c r="DC89" s="33">
        <v>-0.1143083396765131</v>
      </c>
      <c r="DD89" s="33">
        <v>-0.2952995006649352</v>
      </c>
      <c r="DE89" s="33">
        <v>-0.25865702283367054</v>
      </c>
      <c r="DF89" s="33">
        <v>0.10865816580423948</v>
      </c>
      <c r="DI89" s="36"/>
      <c r="DJ89" s="36"/>
      <c r="DK89" s="36"/>
      <c r="DL89" s="35"/>
    </row>
    <row r="90" ht="14.25" customHeight="1">
      <c r="CM90" s="32">
        <v>-0.740000000000005</v>
      </c>
      <c r="CN90" s="32">
        <f t="shared" si="5"/>
        <v>1.74</v>
      </c>
      <c r="CO90" s="33">
        <f t="array" ref="CO90:CS90">TRANSPOSE(CM90*gmvwt+CN90*epwt2)</f>
        <v>0.4530082797</v>
      </c>
      <c r="CP90" s="33">
        <v>0.09732204008030751</v>
      </c>
      <c r="CQ90" s="33">
        <v>0.2643478211000647</v>
      </c>
      <c r="CR90" s="33">
        <v>0.22464741691184087</v>
      </c>
      <c r="CS90" s="33">
        <v>-0.03932555778037958</v>
      </c>
      <c r="CU90" s="36" t="str">
        <f t="array" ref="CU90:CV90">MMULT((CO90:CS90),muvec)</f>
        <v>#REF!</v>
      </c>
      <c r="CV90" s="36">
        <f t="array" ref="CV90">SQRT(MMULT(MMULT((CO90:CS90),covmat),TRANSPOSE(CO90:CS90)))</f>
        <v>0.1293434611</v>
      </c>
      <c r="CW90" s="35" t="str">
        <f t="shared" si="6"/>
        <v>#REF!</v>
      </c>
      <c r="CX90" s="36">
        <f t="shared" si="7"/>
        <v>0.4480588926</v>
      </c>
      <c r="CY90" s="36"/>
      <c r="CZ90" s="32">
        <v>-1.175</v>
      </c>
      <c r="DA90" s="32">
        <f t="shared" si="8"/>
        <v>2.175</v>
      </c>
      <c r="DB90" s="33">
        <f t="array" ref="DB90:DF90">TRANSPOSE(CZ90*opwt)</f>
        <v>-0.6032279396</v>
      </c>
      <c r="DC90" s="33">
        <v>-0.11679330358252428</v>
      </c>
      <c r="DD90" s="33">
        <v>-0.3017190550272164</v>
      </c>
      <c r="DE90" s="33">
        <v>-0.2642800015909243</v>
      </c>
      <c r="DF90" s="33">
        <v>0.11102029984346208</v>
      </c>
      <c r="DI90" s="36"/>
      <c r="DJ90" s="36"/>
      <c r="DK90" s="36"/>
      <c r="DL90" s="35"/>
    </row>
    <row r="91" ht="14.25" customHeight="1">
      <c r="CM91" s="31">
        <v>-0.760000000000005</v>
      </c>
      <c r="CN91" s="32">
        <f t="shared" si="5"/>
        <v>1.76</v>
      </c>
      <c r="CO91" s="33">
        <f t="array" ref="CO91:CS91">TRANSPOSE(CM91*gmvwt+CN91*epwt2)</f>
        <v>0.4571841722</v>
      </c>
      <c r="CP91" s="33">
        <v>0.09747332910399431</v>
      </c>
      <c r="CQ91" s="33">
        <v>0.26381112488259006</v>
      </c>
      <c r="CR91" s="33">
        <v>0.2246358661146353</v>
      </c>
      <c r="CS91" s="33">
        <v>-0.043104492352246865</v>
      </c>
      <c r="CU91" s="36" t="str">
        <f t="array" ref="CU91:CV91">MMULT((CO91:CS91),muvec)</f>
        <v>#REF!</v>
      </c>
      <c r="CV91" s="36">
        <f t="array" ref="CV91">SQRT(MMULT(MMULT((CO91:CS91),covmat),TRANSPOSE(CO91:CS91)))</f>
        <v>0.1297257412</v>
      </c>
      <c r="CW91" s="35" t="str">
        <f t="shared" si="6"/>
        <v>#REF!</v>
      </c>
      <c r="CX91" s="36">
        <f t="shared" si="7"/>
        <v>0.4493831495</v>
      </c>
      <c r="CY91" s="36"/>
      <c r="CZ91" s="31">
        <v>-1.2</v>
      </c>
      <c r="DA91" s="32">
        <f t="shared" si="8"/>
        <v>2.2</v>
      </c>
      <c r="DB91" s="33">
        <f t="array" ref="DB91:DF91">TRANSPOSE(CZ91*opwt)</f>
        <v>-0.6160625767</v>
      </c>
      <c r="DC91" s="33">
        <v>-0.11927826748853543</v>
      </c>
      <c r="DD91" s="33">
        <v>-0.3081386093894976</v>
      </c>
      <c r="DE91" s="33">
        <v>-0.26990298034817795</v>
      </c>
      <c r="DF91" s="33">
        <v>0.11338243388268468</v>
      </c>
      <c r="DI91" s="36"/>
      <c r="DJ91" s="36"/>
      <c r="DK91" s="36"/>
      <c r="DL91" s="35"/>
    </row>
    <row r="92" ht="14.25" customHeight="1">
      <c r="CM92" s="31">
        <v>-0.780000000000005</v>
      </c>
      <c r="CN92" s="32">
        <f t="shared" si="5"/>
        <v>1.78</v>
      </c>
      <c r="CO92" s="33">
        <f t="array" ref="CO92:CS92">TRANSPOSE(CM92*gmvwt+CN92*epwt2)</f>
        <v>0.4613600648</v>
      </c>
      <c r="CP92" s="33">
        <v>0.09762461812768111</v>
      </c>
      <c r="CQ92" s="33">
        <v>0.2632744286651155</v>
      </c>
      <c r="CR92" s="33">
        <v>0.22462431531742977</v>
      </c>
      <c r="CS92" s="33">
        <v>-0.0468834269241141</v>
      </c>
      <c r="CU92" s="36" t="str">
        <f t="array" ref="CU92:CV92">MMULT((CO92:CS92),muvec)</f>
        <v>#REF!</v>
      </c>
      <c r="CV92" s="36">
        <f t="array" ref="CV92">SQRT(MMULT(MMULT((CO92:CS92),covmat),TRANSPOSE(CO92:CS92)))</f>
        <v>0.1301112476</v>
      </c>
      <c r="CW92" s="35" t="str">
        <f t="shared" si="6"/>
        <v>#REF!</v>
      </c>
      <c r="CX92" s="36">
        <f t="shared" si="7"/>
        <v>0.450718583</v>
      </c>
      <c r="CY92" s="36"/>
      <c r="CZ92" s="32">
        <v>-1.225</v>
      </c>
      <c r="DA92" s="32">
        <f t="shared" si="8"/>
        <v>2.225</v>
      </c>
      <c r="DB92" s="33">
        <f t="array" ref="DB92:DF92">TRANSPOSE(CZ92*opwt)</f>
        <v>-0.6288972137</v>
      </c>
      <c r="DC92" s="33">
        <v>-0.12176323139454659</v>
      </c>
      <c r="DD92" s="33">
        <v>-0.31455816375177886</v>
      </c>
      <c r="DE92" s="33">
        <v>-0.2755259591054317</v>
      </c>
      <c r="DF92" s="33">
        <v>0.11574456792190728</v>
      </c>
      <c r="DI92" s="36"/>
      <c r="DJ92" s="36"/>
      <c r="DK92" s="36"/>
      <c r="DL92" s="35"/>
    </row>
    <row r="93" ht="14.25" customHeight="1">
      <c r="CM93" s="31">
        <v>-0.800000000000005</v>
      </c>
      <c r="CN93" s="32">
        <f t="shared" si="5"/>
        <v>1.8</v>
      </c>
      <c r="CO93" s="33">
        <f t="array" ref="CO93:CS93">TRANSPOSE(CM93*gmvwt+CN93*epwt2)</f>
        <v>0.4655359573</v>
      </c>
      <c r="CP93" s="33">
        <v>0.0977759071513679</v>
      </c>
      <c r="CQ93" s="33">
        <v>0.262737732447641</v>
      </c>
      <c r="CR93" s="33">
        <v>0.2246127645202242</v>
      </c>
      <c r="CS93" s="33">
        <v>-0.050662361495981384</v>
      </c>
      <c r="CU93" s="36" t="str">
        <f t="array" ref="CU93:CV93">MMULT((CO93:CS93),muvec)</f>
        <v>#REF!</v>
      </c>
      <c r="CV93" s="36">
        <f t="array" ref="CV93">SQRT(MMULT(MMULT((CO93:CS93),covmat),TRANSPOSE(CO93:CS93)))</f>
        <v>0.1304999519</v>
      </c>
      <c r="CW93" s="35" t="str">
        <f t="shared" si="6"/>
        <v>#REF!</v>
      </c>
      <c r="CX93" s="36">
        <f t="shared" si="7"/>
        <v>0.4520650941</v>
      </c>
      <c r="CY93" s="36"/>
      <c r="CZ93" s="31">
        <v>-1.25</v>
      </c>
      <c r="DA93" s="32">
        <f t="shared" si="8"/>
        <v>2.25</v>
      </c>
      <c r="DB93" s="33">
        <f t="array" ref="DB93:DF93">TRANSPOSE(CZ93*opwt)</f>
        <v>-0.6417318507</v>
      </c>
      <c r="DC93" s="33">
        <v>-0.12424819530055774</v>
      </c>
      <c r="DD93" s="33">
        <v>-0.32097771811406</v>
      </c>
      <c r="DE93" s="33">
        <v>-0.28114893786268536</v>
      </c>
      <c r="DF93" s="33">
        <v>0.11810670196112988</v>
      </c>
      <c r="DI93" s="36"/>
      <c r="DJ93" s="36"/>
      <c r="DK93" s="36"/>
      <c r="DL93" s="35"/>
    </row>
    <row r="94" ht="14.25" customHeight="1">
      <c r="CM94" s="32">
        <v>-0.820000000000005</v>
      </c>
      <c r="CN94" s="32">
        <f t="shared" si="5"/>
        <v>1.82</v>
      </c>
      <c r="CO94" s="33">
        <f t="array" ref="CO94:CS94">TRANSPOSE(CM94*gmvwt+CN94*epwt2)</f>
        <v>0.4697118499</v>
      </c>
      <c r="CP94" s="33">
        <v>0.09792719617505467</v>
      </c>
      <c r="CQ94" s="33">
        <v>0.26220103623016633</v>
      </c>
      <c r="CR94" s="33">
        <v>0.22460121372301864</v>
      </c>
      <c r="CS94" s="33">
        <v>-0.054441296067848616</v>
      </c>
      <c r="CU94" s="36" t="str">
        <f t="array" ref="CU94:CV94">MMULT((CO94:CS94),muvec)</f>
        <v>#REF!</v>
      </c>
      <c r="CV94" s="36">
        <f t="array" ref="CV94">SQRT(MMULT(MMULT((CO94:CS94),covmat),TRANSPOSE(CO94:CS94)))</f>
        <v>0.1308918255</v>
      </c>
      <c r="CW94" s="35" t="str">
        <f t="shared" si="6"/>
        <v>#REF!</v>
      </c>
      <c r="CX94" s="36">
        <f t="shared" si="7"/>
        <v>0.4534225841</v>
      </c>
      <c r="CY94" s="36"/>
      <c r="CZ94" s="31">
        <v>-1.275</v>
      </c>
      <c r="DA94" s="32">
        <f t="shared" si="8"/>
        <v>2.275</v>
      </c>
      <c r="DB94" s="33">
        <f t="array" ref="DB94:DF94">TRANSPOSE(CZ94*opwt)</f>
        <v>-0.6545664877</v>
      </c>
      <c r="DC94" s="33">
        <v>-0.12673315920656889</v>
      </c>
      <c r="DD94" s="33">
        <v>-0.3273972724763412</v>
      </c>
      <c r="DE94" s="33">
        <v>-0.28677191661993906</v>
      </c>
      <c r="DF94" s="33">
        <v>0.12046883600035246</v>
      </c>
      <c r="DI94" s="36"/>
      <c r="DJ94" s="36"/>
      <c r="DK94" s="36"/>
      <c r="DL94" s="35"/>
    </row>
    <row r="95" ht="14.25" customHeight="1">
      <c r="CM95" s="31">
        <v>-0.840000000000006</v>
      </c>
      <c r="CN95" s="32">
        <f t="shared" si="5"/>
        <v>1.84</v>
      </c>
      <c r="CO95" s="33">
        <f t="array" ref="CO95:CS95">TRANSPOSE(CM95*gmvwt+CN95*epwt2)</f>
        <v>0.4738877425</v>
      </c>
      <c r="CP95" s="33">
        <v>0.0980784851987415</v>
      </c>
      <c r="CQ95" s="33">
        <v>0.26166434001269173</v>
      </c>
      <c r="CR95" s="33">
        <v>0.22458966292581312</v>
      </c>
      <c r="CS95" s="33">
        <v>-0.05822023063971604</v>
      </c>
      <c r="CU95" s="36" t="str">
        <f t="array" ref="CU95:CV95">MMULT((CO95:CS95),muvec)</f>
        <v>#REF!</v>
      </c>
      <c r="CV95" s="36">
        <f t="array" ref="CV95">SQRT(MMULT(MMULT((CO95:CS95),covmat),TRANSPOSE(CO95:CS95)))</f>
        <v>0.1312868401</v>
      </c>
      <c r="CW95" s="35" t="str">
        <f t="shared" si="6"/>
        <v>#REF!</v>
      </c>
      <c r="CX95" s="36">
        <f t="shared" si="7"/>
        <v>0.4547909547</v>
      </c>
      <c r="CY95" s="36"/>
      <c r="CZ95" s="32">
        <v>-1.3</v>
      </c>
      <c r="DA95" s="32">
        <f t="shared" si="8"/>
        <v>2.3</v>
      </c>
      <c r="DB95" s="33">
        <f t="array" ref="DB95:DF95">TRANSPOSE(CZ95*opwt)</f>
        <v>-0.6674011247</v>
      </c>
      <c r="DC95" s="33">
        <v>-0.12921812311258005</v>
      </c>
      <c r="DD95" s="33">
        <v>-0.33381682683862246</v>
      </c>
      <c r="DE95" s="33">
        <v>-0.2923948953771928</v>
      </c>
      <c r="DF95" s="33">
        <v>0.12283097003957508</v>
      </c>
      <c r="DI95" s="36"/>
      <c r="DJ95" s="36"/>
      <c r="DK95" s="36"/>
      <c r="DL95" s="35"/>
    </row>
    <row r="96" ht="14.25" customHeight="1">
      <c r="CM96" s="31">
        <v>-0.860000000000006</v>
      </c>
      <c r="CN96" s="32">
        <f t="shared" si="5"/>
        <v>1.86</v>
      </c>
      <c r="CO96" s="33">
        <f t="array" ref="CO96:CS96">TRANSPOSE(CM96*gmvwt+CN96*epwt2)</f>
        <v>0.478063635</v>
      </c>
      <c r="CP96" s="33">
        <v>0.09822977422242829</v>
      </c>
      <c r="CQ96" s="33">
        <v>0.2611276437952172</v>
      </c>
      <c r="CR96" s="33">
        <v>0.22457811212860762</v>
      </c>
      <c r="CS96" s="33">
        <v>-0.0619991652115833</v>
      </c>
      <c r="CU96" s="36" t="str">
        <f t="array" ref="CU96:CV96">MMULT((CO96:CS96),muvec)</f>
        <v>#REF!</v>
      </c>
      <c r="CV96" s="36">
        <f t="array" ref="CV96">SQRT(MMULT(MMULT((CO96:CS96),covmat),TRANSPOSE(CO96:CS96)))</f>
        <v>0.1316849673</v>
      </c>
      <c r="CW96" s="35" t="str">
        <f t="shared" si="6"/>
        <v>#REF!</v>
      </c>
      <c r="CX96" s="36">
        <f t="shared" si="7"/>
        <v>0.456170108</v>
      </c>
      <c r="CY96" s="36"/>
      <c r="CZ96" s="31">
        <v>-1.325</v>
      </c>
      <c r="DA96" s="32">
        <f t="shared" si="8"/>
        <v>2.325</v>
      </c>
      <c r="DB96" s="33">
        <f t="array" ref="DB96:DF96">TRANSPOSE(CZ96*opwt)</f>
        <v>-0.6802357617</v>
      </c>
      <c r="DC96" s="33">
        <v>-0.1317030870185912</v>
      </c>
      <c r="DD96" s="33">
        <v>-0.3402363812009036</v>
      </c>
      <c r="DE96" s="33">
        <v>-0.29801787413444647</v>
      </c>
      <c r="DF96" s="33">
        <v>0.12519310407879766</v>
      </c>
      <c r="DI96" s="36"/>
      <c r="DJ96" s="36"/>
      <c r="DK96" s="36"/>
      <c r="DL96" s="35"/>
    </row>
    <row r="97" ht="14.25" customHeight="1">
      <c r="CM97" s="31">
        <v>-0.880000000000006</v>
      </c>
      <c r="CN97" s="32">
        <f t="shared" si="5"/>
        <v>1.88</v>
      </c>
      <c r="CO97" s="33">
        <f t="array" ref="CO97:CS97">TRANSPOSE(CM97*gmvwt+CN97*epwt2)</f>
        <v>0.4822395276</v>
      </c>
      <c r="CP97" s="33">
        <v>0.09838106324611508</v>
      </c>
      <c r="CQ97" s="33">
        <v>0.2605909475777426</v>
      </c>
      <c r="CR97" s="33">
        <v>0.22456656133140204</v>
      </c>
      <c r="CS97" s="33">
        <v>-0.06577809978345053</v>
      </c>
      <c r="CU97" s="36" t="str">
        <f t="array" ref="CU97:CV97">MMULT((CO97:CS97),muvec)</f>
        <v>#REF!</v>
      </c>
      <c r="CV97" s="36">
        <f t="array" ref="CV97">SQRT(MMULT(MMULT((CO97:CS97),covmat),TRANSPOSE(CO97:CS97)))</f>
        <v>0.1320861791</v>
      </c>
      <c r="CW97" s="35" t="str">
        <f t="shared" si="6"/>
        <v>#REF!</v>
      </c>
      <c r="CX97" s="36">
        <f t="shared" si="7"/>
        <v>0.4575599464</v>
      </c>
      <c r="CY97" s="36"/>
      <c r="CZ97" s="32">
        <v>-1.35</v>
      </c>
      <c r="DA97" s="32">
        <f t="shared" si="8"/>
        <v>2.35</v>
      </c>
      <c r="DB97" s="33">
        <f t="array" ref="DB97:DF97">TRANSPOSE(CZ97*opwt)</f>
        <v>-0.6930703987</v>
      </c>
      <c r="DC97" s="33">
        <v>-0.13418805092460237</v>
      </c>
      <c r="DD97" s="33">
        <v>-0.34665593556318486</v>
      </c>
      <c r="DE97" s="33">
        <v>-0.30364085289170023</v>
      </c>
      <c r="DF97" s="33">
        <v>0.12755523811802028</v>
      </c>
      <c r="DI97" s="36"/>
      <c r="DJ97" s="36"/>
      <c r="DK97" s="36"/>
      <c r="DL97" s="35"/>
    </row>
    <row r="98" ht="14.25" customHeight="1">
      <c r="CM98" s="31"/>
      <c r="CN98" s="32"/>
      <c r="CU98" s="36"/>
      <c r="CV98" s="36"/>
      <c r="CW98" s="35"/>
      <c r="CX98" s="36"/>
      <c r="CY98" s="36"/>
      <c r="CZ98" s="31"/>
      <c r="DA98" s="32"/>
      <c r="DI98" s="36"/>
      <c r="DJ98" s="36"/>
      <c r="DK98" s="36"/>
      <c r="DL98" s="35"/>
    </row>
    <row r="99" ht="14.25" customHeight="1">
      <c r="CM99" s="31"/>
      <c r="CN99" s="32"/>
      <c r="CU99" s="36"/>
      <c r="CV99" s="36"/>
      <c r="CW99" s="35"/>
      <c r="CX99" s="36"/>
      <c r="CY99" s="36"/>
      <c r="CZ99" s="31"/>
      <c r="DA99" s="32"/>
      <c r="DI99" s="36"/>
      <c r="DJ99" s="36"/>
      <c r="DK99" s="36"/>
      <c r="DL99" s="35"/>
    </row>
    <row r="100" ht="14.25" customHeight="1">
      <c r="CM100" s="32"/>
      <c r="CN100" s="32"/>
      <c r="CU100" s="36"/>
      <c r="CV100" s="36"/>
      <c r="CW100" s="35"/>
      <c r="CX100" s="36"/>
      <c r="CY100" s="36"/>
      <c r="CZ100" s="32"/>
      <c r="DA100" s="32"/>
      <c r="DI100" s="36"/>
      <c r="DJ100" s="36"/>
      <c r="DK100" s="36"/>
      <c r="DL100" s="35"/>
    </row>
    <row r="101" ht="14.25" customHeight="1">
      <c r="CM101" s="31"/>
      <c r="CN101" s="32"/>
      <c r="CU101" s="36"/>
      <c r="CV101" s="36"/>
      <c r="CW101" s="35"/>
      <c r="CX101" s="36"/>
      <c r="CY101" s="36"/>
      <c r="CZ101" s="31"/>
      <c r="DA101" s="32"/>
      <c r="DI101" s="36"/>
      <c r="DJ101" s="36"/>
      <c r="DK101" s="36"/>
      <c r="DL101" s="35"/>
    </row>
    <row r="102" ht="14.25" customHeight="1">
      <c r="CM102" s="32"/>
      <c r="CN102" s="32"/>
      <c r="CU102" s="36"/>
      <c r="CV102" s="36"/>
      <c r="CW102" s="35"/>
      <c r="CX102" s="36"/>
      <c r="CY102" s="36"/>
      <c r="CZ102" s="32"/>
      <c r="DA102" s="32"/>
      <c r="DI102" s="36"/>
      <c r="DJ102" s="36"/>
      <c r="DK102" s="36"/>
      <c r="DL102" s="35"/>
    </row>
    <row r="103" ht="14.25" customHeight="1">
      <c r="CM103" s="31"/>
      <c r="CN103" s="31"/>
      <c r="CU103" s="36"/>
      <c r="CV103" s="36"/>
      <c r="CW103" s="35"/>
      <c r="CX103" s="36"/>
      <c r="CY103" s="36"/>
      <c r="CZ103" s="36"/>
      <c r="DA103" s="36"/>
      <c r="DB103" s="36"/>
      <c r="DC103" s="36"/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4">
    <mergeCell ref="CW1:CX1"/>
    <mergeCell ref="DI1:DJ1"/>
    <mergeCell ref="DK1:DL1"/>
    <mergeCell ref="DN1:DO1"/>
    <mergeCell ref="AX1:BB1"/>
    <mergeCell ref="BI1:BK1"/>
    <mergeCell ref="BP1:BR1"/>
    <mergeCell ref="BW1:BY1"/>
    <mergeCell ref="CC1:CD1"/>
    <mergeCell ref="CG1:CI1"/>
    <mergeCell ref="CU1:CV1"/>
    <mergeCell ref="AR1:AT1"/>
    <mergeCell ref="AQ10:AQ12"/>
    <mergeCell ref="BH10:BH12"/>
    <mergeCell ref="BO10:BO12"/>
    <mergeCell ref="BV10:BV12"/>
    <mergeCell ref="CF10:CF12"/>
    <mergeCell ref="B1:F1"/>
    <mergeCell ref="I1:M1"/>
    <mergeCell ref="O1:S1"/>
    <mergeCell ref="U1:Z1"/>
    <mergeCell ref="AB1:AD1"/>
    <mergeCell ref="AH1:AL1"/>
    <mergeCell ref="I12:M12"/>
    <mergeCell ref="AQ15:AQ17"/>
    <mergeCell ref="AR20:AS20"/>
    <mergeCell ref="AR21:AS21"/>
    <mergeCell ref="BI20:BJ20"/>
    <mergeCell ref="BP20:BQ20"/>
    <mergeCell ref="CG20:CH20"/>
    <mergeCell ref="BI21:BJ21"/>
    <mergeCell ref="BP21:BQ21"/>
    <mergeCell ref="BW21:BX21"/>
    <mergeCell ref="CG21:CH21"/>
    <mergeCell ref="DR22:DV22"/>
    <mergeCell ref="AB20:AC20"/>
    <mergeCell ref="AB21:AC21"/>
    <mergeCell ref="AA10:AA12"/>
    <mergeCell ref="AA15:AA17"/>
    <mergeCell ref="BH15:BH17"/>
    <mergeCell ref="BO15:BO17"/>
    <mergeCell ref="BV15:BV17"/>
    <mergeCell ref="CF15:CF17"/>
    <mergeCell ref="BW20:BX20"/>
  </mergeCells>
  <printOptions/>
  <pageMargins bottom="0.75" footer="0.0" header="0.0" left="0.7" right="0.7" top="0.75"/>
  <pageSetup orientation="portrait"/>
  <drawing r:id="rId1"/>
</worksheet>
</file>