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BA\MBA Materials\Entrepreneurship\My Assignment\"/>
    </mc:Choice>
  </mc:AlternateContent>
  <xr:revisionPtr revIDLastSave="0" documentId="13_ncr:1_{64C9032F-E1E4-4668-BCB9-83FD9D033B92}" xr6:coauthVersionLast="45" xr6:coauthVersionMax="45" xr10:uidLastSave="{00000000-0000-0000-0000-000000000000}"/>
  <bookViews>
    <workbookView xWindow="-98" yWindow="-98" windowWidth="20715" windowHeight="13425" firstSheet="2" activeTab="3" xr2:uid="{B66888D7-0F17-470E-B698-AB261BFCC38C}"/>
  </bookViews>
  <sheets>
    <sheet name="Visability Study " sheetId="5" r:id="rId1"/>
    <sheet name="Sales Forcasting" sheetId="2" r:id="rId2"/>
    <sheet name="Potintial customers gross " sheetId="7" r:id="rId3"/>
    <sheet name="Cash Flow Sheet" sheetId="3" r:id="rId4"/>
    <sheet name="P&amp;L" sheetId="8" r:id="rId5"/>
    <sheet name="Beakeven" sheetId="9" r:id="rId6"/>
    <sheet name="balance Sheet " sheetId="10" r:id="rId7"/>
    <sheet name="Comparsion " sheetId="11" r:id="rId8"/>
  </sheets>
  <definedNames>
    <definedName name="_xlchart.v1.0" hidden="1">'balance Sheet '!$F$36</definedName>
    <definedName name="_xlchart.v1.1" hidden="1">'balance Sheet '!$F$37</definedName>
    <definedName name="_xlchart.v1.2" hidden="1">'balance Sheet '!$G$36:$I$36</definedName>
    <definedName name="_xlchart.v1.3" hidden="1">'balance Sheet '!$G$37:$I$37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7" i="3" l="1"/>
  <c r="D37" i="3"/>
  <c r="E37" i="3"/>
  <c r="F37" i="3"/>
  <c r="G37" i="3"/>
  <c r="H37" i="3"/>
  <c r="I37" i="3"/>
  <c r="J37" i="3"/>
  <c r="K37" i="3"/>
  <c r="L37" i="3"/>
  <c r="M37" i="3"/>
  <c r="B37" i="3"/>
  <c r="D36" i="3"/>
  <c r="E36" i="3" s="1"/>
  <c r="F36" i="3" s="1"/>
  <c r="G36" i="3" s="1"/>
  <c r="H36" i="3" s="1"/>
  <c r="I36" i="3" s="1"/>
  <c r="J36" i="3" s="1"/>
  <c r="K36" i="3" s="1"/>
  <c r="L36" i="3" s="1"/>
  <c r="M36" i="3" s="1"/>
  <c r="C36" i="3"/>
  <c r="B36" i="3"/>
  <c r="D30" i="3" l="1"/>
  <c r="C30" i="3"/>
  <c r="B30" i="3"/>
  <c r="D17" i="10"/>
  <c r="C17" i="10"/>
  <c r="C20" i="10" s="1"/>
  <c r="B17" i="10"/>
  <c r="D20" i="10"/>
  <c r="B20" i="10"/>
  <c r="C28" i="10" l="1"/>
  <c r="D28" i="10"/>
  <c r="B28" i="10"/>
  <c r="C26" i="10"/>
  <c r="D26" i="10"/>
  <c r="B26" i="10"/>
  <c r="C22" i="10"/>
  <c r="C27" i="10" s="1"/>
  <c r="D22" i="10"/>
  <c r="D27" i="10" s="1"/>
  <c r="C13" i="10" l="1"/>
  <c r="D13" i="10"/>
  <c r="B13" i="10"/>
  <c r="C14" i="10"/>
  <c r="D14" i="10"/>
  <c r="B14" i="10"/>
  <c r="C9" i="10"/>
  <c r="D9" i="10"/>
  <c r="B9" i="10"/>
  <c r="D12" i="10"/>
  <c r="C12" i="10"/>
  <c r="D11" i="10"/>
  <c r="C11" i="10"/>
  <c r="D7" i="10"/>
  <c r="C7" i="10"/>
  <c r="D86" i="3" l="1"/>
  <c r="E86" i="3" s="1"/>
  <c r="F86" i="3" s="1"/>
  <c r="G86" i="3" s="1"/>
  <c r="H86" i="3" s="1"/>
  <c r="I86" i="3" s="1"/>
  <c r="J86" i="3" s="1"/>
  <c r="K86" i="3" s="1"/>
  <c r="L86" i="3" s="1"/>
  <c r="M86" i="3" s="1"/>
  <c r="C86" i="3"/>
  <c r="B86" i="3"/>
  <c r="C85" i="3"/>
  <c r="D85" i="3"/>
  <c r="E85" i="3"/>
  <c r="F85" i="3"/>
  <c r="G85" i="3"/>
  <c r="H85" i="3"/>
  <c r="I85" i="3"/>
  <c r="J85" i="3"/>
  <c r="K85" i="3"/>
  <c r="L85" i="3"/>
  <c r="M85" i="3"/>
  <c r="B85" i="3"/>
  <c r="B62" i="3"/>
  <c r="C62" i="3"/>
  <c r="D62" i="3"/>
  <c r="E62" i="3"/>
  <c r="F62" i="3"/>
  <c r="G62" i="3"/>
  <c r="H62" i="3"/>
  <c r="I62" i="3"/>
  <c r="J62" i="3"/>
  <c r="K62" i="3"/>
  <c r="L62" i="3"/>
  <c r="M62" i="3"/>
  <c r="B63" i="3"/>
  <c r="C63" i="3"/>
  <c r="D63" i="3"/>
  <c r="E63" i="3"/>
  <c r="F63" i="3"/>
  <c r="G63" i="3"/>
  <c r="H63" i="3"/>
  <c r="I63" i="3"/>
  <c r="J63" i="3"/>
  <c r="K63" i="3"/>
  <c r="L63" i="3"/>
  <c r="M63" i="3"/>
  <c r="B64" i="3"/>
  <c r="C64" i="3"/>
  <c r="D64" i="3"/>
  <c r="E64" i="3"/>
  <c r="F64" i="3"/>
  <c r="G64" i="3"/>
  <c r="H64" i="3"/>
  <c r="I64" i="3"/>
  <c r="J64" i="3"/>
  <c r="K64" i="3"/>
  <c r="L64" i="3"/>
  <c r="M64" i="3"/>
  <c r="B65" i="3"/>
  <c r="C65" i="3"/>
  <c r="D65" i="3"/>
  <c r="E65" i="3"/>
  <c r="F65" i="3"/>
  <c r="G65" i="3"/>
  <c r="H65" i="3"/>
  <c r="I65" i="3"/>
  <c r="J65" i="3"/>
  <c r="K65" i="3"/>
  <c r="L65" i="3"/>
  <c r="M65" i="3"/>
  <c r="B66" i="3"/>
  <c r="C66" i="3"/>
  <c r="D66" i="3"/>
  <c r="E66" i="3"/>
  <c r="F66" i="3"/>
  <c r="G66" i="3"/>
  <c r="H66" i="3"/>
  <c r="I66" i="3"/>
  <c r="J66" i="3"/>
  <c r="K66" i="3"/>
  <c r="L66" i="3"/>
  <c r="M66" i="3"/>
  <c r="B67" i="3"/>
  <c r="C67" i="3"/>
  <c r="D67" i="3"/>
  <c r="E67" i="3"/>
  <c r="F67" i="3"/>
  <c r="G67" i="3"/>
  <c r="H67" i="3"/>
  <c r="I67" i="3"/>
  <c r="J67" i="3"/>
  <c r="K67" i="3"/>
  <c r="L67" i="3"/>
  <c r="M67" i="3"/>
  <c r="B68" i="3"/>
  <c r="C68" i="3"/>
  <c r="D68" i="3"/>
  <c r="E68" i="3"/>
  <c r="F68" i="3"/>
  <c r="G68" i="3"/>
  <c r="H68" i="3"/>
  <c r="I68" i="3"/>
  <c r="J68" i="3"/>
  <c r="K68" i="3"/>
  <c r="L68" i="3"/>
  <c r="M68" i="3"/>
  <c r="B69" i="3"/>
  <c r="C69" i="3"/>
  <c r="D69" i="3"/>
  <c r="E69" i="3"/>
  <c r="F69" i="3"/>
  <c r="G69" i="3"/>
  <c r="H69" i="3"/>
  <c r="I69" i="3"/>
  <c r="J69" i="3"/>
  <c r="K69" i="3"/>
  <c r="L69" i="3"/>
  <c r="M69" i="3"/>
  <c r="B70" i="3"/>
  <c r="C70" i="3"/>
  <c r="D70" i="3"/>
  <c r="E70" i="3"/>
  <c r="F70" i="3"/>
  <c r="G70" i="3"/>
  <c r="H70" i="3"/>
  <c r="I70" i="3"/>
  <c r="J70" i="3"/>
  <c r="K70" i="3"/>
  <c r="L70" i="3"/>
  <c r="M70" i="3"/>
  <c r="B71" i="3"/>
  <c r="C71" i="3"/>
  <c r="D71" i="3"/>
  <c r="E71" i="3"/>
  <c r="F71" i="3"/>
  <c r="G71" i="3"/>
  <c r="H71" i="3"/>
  <c r="I71" i="3"/>
  <c r="J71" i="3"/>
  <c r="K71" i="3"/>
  <c r="L71" i="3"/>
  <c r="M71" i="3"/>
  <c r="B72" i="3"/>
  <c r="C72" i="3"/>
  <c r="D72" i="3"/>
  <c r="E72" i="3"/>
  <c r="F72" i="3"/>
  <c r="G72" i="3"/>
  <c r="H72" i="3"/>
  <c r="I72" i="3"/>
  <c r="J72" i="3"/>
  <c r="K72" i="3"/>
  <c r="L72" i="3"/>
  <c r="M72" i="3"/>
  <c r="B73" i="3"/>
  <c r="C73" i="3"/>
  <c r="D73" i="3"/>
  <c r="E73" i="3"/>
  <c r="F73" i="3"/>
  <c r="G73" i="3"/>
  <c r="H73" i="3"/>
  <c r="I73" i="3"/>
  <c r="J73" i="3"/>
  <c r="K73" i="3"/>
  <c r="L73" i="3"/>
  <c r="M73" i="3"/>
  <c r="B75" i="3"/>
  <c r="C75" i="3"/>
  <c r="D75" i="3"/>
  <c r="E75" i="3"/>
  <c r="F75" i="3"/>
  <c r="G75" i="3"/>
  <c r="H75" i="3"/>
  <c r="I75" i="3"/>
  <c r="J75" i="3"/>
  <c r="K75" i="3"/>
  <c r="L75" i="3"/>
  <c r="M75" i="3"/>
  <c r="B77" i="3"/>
  <c r="C77" i="3"/>
  <c r="D77" i="3"/>
  <c r="E77" i="3"/>
  <c r="F77" i="3"/>
  <c r="G77" i="3"/>
  <c r="H77" i="3"/>
  <c r="I77" i="3"/>
  <c r="J77" i="3"/>
  <c r="K77" i="3"/>
  <c r="L77" i="3"/>
  <c r="M77" i="3"/>
  <c r="B78" i="3"/>
  <c r="C78" i="3"/>
  <c r="D78" i="3"/>
  <c r="E78" i="3"/>
  <c r="F78" i="3"/>
  <c r="G78" i="3"/>
  <c r="H78" i="3"/>
  <c r="I78" i="3"/>
  <c r="J78" i="3"/>
  <c r="K78" i="3"/>
  <c r="L78" i="3"/>
  <c r="M78" i="3"/>
  <c r="B79" i="3"/>
  <c r="C79" i="3"/>
  <c r="D79" i="3"/>
  <c r="E79" i="3"/>
  <c r="F79" i="3"/>
  <c r="G79" i="3"/>
  <c r="H79" i="3"/>
  <c r="I79" i="3"/>
  <c r="J79" i="3"/>
  <c r="K79" i="3"/>
  <c r="L79" i="3"/>
  <c r="M79" i="3"/>
  <c r="B80" i="3"/>
  <c r="C80" i="3"/>
  <c r="D80" i="3"/>
  <c r="E80" i="3"/>
  <c r="F80" i="3"/>
  <c r="G80" i="3"/>
  <c r="H80" i="3"/>
  <c r="I80" i="3"/>
  <c r="J80" i="3"/>
  <c r="K80" i="3"/>
  <c r="L80" i="3"/>
  <c r="M80" i="3"/>
  <c r="B81" i="3"/>
  <c r="C81" i="3"/>
  <c r="D81" i="3"/>
  <c r="E81" i="3"/>
  <c r="F81" i="3"/>
  <c r="G81" i="3"/>
  <c r="H81" i="3"/>
  <c r="I81" i="3"/>
  <c r="J81" i="3"/>
  <c r="K81" i="3"/>
  <c r="L81" i="3"/>
  <c r="M81" i="3"/>
  <c r="B82" i="3"/>
  <c r="C82" i="3"/>
  <c r="D82" i="3"/>
  <c r="E82" i="3"/>
  <c r="F82" i="3"/>
  <c r="G82" i="3"/>
  <c r="H82" i="3"/>
  <c r="I82" i="3"/>
  <c r="J82" i="3"/>
  <c r="K82" i="3"/>
  <c r="L82" i="3"/>
  <c r="M82" i="3"/>
  <c r="B83" i="3"/>
  <c r="C83" i="3"/>
  <c r="D83" i="3"/>
  <c r="E83" i="3"/>
  <c r="F83" i="3"/>
  <c r="G83" i="3"/>
  <c r="H83" i="3"/>
  <c r="I83" i="3"/>
  <c r="J83" i="3"/>
  <c r="K83" i="3"/>
  <c r="L83" i="3"/>
  <c r="M83" i="3"/>
  <c r="C61" i="3"/>
  <c r="D61" i="3"/>
  <c r="E61" i="3"/>
  <c r="F61" i="3"/>
  <c r="G61" i="3"/>
  <c r="H61" i="3"/>
  <c r="I61" i="3"/>
  <c r="J61" i="3"/>
  <c r="K61" i="3"/>
  <c r="L61" i="3"/>
  <c r="M61" i="3"/>
  <c r="B61" i="3"/>
  <c r="D19" i="9" l="1"/>
  <c r="F19" i="9"/>
  <c r="C19" i="9"/>
  <c r="C21" i="9"/>
  <c r="C22" i="9"/>
  <c r="C23" i="9"/>
  <c r="C24" i="9"/>
  <c r="C20" i="9"/>
  <c r="B8" i="9"/>
  <c r="B11" i="9"/>
  <c r="B10" i="9"/>
  <c r="D10" i="8" l="1"/>
  <c r="C10" i="8"/>
  <c r="C8" i="8"/>
  <c r="D8" i="8"/>
  <c r="B8" i="8"/>
  <c r="C7" i="8"/>
  <c r="D7" i="8"/>
  <c r="B7" i="8"/>
  <c r="D6" i="8"/>
  <c r="C6" i="8"/>
  <c r="B6" i="8"/>
  <c r="C40" i="2"/>
  <c r="F35" i="2"/>
  <c r="C9" i="7" l="1"/>
  <c r="D8" i="7"/>
  <c r="E8" i="7" s="1"/>
  <c r="F8" i="7" s="1"/>
  <c r="G8" i="7" s="1"/>
  <c r="D7" i="7"/>
  <c r="E7" i="7" s="1"/>
  <c r="F7" i="7" s="1"/>
  <c r="G7" i="7" s="1"/>
  <c r="H7" i="7" s="1"/>
  <c r="D6" i="7"/>
  <c r="D9" i="7" s="1"/>
  <c r="D5" i="7"/>
  <c r="E5" i="7" s="1"/>
  <c r="F5" i="7" s="1"/>
  <c r="G5" i="7" s="1"/>
  <c r="H5" i="7" s="1"/>
  <c r="F4" i="7"/>
  <c r="G4" i="7" s="1"/>
  <c r="E4" i="7"/>
  <c r="D4" i="7"/>
  <c r="B50" i="5"/>
  <c r="B46" i="5"/>
  <c r="B45" i="5"/>
  <c r="B47" i="5" s="1"/>
  <c r="B49" i="5" s="1"/>
  <c r="B38" i="5"/>
  <c r="B30" i="5"/>
  <c r="B23" i="5"/>
  <c r="B17" i="5"/>
  <c r="D6" i="3"/>
  <c r="D15" i="3" s="1"/>
  <c r="C6" i="3"/>
  <c r="C15" i="3" s="1"/>
  <c r="B6" i="3"/>
  <c r="B15" i="3" l="1"/>
  <c r="E9" i="7"/>
  <c r="G9" i="7"/>
  <c r="H9" i="7" s="1"/>
  <c r="H4" i="7"/>
  <c r="E6" i="7"/>
  <c r="F6" i="7" s="1"/>
  <c r="G6" i="7" s="1"/>
  <c r="H6" i="7" s="1"/>
  <c r="F9" i="7"/>
  <c r="C52" i="2"/>
  <c r="B18" i="3" s="1"/>
  <c r="D47" i="2"/>
  <c r="E47" i="2" s="1"/>
  <c r="D48" i="2"/>
  <c r="E48" i="2" s="1"/>
  <c r="D49" i="2"/>
  <c r="E49" i="2" s="1"/>
  <c r="D50" i="2"/>
  <c r="E50" i="2" s="1"/>
  <c r="D46" i="2"/>
  <c r="E46" i="2" s="1"/>
  <c r="F74" i="3" l="1"/>
  <c r="G74" i="3"/>
  <c r="I74" i="3"/>
  <c r="B74" i="3"/>
  <c r="C74" i="3"/>
  <c r="E74" i="3"/>
  <c r="H74" i="3"/>
  <c r="J74" i="3"/>
  <c r="D74" i="3"/>
  <c r="K74" i="3"/>
  <c r="L74" i="3"/>
  <c r="M74" i="3"/>
  <c r="B20" i="3"/>
  <c r="B9" i="8"/>
  <c r="B15" i="8" s="1"/>
  <c r="B16" i="8" s="1"/>
  <c r="E52" i="2"/>
  <c r="D18" i="3" s="1"/>
  <c r="D52" i="2"/>
  <c r="C18" i="3" s="1"/>
  <c r="D38" i="2"/>
  <c r="E38" i="2" s="1"/>
  <c r="D39" i="2"/>
  <c r="E39" i="2" s="1"/>
  <c r="D37" i="2"/>
  <c r="C35" i="2"/>
  <c r="D33" i="2"/>
  <c r="E33" i="2" s="1"/>
  <c r="D34" i="2"/>
  <c r="E34" i="2" s="1"/>
  <c r="D32" i="2"/>
  <c r="E32" i="2" s="1"/>
  <c r="I19" i="2"/>
  <c r="J19" i="2" s="1"/>
  <c r="K19" i="2" s="1"/>
  <c r="L19" i="2" s="1"/>
  <c r="M19" i="2" s="1"/>
  <c r="N19" i="2" s="1"/>
  <c r="O19" i="2" s="1"/>
  <c r="P19" i="2" s="1"/>
  <c r="Q19" i="2" s="1"/>
  <c r="R19" i="2" s="1"/>
  <c r="S19" i="2" s="1"/>
  <c r="I18" i="2"/>
  <c r="J18" i="2" s="1"/>
  <c r="K18" i="2" s="1"/>
  <c r="L18" i="2" s="1"/>
  <c r="M18" i="2" s="1"/>
  <c r="N18" i="2" s="1"/>
  <c r="O18" i="2" s="1"/>
  <c r="P18" i="2" s="1"/>
  <c r="Q18" i="2" s="1"/>
  <c r="R18" i="2" s="1"/>
  <c r="S18" i="2" s="1"/>
  <c r="N17" i="2"/>
  <c r="O17" i="2" s="1"/>
  <c r="P17" i="2" s="1"/>
  <c r="Q17" i="2" s="1"/>
  <c r="R17" i="2" s="1"/>
  <c r="S17" i="2" s="1"/>
  <c r="F76" i="3" l="1"/>
  <c r="D76" i="3"/>
  <c r="G76" i="3"/>
  <c r="B76" i="3"/>
  <c r="C76" i="3"/>
  <c r="E76" i="3"/>
  <c r="H76" i="3"/>
  <c r="I76" i="3"/>
  <c r="J76" i="3"/>
  <c r="L76" i="3"/>
  <c r="M76" i="3"/>
  <c r="K76" i="3"/>
  <c r="D20" i="3"/>
  <c r="D28" i="3" s="1"/>
  <c r="D29" i="3" s="1"/>
  <c r="D9" i="8"/>
  <c r="D15" i="8" s="1"/>
  <c r="D16" i="8" s="1"/>
  <c r="D17" i="8" s="1"/>
  <c r="D18" i="8" s="1"/>
  <c r="B28" i="3"/>
  <c r="C20" i="3"/>
  <c r="C28" i="3" s="1"/>
  <c r="C29" i="3" s="1"/>
  <c r="C9" i="8"/>
  <c r="C15" i="8" s="1"/>
  <c r="C16" i="8" s="1"/>
  <c r="C17" i="8" s="1"/>
  <c r="C18" i="8" s="1"/>
  <c r="B12" i="9"/>
  <c r="E20" i="9" s="1"/>
  <c r="A25" i="9"/>
  <c r="B6" i="9" s="1"/>
  <c r="B17" i="8"/>
  <c r="B18" i="8" s="1"/>
  <c r="D35" i="2"/>
  <c r="D40" i="2"/>
  <c r="E37" i="2"/>
  <c r="E40" i="2" s="1"/>
  <c r="E35" i="2"/>
  <c r="F84" i="3" l="1"/>
  <c r="G84" i="3"/>
  <c r="I84" i="3"/>
  <c r="B84" i="3"/>
  <c r="C84" i="3"/>
  <c r="D84" i="3"/>
  <c r="M84" i="3"/>
  <c r="H84" i="3"/>
  <c r="J84" i="3"/>
  <c r="K84" i="3"/>
  <c r="L84" i="3"/>
  <c r="E84" i="3"/>
  <c r="F20" i="9"/>
  <c r="D20" i="9" s="1"/>
  <c r="F22" i="9"/>
  <c r="D22" i="9" s="1"/>
  <c r="F23" i="9"/>
  <c r="D23" i="9" s="1"/>
  <c r="F21" i="9"/>
  <c r="D21" i="9" s="1"/>
  <c r="F24" i="9"/>
  <c r="D24" i="9" s="1"/>
  <c r="B29" i="3"/>
  <c r="B22" i="10" l="1"/>
  <c r="B27" i="10" s="1"/>
</calcChain>
</file>

<file path=xl/sharedStrings.xml><?xml version="1.0" encoding="utf-8"?>
<sst xmlns="http://schemas.openxmlformats.org/spreadsheetml/2006/main" count="244" uniqueCount="188">
  <si>
    <t>Assets</t>
  </si>
  <si>
    <t>START-UP REQUIREMENTS</t>
  </si>
  <si>
    <t>Start-up Expenses</t>
  </si>
  <si>
    <t>Legal</t>
  </si>
  <si>
    <t>Stationery etc.</t>
  </si>
  <si>
    <t>Brochures</t>
  </si>
  <si>
    <t>Consultants</t>
  </si>
  <si>
    <t>Insurance</t>
  </si>
  <si>
    <t>Rent</t>
  </si>
  <si>
    <t>Remodelling</t>
  </si>
  <si>
    <t>Other</t>
  </si>
  <si>
    <t xml:space="preserve">TOTAL START-UP EXPENSES </t>
  </si>
  <si>
    <t>Start-up Assets</t>
  </si>
  <si>
    <t>Cash Required</t>
  </si>
  <si>
    <t>Start-up Inventory</t>
  </si>
  <si>
    <t>Other Current Assets</t>
  </si>
  <si>
    <t>Long-term Assets</t>
  </si>
  <si>
    <t xml:space="preserve">TOTAL ASSETS </t>
  </si>
  <si>
    <t>Total Requirements</t>
  </si>
  <si>
    <t>START-UP FUNDING</t>
  </si>
  <si>
    <t>Start-up Expenses to Fund</t>
  </si>
  <si>
    <t>Start-up Assets to Fund</t>
  </si>
  <si>
    <t xml:space="preserve">TOTAL FUNDING REQUIRED </t>
  </si>
  <si>
    <t>Non-cash Assets from Start-up</t>
  </si>
  <si>
    <t>Cash Requirements from Start-up</t>
  </si>
  <si>
    <t>Additional Cash Raised</t>
  </si>
  <si>
    <t>Cash Balance on Starting Date</t>
  </si>
  <si>
    <t>TOTAL ASSETS</t>
  </si>
  <si>
    <t>Liabilities and Capital</t>
  </si>
  <si>
    <t>Liabilities</t>
  </si>
  <si>
    <t>Current Borrowing</t>
  </si>
  <si>
    <t>Long-term Liabilities</t>
  </si>
  <si>
    <t>Accounts Payable (Outstanding Bills)</t>
  </si>
  <si>
    <t>Other Current Liabilities (interest-free)</t>
  </si>
  <si>
    <t>TOTAL LIABILITIES</t>
  </si>
  <si>
    <t>Capital</t>
  </si>
  <si>
    <t>Planned Investment</t>
  </si>
  <si>
    <t>All other investors</t>
  </si>
  <si>
    <t>Additional Investment Requirement</t>
  </si>
  <si>
    <t>TOTAL PLANNED INVESTMENT</t>
  </si>
  <si>
    <t>Loss at Start-up (Start-up Expenses)</t>
  </si>
  <si>
    <t>TOTAL CAPITAL</t>
  </si>
  <si>
    <t>TOTAL CAPITAL AND LIABILITIES</t>
  </si>
  <si>
    <t>Total Funding</t>
  </si>
  <si>
    <t>Mohamed Amer</t>
  </si>
  <si>
    <t>Mostafa Amer</t>
  </si>
  <si>
    <t xml:space="preserve">Gasco Employees </t>
  </si>
  <si>
    <t>Mall Employees</t>
  </si>
  <si>
    <t xml:space="preserve">Cinema Visitors </t>
  </si>
  <si>
    <t xml:space="preserve">Mall Visitors </t>
  </si>
  <si>
    <t xml:space="preserve">Market Analysis </t>
  </si>
  <si>
    <t>Growth</t>
  </si>
  <si>
    <t xml:space="preserve">Potential Customers </t>
  </si>
  <si>
    <t>Gasco Employees</t>
  </si>
  <si>
    <t xml:space="preserve">Others </t>
  </si>
  <si>
    <t xml:space="preserve">Total </t>
  </si>
  <si>
    <t>CAGR 
(Compound annual growth rate)</t>
  </si>
  <si>
    <t xml:space="preserve">Coffee Beverages </t>
  </si>
  <si>
    <t>Pastries, etc.</t>
  </si>
  <si>
    <t>Whole Beans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</si>
  <si>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</si>
  <si>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</si>
  <si>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</si>
  <si>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</si>
  <si>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</si>
  <si>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</si>
  <si>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</si>
  <si>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</si>
  <si>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</si>
  <si>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</si>
  <si>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</si>
  <si>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</si>
  <si>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Sales Forecast</t>
  </si>
  <si>
    <t>Sales</t>
  </si>
  <si>
    <t>Coffee beverages</t>
  </si>
  <si>
    <t>Coffee beans</t>
  </si>
  <si>
    <t>Total</t>
  </si>
  <si>
    <t>Direct Cost of Sales</t>
  </si>
  <si>
    <t>Subtotal Direct Cost of Sales</t>
  </si>
  <si>
    <t>Personal Plan</t>
  </si>
  <si>
    <t xml:space="preserve">Baristas </t>
  </si>
  <si>
    <t xml:space="preserve">Employees </t>
  </si>
  <si>
    <t>Total manpower</t>
  </si>
  <si>
    <t xml:space="preserve">Total Payroll </t>
  </si>
  <si>
    <t xml:space="preserve">Ops Managers </t>
  </si>
  <si>
    <t xml:space="preserve">Store Manager </t>
  </si>
  <si>
    <t xml:space="preserve">Shift Supervisor </t>
  </si>
  <si>
    <t xml:space="preserve">Cash Received </t>
  </si>
  <si>
    <t>Cash From Operation</t>
  </si>
  <si>
    <t xml:space="preserve">Cash Sales </t>
  </si>
  <si>
    <t xml:space="preserve">Subtotal Of Cash flow </t>
  </si>
  <si>
    <t>Additional Cash Received</t>
  </si>
  <si>
    <t>Sales Taxes / Vat</t>
  </si>
  <si>
    <t xml:space="preserve">New Current Borrowing </t>
  </si>
  <si>
    <t>New Other Liabilities </t>
  </si>
  <si>
    <t>New Long-term Liabilities</t>
  </si>
  <si>
    <t>Sales of Other Current Assets</t>
  </si>
  <si>
    <t>Sales of Long-term Assets</t>
  </si>
  <si>
    <t>New Investment Received</t>
  </si>
  <si>
    <t>SUBTOTAL CASH RECEIVED</t>
  </si>
  <si>
    <t>Expenditures</t>
  </si>
  <si>
    <t>Expenditures from Operations</t>
  </si>
  <si>
    <t>Bill Payments</t>
  </si>
  <si>
    <t xml:space="preserve">Net Cash Flow 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</si>
  <si>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</si>
  <si>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</si>
  <si>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</si>
  <si>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</si>
  <si>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</si>
  <si>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</si>
  <si>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</si>
  <si>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</si>
  <si>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</si>
  <si>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</si>
  <si>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</si>
  <si>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</si>
  <si>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 xml:space="preserve">Cash Balance </t>
  </si>
  <si>
    <t>SUBTOTAL SPENT ON OPERATIONS</t>
  </si>
  <si>
    <t>Additional Cash Spent</t>
  </si>
  <si>
    <t>Sales Tax, VAT,</t>
  </si>
  <si>
    <t xml:space="preserve"> Current Borrowing</t>
  </si>
  <si>
    <t>Current Libility</t>
  </si>
  <si>
    <t>Purchase Long-term Assets</t>
  </si>
  <si>
    <t>Dividends</t>
  </si>
  <si>
    <t>SUBTOTAL CASH SPENT</t>
  </si>
  <si>
    <t>Cash On Hand</t>
  </si>
  <si>
    <t xml:space="preserve"> Cash Flow</t>
  </si>
  <si>
    <t>Y /2021</t>
  </si>
  <si>
    <t>Y/ 2022</t>
  </si>
  <si>
    <t>Y/ 2023</t>
  </si>
  <si>
    <t>Y/ 2021</t>
  </si>
  <si>
    <t>PROFIT AND LOSS</t>
  </si>
  <si>
    <t xml:space="preserve">Sales </t>
  </si>
  <si>
    <t xml:space="preserve">Direct Cost Of Sales </t>
  </si>
  <si>
    <t>Cash Spending (Payroll)</t>
  </si>
  <si>
    <t>Others</t>
  </si>
  <si>
    <t xml:space="preserve">Total Cost Of Sales </t>
  </si>
  <si>
    <t xml:space="preserve">Gross Margin </t>
  </si>
  <si>
    <t>Gross Margin %</t>
  </si>
  <si>
    <t>Payroll</t>
  </si>
  <si>
    <t>Sales and Marketing and Other Expenses</t>
  </si>
  <si>
    <t>Depreciation</t>
  </si>
  <si>
    <t>Maintenance</t>
  </si>
  <si>
    <t>Utilities/Phone</t>
  </si>
  <si>
    <t xml:space="preserve">Payroll Taxes </t>
  </si>
  <si>
    <t>Total Operating Expenses</t>
  </si>
  <si>
    <t xml:space="preserve">Net Profit </t>
  </si>
  <si>
    <t xml:space="preserve">Net Profit  / Sales </t>
  </si>
  <si>
    <t>Contrbution = Seals Price- Variable cost (Cost of sales)</t>
  </si>
  <si>
    <t>Caontrbution Margin Ratio= Contrbution/ Net sales</t>
  </si>
  <si>
    <t>Break Even = Fixed Cost (Payroll, taxes pay, roll, rent, phone, utilities, maintance ) (Same total Ops Expenses)/ Contrbution margin ration</t>
  </si>
  <si>
    <t>Contrbution = 5694000</t>
  </si>
  <si>
    <t xml:space="preserve">Sales Per Unit Assumtion = EGP 40 </t>
  </si>
  <si>
    <t>CONTRBUTION PER UNIT = Sales per unit / net profit percantage = 40 * 14.77/100=EGP 5.90</t>
  </si>
  <si>
    <t>Cost per unit = sales per unit - contrbution per unit= EGP 34</t>
  </si>
  <si>
    <t xml:space="preserve">Break Even Per unit= </t>
  </si>
  <si>
    <t xml:space="preserve">Breakeven = (total operating expenses/contrbution margin ration)= </t>
  </si>
  <si>
    <t xml:space="preserve">Breakeven per month= </t>
  </si>
  <si>
    <t>Production</t>
  </si>
  <si>
    <t xml:space="preserve">Price </t>
  </si>
  <si>
    <t xml:space="preserve">Vriable cost per unit = </t>
  </si>
  <si>
    <t xml:space="preserve">Fixed Cost per month </t>
  </si>
  <si>
    <t xml:space="preserve">Total cost </t>
  </si>
  <si>
    <t>Fixed cost</t>
  </si>
  <si>
    <t>Variable cost</t>
  </si>
  <si>
    <t>Cash Flow 
Coffee shop
Y/ 2021</t>
  </si>
  <si>
    <t>PRO FORMA BALANCE SHEET</t>
  </si>
  <si>
    <t xml:space="preserve">Assets </t>
  </si>
  <si>
    <t xml:space="preserve">Current Assets </t>
  </si>
  <si>
    <t xml:space="preserve">Inventory </t>
  </si>
  <si>
    <t xml:space="preserve">Other Current Assets </t>
  </si>
  <si>
    <t>Balance Sheet
AraBusta Café 
Y/ 2021</t>
  </si>
  <si>
    <t>TOTAL CURRENT ASSETS</t>
  </si>
  <si>
    <t>Y/2021</t>
  </si>
  <si>
    <t>Long Term Assets</t>
  </si>
  <si>
    <t>Accumulated Depreciation</t>
  </si>
  <si>
    <t>TOTAL LONG-TERM ASSETS</t>
  </si>
  <si>
    <t>Current Liabilities</t>
  </si>
  <si>
    <t>Accounts Payable</t>
  </si>
  <si>
    <t>Other Current Liabilities</t>
  </si>
  <si>
    <t>SUBTOTAL CURRENT LIABILITIES</t>
  </si>
  <si>
    <t>Paid-in Capital</t>
  </si>
  <si>
    <t>Retained Earnings</t>
  </si>
  <si>
    <t>TOTAL LIABILITIES AND CAPITAL</t>
  </si>
  <si>
    <t>Earnings (Net Profit)</t>
  </si>
  <si>
    <t>Net Worth (Current Capital)</t>
  </si>
  <si>
    <t>Cash (Cash Balance)</t>
  </si>
  <si>
    <t>Cash Balance (Coummlative)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</si>
</sst>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EGP]\ #,##0.00"/>
    <numFmt numFmtId="165" formatCode="#.0,\ &quot;M&quot;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0"/>
      <name val="Times New Roman"/>
      <family val="1"/>
    </font>
    <font>
      <sz val="12"/>
      <color theme="0"/>
      <name val="Times New Roman"/>
      <family val="1"/>
    </font>
    <font>
      <sz val="8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164" fontId="4" fillId="2" borderId="0" xfId="0" applyNumberFormat="1" applyFont="1" applyFill="1" applyAlignment="1">
      <alignment horizontal="center" vertical="center"/>
    </xf>
    <xf numFmtId="9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left" vertical="center"/>
    </xf>
    <xf numFmtId="10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6" fillId="5" borderId="0" xfId="0" applyFont="1" applyFill="1"/>
    <xf numFmtId="0" fontId="7" fillId="5" borderId="0" xfId="0" applyFont="1" applyFill="1" applyAlignment="1">
      <alignment horizontal="center"/>
    </xf>
    <xf numFmtId="0" fontId="6" fillId="6" borderId="0" xfId="0" applyFont="1" applyFill="1" applyAlignment="1">
      <alignment vertical="center"/>
    </xf>
    <xf numFmtId="164" fontId="1" fillId="6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7" borderId="0" xfId="0" applyFont="1" applyFill="1" applyAlignment="1">
      <alignment horizontal="left" vertical="center"/>
    </xf>
    <xf numFmtId="164" fontId="8" fillId="7" borderId="0" xfId="0" applyNumberFormat="1" applyFont="1" applyFill="1" applyAlignment="1">
      <alignment horizontal="center" vertical="center"/>
    </xf>
    <xf numFmtId="0" fontId="6" fillId="7" borderId="0" xfId="0" applyFont="1" applyFill="1" applyAlignment="1">
      <alignment horizontal="left" vertical="center"/>
    </xf>
    <xf numFmtId="164" fontId="1" fillId="7" borderId="0" xfId="0" applyNumberFormat="1" applyFont="1" applyFill="1" applyAlignment="1">
      <alignment horizontal="center" vertical="center"/>
    </xf>
    <xf numFmtId="0" fontId="11" fillId="8" borderId="0" xfId="0" applyFont="1" applyFill="1"/>
    <xf numFmtId="0" fontId="3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0" fillId="9" borderId="0" xfId="0" applyFill="1"/>
    <xf numFmtId="0" fontId="11" fillId="9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left" vertical="center"/>
    </xf>
    <xf numFmtId="164" fontId="11" fillId="9" borderId="0" xfId="0" applyNumberFormat="1" applyFont="1" applyFill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2" fillId="9" borderId="0" xfId="0" applyFont="1" applyFill="1" applyAlignment="1">
      <alignment horizontal="left" vertical="center"/>
    </xf>
    <xf numFmtId="4" fontId="0" fillId="0" borderId="0" xfId="0" applyNumberFormat="1"/>
    <xf numFmtId="0" fontId="0" fillId="0" borderId="1" xfId="0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8" fillId="12" borderId="0" xfId="0" applyFont="1" applyFill="1"/>
    <xf numFmtId="17" fontId="8" fillId="12" borderId="0" xfId="0" applyNumberFormat="1" applyFon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164" fontId="11" fillId="9" borderId="0" xfId="0" applyNumberFormat="1" applyFont="1" applyFill="1" applyAlignment="1">
      <alignment horizontal="left" vertical="center"/>
    </xf>
    <xf numFmtId="10" fontId="11" fillId="9" borderId="0" xfId="0" applyNumberFormat="1" applyFont="1" applyFill="1" applyAlignment="1">
      <alignment horizontal="left" vertical="center"/>
    </xf>
    <xf numFmtId="0" fontId="12" fillId="9" borderId="0" xfId="0" applyFont="1" applyFill="1" applyAlignment="1">
      <alignment horizontal="left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1" fillId="10" borderId="0" xfId="0" applyFont="1" applyFill="1" applyAlignment="1">
      <alignment vertical="center"/>
    </xf>
    <xf numFmtId="164" fontId="1" fillId="10" borderId="0" xfId="0" applyNumberFormat="1" applyFont="1" applyFill="1" applyAlignment="1">
      <alignment vertical="center"/>
    </xf>
    <xf numFmtId="0" fontId="11" fillId="13" borderId="0" xfId="0" applyFont="1" applyFill="1" applyAlignment="1">
      <alignment vertical="center"/>
    </xf>
    <xf numFmtId="164" fontId="11" fillId="13" borderId="0" xfId="0" applyNumberFormat="1" applyFont="1" applyFill="1" applyAlignment="1">
      <alignment vertical="center"/>
    </xf>
    <xf numFmtId="164" fontId="0" fillId="13" borderId="0" xfId="0" applyNumberFormat="1" applyFill="1" applyAlignment="1">
      <alignment horizontal="center" vertical="center"/>
    </xf>
    <xf numFmtId="0" fontId="8" fillId="14" borderId="0" xfId="0" applyFont="1" applyFill="1" applyAlignment="1">
      <alignment vertical="center"/>
    </xf>
    <xf numFmtId="164" fontId="8" fillId="14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2" borderId="0" xfId="0" applyFont="1" applyFill="1" applyAlignment="1">
      <alignment horizontal="left" vertical="center"/>
    </xf>
    <xf numFmtId="0" fontId="0" fillId="0" borderId="0" xfId="0" applyAlignment="1">
      <alignment horizontal="center"/>
    </xf>
    <xf numFmtId="0" fontId="6" fillId="4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left" vertical="center"/>
    </xf>
    <xf numFmtId="164" fontId="1" fillId="11" borderId="0" xfId="0" applyNumberFormat="1" applyFont="1" applyFill="1" applyAlignment="1">
      <alignment horizontal="center" vertical="center" wrapText="1"/>
    </xf>
    <xf numFmtId="0" fontId="8" fillId="14" borderId="0" xfId="0" applyFont="1" applyFill="1" applyAlignment="1">
      <alignment horizontal="center" wrapText="1"/>
    </xf>
    <xf numFmtId="0" fontId="0" fillId="15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363188976377954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072042674403985"/>
          <c:y val="2.3741090100563654E-2"/>
          <c:w val="0.70522365697478762"/>
          <c:h val="0.53031751239428404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'Sales Forcasting'!$G$17</c:f>
              <c:strCache>
                <c:ptCount val="1"/>
                <c:pt idx="0">
                  <c:v>Coffee Beverages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'Sales Forcasting'!$H$16:$S$16</c:f>
              <c:strCache>
                <c:ptCount val="12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  <c:pt idx="6">
                  <c:v>M7</c:v>
                </c:pt>
                <c:pt idx="7">
                  <c:v>M8</c:v>
                </c:pt>
                <c:pt idx="8">
                  <c:v>M9</c:v>
                </c:pt>
                <c:pt idx="9">
                  <c:v>M10</c:v>
                </c:pt>
                <c:pt idx="10">
                  <c:v>M11</c:v>
                </c:pt>
                <c:pt idx="11">
                  <c:v>M12</c:v>
                </c:pt>
              </c:strCache>
            </c:strRef>
          </c:cat>
          <c:val>
            <c:numRef>
              <c:f>'Sales Forcasting'!$H$17:$S$17</c:f>
              <c:numCache>
                <c:formatCode>[$EGP]\ #,##0.00</c:formatCode>
                <c:ptCount val="12"/>
                <c:pt idx="0">
                  <c:v>375000</c:v>
                </c:pt>
                <c:pt idx="1">
                  <c:v>378000</c:v>
                </c:pt>
                <c:pt idx="2">
                  <c:v>381000</c:v>
                </c:pt>
                <c:pt idx="3">
                  <c:v>384450</c:v>
                </c:pt>
                <c:pt idx="4">
                  <c:v>390000</c:v>
                </c:pt>
                <c:pt idx="5">
                  <c:v>393000</c:v>
                </c:pt>
                <c:pt idx="6">
                  <c:v>396261.9</c:v>
                </c:pt>
                <c:pt idx="7">
                  <c:v>399550.87377000001</c:v>
                </c:pt>
                <c:pt idx="8">
                  <c:v>402867.14602229098</c:v>
                </c:pt>
                <c:pt idx="9">
                  <c:v>406210.94333427597</c:v>
                </c:pt>
                <c:pt idx="10">
                  <c:v>409582.49416395044</c:v>
                </c:pt>
                <c:pt idx="11">
                  <c:v>412982.02886551124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30-4A74-BE7E-3984F5E5407E}"/>
            </c:ext>
          </c:extLst>
        </c:ser>
        <c:ser>
          <c:idx val="1"/>
          <c:order val="1"/>
          <c:tx>
            <c:strRef>
              <c:f>'Sales Forcasting'!$G$18</c:f>
              <c:strCache>
                <c:ptCount val="1"/>
                <c:pt idx="0">
                  <c:v>Whole Beans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'Sales Forcasting'!$H$16:$S$16</c:f>
              <c:strCache>
                <c:ptCount val="12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  <c:pt idx="6">
                  <c:v>M7</c:v>
                </c:pt>
                <c:pt idx="7">
                  <c:v>M8</c:v>
                </c:pt>
                <c:pt idx="8">
                  <c:v>M9</c:v>
                </c:pt>
                <c:pt idx="9">
                  <c:v>M10</c:v>
                </c:pt>
                <c:pt idx="10">
                  <c:v>M11</c:v>
                </c:pt>
                <c:pt idx="11">
                  <c:v>M12</c:v>
                </c:pt>
              </c:strCache>
            </c:strRef>
          </c:cat>
          <c:val>
            <c:numRef>
              <c:f>'Sales Forcasting'!$H$18:$S$18</c:f>
              <c:numCache>
                <c:formatCode>[$EGP]\ #,##0.00</c:formatCode>
                <c:ptCount val="12"/>
                <c:pt idx="0">
                  <c:v>450000</c:v>
                </c:pt>
                <c:pt idx="1">
                  <c:v>453735</c:v>
                </c:pt>
                <c:pt idx="2">
                  <c:v>457501.00050000002</c:v>
                </c:pt>
                <c:pt idx="3">
                  <c:v>461298.25880415004</c:v>
                </c:pt>
                <c:pt idx="4">
                  <c:v>465127.03435222449</c:v>
                </c:pt>
                <c:pt idx="5">
                  <c:v>468987.58873734798</c:v>
                </c:pt>
                <c:pt idx="6">
                  <c:v>472880.18572386797</c:v>
                </c:pt>
                <c:pt idx="7">
                  <c:v>476805.09126537608</c:v>
                </c:pt>
                <c:pt idx="8">
                  <c:v>480762.57352287869</c:v>
                </c:pt>
                <c:pt idx="9">
                  <c:v>484752.9028831186</c:v>
                </c:pt>
                <c:pt idx="10">
                  <c:v>488776.3519770485</c:v>
                </c:pt>
                <c:pt idx="11">
                  <c:v>492833.195698458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30-4A74-BE7E-3984F5E5407E}"/>
            </c:ext>
          </c:extLst>
        </c:ser>
        <c:ser>
          <c:idx val="2"/>
          <c:order val="2"/>
          <c:tx>
            <c:strRef>
              <c:f>'Sales Forcasting'!$G$19</c:f>
              <c:strCache>
                <c:ptCount val="1"/>
                <c:pt idx="0">
                  <c:v>Pastries, etc.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'Sales Forcasting'!$H$16:$S$16</c:f>
              <c:strCache>
                <c:ptCount val="12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  <c:pt idx="6">
                  <c:v>M7</c:v>
                </c:pt>
                <c:pt idx="7">
                  <c:v>M8</c:v>
                </c:pt>
                <c:pt idx="8">
                  <c:v>M9</c:v>
                </c:pt>
                <c:pt idx="9">
                  <c:v>M10</c:v>
                </c:pt>
                <c:pt idx="10">
                  <c:v>M11</c:v>
                </c:pt>
                <c:pt idx="11">
                  <c:v>M12</c:v>
                </c:pt>
              </c:strCache>
            </c:strRef>
          </c:cat>
          <c:val>
            <c:numRef>
              <c:f>'Sales Forcasting'!$H$19:$S$19</c:f>
              <c:numCache>
                <c:formatCode>[$EGP]\ #,##0.00</c:formatCode>
                <c:ptCount val="12"/>
                <c:pt idx="0">
                  <c:v>600000</c:v>
                </c:pt>
                <c:pt idx="1">
                  <c:v>604980</c:v>
                </c:pt>
                <c:pt idx="2">
                  <c:v>610001.33400000003</c:v>
                </c:pt>
                <c:pt idx="3">
                  <c:v>615064.34507220006</c:v>
                </c:pt>
                <c:pt idx="4">
                  <c:v>620169.37913629937</c:v>
                </c:pt>
                <c:pt idx="5">
                  <c:v>625316.78498313064</c:v>
                </c:pt>
                <c:pt idx="6">
                  <c:v>630506.91429849062</c:v>
                </c:pt>
                <c:pt idx="7">
                  <c:v>635740.12168716814</c:v>
                </c:pt>
                <c:pt idx="8">
                  <c:v>641016.76469717163</c:v>
                </c:pt>
                <c:pt idx="9">
                  <c:v>646337.20384415821</c:v>
                </c:pt>
                <c:pt idx="10">
                  <c:v>651701.80263606471</c:v>
                </c:pt>
                <c:pt idx="11">
                  <c:v>657110.92759794404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30-4A74-BE7E-3984F5E54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41182640"/>
        <c:axId val="541176736"/>
        <c:axId val="0"/>
      </c:bar3DChart>
      <c:catAx>
        <c:axId val="54118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76736"/>
        <c:crosses val="autoZero"/>
        <c:auto val="1"/>
        <c:lblAlgn val="ctr"/>
        <c:lblOffset val="100"/>
        <c:noMultiLvlLbl val="0"/>
      </c:catAx>
      <c:valAx>
        <c:axId val="54117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[$EGP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826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365062358211851"/>
          <c:y val="0.84557394496283522"/>
          <c:w val="0.31637646448617607"/>
          <c:h val="7.263970281693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B1A-47D4-8FF4-3A0588FDBC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B1A-47D4-8FF4-3A0588FDBC8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B1A-47D4-8FF4-3A0588FDBC8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BB1A-47D4-8FF4-3A0588FDBC8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'Potintial customers gross '!$N$37:$N$40</c:f>
              <c:strCache>
                <c:ptCount val="4"/>
                <c:pt idx="0">
                  <c:v>Gasco Employees </c:v>
                </c:pt>
                <c:pt idx="1">
                  <c:v>Mall Employees</c:v>
                </c:pt>
                <c:pt idx="2">
                  <c:v>Cinema Visitors </c:v>
                </c:pt>
                <c:pt idx="3">
                  <c:v>Mall Visitors </c:v>
                </c:pt>
              </c:strCache>
            </c:strRef>
          </c:cat>
          <c:val>
            <c:numRef>
              <c:f>'Potintial customers gross '!$O$37:$O$40</c:f>
              <c:numCache>
                <c:formatCode>0%</c:formatCode>
                <c:ptCount val="4"/>
                <c:pt idx="0">
                  <c:v>0.5</c:v>
                </c:pt>
                <c:pt idx="1">
                  <c:v>0.2</c:v>
                </c:pt>
                <c:pt idx="2">
                  <c:v>0.2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4D-44DF-98EB-0135E7B05A9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Cash </a:t>
            </a:r>
            <a:r>
              <a:rPr lang="en-GB"/>
              <a:t>Flow 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'Cash Flow Sheet'!$A$36</c:f>
              <c:strCache>
                <c:ptCount val="1"/>
                <c:pt idx="0">
                  <c:v>Net Cash Flow 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'Cash Flow Sheet'!$B$35:$M$35</c:f>
              <c:strCache>
                <c:ptCount val="12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'Cash Flow Sheet'!$B$36:$M$36</c:f>
              <c:numCache>
                <c:formatCode>[$EGP]\ #,##0.00</c:formatCode>
                <c:ptCount val="12"/>
                <c:pt idx="0">
                  <c:v>125761</c:v>
                </c:pt>
                <c:pt idx="1">
                  <c:v>282962.25</c:v>
                </c:pt>
                <c:pt idx="2">
                  <c:v>471603.75</c:v>
                </c:pt>
                <c:pt idx="3">
                  <c:v>691685.5</c:v>
                </c:pt>
                <c:pt idx="4">
                  <c:v>943207.5</c:v>
                </c:pt>
                <c:pt idx="5">
                  <c:v>1163289.25</c:v>
                </c:pt>
                <c:pt idx="6">
                  <c:v>1414811.25</c:v>
                </c:pt>
                <c:pt idx="7">
                  <c:v>1697773.5</c:v>
                </c:pt>
                <c:pt idx="8">
                  <c:v>2012176</c:v>
                </c:pt>
                <c:pt idx="9">
                  <c:v>2358018.75</c:v>
                </c:pt>
                <c:pt idx="10">
                  <c:v>2735301.75</c:v>
                </c:pt>
                <c:pt idx="11">
                  <c:v>3144025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E8-4D57-83F2-F4A65F0C9F75}"/>
            </c:ext>
          </c:extLst>
        </c:ser>
        <c:ser>
          <c:idx val="1"/>
          <c:order val="1"/>
          <c:tx>
            <c:strRef>
              <c:f>'Cash Flow Sheet'!$A$37</c:f>
              <c:strCache>
                <c:ptCount val="1"/>
                <c:pt idx="0">
                  <c:v>Cash Balance 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'Cash Flow Sheet'!$B$35:$M$35</c:f>
              <c:strCache>
                <c:ptCount val="12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'Cash Flow Sheet'!$B$37:$M$37</c:f>
              <c:numCache>
                <c:formatCode>[$EGP]\ #,##0.00</c:formatCode>
                <c:ptCount val="12"/>
                <c:pt idx="0">
                  <c:v>1132606</c:v>
                </c:pt>
                <c:pt idx="1">
                  <c:v>1289807.25</c:v>
                </c:pt>
                <c:pt idx="2">
                  <c:v>1478448.75</c:v>
                </c:pt>
                <c:pt idx="3">
                  <c:v>1698530.5</c:v>
                </c:pt>
                <c:pt idx="4">
                  <c:v>1950052.5</c:v>
                </c:pt>
                <c:pt idx="5">
                  <c:v>2170134.25</c:v>
                </c:pt>
                <c:pt idx="6">
                  <c:v>2421656.25</c:v>
                </c:pt>
                <c:pt idx="7">
                  <c:v>2704618.5</c:v>
                </c:pt>
                <c:pt idx="8">
                  <c:v>3019021</c:v>
                </c:pt>
                <c:pt idx="9">
                  <c:v>3364863.75</c:v>
                </c:pt>
                <c:pt idx="10">
                  <c:v>3742146.75</c:v>
                </c:pt>
                <c:pt idx="11">
                  <c:v>4150870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E8-4D57-83F2-F4A65F0C9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699156808"/>
        <c:axId val="699154840"/>
      </c:barChart>
      <c:catAx>
        <c:axId val="6991568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154840"/>
        <c:crosses val="autoZero"/>
        <c:auto val="1"/>
        <c:lblAlgn val="ctr"/>
        <c:lblOffset val="100"/>
        <c:noMultiLvlLbl val="0"/>
      </c:catAx>
      <c:valAx>
        <c:axId val="6991548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[$EGP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156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NZ"/>
              <a:t>Break-</a:t>
            </a:r>
            <a:r>
              <a:rPr lang="en-NZ" baseline="0"/>
              <a:t> </a:t>
            </a:r>
            <a:r>
              <a:rPr lang="en-NZ"/>
              <a:t>Even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11390785013135"/>
          <c:y val="0.18300925925925926"/>
          <c:w val="0.756978417571745"/>
          <c:h val="0.70959135316418775"/>
        </c:manualLayout>
      </c:layout>
      <c:lineChart>
        <c:grouping val="standard"/>
        <c:varyColors val="0"/>
        <c:ser>
          <c:idx val="0"/>
          <c:order val="0"/>
          <c:tx>
            <c:strRef>
              <c:f>Beakeven!$B$18</c:f>
              <c:strCache>
                <c:ptCount val="1"/>
                <c:pt idx="0">
                  <c:v>Production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Beakeven!$B$19:$B$24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63-4DBB-ACD3-6D3844545C24}"/>
            </c:ext>
          </c:extLst>
        </c:ser>
        <c:ser>
          <c:idx val="1"/>
          <c:order val="1"/>
          <c:tx>
            <c:strRef>
              <c:f>Beakeven!$C$18</c:f>
              <c:strCache>
                <c:ptCount val="1"/>
                <c:pt idx="0">
                  <c:v>Price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Beakeven!$C$19:$C$24</c:f>
              <c:numCache>
                <c:formatCode>[$EGP]\ #,##0.00</c:formatCode>
                <c:ptCount val="6"/>
                <c:pt idx="0">
                  <c:v>40000</c:v>
                </c:pt>
                <c:pt idx="1">
                  <c:v>200000</c:v>
                </c:pt>
                <c:pt idx="2">
                  <c:v>400000</c:v>
                </c:pt>
                <c:pt idx="3">
                  <c:v>600000</c:v>
                </c:pt>
                <c:pt idx="4">
                  <c:v>800000</c:v>
                </c:pt>
                <c:pt idx="5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63-4DBB-ACD3-6D3844545C24}"/>
            </c:ext>
          </c:extLst>
        </c:ser>
        <c:ser>
          <c:idx val="2"/>
          <c:order val="2"/>
          <c:tx>
            <c:strRef>
              <c:f>Beakeven!$D$18</c:f>
              <c:strCache>
                <c:ptCount val="1"/>
                <c:pt idx="0">
                  <c:v>Total cost 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Beakeven!$D$19:$D$24</c:f>
              <c:numCache>
                <c:formatCode>[$EGP]\ #,##0.00</c:formatCode>
                <c:ptCount val="6"/>
                <c:pt idx="0">
                  <c:v>145166.66666666669</c:v>
                </c:pt>
                <c:pt idx="1">
                  <c:v>229625.7575757576</c:v>
                </c:pt>
                <c:pt idx="2">
                  <c:v>348084.84848484851</c:v>
                </c:pt>
                <c:pt idx="3">
                  <c:v>466543.93939393945</c:v>
                </c:pt>
                <c:pt idx="4">
                  <c:v>585003.03030303039</c:v>
                </c:pt>
                <c:pt idx="5">
                  <c:v>703462.12121212122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63-4DBB-ACD3-6D3844545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068424"/>
        <c:axId val="573067112"/>
      </c:lineChart>
      <c:catAx>
        <c:axId val="573068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67112"/>
        <c:crosses val="autoZero"/>
        <c:auto val="1"/>
        <c:lblAlgn val="ctr"/>
        <c:lblOffset val="100"/>
        <c:noMultiLvlLbl val="0"/>
      </c:catAx>
      <c:valAx>
        <c:axId val="573067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68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577688317994846"/>
          <c:y val="2.5531131525226004E-2"/>
          <c:w val="0.27500553912890208"/>
          <c:h val="0.252317002041411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'balance Sheet '!$F$36</c:f>
              <c:strCache>
                <c:ptCount val="1"/>
                <c:pt idx="0">
                  <c:v>Paid-in Capital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'balance Sheet '!$G$36:$I$36</c:f>
              <c:numCache>
                <c:formatCode>General</c:formatCode>
                <c:ptCount val="3"/>
                <c:pt idx="0">
                  <c:v>1684800</c:v>
                </c:pt>
                <c:pt idx="1">
                  <c:v>1684800</c:v>
                </c:pt>
                <c:pt idx="2">
                  <c:v>1684800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C8-42AD-A6A0-E90A08AA585C}"/>
            </c:ext>
          </c:extLst>
        </c:ser>
        <c:ser>
          <c:idx val="1"/>
          <c:order val="1"/>
          <c:tx>
            <c:strRef>
              <c:f>'balance Sheet '!$F$37</c:f>
              <c:strCache>
                <c:ptCount val="1"/>
                <c:pt idx="0">
                  <c:v>Net Worth (Current Capital)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'balance Sheet '!$G$37:$I$37</c:f>
              <c:numCache>
                <c:formatCode>General</c:formatCode>
                <c:ptCount val="3"/>
                <c:pt idx="0">
                  <c:v>2978800</c:v>
                </c:pt>
                <c:pt idx="1">
                  <c:v>3126256</c:v>
                </c:pt>
                <c:pt idx="2">
                  <c:v>3280829.5199999996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C8-42AD-A6A0-E90A08AA58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66423712"/>
        <c:axId val="352704776"/>
        <c:axId val="0"/>
      </c:bar3DChart>
      <c:catAx>
        <c:axId val="466423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704776"/>
        <c:crosses val="autoZero"/>
        <c:auto val="1"/>
        <c:lblAlgn val="ctr"/>
        <c:lblOffset val="100"/>
        <c:noMultiLvlLbl val="0"/>
      </c:catAx>
      <c:valAx>
        <c:axId val="3527047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6642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Highlights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'Comparsion '!$A$3</c:f>
              <c:strCache>
                <c:ptCount val="1"/>
                <c:pt idx="0">
                  <c:v>Sales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'Comparsion '!$B$2:$D$2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'Comparsion '!$B$3:$D$3</c:f>
              <c:numCache>
                <c:formatCode>[$EGP]\ #,##0.00</c:formatCode>
                <c:ptCount val="3"/>
                <c:pt idx="0">
                  <c:v>8760000</c:v>
                </c:pt>
                <c:pt idx="1">
                  <c:v>9636000</c:v>
                </c:pt>
                <c:pt idx="2">
                  <c:v>10599600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9E-4AE5-ABD9-24B7069C0D3A}"/>
            </c:ext>
          </c:extLst>
        </c:ser>
        <c:ser>
          <c:idx val="1"/>
          <c:order val="1"/>
          <c:tx>
            <c:strRef>
              <c:f>'Comparsion '!$A$4</c:f>
              <c:strCache>
                <c:ptCount val="1"/>
                <c:pt idx="0">
                  <c:v>Gross Margin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'Comparsion '!$B$2:$D$2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'Comparsion '!$B$4:$D$4</c:f>
              <c:numCache>
                <c:formatCode>[$EGP]\ #,##0.00</c:formatCode>
                <c:ptCount val="3"/>
                <c:pt idx="0">
                  <c:v>5694000</c:v>
                </c:pt>
                <c:pt idx="1">
                  <c:v>6263400</c:v>
                </c:pt>
                <c:pt idx="2">
                  <c:v>6889740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9E-4AE5-ABD9-24B7069C0D3A}"/>
            </c:ext>
          </c:extLst>
        </c:ser>
        <c:ser>
          <c:idx val="2"/>
          <c:order val="2"/>
          <c:tx>
            <c:strRef>
              <c:f>'Comparsion '!$A$5</c:f>
              <c:strCache>
                <c:ptCount val="1"/>
                <c:pt idx="0">
                  <c:v>Net Profit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'Comparsion '!$B$2:$D$2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'Comparsion '!$B$5:$D$5</c:f>
              <c:numCache>
                <c:formatCode>General</c:formatCode>
                <c:ptCount val="3"/>
                <c:pt idx="0">
                  <c:v>1294000</c:v>
                </c:pt>
                <c:pt idx="1">
                  <c:v>1441456</c:v>
                </c:pt>
                <c:pt idx="2">
                  <c:v>1596029.5199999996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9E-4AE5-ABD9-24B7069C0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77195800"/>
        <c:axId val="477196128"/>
      </c:barChart>
      <c:catAx>
        <c:axId val="477195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196128"/>
        <c:crosses val="autoZero"/>
        <c:auto val="1"/>
        <c:lblAlgn val="ctr"/>
        <c:lblOffset val="100"/>
        <c:noMultiLvlLbl val="0"/>
      </c:catAx>
      <c:valAx>
        <c:axId val="47719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EGP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195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26193</xdr:colOff>
      <xdr:row>19</xdr:row>
      <xdr:rowOff>364330</xdr:rowOff>
    </xdr:from>
    <xdr:to>
      <xdr:col>16</xdr:col>
      <xdr:colOff>42863</xdr:colOff>
      <xdr:row>34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515222-C649-44C0-AA26-5A4A427AA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121443</xdr:colOff>
      <xdr:row>35</xdr:row>
      <xdr:rowOff>116681</xdr:rowOff>
    </xdr:from>
    <xdr:to>
      <xdr:col>12</xdr:col>
      <xdr:colOff>369093</xdr:colOff>
      <xdr:row>50</xdr:row>
      <xdr:rowOff>145256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83E805-1F40-4CFD-BEB5-CE3489513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645316</xdr:colOff>
      <xdr:row>41</xdr:row>
      <xdr:rowOff>7143</xdr:rowOff>
    </xdr:from>
    <xdr:to>
      <xdr:col>11</xdr:col>
      <xdr:colOff>609599</xdr:colOff>
      <xdr:row>56</xdr:row>
      <xdr:rowOff>35718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43A140-6D7B-440E-B332-BB87AEBD4C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1173955</xdr:colOff>
      <xdr:row>13</xdr:row>
      <xdr:rowOff>11906</xdr:rowOff>
    </xdr:from>
    <xdr:to>
      <xdr:col>0</xdr:col>
      <xdr:colOff>6824663</xdr:colOff>
      <xdr:row>28</xdr:row>
      <xdr:rowOff>40481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3D4461-0DEF-45CA-91BB-E0A7EF2DD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807243</xdr:colOff>
      <xdr:row>17</xdr:row>
      <xdr:rowOff>130968</xdr:rowOff>
    </xdr:from>
    <xdr:to>
      <xdr:col>10</xdr:col>
      <xdr:colOff>688181</xdr:colOff>
      <xdr:row>31</xdr:row>
      <xdr:rowOff>54768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637F84-206F-4446-95EA-510778787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812005</xdr:colOff>
      <xdr:row>5</xdr:row>
      <xdr:rowOff>21431</xdr:rowOff>
    </xdr:from>
    <xdr:to>
      <xdr:col>10</xdr:col>
      <xdr:colOff>369093</xdr:colOff>
      <xdr:row>20</xdr:row>
      <xdr:rowOff>50006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ED6DE4-53D0-4B7A-A276-B21A31F7AB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E3B4C-C992-4BAE-9F59-E5C4C40ECA24}">
  <dimension ref="A1:B52"/>
  <sheetViews>
    <sheetView topLeftCell="A27" workbookViewId="0">
      <selection activeCell="B16" sqref="B16"/>
    </sheetView>
  </sheetViews>
  <sheetFormatPr defaultColWidth="8.796875" defaultRowHeight="14.25" x14ac:dyDescent="0.45"/>
  <cols>
    <col min="1" max="1" width="39.33203125" customWidth="1"/>
    <col min="2" max="2" width="34.6640625" customWidth="1"/>
  </cols>
  <sheetData>
    <row r="1" spans="1:2" ht="15" x14ac:dyDescent="0.45">
      <c r="A1" s="60" t="s">
        <v>1</v>
      </c>
      <c r="B1" s="60"/>
    </row>
    <row r="2" spans="1:2" ht="15.4" x14ac:dyDescent="0.45">
      <c r="A2" s="2" t="s">
        <v>2</v>
      </c>
    </row>
    <row r="3" spans="1:2" ht="15.4" x14ac:dyDescent="0.45">
      <c r="A3" s="2" t="s">
        <v>3</v>
      </c>
      <c r="B3" s="1">
        <v>19500</v>
      </c>
    </row>
    <row r="4" spans="1:2" ht="15.4" x14ac:dyDescent="0.45">
      <c r="A4" s="2" t="s">
        <v>4</v>
      </c>
      <c r="B4" s="1">
        <v>7500</v>
      </c>
    </row>
    <row r="5" spans="1:2" ht="15.4" x14ac:dyDescent="0.45">
      <c r="A5" s="2" t="s">
        <v>5</v>
      </c>
      <c r="B5" s="1">
        <v>53700</v>
      </c>
    </row>
    <row r="6" spans="1:2" ht="15.4" x14ac:dyDescent="0.45">
      <c r="A6" s="2" t="s">
        <v>6</v>
      </c>
      <c r="B6" s="1">
        <v>45000</v>
      </c>
    </row>
    <row r="7" spans="1:2" ht="15.4" x14ac:dyDescent="0.45">
      <c r="A7" s="2" t="s">
        <v>7</v>
      </c>
      <c r="B7" s="1">
        <v>36000</v>
      </c>
    </row>
    <row r="8" spans="1:2" ht="15.4" x14ac:dyDescent="0.45">
      <c r="A8" s="2" t="s">
        <v>8</v>
      </c>
      <c r="B8" s="1">
        <v>66000</v>
      </c>
    </row>
    <row r="9" spans="1:2" ht="15.4" x14ac:dyDescent="0.45">
      <c r="A9" s="2" t="s">
        <v>9</v>
      </c>
      <c r="B9" s="1">
        <v>150000</v>
      </c>
    </row>
    <row r="10" spans="1:2" ht="15.4" x14ac:dyDescent="0.45">
      <c r="A10" s="2" t="s">
        <v>10</v>
      </c>
      <c r="B10" s="1">
        <v>37500</v>
      </c>
    </row>
    <row r="11" spans="1:2" ht="15.4" x14ac:dyDescent="0.45">
      <c r="A11" s="3" t="s">
        <v>11</v>
      </c>
      <c r="B11" s="4">
        <v>415200</v>
      </c>
    </row>
    <row r="12" spans="1:2" ht="15.4" x14ac:dyDescent="0.45">
      <c r="A12" s="2" t="s">
        <v>12</v>
      </c>
      <c r="B12" s="1"/>
    </row>
    <row r="13" spans="1:2" ht="15.4" x14ac:dyDescent="0.45">
      <c r="A13" s="2" t="s">
        <v>13</v>
      </c>
      <c r="B13" s="1">
        <v>1006845</v>
      </c>
    </row>
    <row r="14" spans="1:2" ht="15.4" x14ac:dyDescent="0.45">
      <c r="A14" s="2" t="s">
        <v>14</v>
      </c>
      <c r="B14" s="1">
        <v>240405</v>
      </c>
    </row>
    <row r="15" spans="1:2" ht="15.4" x14ac:dyDescent="0.45">
      <c r="A15" s="2" t="s">
        <v>15</v>
      </c>
      <c r="B15" s="1">
        <v>0</v>
      </c>
    </row>
    <row r="16" spans="1:2" ht="15.4" x14ac:dyDescent="0.45">
      <c r="A16" s="2" t="s">
        <v>16</v>
      </c>
      <c r="B16" s="1">
        <v>887550</v>
      </c>
    </row>
    <row r="17" spans="1:2" ht="15.4" x14ac:dyDescent="0.45">
      <c r="A17" s="26" t="s">
        <v>17</v>
      </c>
      <c r="B17" s="4">
        <f>B13+B14+B16</f>
        <v>2134800</v>
      </c>
    </row>
    <row r="18" spans="1:2" ht="15.4" x14ac:dyDescent="0.45">
      <c r="A18" s="2" t="s">
        <v>18</v>
      </c>
      <c r="B18" s="1">
        <v>2550000</v>
      </c>
    </row>
    <row r="19" spans="1:2" ht="15" x14ac:dyDescent="0.45">
      <c r="A19" s="60" t="s">
        <v>19</v>
      </c>
      <c r="B19" s="60"/>
    </row>
    <row r="20" spans="1:2" ht="15.4" x14ac:dyDescent="0.45">
      <c r="A20" s="2" t="s">
        <v>20</v>
      </c>
      <c r="B20" s="1">
        <v>415200</v>
      </c>
    </row>
    <row r="21" spans="1:2" ht="15.4" x14ac:dyDescent="0.45">
      <c r="A21" s="2" t="s">
        <v>21</v>
      </c>
      <c r="B21" s="1">
        <v>2134800</v>
      </c>
    </row>
    <row r="22" spans="1:2" x14ac:dyDescent="0.45">
      <c r="B22" s="1"/>
    </row>
    <row r="23" spans="1:2" ht="15.4" x14ac:dyDescent="0.45">
      <c r="A23" s="26" t="s">
        <v>22</v>
      </c>
      <c r="B23" s="4">
        <f>B21+B20</f>
        <v>2550000</v>
      </c>
    </row>
    <row r="24" spans="1:2" ht="15.4" x14ac:dyDescent="0.45">
      <c r="A24" s="2" t="s">
        <v>0</v>
      </c>
      <c r="B24" s="1"/>
    </row>
    <row r="25" spans="1:2" ht="15.4" x14ac:dyDescent="0.45">
      <c r="A25" s="2" t="s">
        <v>23</v>
      </c>
      <c r="B25" s="1">
        <v>1127955</v>
      </c>
    </row>
    <row r="26" spans="1:2" ht="15.4" x14ac:dyDescent="0.45">
      <c r="A26" s="2" t="s">
        <v>24</v>
      </c>
      <c r="B26" s="1">
        <v>1006845</v>
      </c>
    </row>
    <row r="27" spans="1:2" ht="15.4" x14ac:dyDescent="0.45">
      <c r="A27" s="2" t="s">
        <v>25</v>
      </c>
      <c r="B27" s="1"/>
    </row>
    <row r="28" spans="1:2" ht="15.4" x14ac:dyDescent="0.45">
      <c r="A28" s="2" t="s">
        <v>26</v>
      </c>
      <c r="B28" s="1">
        <v>1006845</v>
      </c>
    </row>
    <row r="29" spans="1:2" x14ac:dyDescent="0.45">
      <c r="B29" s="1"/>
    </row>
    <row r="30" spans="1:2" ht="15.4" x14ac:dyDescent="0.45">
      <c r="A30" s="26" t="s">
        <v>27</v>
      </c>
      <c r="B30" s="4">
        <f>B26+B25</f>
        <v>2134800</v>
      </c>
    </row>
    <row r="31" spans="1:2" x14ac:dyDescent="0.45">
      <c r="B31" s="1"/>
    </row>
    <row r="32" spans="1:2" ht="15.4" x14ac:dyDescent="0.45">
      <c r="A32" s="2" t="s">
        <v>28</v>
      </c>
      <c r="B32" s="1"/>
    </row>
    <row r="33" spans="1:2" ht="15.4" x14ac:dyDescent="0.45">
      <c r="A33" s="2" t="s">
        <v>29</v>
      </c>
      <c r="B33" s="1"/>
    </row>
    <row r="34" spans="1:2" ht="15.4" x14ac:dyDescent="0.45">
      <c r="A34" s="2" t="s">
        <v>30</v>
      </c>
      <c r="B34" s="1">
        <v>150000</v>
      </c>
    </row>
    <row r="35" spans="1:2" ht="15.4" x14ac:dyDescent="0.45">
      <c r="A35" s="2" t="s">
        <v>31</v>
      </c>
      <c r="B35" s="1">
        <v>300000</v>
      </c>
    </row>
    <row r="36" spans="1:2" ht="15.4" x14ac:dyDescent="0.45">
      <c r="A36" s="2" t="s">
        <v>32</v>
      </c>
      <c r="B36" s="1"/>
    </row>
    <row r="37" spans="1:2" ht="15.4" x14ac:dyDescent="0.45">
      <c r="A37" s="2" t="s">
        <v>33</v>
      </c>
      <c r="B37" s="1"/>
    </row>
    <row r="38" spans="1:2" ht="15.4" x14ac:dyDescent="0.45">
      <c r="A38" s="26" t="s">
        <v>34</v>
      </c>
      <c r="B38" s="4">
        <f>B35+B34</f>
        <v>450000</v>
      </c>
    </row>
    <row r="39" spans="1:2" ht="15.4" x14ac:dyDescent="0.45">
      <c r="A39" s="2" t="s">
        <v>35</v>
      </c>
      <c r="B39" s="1"/>
    </row>
    <row r="40" spans="1:2" ht="15.4" x14ac:dyDescent="0.45">
      <c r="A40" s="2" t="s">
        <v>36</v>
      </c>
      <c r="B40" s="1"/>
    </row>
    <row r="41" spans="1:2" ht="15.4" x14ac:dyDescent="0.45">
      <c r="A41" s="2" t="s">
        <v>44</v>
      </c>
      <c r="B41" s="1">
        <v>1050000</v>
      </c>
    </row>
    <row r="42" spans="1:2" ht="15.4" x14ac:dyDescent="0.45">
      <c r="A42" s="2" t="s">
        <v>45</v>
      </c>
      <c r="B42" s="1">
        <v>450000</v>
      </c>
    </row>
    <row r="43" spans="1:2" ht="15.4" x14ac:dyDescent="0.45">
      <c r="A43" s="2" t="s">
        <v>37</v>
      </c>
      <c r="B43" s="1">
        <v>600000</v>
      </c>
    </row>
    <row r="44" spans="1:2" ht="15.4" x14ac:dyDescent="0.45">
      <c r="A44" s="2" t="s">
        <v>38</v>
      </c>
      <c r="B44" s="1">
        <v>0</v>
      </c>
    </row>
    <row r="45" spans="1:2" ht="15.4" x14ac:dyDescent="0.45">
      <c r="A45" s="2" t="s">
        <v>39</v>
      </c>
      <c r="B45" s="1">
        <f>B43+B42+B41</f>
        <v>2100000</v>
      </c>
    </row>
    <row r="46" spans="1:2" ht="15.4" x14ac:dyDescent="0.45">
      <c r="A46" s="2" t="s">
        <v>40</v>
      </c>
      <c r="B46" s="1">
        <f>B11</f>
        <v>415200</v>
      </c>
    </row>
    <row r="47" spans="1:2" ht="15.4" x14ac:dyDescent="0.45">
      <c r="A47" s="26" t="s">
        <v>41</v>
      </c>
      <c r="B47" s="4">
        <f>B45-B46</f>
        <v>1684800</v>
      </c>
    </row>
    <row r="48" spans="1:2" ht="15.4" x14ac:dyDescent="0.45">
      <c r="A48" s="2"/>
      <c r="B48" s="1"/>
    </row>
    <row r="49" spans="1:2" ht="15.4" x14ac:dyDescent="0.45">
      <c r="A49" s="2" t="s">
        <v>42</v>
      </c>
      <c r="B49" s="1">
        <f>B47+B38</f>
        <v>2134800</v>
      </c>
    </row>
    <row r="50" spans="1:2" ht="15.4" x14ac:dyDescent="0.45">
      <c r="A50" s="2" t="s">
        <v>43</v>
      </c>
      <c r="B50" s="1">
        <f>B23</f>
        <v>2550000</v>
      </c>
    </row>
    <row r="51" spans="1:2" ht="15.4" x14ac:dyDescent="0.45">
      <c r="A51" s="2"/>
      <c r="B51" s="1"/>
    </row>
    <row r="52" spans="1:2" ht="15.4" x14ac:dyDescent="0.45">
      <c r="A52" s="26"/>
      <c r="B52" s="4"/>
    </row>
  </sheetData>
  <mergeCells count="2">
    <mergeCell ref="A1:B1"/>
    <mergeCell ref="A19:B19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EDDE9-205F-447D-8E3E-E7FE7CC6231E}">
  <dimension ref="B1:AO61"/>
  <sheetViews>
    <sheetView topLeftCell="A34" workbookViewId="0">
      <selection activeCell="D37" sqref="D37"/>
    </sheetView>
  </sheetViews>
  <sheetFormatPr defaultColWidth="8.796875" defaultRowHeight="14.25" x14ac:dyDescent="0.45"/>
  <cols>
    <col min="2" max="2" width="30" bestFit="1" customWidth="1"/>
    <col min="3" max="4" width="14.796875" bestFit="1" customWidth="1"/>
    <col min="5" max="5" width="15.796875" bestFit="1" customWidth="1"/>
    <col min="6" max="6" width="19.6640625" customWidth="1"/>
    <col min="7" max="7" width="14.796875" bestFit="1" customWidth="1"/>
    <col min="8" max="9" width="13.33203125" bestFit="1" customWidth="1"/>
    <col min="10" max="10" width="30" bestFit="1" customWidth="1"/>
    <col min="11" max="11" width="14.796875" bestFit="1" customWidth="1"/>
    <col min="12" max="12" width="15" bestFit="1" customWidth="1"/>
    <col min="13" max="13" width="26.46484375" bestFit="1" customWidth="1"/>
    <col min="14" max="14" width="13.33203125" bestFit="1" customWidth="1"/>
    <col min="15" max="15" width="14.796875" bestFit="1" customWidth="1"/>
    <col min="16" max="19" width="13.33203125" bestFit="1" customWidth="1"/>
    <col min="27" max="27" width="14.796875" bestFit="1" customWidth="1"/>
    <col min="28" max="28" width="11.46484375" bestFit="1" customWidth="1"/>
    <col min="29" max="29" width="10.6640625" bestFit="1" customWidth="1"/>
    <col min="30" max="30" width="14.796875" bestFit="1" customWidth="1"/>
    <col min="31" max="31" width="11.46484375" bestFit="1" customWidth="1"/>
    <col min="32" max="32" width="10.6640625" bestFit="1" customWidth="1"/>
    <col min="33" max="33" width="14.796875" bestFit="1" customWidth="1"/>
    <col min="34" max="34" width="11.46484375" bestFit="1" customWidth="1"/>
    <col min="35" max="35" width="10.6640625" bestFit="1" customWidth="1"/>
    <col min="36" max="36" width="14.796875" bestFit="1" customWidth="1"/>
    <col min="37" max="37" width="11.46484375" bestFit="1" customWidth="1"/>
    <col min="38" max="38" width="10.6640625" bestFit="1" customWidth="1"/>
    <col min="39" max="39" width="14.796875" bestFit="1" customWidth="1"/>
    <col min="40" max="40" width="11.46484375" bestFit="1" customWidth="1"/>
    <col min="41" max="41" width="10.6640625" bestFit="1" customWidth="1"/>
  </cols>
  <sheetData>
    <row r="1" spans="6:41" ht="31.5" customHeight="1" x14ac:dyDescent="0.45"/>
    <row r="2" spans="6:41" x14ac:dyDescent="0.45">
      <c r="F2" s="7"/>
      <c r="G2" s="8"/>
      <c r="H2" s="9"/>
      <c r="I2" s="6"/>
      <c r="J2" s="9"/>
      <c r="K2" s="9"/>
      <c r="L2" s="9"/>
      <c r="M2" s="12"/>
    </row>
    <row r="3" spans="6:41" x14ac:dyDescent="0.45">
      <c r="F3" s="7"/>
      <c r="G3" s="8"/>
      <c r="H3" s="9"/>
      <c r="I3" s="6"/>
      <c r="J3" s="9"/>
      <c r="K3" s="9"/>
      <c r="L3" s="9"/>
      <c r="M3" s="12"/>
    </row>
    <row r="4" spans="6:41" x14ac:dyDescent="0.45">
      <c r="F4" s="7"/>
      <c r="G4" s="8"/>
      <c r="H4" s="9"/>
      <c r="I4" s="6"/>
      <c r="J4" s="9"/>
      <c r="K4" s="9"/>
      <c r="L4" s="9"/>
      <c r="M4" s="12"/>
    </row>
    <row r="5" spans="6:41" x14ac:dyDescent="0.45">
      <c r="F5" s="7"/>
      <c r="G5" s="8"/>
      <c r="H5" s="9"/>
      <c r="I5" s="6"/>
      <c r="J5" s="9"/>
      <c r="K5" s="9"/>
      <c r="L5" s="9"/>
      <c r="M5" s="12"/>
    </row>
    <row r="6" spans="6:41" x14ac:dyDescent="0.45">
      <c r="F6" s="7"/>
      <c r="G6" s="8"/>
      <c r="H6" s="6"/>
      <c r="I6" s="6"/>
      <c r="J6" s="6"/>
      <c r="K6" s="6"/>
      <c r="L6" s="6"/>
      <c r="M6" s="12"/>
    </row>
    <row r="7" spans="6:41" x14ac:dyDescent="0.45">
      <c r="F7" s="7"/>
      <c r="G7" s="10"/>
      <c r="H7" s="9"/>
      <c r="I7" s="9"/>
      <c r="J7" s="9"/>
      <c r="K7" s="9"/>
      <c r="L7" s="9"/>
      <c r="M7" s="12"/>
    </row>
    <row r="8" spans="6:41" ht="31.5" customHeight="1" x14ac:dyDescent="0.45"/>
    <row r="11" spans="6:41" x14ac:dyDescent="0.45"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</row>
    <row r="14" spans="6:41" ht="31.5" customHeight="1" x14ac:dyDescent="0.45"/>
    <row r="16" spans="6:41" ht="31.5" customHeight="1" x14ac:dyDescent="0.45">
      <c r="H16" t="s">
        <v>60</v>
      </c>
      <c r="I16" t="s">
        <v>61</v>
      </c>
      <c r="J16" t="s">
        <v>62</v>
      </c>
      <c r="K16" t="s">
        <v>63</v>
      </c>
      <c r="L16" t="s">
        <v>64</v>
      </c>
      <c r="M16" t="s">
        <v>65</v>
      </c>
      <c r="N16" t="s">
        <v>66</v>
      </c>
      <c r="O16" t="s">
        <v>67</v>
      </c>
      <c r="P16" t="s">
        <v>68</v>
      </c>
      <c r="Q16" t="s">
        <v>69</v>
      </c>
      <c r="R16" t="s">
        <v>70</v>
      </c>
      <c r="S16" t="s">
        <v>71</v>
      </c>
    </row>
    <row r="17" spans="2:19" x14ac:dyDescent="0.45">
      <c r="G17" t="s">
        <v>57</v>
      </c>
      <c r="H17" s="14">
        <v>375000</v>
      </c>
      <c r="I17" s="14">
        <v>378000</v>
      </c>
      <c r="J17" s="14">
        <v>381000</v>
      </c>
      <c r="K17" s="14">
        <v>384450</v>
      </c>
      <c r="L17" s="14">
        <v>390000</v>
      </c>
      <c r="M17" s="14">
        <v>393000</v>
      </c>
      <c r="N17" s="14">
        <f t="shared" ref="N17:S17" si="0">(M17*0.83)/100+M17</f>
        <v>396261.9</v>
      </c>
      <c r="O17" s="14">
        <f t="shared" si="0"/>
        <v>399550.87377000001</v>
      </c>
      <c r="P17" s="14">
        <f t="shared" si="0"/>
        <v>402867.14602229098</v>
      </c>
      <c r="Q17" s="14">
        <f t="shared" si="0"/>
        <v>406210.94333427597</v>
      </c>
      <c r="R17" s="14">
        <f t="shared" si="0"/>
        <v>409582.49416395044</v>
      </c>
      <c r="S17" s="14">
        <f t="shared" si="0"/>
        <v>412982.02886551124</v>
      </c>
    </row>
    <row r="18" spans="2:19" x14ac:dyDescent="0.45">
      <c r="G18" t="s">
        <v>59</v>
      </c>
      <c r="H18" s="14">
        <v>450000</v>
      </c>
      <c r="I18" s="14">
        <f>H18*0.83/100+H18</f>
        <v>453735</v>
      </c>
      <c r="J18" s="14">
        <f t="shared" ref="J18:S18" si="1">I18*0.83/100+I18</f>
        <v>457501.00050000002</v>
      </c>
      <c r="K18" s="14">
        <f t="shared" si="1"/>
        <v>461298.25880415004</v>
      </c>
      <c r="L18" s="14">
        <f t="shared" si="1"/>
        <v>465127.03435222449</v>
      </c>
      <c r="M18" s="14">
        <f t="shared" si="1"/>
        <v>468987.58873734798</v>
      </c>
      <c r="N18" s="14">
        <f t="shared" si="1"/>
        <v>472880.18572386797</v>
      </c>
      <c r="O18" s="14">
        <f t="shared" si="1"/>
        <v>476805.09126537608</v>
      </c>
      <c r="P18" s="14">
        <f t="shared" si="1"/>
        <v>480762.57352287869</v>
      </c>
      <c r="Q18" s="14">
        <f t="shared" si="1"/>
        <v>484752.9028831186</v>
      </c>
      <c r="R18" s="14">
        <f t="shared" si="1"/>
        <v>488776.3519770485</v>
      </c>
      <c r="S18" s="14">
        <f t="shared" si="1"/>
        <v>492833.195698458</v>
      </c>
    </row>
    <row r="19" spans="2:19" x14ac:dyDescent="0.45">
      <c r="G19" t="s">
        <v>58</v>
      </c>
      <c r="H19" s="14">
        <v>600000</v>
      </c>
      <c r="I19" s="14">
        <f>H19*0.83/100+H19</f>
        <v>604980</v>
      </c>
      <c r="J19" s="14">
        <f t="shared" ref="J19:S19" si="2">I19*0.83/100+I19</f>
        <v>610001.33400000003</v>
      </c>
      <c r="K19" s="14">
        <f t="shared" si="2"/>
        <v>615064.34507220006</v>
      </c>
      <c r="L19" s="14">
        <f t="shared" si="2"/>
        <v>620169.37913629937</v>
      </c>
      <c r="M19" s="14">
        <f t="shared" si="2"/>
        <v>625316.78498313064</v>
      </c>
      <c r="N19" s="14">
        <f t="shared" si="2"/>
        <v>630506.91429849062</v>
      </c>
      <c r="O19" s="14">
        <f t="shared" si="2"/>
        <v>635740.12168716814</v>
      </c>
      <c r="P19" s="14">
        <f t="shared" si="2"/>
        <v>641016.76469717163</v>
      </c>
      <c r="Q19" s="14">
        <f t="shared" si="2"/>
        <v>646337.20384415821</v>
      </c>
      <c r="R19" s="14">
        <f t="shared" si="2"/>
        <v>651701.80263606471</v>
      </c>
      <c r="S19" s="14">
        <f t="shared" si="2"/>
        <v>657110.92759794404</v>
      </c>
    </row>
    <row r="20" spans="2:19" ht="31.5" customHeight="1" x14ac:dyDescent="0.45"/>
    <row r="27" spans="2:19" ht="31.5" customHeight="1" x14ac:dyDescent="0.45"/>
    <row r="30" spans="2:19" ht="18" x14ac:dyDescent="0.45">
      <c r="B30" s="62" t="s">
        <v>72</v>
      </c>
      <c r="C30" s="62"/>
      <c r="D30" s="62"/>
      <c r="E30" s="62"/>
    </row>
    <row r="31" spans="2:19" ht="18" x14ac:dyDescent="0.55000000000000004">
      <c r="B31" s="15" t="s">
        <v>73</v>
      </c>
      <c r="C31" s="16" t="s">
        <v>130</v>
      </c>
      <c r="D31" s="16" t="s">
        <v>128</v>
      </c>
      <c r="E31" s="16" t="s">
        <v>129</v>
      </c>
    </row>
    <row r="32" spans="2:19" x14ac:dyDescent="0.45">
      <c r="B32" t="s">
        <v>74</v>
      </c>
      <c r="C32" s="13">
        <v>5256000</v>
      </c>
      <c r="D32" s="13">
        <f t="shared" ref="D32:E34" si="3">C32*10/100+C32</f>
        <v>5781600</v>
      </c>
      <c r="E32" s="13">
        <f t="shared" si="3"/>
        <v>6359760</v>
      </c>
    </row>
    <row r="33" spans="2:6" x14ac:dyDescent="0.45">
      <c r="B33" t="s">
        <v>75</v>
      </c>
      <c r="C33" s="13">
        <v>1314000</v>
      </c>
      <c r="D33" s="13">
        <f t="shared" si="3"/>
        <v>1445400</v>
      </c>
      <c r="E33" s="13">
        <f t="shared" si="3"/>
        <v>1589940</v>
      </c>
    </row>
    <row r="34" spans="2:6" x14ac:dyDescent="0.45">
      <c r="B34" t="s">
        <v>58</v>
      </c>
      <c r="C34" s="13">
        <v>2190000</v>
      </c>
      <c r="D34" s="13">
        <f t="shared" si="3"/>
        <v>2409000</v>
      </c>
      <c r="E34" s="13">
        <f t="shared" si="3"/>
        <v>2649900</v>
      </c>
    </row>
    <row r="35" spans="2:6" ht="31.5" customHeight="1" x14ac:dyDescent="0.45">
      <c r="B35" s="17" t="s">
        <v>76</v>
      </c>
      <c r="C35" s="18">
        <f>SUM(C32:C34)</f>
        <v>8760000</v>
      </c>
      <c r="D35" s="18">
        <f>SUM(D32:D34)</f>
        <v>9636000</v>
      </c>
      <c r="E35" s="18">
        <f>SUM(E32:E34)</f>
        <v>10599600</v>
      </c>
      <c r="F35">
        <f>E35/C35%</f>
        <v>121</v>
      </c>
    </row>
    <row r="36" spans="2:6" ht="18" x14ac:dyDescent="0.55000000000000004">
      <c r="B36" s="15" t="s">
        <v>77</v>
      </c>
      <c r="C36" s="16" t="s">
        <v>130</v>
      </c>
      <c r="D36" s="16" t="s">
        <v>128</v>
      </c>
      <c r="E36" s="16" t="s">
        <v>129</v>
      </c>
    </row>
    <row r="37" spans="2:6" x14ac:dyDescent="0.45">
      <c r="B37" t="s">
        <v>74</v>
      </c>
      <c r="C37" s="13">
        <v>1314000</v>
      </c>
      <c r="D37" s="13">
        <f t="shared" ref="D37:E39" si="4">C37*10/100+C37</f>
        <v>1445400</v>
      </c>
      <c r="E37" s="13">
        <f t="shared" si="4"/>
        <v>1589940</v>
      </c>
    </row>
    <row r="38" spans="2:6" x14ac:dyDescent="0.45">
      <c r="B38" t="s">
        <v>75</v>
      </c>
      <c r="C38" s="13">
        <v>657000</v>
      </c>
      <c r="D38" s="13">
        <f t="shared" si="4"/>
        <v>722700</v>
      </c>
      <c r="E38" s="13">
        <f t="shared" si="4"/>
        <v>794970</v>
      </c>
    </row>
    <row r="39" spans="2:6" ht="29.75" customHeight="1" x14ac:dyDescent="0.45">
      <c r="B39" t="s">
        <v>58</v>
      </c>
      <c r="C39" s="13">
        <v>1095000</v>
      </c>
      <c r="D39" s="13">
        <f t="shared" si="4"/>
        <v>1204500</v>
      </c>
      <c r="E39" s="13">
        <f t="shared" si="4"/>
        <v>1324950</v>
      </c>
    </row>
    <row r="40" spans="2:6" ht="18" x14ac:dyDescent="0.45">
      <c r="B40" s="17" t="s">
        <v>78</v>
      </c>
      <c r="C40" s="18">
        <f>SUM(C37:C39)</f>
        <v>3066000</v>
      </c>
      <c r="D40" s="18">
        <f>SUM(D37:D39)</f>
        <v>3372600</v>
      </c>
      <c r="E40" s="18">
        <f>SUM(E37:E39)</f>
        <v>3709860</v>
      </c>
    </row>
    <row r="44" spans="2:6" ht="31.5" customHeight="1" x14ac:dyDescent="0.45">
      <c r="B44" s="23" t="s">
        <v>79</v>
      </c>
      <c r="C44" s="24"/>
      <c r="D44" s="24"/>
      <c r="E44" s="24"/>
    </row>
    <row r="45" spans="2:6" ht="18" x14ac:dyDescent="0.45">
      <c r="B45" s="25"/>
      <c r="C45" s="20" t="s">
        <v>127</v>
      </c>
      <c r="D45" s="20" t="s">
        <v>128</v>
      </c>
      <c r="E45" s="20" t="s">
        <v>129</v>
      </c>
    </row>
    <row r="46" spans="2:6" x14ac:dyDescent="0.45">
      <c r="B46" s="25" t="s">
        <v>84</v>
      </c>
      <c r="C46" s="19">
        <v>240000</v>
      </c>
      <c r="D46" s="19">
        <f>C46*10/100+C46</f>
        <v>264000</v>
      </c>
      <c r="E46" s="19">
        <f>D46*10/100+D46</f>
        <v>290400</v>
      </c>
    </row>
    <row r="47" spans="2:6" x14ac:dyDescent="0.45">
      <c r="B47" s="25" t="s">
        <v>85</v>
      </c>
      <c r="C47" s="19">
        <v>96000</v>
      </c>
      <c r="D47" s="19">
        <f t="shared" ref="D47:E50" si="5">C47*10/100+C47</f>
        <v>105600</v>
      </c>
      <c r="E47" s="19">
        <f t="shared" si="5"/>
        <v>116160</v>
      </c>
    </row>
    <row r="48" spans="2:6" x14ac:dyDescent="0.45">
      <c r="B48" s="25" t="s">
        <v>86</v>
      </c>
      <c r="C48" s="19">
        <v>108000</v>
      </c>
      <c r="D48" s="19">
        <f t="shared" si="5"/>
        <v>118800</v>
      </c>
      <c r="E48" s="19">
        <f t="shared" si="5"/>
        <v>130680</v>
      </c>
    </row>
    <row r="49" spans="2:5" ht="31.5" customHeight="1" x14ac:dyDescent="0.45">
      <c r="B49" s="25" t="s">
        <v>80</v>
      </c>
      <c r="C49" s="19">
        <v>144000</v>
      </c>
      <c r="D49" s="19">
        <f t="shared" si="5"/>
        <v>158400</v>
      </c>
      <c r="E49" s="19">
        <f t="shared" si="5"/>
        <v>174240</v>
      </c>
    </row>
    <row r="50" spans="2:5" x14ac:dyDescent="0.45">
      <c r="B50" s="25" t="s">
        <v>81</v>
      </c>
      <c r="C50" s="19">
        <v>60000</v>
      </c>
      <c r="D50" s="19">
        <f t="shared" si="5"/>
        <v>66000</v>
      </c>
      <c r="E50" s="19">
        <f t="shared" si="5"/>
        <v>72600</v>
      </c>
    </row>
    <row r="51" spans="2:5" x14ac:dyDescent="0.45">
      <c r="B51" s="25" t="s">
        <v>82</v>
      </c>
      <c r="C51" s="9">
        <v>9</v>
      </c>
      <c r="D51" s="6">
        <v>9</v>
      </c>
      <c r="E51" s="6">
        <v>10</v>
      </c>
    </row>
    <row r="52" spans="2:5" ht="18" x14ac:dyDescent="0.45">
      <c r="B52" s="21" t="s">
        <v>83</v>
      </c>
      <c r="C52" s="22">
        <f>C50+C49+C48+C47+C46</f>
        <v>648000</v>
      </c>
      <c r="D52" s="22">
        <f>D50+D49+D48+D47+D46</f>
        <v>712800</v>
      </c>
      <c r="E52" s="22">
        <f>E50+E49+E48+E47+E46</f>
        <v>784080</v>
      </c>
    </row>
    <row r="53" spans="2:5" ht="34.25" customHeight="1" x14ac:dyDescent="0.45"/>
    <row r="61" spans="2:5" ht="34.25" customHeight="1" x14ac:dyDescent="0.45"/>
  </sheetData>
  <mergeCells count="13">
    <mergeCell ref="AJ11:AL11"/>
    <mergeCell ref="AM11:AO11"/>
    <mergeCell ref="B30:E30"/>
    <mergeCell ref="O11:Q11"/>
    <mergeCell ref="R11:T11"/>
    <mergeCell ref="U11:W11"/>
    <mergeCell ref="X11:Z11"/>
    <mergeCell ref="AA11:AC11"/>
    <mergeCell ref="F11:H11"/>
    <mergeCell ref="I11:K11"/>
    <mergeCell ref="L11:N11"/>
    <mergeCell ref="AD11:AF11"/>
    <mergeCell ref="AG11:AI11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380C1-6406-4F91-934C-926FF0A8F427}">
  <dimension ref="A1:O40"/>
  <sheetViews>
    <sheetView workbookViewId="0">
      <selection activeCell="C4" sqref="C4:C7"/>
    </sheetView>
  </sheetViews>
  <sheetFormatPr defaultColWidth="8.796875" defaultRowHeight="14.25" x14ac:dyDescent="0.45"/>
  <cols>
    <col min="1" max="1" width="17.1328125" bestFit="1" customWidth="1"/>
    <col min="8" max="8" width="15.1328125" customWidth="1"/>
    <col min="14" max="14" width="14.796875" bestFit="1" customWidth="1"/>
    <col min="15" max="15" width="4.1328125" bestFit="1" customWidth="1"/>
  </cols>
  <sheetData>
    <row r="1" spans="1:8" x14ac:dyDescent="0.45">
      <c r="A1" s="63" t="s">
        <v>50</v>
      </c>
      <c r="B1" s="63"/>
      <c r="C1" s="63"/>
      <c r="D1" s="63"/>
      <c r="E1" s="63"/>
      <c r="F1" s="63"/>
      <c r="G1" s="63"/>
      <c r="H1" s="64" t="s">
        <v>56</v>
      </c>
    </row>
    <row r="2" spans="1:8" x14ac:dyDescent="0.45">
      <c r="A2" s="65"/>
      <c r="B2" s="65"/>
      <c r="C2" s="27">
        <v>2021</v>
      </c>
      <c r="D2" s="27">
        <v>2022</v>
      </c>
      <c r="E2" s="27">
        <v>2023</v>
      </c>
      <c r="F2" s="27">
        <v>2024</v>
      </c>
      <c r="G2" s="27">
        <v>2025</v>
      </c>
      <c r="H2" s="64"/>
    </row>
    <row r="3" spans="1:8" x14ac:dyDescent="0.45">
      <c r="A3" s="11" t="s">
        <v>52</v>
      </c>
      <c r="B3" s="11" t="s">
        <v>51</v>
      </c>
      <c r="C3" s="7"/>
      <c r="D3" s="7"/>
      <c r="E3" s="7"/>
      <c r="F3" s="7"/>
      <c r="G3" s="7"/>
    </row>
    <row r="4" spans="1:8" x14ac:dyDescent="0.45">
      <c r="A4" s="7" t="s">
        <v>53</v>
      </c>
      <c r="B4" s="8">
        <v>0.03</v>
      </c>
      <c r="C4" s="9">
        <v>12000</v>
      </c>
      <c r="D4" s="6">
        <f>C4*B4+C4</f>
        <v>12360</v>
      </c>
      <c r="E4" s="9">
        <f>D4*B4+D4</f>
        <v>12730.8</v>
      </c>
      <c r="F4" s="9">
        <f>E4*B4+E4</f>
        <v>13112.723999999998</v>
      </c>
      <c r="G4" s="9">
        <f>F4*B4+F4</f>
        <v>13506.105719999998</v>
      </c>
      <c r="H4" s="12">
        <f>+(POWER(G4/C4,1/4)-1)</f>
        <v>3.0000000000000027E-2</v>
      </c>
    </row>
    <row r="5" spans="1:8" x14ac:dyDescent="0.45">
      <c r="A5" s="7" t="s">
        <v>47</v>
      </c>
      <c r="B5" s="8">
        <v>0.02</v>
      </c>
      <c r="C5" s="9">
        <v>8000</v>
      </c>
      <c r="D5" s="6">
        <f>C5*B5+C5</f>
        <v>8160</v>
      </c>
      <c r="E5" s="9">
        <f>D5*B5+D5</f>
        <v>8323.2000000000007</v>
      </c>
      <c r="F5" s="9">
        <f>E5*B5+E5</f>
        <v>8489.6640000000007</v>
      </c>
      <c r="G5" s="9">
        <f>F5*B5+F5</f>
        <v>8659.4572800000005</v>
      </c>
      <c r="H5" s="12">
        <f>+(POWER(G5/C5,1/4)-1)</f>
        <v>2.0000000000000018E-2</v>
      </c>
    </row>
    <row r="6" spans="1:8" x14ac:dyDescent="0.45">
      <c r="A6" s="7" t="s">
        <v>48</v>
      </c>
      <c r="B6" s="8">
        <v>0.01</v>
      </c>
      <c r="C6" s="9">
        <v>9000</v>
      </c>
      <c r="D6" s="6">
        <f>C6*B6+C6</f>
        <v>9090</v>
      </c>
      <c r="E6" s="9">
        <f>D6*B6+D6</f>
        <v>9180.9</v>
      </c>
      <c r="F6" s="9">
        <f>E6*B6+E6</f>
        <v>9272.7089999999989</v>
      </c>
      <c r="G6" s="9">
        <f>F6*B6+F6</f>
        <v>9365.4360899999992</v>
      </c>
      <c r="H6" s="12">
        <f>+(POWER(G6/C6,1/4)-1)</f>
        <v>1.0000000000000009E-2</v>
      </c>
    </row>
    <row r="7" spans="1:8" x14ac:dyDescent="0.45">
      <c r="A7" s="7" t="s">
        <v>49</v>
      </c>
      <c r="B7" s="8">
        <v>0.01</v>
      </c>
      <c r="C7" s="9">
        <v>4000</v>
      </c>
      <c r="D7" s="6">
        <f>C7*B7+C7</f>
        <v>4040</v>
      </c>
      <c r="E7" s="9">
        <f>D7*B7+D7</f>
        <v>4080.4</v>
      </c>
      <c r="F7" s="9">
        <f>E7*B7+E7</f>
        <v>4121.2039999999997</v>
      </c>
      <c r="G7" s="9">
        <f>F7*B7+F7</f>
        <v>4162.4160400000001</v>
      </c>
      <c r="H7" s="12">
        <f>+(POWER(G7/C7,1/4)-1)</f>
        <v>1.0000000000000009E-2</v>
      </c>
    </row>
    <row r="8" spans="1:8" x14ac:dyDescent="0.45">
      <c r="A8" s="7" t="s">
        <v>54</v>
      </c>
      <c r="B8" s="8">
        <v>0</v>
      </c>
      <c r="C8" s="6"/>
      <c r="D8" s="6">
        <f>C8*B8+C8</f>
        <v>0</v>
      </c>
      <c r="E8" s="6">
        <f>D8*B8+D8</f>
        <v>0</v>
      </c>
      <c r="F8" s="6">
        <f>E8*B8+E8</f>
        <v>0</v>
      </c>
      <c r="G8" s="6">
        <f>F8*B8+F8</f>
        <v>0</v>
      </c>
      <c r="H8" s="12">
        <v>0</v>
      </c>
    </row>
    <row r="9" spans="1:8" x14ac:dyDescent="0.45">
      <c r="A9" s="7" t="s">
        <v>55</v>
      </c>
      <c r="B9" s="10">
        <v>1.9800000000000002E-2</v>
      </c>
      <c r="C9" s="9">
        <f>SUM(C4:C8)</f>
        <v>33000</v>
      </c>
      <c r="D9" s="9">
        <f>SUM(D4:D8)</f>
        <v>33650</v>
      </c>
      <c r="E9" s="9">
        <f>SUM(E4:E8)</f>
        <v>34315.300000000003</v>
      </c>
      <c r="F9" s="9">
        <f>SUM(F4:F8)</f>
        <v>34996.300999999999</v>
      </c>
      <c r="G9" s="9">
        <f>SUM(G4:G8)</f>
        <v>35693.415129999994</v>
      </c>
      <c r="H9" s="12">
        <f>+(POWER(G9/C9,1/4)-1)</f>
        <v>1.9808296517310087E-2</v>
      </c>
    </row>
    <row r="18" spans="8:8" x14ac:dyDescent="0.45">
      <c r="H18" s="5"/>
    </row>
    <row r="37" spans="14:15" x14ac:dyDescent="0.45">
      <c r="N37" t="s">
        <v>46</v>
      </c>
      <c r="O37" s="5">
        <v>0.5</v>
      </c>
    </row>
    <row r="38" spans="14:15" x14ac:dyDescent="0.45">
      <c r="N38" t="s">
        <v>47</v>
      </c>
      <c r="O38" s="5">
        <v>0.2</v>
      </c>
    </row>
    <row r="39" spans="14:15" x14ac:dyDescent="0.45">
      <c r="N39" t="s">
        <v>48</v>
      </c>
      <c r="O39" s="5">
        <v>0.2</v>
      </c>
    </row>
    <row r="40" spans="14:15" x14ac:dyDescent="0.45">
      <c r="N40" t="s">
        <v>49</v>
      </c>
      <c r="O40" s="5">
        <v>0.1</v>
      </c>
    </row>
  </sheetData>
  <mergeCells count="3">
    <mergeCell ref="A1:G1"/>
    <mergeCell ref="H1:H2"/>
    <mergeCell ref="A2:B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42617-99A9-4679-877F-D2A89167F901}">
  <dimension ref="A1:N125"/>
  <sheetViews>
    <sheetView tabSelected="1" topLeftCell="A34" workbookViewId="0">
      <selection sqref="A1:D31"/>
    </sheetView>
  </sheetViews>
  <sheetFormatPr defaultColWidth="8.796875" defaultRowHeight="14.25" x14ac:dyDescent="0.45"/>
  <cols>
    <col min="1" max="1" width="36.6640625" bestFit="1" customWidth="1"/>
    <col min="2" max="3" width="14.796875" bestFit="1" customWidth="1"/>
    <col min="4" max="4" width="15.796875" bestFit="1" customWidth="1"/>
    <col min="5" max="6" width="15" bestFit="1" customWidth="1"/>
    <col min="7" max="7" width="15.796875" bestFit="1" customWidth="1"/>
    <col min="8" max="13" width="15" bestFit="1" customWidth="1"/>
    <col min="14" max="14" width="14.796875" bestFit="1" customWidth="1"/>
  </cols>
  <sheetData>
    <row r="1" spans="1:4" s="29" customFormat="1" ht="25.25" customHeight="1" x14ac:dyDescent="0.45">
      <c r="A1" s="66" t="s">
        <v>126</v>
      </c>
      <c r="B1" s="66"/>
      <c r="C1" s="66"/>
      <c r="D1" s="66"/>
    </row>
    <row r="2" spans="1:4" ht="20" customHeight="1" x14ac:dyDescent="0.45">
      <c r="A2" s="30"/>
      <c r="B2" s="31">
        <v>2021</v>
      </c>
      <c r="C2" s="31">
        <v>2022</v>
      </c>
      <c r="D2" s="31">
        <v>2023</v>
      </c>
    </row>
    <row r="3" spans="1:4" x14ac:dyDescent="0.45">
      <c r="A3" t="s">
        <v>87</v>
      </c>
      <c r="B3" s="19">
        <v>0</v>
      </c>
      <c r="C3" s="19">
        <v>0</v>
      </c>
      <c r="D3" s="19">
        <v>0</v>
      </c>
    </row>
    <row r="4" spans="1:4" x14ac:dyDescent="0.45">
      <c r="A4" t="s">
        <v>88</v>
      </c>
      <c r="B4" s="19">
        <v>0</v>
      </c>
      <c r="C4" s="19">
        <v>0</v>
      </c>
      <c r="D4" s="19">
        <v>0</v>
      </c>
    </row>
    <row r="5" spans="1:4" x14ac:dyDescent="0.45">
      <c r="A5" t="s">
        <v>89</v>
      </c>
      <c r="B5" s="19">
        <v>8760000</v>
      </c>
      <c r="C5" s="19">
        <v>9636000</v>
      </c>
      <c r="D5" s="19">
        <v>10599600</v>
      </c>
    </row>
    <row r="6" spans="1:4" s="29" customFormat="1" ht="25.05" customHeight="1" x14ac:dyDescent="0.45">
      <c r="A6" s="32" t="s">
        <v>90</v>
      </c>
      <c r="B6" s="33">
        <f>SUM(B3:B5)</f>
        <v>8760000</v>
      </c>
      <c r="C6" s="33">
        <f>SUM(C3:C5)</f>
        <v>9636000</v>
      </c>
      <c r="D6" s="33">
        <f>SUM(D3:D5)</f>
        <v>10599600</v>
      </c>
    </row>
    <row r="7" spans="1:4" x14ac:dyDescent="0.45">
      <c r="A7" t="s">
        <v>91</v>
      </c>
      <c r="B7" s="19">
        <v>0</v>
      </c>
      <c r="C7" s="19">
        <v>0</v>
      </c>
      <c r="D7" s="19">
        <v>0</v>
      </c>
    </row>
    <row r="8" spans="1:4" x14ac:dyDescent="0.45">
      <c r="A8" t="s">
        <v>92</v>
      </c>
      <c r="B8" s="19">
        <v>0</v>
      </c>
      <c r="C8" s="19">
        <v>0</v>
      </c>
      <c r="D8" s="19">
        <v>0</v>
      </c>
    </row>
    <row r="9" spans="1:4" x14ac:dyDescent="0.45">
      <c r="A9" t="s">
        <v>93</v>
      </c>
      <c r="B9" s="19">
        <v>0</v>
      </c>
      <c r="C9" s="19">
        <v>0</v>
      </c>
      <c r="D9" s="19">
        <v>0</v>
      </c>
    </row>
    <row r="10" spans="1:4" x14ac:dyDescent="0.45">
      <c r="A10" t="s">
        <v>94</v>
      </c>
      <c r="B10" s="19">
        <v>0</v>
      </c>
      <c r="C10" s="19">
        <v>0</v>
      </c>
      <c r="D10" s="19">
        <v>0</v>
      </c>
    </row>
    <row r="11" spans="1:4" x14ac:dyDescent="0.45">
      <c r="A11" t="s">
        <v>95</v>
      </c>
      <c r="B11" s="19">
        <v>0</v>
      </c>
      <c r="C11" s="19">
        <v>0</v>
      </c>
      <c r="D11" s="19">
        <v>0</v>
      </c>
    </row>
    <row r="12" spans="1:4" x14ac:dyDescent="0.45">
      <c r="A12" t="s">
        <v>96</v>
      </c>
      <c r="B12" s="19">
        <v>0</v>
      </c>
      <c r="C12" s="19">
        <v>0</v>
      </c>
      <c r="D12" s="19">
        <v>0</v>
      </c>
    </row>
    <row r="13" spans="1:4" x14ac:dyDescent="0.45">
      <c r="A13" t="s">
        <v>97</v>
      </c>
      <c r="B13" s="19">
        <v>0</v>
      </c>
      <c r="C13" s="19">
        <v>0</v>
      </c>
      <c r="D13" s="19">
        <v>0</v>
      </c>
    </row>
    <row r="14" spans="1:4" x14ac:dyDescent="0.45">
      <c r="A14" t="s">
        <v>98</v>
      </c>
      <c r="B14" s="19">
        <v>0</v>
      </c>
      <c r="C14" s="19">
        <v>0</v>
      </c>
      <c r="D14" s="19">
        <v>0</v>
      </c>
    </row>
    <row r="15" spans="1:4" s="29" customFormat="1" ht="25.05" customHeight="1" x14ac:dyDescent="0.45">
      <c r="A15" s="32" t="s">
        <v>99</v>
      </c>
      <c r="B15" s="33">
        <f>SUM(B6:B14)</f>
        <v>8760000</v>
      </c>
      <c r="C15" s="33">
        <f t="shared" ref="C15:D15" si="0">SUM(C6:C14)</f>
        <v>9636000</v>
      </c>
      <c r="D15" s="33">
        <f t="shared" si="0"/>
        <v>10599600</v>
      </c>
    </row>
    <row r="16" spans="1:4" ht="20" customHeight="1" x14ac:dyDescent="0.45">
      <c r="A16" s="28" t="s">
        <v>100</v>
      </c>
      <c r="B16" s="6"/>
      <c r="C16" s="6"/>
      <c r="D16" s="6"/>
    </row>
    <row r="17" spans="1:7" x14ac:dyDescent="0.45">
      <c r="A17" t="s">
        <v>101</v>
      </c>
      <c r="B17" s="19">
        <v>0</v>
      </c>
      <c r="C17" s="19">
        <v>0</v>
      </c>
      <c r="D17" s="19">
        <v>0</v>
      </c>
    </row>
    <row r="18" spans="1:7" x14ac:dyDescent="0.45">
      <c r="A18" t="s">
        <v>134</v>
      </c>
      <c r="B18" s="19">
        <f>'Sales Forcasting'!C52</f>
        <v>648000</v>
      </c>
      <c r="C18" s="19">
        <f>'Sales Forcasting'!D52</f>
        <v>712800</v>
      </c>
      <c r="D18" s="19">
        <f>'Sales Forcasting'!E52</f>
        <v>784080</v>
      </c>
    </row>
    <row r="19" spans="1:7" x14ac:dyDescent="0.45">
      <c r="A19" t="s">
        <v>102</v>
      </c>
      <c r="B19" s="19">
        <v>4917975</v>
      </c>
      <c r="C19" s="19">
        <v>5830725</v>
      </c>
      <c r="D19" s="19">
        <v>6314175</v>
      </c>
    </row>
    <row r="20" spans="1:7" s="29" customFormat="1" ht="25.05" customHeight="1" x14ac:dyDescent="0.45">
      <c r="A20" s="32" t="s">
        <v>117</v>
      </c>
      <c r="B20" s="33">
        <f>B19+B18</f>
        <v>5565975</v>
      </c>
      <c r="C20" s="33">
        <f t="shared" ref="C20:D20" si="1">C19+C18</f>
        <v>6543525</v>
      </c>
      <c r="D20" s="33">
        <f t="shared" si="1"/>
        <v>7098255</v>
      </c>
    </row>
    <row r="21" spans="1:7" x14ac:dyDescent="0.45">
      <c r="A21" t="s">
        <v>118</v>
      </c>
      <c r="B21" s="19">
        <v>0</v>
      </c>
      <c r="C21" s="19">
        <v>0</v>
      </c>
      <c r="D21" s="19">
        <v>0</v>
      </c>
    </row>
    <row r="22" spans="1:7" x14ac:dyDescent="0.45">
      <c r="A22" t="s">
        <v>119</v>
      </c>
      <c r="B22" s="19">
        <v>0</v>
      </c>
      <c r="C22" s="19">
        <v>0</v>
      </c>
      <c r="D22" s="19">
        <v>0</v>
      </c>
    </row>
    <row r="23" spans="1:7" x14ac:dyDescent="0.45">
      <c r="A23" t="s">
        <v>120</v>
      </c>
      <c r="B23" s="19">
        <v>50000</v>
      </c>
      <c r="C23" s="19">
        <v>50000</v>
      </c>
      <c r="D23" s="19">
        <v>50000</v>
      </c>
    </row>
    <row r="24" spans="1:7" x14ac:dyDescent="0.45">
      <c r="A24" t="s">
        <v>121</v>
      </c>
      <c r="B24" s="19">
        <v>0</v>
      </c>
      <c r="C24" s="19">
        <v>0</v>
      </c>
      <c r="D24" s="19">
        <v>0</v>
      </c>
    </row>
    <row r="25" spans="1:7" x14ac:dyDescent="0.45">
      <c r="A25" t="s">
        <v>31</v>
      </c>
      <c r="B25" s="19">
        <v>0</v>
      </c>
      <c r="C25" s="19">
        <v>60000</v>
      </c>
      <c r="D25" s="19">
        <v>60000</v>
      </c>
    </row>
    <row r="26" spans="1:7" x14ac:dyDescent="0.45">
      <c r="A26" t="s">
        <v>122</v>
      </c>
      <c r="B26" s="19">
        <v>0</v>
      </c>
      <c r="C26" s="19">
        <v>0</v>
      </c>
      <c r="D26" s="19">
        <v>0</v>
      </c>
    </row>
    <row r="27" spans="1:7" x14ac:dyDescent="0.45">
      <c r="A27" t="s">
        <v>123</v>
      </c>
      <c r="B27" s="19">
        <v>0</v>
      </c>
      <c r="C27" s="19">
        <v>0</v>
      </c>
      <c r="D27" s="19">
        <v>0</v>
      </c>
    </row>
    <row r="28" spans="1:7" s="29" customFormat="1" ht="25.05" customHeight="1" x14ac:dyDescent="0.45">
      <c r="A28" s="32" t="s">
        <v>124</v>
      </c>
      <c r="B28" s="33">
        <f>B23+B20</f>
        <v>5615975</v>
      </c>
      <c r="C28" s="33">
        <f t="shared" ref="C28:D28" si="2">C23+C20</f>
        <v>6593525</v>
      </c>
      <c r="D28" s="33">
        <f t="shared" si="2"/>
        <v>7148255</v>
      </c>
    </row>
    <row r="29" spans="1:7" x14ac:dyDescent="0.45">
      <c r="A29" t="s">
        <v>103</v>
      </c>
      <c r="B29" s="19">
        <f>B15-B28</f>
        <v>3144025</v>
      </c>
      <c r="C29" s="19">
        <f t="shared" ref="C29:D29" si="3">C15-C28</f>
        <v>3042475</v>
      </c>
      <c r="D29" s="19">
        <f t="shared" si="3"/>
        <v>3451345</v>
      </c>
    </row>
    <row r="30" spans="1:7" x14ac:dyDescent="0.45">
      <c r="A30" t="s">
        <v>187</v>
      </c>
      <c r="B30" s="19">
        <f>B29+B31</f>
        <v>4150870</v>
      </c>
      <c r="C30" s="19">
        <f>C29+B30</f>
        <v>7193345</v>
      </c>
      <c r="D30" s="19">
        <f>D29+C30</f>
        <v>10644690</v>
      </c>
      <c r="G30" s="14"/>
    </row>
    <row r="31" spans="1:7" x14ac:dyDescent="0.45">
      <c r="A31" t="s">
        <v>125</v>
      </c>
      <c r="B31" s="19">
        <v>1006845</v>
      </c>
      <c r="C31" s="19"/>
      <c r="D31" s="19"/>
    </row>
    <row r="32" spans="1:7" x14ac:dyDescent="0.45">
      <c r="B32" s="19"/>
      <c r="C32" s="19"/>
      <c r="D32" s="19"/>
    </row>
    <row r="33" spans="1:14" x14ac:dyDescent="0.45">
      <c r="B33" s="19"/>
      <c r="C33" s="19"/>
      <c r="D33" s="19"/>
    </row>
    <row r="34" spans="1:14" x14ac:dyDescent="0.45">
      <c r="B34" s="5">
        <v>0.04</v>
      </c>
      <c r="C34" s="5">
        <v>0.05</v>
      </c>
      <c r="D34" s="5">
        <v>0.06</v>
      </c>
      <c r="E34" s="5">
        <v>7.0000000000000007E-2</v>
      </c>
      <c r="F34" s="5">
        <v>0.08</v>
      </c>
      <c r="G34" s="5">
        <v>7.0000000000000007E-2</v>
      </c>
      <c r="H34" s="5">
        <v>0.08</v>
      </c>
      <c r="I34" s="5">
        <v>0.09</v>
      </c>
      <c r="J34" s="5">
        <v>0.1</v>
      </c>
      <c r="K34" s="5">
        <v>0.11</v>
      </c>
      <c r="L34" s="5">
        <v>0.12</v>
      </c>
      <c r="M34" s="5">
        <v>0.13</v>
      </c>
    </row>
    <row r="35" spans="1:14" x14ac:dyDescent="0.45">
      <c r="A35" s="38"/>
      <c r="B35" s="36" t="s">
        <v>104</v>
      </c>
      <c r="C35" s="35" t="s">
        <v>105</v>
      </c>
      <c r="D35" s="35" t="s">
        <v>106</v>
      </c>
      <c r="E35" s="35" t="s">
        <v>107</v>
      </c>
      <c r="F35" s="35" t="s">
        <v>108</v>
      </c>
      <c r="G35" s="35" t="s">
        <v>109</v>
      </c>
      <c r="H35" s="35" t="s">
        <v>110</v>
      </c>
      <c r="I35" s="35" t="s">
        <v>111</v>
      </c>
      <c r="J35" s="35" t="s">
        <v>112</v>
      </c>
      <c r="K35" s="35" t="s">
        <v>113</v>
      </c>
      <c r="L35" s="35" t="s">
        <v>114</v>
      </c>
      <c r="M35" s="35" t="s">
        <v>115</v>
      </c>
    </row>
    <row r="36" spans="1:14" x14ac:dyDescent="0.45">
      <c r="A36" s="37" t="s">
        <v>103</v>
      </c>
      <c r="B36" s="34">
        <f>+B85</f>
        <v>125761</v>
      </c>
      <c r="C36" s="34">
        <f>+B36+C85</f>
        <v>282962.25</v>
      </c>
      <c r="D36" s="34">
        <f t="shared" ref="D36:M36" si="4">+C36+D85</f>
        <v>471603.75</v>
      </c>
      <c r="E36" s="34">
        <f t="shared" si="4"/>
        <v>691685.5</v>
      </c>
      <c r="F36" s="34">
        <f t="shared" si="4"/>
        <v>943207.5</v>
      </c>
      <c r="G36" s="34">
        <f t="shared" si="4"/>
        <v>1163289.25</v>
      </c>
      <c r="H36" s="34">
        <f t="shared" si="4"/>
        <v>1414811.25</v>
      </c>
      <c r="I36" s="34">
        <f t="shared" si="4"/>
        <v>1697773.5</v>
      </c>
      <c r="J36" s="34">
        <f t="shared" si="4"/>
        <v>2012176</v>
      </c>
      <c r="K36" s="34">
        <f t="shared" si="4"/>
        <v>2358018.75</v>
      </c>
      <c r="L36" s="34">
        <f t="shared" si="4"/>
        <v>2735301.75</v>
      </c>
      <c r="M36" s="34">
        <f t="shared" si="4"/>
        <v>3144025</v>
      </c>
      <c r="N36" s="19"/>
    </row>
    <row r="37" spans="1:14" x14ac:dyDescent="0.45">
      <c r="A37" s="35" t="s">
        <v>116</v>
      </c>
      <c r="B37" s="34">
        <f>+B86</f>
        <v>1132606</v>
      </c>
      <c r="C37" s="34">
        <f t="shared" ref="C37:M37" si="5">+C86</f>
        <v>1289807.25</v>
      </c>
      <c r="D37" s="34">
        <f t="shared" si="5"/>
        <v>1478448.75</v>
      </c>
      <c r="E37" s="34">
        <f t="shared" si="5"/>
        <v>1698530.5</v>
      </c>
      <c r="F37" s="34">
        <f t="shared" si="5"/>
        <v>1950052.5</v>
      </c>
      <c r="G37" s="34">
        <f t="shared" si="5"/>
        <v>2170134.25</v>
      </c>
      <c r="H37" s="34">
        <f t="shared" si="5"/>
        <v>2421656.25</v>
      </c>
      <c r="I37" s="34">
        <f t="shared" si="5"/>
        <v>2704618.5</v>
      </c>
      <c r="J37" s="34">
        <f t="shared" si="5"/>
        <v>3019021</v>
      </c>
      <c r="K37" s="34">
        <f t="shared" si="5"/>
        <v>3364863.75</v>
      </c>
      <c r="L37" s="34">
        <f t="shared" si="5"/>
        <v>3742146.75</v>
      </c>
      <c r="M37" s="34">
        <f t="shared" si="5"/>
        <v>4150870</v>
      </c>
      <c r="N37" s="19"/>
    </row>
    <row r="38" spans="1:14" x14ac:dyDescent="0.45">
      <c r="B38" s="19"/>
      <c r="C38" s="19"/>
      <c r="D38" s="19"/>
    </row>
    <row r="39" spans="1:14" x14ac:dyDescent="0.45">
      <c r="B39" s="19"/>
      <c r="C39" s="19"/>
      <c r="D39" s="19"/>
    </row>
    <row r="40" spans="1:14" x14ac:dyDescent="0.45">
      <c r="B40" s="19"/>
      <c r="C40" s="19"/>
      <c r="D40" s="19"/>
    </row>
    <row r="41" spans="1:14" x14ac:dyDescent="0.45">
      <c r="B41" s="19"/>
      <c r="C41" s="19"/>
      <c r="D41" s="19"/>
    </row>
    <row r="42" spans="1:14" x14ac:dyDescent="0.45">
      <c r="B42" s="19"/>
      <c r="C42" s="19"/>
      <c r="D42" s="19"/>
    </row>
    <row r="43" spans="1:14" x14ac:dyDescent="0.45">
      <c r="B43" s="19"/>
      <c r="C43" s="19"/>
      <c r="D43" s="19"/>
    </row>
    <row r="44" spans="1:14" x14ac:dyDescent="0.45">
      <c r="B44" s="19"/>
      <c r="C44" s="19"/>
      <c r="D44" s="19"/>
    </row>
    <row r="45" spans="1:14" x14ac:dyDescent="0.45">
      <c r="B45" s="19"/>
      <c r="C45" s="19"/>
      <c r="D45" s="19"/>
    </row>
    <row r="46" spans="1:14" x14ac:dyDescent="0.45">
      <c r="B46" s="19"/>
      <c r="C46" s="19"/>
      <c r="D46" s="19"/>
    </row>
    <row r="47" spans="1:14" x14ac:dyDescent="0.45">
      <c r="B47" s="19"/>
      <c r="C47" s="19"/>
      <c r="D47" s="19"/>
    </row>
    <row r="48" spans="1:14" x14ac:dyDescent="0.45">
      <c r="B48" s="19"/>
      <c r="C48" s="19"/>
      <c r="D48" s="19"/>
    </row>
    <row r="49" spans="1:13" x14ac:dyDescent="0.45">
      <c r="B49" s="19"/>
      <c r="C49" s="19"/>
      <c r="D49" s="19"/>
    </row>
    <row r="50" spans="1:13" x14ac:dyDescent="0.45">
      <c r="B50" s="19"/>
      <c r="C50" s="19"/>
      <c r="D50" s="19"/>
    </row>
    <row r="51" spans="1:13" x14ac:dyDescent="0.45">
      <c r="B51" s="19"/>
      <c r="C51" s="19"/>
      <c r="D51" s="19"/>
    </row>
    <row r="52" spans="1:13" x14ac:dyDescent="0.45">
      <c r="B52" s="19"/>
      <c r="C52" s="19"/>
      <c r="D52" s="19"/>
    </row>
    <row r="53" spans="1:13" x14ac:dyDescent="0.45">
      <c r="B53" s="19"/>
      <c r="C53" s="19"/>
      <c r="D53" s="19"/>
    </row>
    <row r="54" spans="1:13" x14ac:dyDescent="0.45">
      <c r="B54" s="19"/>
      <c r="C54" s="19"/>
      <c r="D54" s="19"/>
    </row>
    <row r="55" spans="1:13" x14ac:dyDescent="0.45">
      <c r="B55" s="19"/>
      <c r="C55" s="19"/>
      <c r="D55" s="19"/>
    </row>
    <row r="56" spans="1:13" x14ac:dyDescent="0.45">
      <c r="B56" s="19"/>
      <c r="C56" s="19"/>
      <c r="D56" s="19"/>
    </row>
    <row r="57" spans="1:13" x14ac:dyDescent="0.45">
      <c r="B57" s="19"/>
      <c r="C57" s="19"/>
      <c r="D57" s="19"/>
    </row>
    <row r="58" spans="1:13" x14ac:dyDescent="0.45">
      <c r="B58" s="19"/>
      <c r="C58" s="19"/>
      <c r="D58" s="19"/>
    </row>
    <row r="59" spans="1:13" ht="42.75" customHeight="1" x14ac:dyDescent="0.45">
      <c r="A59" s="67" t="s">
        <v>165</v>
      </c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</row>
    <row r="60" spans="1:13" ht="29" customHeight="1" x14ac:dyDescent="0.45">
      <c r="A60" s="43"/>
      <c r="B60" s="44">
        <v>44197</v>
      </c>
      <c r="C60" s="44">
        <v>44228</v>
      </c>
      <c r="D60" s="44">
        <v>44256</v>
      </c>
      <c r="E60" s="44">
        <v>44287</v>
      </c>
      <c r="F60" s="44">
        <v>44317</v>
      </c>
      <c r="G60" s="44">
        <v>44348</v>
      </c>
      <c r="H60" s="44">
        <v>44378</v>
      </c>
      <c r="I60" s="44">
        <v>44409</v>
      </c>
      <c r="J60" s="44">
        <v>44440</v>
      </c>
      <c r="K60" s="44">
        <v>44470</v>
      </c>
      <c r="L60" s="44">
        <v>44501</v>
      </c>
      <c r="M60" s="44">
        <v>44531</v>
      </c>
    </row>
    <row r="61" spans="1:13" x14ac:dyDescent="0.45">
      <c r="A61" t="s">
        <v>87</v>
      </c>
      <c r="B61" s="45">
        <f>B$34*$B3</f>
        <v>0</v>
      </c>
      <c r="C61" s="45">
        <f t="shared" ref="C61:M61" si="6">C$34*$B3</f>
        <v>0</v>
      </c>
      <c r="D61" s="45">
        <f t="shared" si="6"/>
        <v>0</v>
      </c>
      <c r="E61" s="45">
        <f t="shared" si="6"/>
        <v>0</v>
      </c>
      <c r="F61" s="45">
        <f t="shared" si="6"/>
        <v>0</v>
      </c>
      <c r="G61" s="45">
        <f t="shared" si="6"/>
        <v>0</v>
      </c>
      <c r="H61" s="45">
        <f t="shared" si="6"/>
        <v>0</v>
      </c>
      <c r="I61" s="45">
        <f t="shared" si="6"/>
        <v>0</v>
      </c>
      <c r="J61" s="45">
        <f t="shared" si="6"/>
        <v>0</v>
      </c>
      <c r="K61" s="45">
        <f t="shared" si="6"/>
        <v>0</v>
      </c>
      <c r="L61" s="45">
        <f t="shared" si="6"/>
        <v>0</v>
      </c>
      <c r="M61" s="45">
        <f t="shared" si="6"/>
        <v>0</v>
      </c>
    </row>
    <row r="62" spans="1:13" x14ac:dyDescent="0.45">
      <c r="A62" t="s">
        <v>88</v>
      </c>
      <c r="B62" s="45">
        <f t="shared" ref="B62:M62" si="7">B$34*$B4</f>
        <v>0</v>
      </c>
      <c r="C62" s="45">
        <f t="shared" si="7"/>
        <v>0</v>
      </c>
      <c r="D62" s="45">
        <f t="shared" si="7"/>
        <v>0</v>
      </c>
      <c r="E62" s="45">
        <f t="shared" si="7"/>
        <v>0</v>
      </c>
      <c r="F62" s="45">
        <f t="shared" si="7"/>
        <v>0</v>
      </c>
      <c r="G62" s="45">
        <f t="shared" si="7"/>
        <v>0</v>
      </c>
      <c r="H62" s="45">
        <f t="shared" si="7"/>
        <v>0</v>
      </c>
      <c r="I62" s="45">
        <f t="shared" si="7"/>
        <v>0</v>
      </c>
      <c r="J62" s="45">
        <f t="shared" si="7"/>
        <v>0</v>
      </c>
      <c r="K62" s="45">
        <f t="shared" si="7"/>
        <v>0</v>
      </c>
      <c r="L62" s="45">
        <f t="shared" si="7"/>
        <v>0</v>
      </c>
      <c r="M62" s="45">
        <f t="shared" si="7"/>
        <v>0</v>
      </c>
    </row>
    <row r="63" spans="1:13" x14ac:dyDescent="0.45">
      <c r="A63" t="s">
        <v>89</v>
      </c>
      <c r="B63" s="45">
        <f t="shared" ref="B63:M63" si="8">B$34*$B5</f>
        <v>350400</v>
      </c>
      <c r="C63" s="45">
        <f t="shared" si="8"/>
        <v>438000</v>
      </c>
      <c r="D63" s="45">
        <f t="shared" si="8"/>
        <v>525600</v>
      </c>
      <c r="E63" s="45">
        <f t="shared" si="8"/>
        <v>613200.00000000012</v>
      </c>
      <c r="F63" s="45">
        <f t="shared" si="8"/>
        <v>700800</v>
      </c>
      <c r="G63" s="45">
        <f t="shared" si="8"/>
        <v>613200.00000000012</v>
      </c>
      <c r="H63" s="45">
        <f t="shared" si="8"/>
        <v>700800</v>
      </c>
      <c r="I63" s="45">
        <f t="shared" si="8"/>
        <v>788400</v>
      </c>
      <c r="J63" s="45">
        <f t="shared" si="8"/>
        <v>876000</v>
      </c>
      <c r="K63" s="45">
        <f t="shared" si="8"/>
        <v>963600</v>
      </c>
      <c r="L63" s="45">
        <f t="shared" si="8"/>
        <v>1051200</v>
      </c>
      <c r="M63" s="45">
        <f t="shared" si="8"/>
        <v>1138800</v>
      </c>
    </row>
    <row r="64" spans="1:13" x14ac:dyDescent="0.45">
      <c r="A64" t="s">
        <v>91</v>
      </c>
      <c r="B64" s="45">
        <f t="shared" ref="B64:M64" si="9">B$34*$B7</f>
        <v>0</v>
      </c>
      <c r="C64" s="45">
        <f t="shared" si="9"/>
        <v>0</v>
      </c>
      <c r="D64" s="45">
        <f t="shared" si="9"/>
        <v>0</v>
      </c>
      <c r="E64" s="45">
        <f t="shared" si="9"/>
        <v>0</v>
      </c>
      <c r="F64" s="45">
        <f t="shared" si="9"/>
        <v>0</v>
      </c>
      <c r="G64" s="45">
        <f t="shared" si="9"/>
        <v>0</v>
      </c>
      <c r="H64" s="45">
        <f t="shared" si="9"/>
        <v>0</v>
      </c>
      <c r="I64" s="45">
        <f t="shared" si="9"/>
        <v>0</v>
      </c>
      <c r="J64" s="45">
        <f t="shared" si="9"/>
        <v>0</v>
      </c>
      <c r="K64" s="45">
        <f t="shared" si="9"/>
        <v>0</v>
      </c>
      <c r="L64" s="45">
        <f t="shared" si="9"/>
        <v>0</v>
      </c>
      <c r="M64" s="45">
        <f t="shared" si="9"/>
        <v>0</v>
      </c>
    </row>
    <row r="65" spans="1:13" x14ac:dyDescent="0.45">
      <c r="A65" t="s">
        <v>92</v>
      </c>
      <c r="B65" s="45">
        <f t="shared" ref="B65:M65" si="10">B$34*$B8</f>
        <v>0</v>
      </c>
      <c r="C65" s="45">
        <f t="shared" si="10"/>
        <v>0</v>
      </c>
      <c r="D65" s="45">
        <f t="shared" si="10"/>
        <v>0</v>
      </c>
      <c r="E65" s="45">
        <f t="shared" si="10"/>
        <v>0</v>
      </c>
      <c r="F65" s="45">
        <f t="shared" si="10"/>
        <v>0</v>
      </c>
      <c r="G65" s="45">
        <f t="shared" si="10"/>
        <v>0</v>
      </c>
      <c r="H65" s="45">
        <f t="shared" si="10"/>
        <v>0</v>
      </c>
      <c r="I65" s="45">
        <f t="shared" si="10"/>
        <v>0</v>
      </c>
      <c r="J65" s="45">
        <f t="shared" si="10"/>
        <v>0</v>
      </c>
      <c r="K65" s="45">
        <f t="shared" si="10"/>
        <v>0</v>
      </c>
      <c r="L65" s="45">
        <f t="shared" si="10"/>
        <v>0</v>
      </c>
      <c r="M65" s="45">
        <f t="shared" si="10"/>
        <v>0</v>
      </c>
    </row>
    <row r="66" spans="1:13" x14ac:dyDescent="0.45">
      <c r="A66" t="s">
        <v>93</v>
      </c>
      <c r="B66" s="45">
        <f t="shared" ref="B66:M66" si="11">B$34*$B9</f>
        <v>0</v>
      </c>
      <c r="C66" s="45">
        <f t="shared" si="11"/>
        <v>0</v>
      </c>
      <c r="D66" s="45">
        <f t="shared" si="11"/>
        <v>0</v>
      </c>
      <c r="E66" s="45">
        <f t="shared" si="11"/>
        <v>0</v>
      </c>
      <c r="F66" s="45">
        <f t="shared" si="11"/>
        <v>0</v>
      </c>
      <c r="G66" s="45">
        <f t="shared" si="11"/>
        <v>0</v>
      </c>
      <c r="H66" s="45">
        <f t="shared" si="11"/>
        <v>0</v>
      </c>
      <c r="I66" s="45">
        <f t="shared" si="11"/>
        <v>0</v>
      </c>
      <c r="J66" s="45">
        <f t="shared" si="11"/>
        <v>0</v>
      </c>
      <c r="K66" s="45">
        <f t="shared" si="11"/>
        <v>0</v>
      </c>
      <c r="L66" s="45">
        <f t="shared" si="11"/>
        <v>0</v>
      </c>
      <c r="M66" s="45">
        <f t="shared" si="11"/>
        <v>0</v>
      </c>
    </row>
    <row r="67" spans="1:13" x14ac:dyDescent="0.45">
      <c r="A67" t="s">
        <v>94</v>
      </c>
      <c r="B67" s="45">
        <f t="shared" ref="B67:M67" si="12">B$34*$B10</f>
        <v>0</v>
      </c>
      <c r="C67" s="45">
        <f t="shared" si="12"/>
        <v>0</v>
      </c>
      <c r="D67" s="45">
        <f t="shared" si="12"/>
        <v>0</v>
      </c>
      <c r="E67" s="45">
        <f t="shared" si="12"/>
        <v>0</v>
      </c>
      <c r="F67" s="45">
        <f t="shared" si="12"/>
        <v>0</v>
      </c>
      <c r="G67" s="45">
        <f t="shared" si="12"/>
        <v>0</v>
      </c>
      <c r="H67" s="45">
        <f t="shared" si="12"/>
        <v>0</v>
      </c>
      <c r="I67" s="45">
        <f t="shared" si="12"/>
        <v>0</v>
      </c>
      <c r="J67" s="45">
        <f t="shared" si="12"/>
        <v>0</v>
      </c>
      <c r="K67" s="45">
        <f t="shared" si="12"/>
        <v>0</v>
      </c>
      <c r="L67" s="45">
        <f t="shared" si="12"/>
        <v>0</v>
      </c>
      <c r="M67" s="45">
        <f t="shared" si="12"/>
        <v>0</v>
      </c>
    </row>
    <row r="68" spans="1:13" x14ac:dyDescent="0.45">
      <c r="A68" t="s">
        <v>95</v>
      </c>
      <c r="B68" s="45">
        <f t="shared" ref="B68:M68" si="13">B$34*$B11</f>
        <v>0</v>
      </c>
      <c r="C68" s="45">
        <f t="shared" si="13"/>
        <v>0</v>
      </c>
      <c r="D68" s="45">
        <f t="shared" si="13"/>
        <v>0</v>
      </c>
      <c r="E68" s="45">
        <f t="shared" si="13"/>
        <v>0</v>
      </c>
      <c r="F68" s="45">
        <f t="shared" si="13"/>
        <v>0</v>
      </c>
      <c r="G68" s="45">
        <f t="shared" si="13"/>
        <v>0</v>
      </c>
      <c r="H68" s="45">
        <f t="shared" si="13"/>
        <v>0</v>
      </c>
      <c r="I68" s="45">
        <f t="shared" si="13"/>
        <v>0</v>
      </c>
      <c r="J68" s="45">
        <f t="shared" si="13"/>
        <v>0</v>
      </c>
      <c r="K68" s="45">
        <f t="shared" si="13"/>
        <v>0</v>
      </c>
      <c r="L68" s="45">
        <f t="shared" si="13"/>
        <v>0</v>
      </c>
      <c r="M68" s="45">
        <f t="shared" si="13"/>
        <v>0</v>
      </c>
    </row>
    <row r="69" spans="1:13" x14ac:dyDescent="0.45">
      <c r="A69" t="s">
        <v>96</v>
      </c>
      <c r="B69" s="45">
        <f t="shared" ref="B69:M69" si="14">B$34*$B12</f>
        <v>0</v>
      </c>
      <c r="C69" s="45">
        <f t="shared" si="14"/>
        <v>0</v>
      </c>
      <c r="D69" s="45">
        <f t="shared" si="14"/>
        <v>0</v>
      </c>
      <c r="E69" s="45">
        <f t="shared" si="14"/>
        <v>0</v>
      </c>
      <c r="F69" s="45">
        <f t="shared" si="14"/>
        <v>0</v>
      </c>
      <c r="G69" s="45">
        <f t="shared" si="14"/>
        <v>0</v>
      </c>
      <c r="H69" s="45">
        <f t="shared" si="14"/>
        <v>0</v>
      </c>
      <c r="I69" s="45">
        <f t="shared" si="14"/>
        <v>0</v>
      </c>
      <c r="J69" s="45">
        <f t="shared" si="14"/>
        <v>0</v>
      </c>
      <c r="K69" s="45">
        <f t="shared" si="14"/>
        <v>0</v>
      </c>
      <c r="L69" s="45">
        <f t="shared" si="14"/>
        <v>0</v>
      </c>
      <c r="M69" s="45">
        <f t="shared" si="14"/>
        <v>0</v>
      </c>
    </row>
    <row r="70" spans="1:13" x14ac:dyDescent="0.45">
      <c r="A70" t="s">
        <v>97</v>
      </c>
      <c r="B70" s="45">
        <f t="shared" ref="B70:M70" si="15">B$34*$B13</f>
        <v>0</v>
      </c>
      <c r="C70" s="45">
        <f t="shared" si="15"/>
        <v>0</v>
      </c>
      <c r="D70" s="45">
        <f t="shared" si="15"/>
        <v>0</v>
      </c>
      <c r="E70" s="45">
        <f t="shared" si="15"/>
        <v>0</v>
      </c>
      <c r="F70" s="45">
        <f t="shared" si="15"/>
        <v>0</v>
      </c>
      <c r="G70" s="45">
        <f t="shared" si="15"/>
        <v>0</v>
      </c>
      <c r="H70" s="45">
        <f t="shared" si="15"/>
        <v>0</v>
      </c>
      <c r="I70" s="45">
        <f t="shared" si="15"/>
        <v>0</v>
      </c>
      <c r="J70" s="45">
        <f t="shared" si="15"/>
        <v>0</v>
      </c>
      <c r="K70" s="45">
        <f t="shared" si="15"/>
        <v>0</v>
      </c>
      <c r="L70" s="45">
        <f t="shared" si="15"/>
        <v>0</v>
      </c>
      <c r="M70" s="45">
        <f t="shared" si="15"/>
        <v>0</v>
      </c>
    </row>
    <row r="71" spans="1:13" x14ac:dyDescent="0.45">
      <c r="A71" t="s">
        <v>98</v>
      </c>
      <c r="B71" s="45">
        <f t="shared" ref="B71:M71" si="16">B$34*$B14</f>
        <v>0</v>
      </c>
      <c r="C71" s="45">
        <f t="shared" si="16"/>
        <v>0</v>
      </c>
      <c r="D71" s="45">
        <f t="shared" si="16"/>
        <v>0</v>
      </c>
      <c r="E71" s="45">
        <f t="shared" si="16"/>
        <v>0</v>
      </c>
      <c r="F71" s="45">
        <f t="shared" si="16"/>
        <v>0</v>
      </c>
      <c r="G71" s="45">
        <f t="shared" si="16"/>
        <v>0</v>
      </c>
      <c r="H71" s="45">
        <f t="shared" si="16"/>
        <v>0</v>
      </c>
      <c r="I71" s="45">
        <f t="shared" si="16"/>
        <v>0</v>
      </c>
      <c r="J71" s="45">
        <f t="shared" si="16"/>
        <v>0</v>
      </c>
      <c r="K71" s="45">
        <f t="shared" si="16"/>
        <v>0</v>
      </c>
      <c r="L71" s="45">
        <f t="shared" si="16"/>
        <v>0</v>
      </c>
      <c r="M71" s="45">
        <f t="shared" si="16"/>
        <v>0</v>
      </c>
    </row>
    <row r="72" spans="1:13" x14ac:dyDescent="0.45">
      <c r="A72" s="28" t="s">
        <v>100</v>
      </c>
      <c r="B72" s="45">
        <f t="shared" ref="B72:M72" si="17">B$34*$B16</f>
        <v>0</v>
      </c>
      <c r="C72" s="45">
        <f t="shared" si="17"/>
        <v>0</v>
      </c>
      <c r="D72" s="45">
        <f t="shared" si="17"/>
        <v>0</v>
      </c>
      <c r="E72" s="45">
        <f t="shared" si="17"/>
        <v>0</v>
      </c>
      <c r="F72" s="45">
        <f t="shared" si="17"/>
        <v>0</v>
      </c>
      <c r="G72" s="45">
        <f t="shared" si="17"/>
        <v>0</v>
      </c>
      <c r="H72" s="45">
        <f t="shared" si="17"/>
        <v>0</v>
      </c>
      <c r="I72" s="45">
        <f t="shared" si="17"/>
        <v>0</v>
      </c>
      <c r="J72" s="45">
        <f t="shared" si="17"/>
        <v>0</v>
      </c>
      <c r="K72" s="45">
        <f t="shared" si="17"/>
        <v>0</v>
      </c>
      <c r="L72" s="45">
        <f t="shared" si="17"/>
        <v>0</v>
      </c>
      <c r="M72" s="45">
        <f t="shared" si="17"/>
        <v>0</v>
      </c>
    </row>
    <row r="73" spans="1:13" x14ac:dyDescent="0.45">
      <c r="A73" t="s">
        <v>101</v>
      </c>
      <c r="B73" s="45">
        <f t="shared" ref="B73:M73" si="18">B$34*$B17</f>
        <v>0</v>
      </c>
      <c r="C73" s="45">
        <f t="shared" si="18"/>
        <v>0</v>
      </c>
      <c r="D73" s="45">
        <f t="shared" si="18"/>
        <v>0</v>
      </c>
      <c r="E73" s="45">
        <f t="shared" si="18"/>
        <v>0</v>
      </c>
      <c r="F73" s="45">
        <f t="shared" si="18"/>
        <v>0</v>
      </c>
      <c r="G73" s="45">
        <f t="shared" si="18"/>
        <v>0</v>
      </c>
      <c r="H73" s="45">
        <f t="shared" si="18"/>
        <v>0</v>
      </c>
      <c r="I73" s="45">
        <f t="shared" si="18"/>
        <v>0</v>
      </c>
      <c r="J73" s="45">
        <f t="shared" si="18"/>
        <v>0</v>
      </c>
      <c r="K73" s="45">
        <f t="shared" si="18"/>
        <v>0</v>
      </c>
      <c r="L73" s="45">
        <f t="shared" si="18"/>
        <v>0</v>
      </c>
      <c r="M73" s="45">
        <f t="shared" si="18"/>
        <v>0</v>
      </c>
    </row>
    <row r="74" spans="1:13" x14ac:dyDescent="0.45">
      <c r="A74" t="s">
        <v>134</v>
      </c>
      <c r="B74" s="45">
        <f t="shared" ref="B74:M74" si="19">B$34*$B18</f>
        <v>25920</v>
      </c>
      <c r="C74" s="45">
        <f t="shared" si="19"/>
        <v>32400</v>
      </c>
      <c r="D74" s="45">
        <f t="shared" si="19"/>
        <v>38880</v>
      </c>
      <c r="E74" s="45">
        <f t="shared" si="19"/>
        <v>45360.000000000007</v>
      </c>
      <c r="F74" s="45">
        <f t="shared" si="19"/>
        <v>51840</v>
      </c>
      <c r="G74" s="45">
        <f t="shared" si="19"/>
        <v>45360.000000000007</v>
      </c>
      <c r="H74" s="45">
        <f t="shared" si="19"/>
        <v>51840</v>
      </c>
      <c r="I74" s="45">
        <f t="shared" si="19"/>
        <v>58320</v>
      </c>
      <c r="J74" s="45">
        <f t="shared" si="19"/>
        <v>64800</v>
      </c>
      <c r="K74" s="45">
        <f t="shared" si="19"/>
        <v>71280</v>
      </c>
      <c r="L74" s="45">
        <f t="shared" si="19"/>
        <v>77760</v>
      </c>
      <c r="M74" s="45">
        <f t="shared" si="19"/>
        <v>84240</v>
      </c>
    </row>
    <row r="75" spans="1:13" x14ac:dyDescent="0.45">
      <c r="A75" t="s">
        <v>102</v>
      </c>
      <c r="B75" s="45">
        <f t="shared" ref="B75:M75" si="20">B$34*$B19</f>
        <v>196719</v>
      </c>
      <c r="C75" s="45">
        <f t="shared" si="20"/>
        <v>245898.75</v>
      </c>
      <c r="D75" s="45">
        <f t="shared" si="20"/>
        <v>295078.5</v>
      </c>
      <c r="E75" s="45">
        <f t="shared" si="20"/>
        <v>344258.25000000006</v>
      </c>
      <c r="F75" s="45">
        <f t="shared" si="20"/>
        <v>393438</v>
      </c>
      <c r="G75" s="45">
        <f t="shared" si="20"/>
        <v>344258.25000000006</v>
      </c>
      <c r="H75" s="45">
        <f t="shared" si="20"/>
        <v>393438</v>
      </c>
      <c r="I75" s="45">
        <f t="shared" si="20"/>
        <v>442617.75</v>
      </c>
      <c r="J75" s="45">
        <f t="shared" si="20"/>
        <v>491797.5</v>
      </c>
      <c r="K75" s="45">
        <f t="shared" si="20"/>
        <v>540977.25</v>
      </c>
      <c r="L75" s="45">
        <f t="shared" si="20"/>
        <v>590157</v>
      </c>
      <c r="M75" s="45">
        <f t="shared" si="20"/>
        <v>639336.75</v>
      </c>
    </row>
    <row r="76" spans="1:13" ht="18" x14ac:dyDescent="0.45">
      <c r="A76" s="39" t="s">
        <v>117</v>
      </c>
      <c r="B76" s="45">
        <f t="shared" ref="B76:M76" si="21">B$34*$B20</f>
        <v>222639</v>
      </c>
      <c r="C76" s="45">
        <f t="shared" si="21"/>
        <v>278298.75</v>
      </c>
      <c r="D76" s="45">
        <f t="shared" si="21"/>
        <v>333958.5</v>
      </c>
      <c r="E76" s="45">
        <f t="shared" si="21"/>
        <v>389618.25000000006</v>
      </c>
      <c r="F76" s="45">
        <f t="shared" si="21"/>
        <v>445278</v>
      </c>
      <c r="G76" s="45">
        <f t="shared" si="21"/>
        <v>389618.25000000006</v>
      </c>
      <c r="H76" s="45">
        <f t="shared" si="21"/>
        <v>445278</v>
      </c>
      <c r="I76" s="45">
        <f t="shared" si="21"/>
        <v>500937.75</v>
      </c>
      <c r="J76" s="45">
        <f t="shared" si="21"/>
        <v>556597.5</v>
      </c>
      <c r="K76" s="45">
        <f t="shared" si="21"/>
        <v>612257.25</v>
      </c>
      <c r="L76" s="45">
        <f t="shared" si="21"/>
        <v>667917</v>
      </c>
      <c r="M76" s="45">
        <f t="shared" si="21"/>
        <v>723576.75</v>
      </c>
    </row>
    <row r="77" spans="1:13" x14ac:dyDescent="0.45">
      <c r="A77" t="s">
        <v>118</v>
      </c>
      <c r="B77" s="45">
        <f t="shared" ref="B77:M77" si="22">B$34*$B21</f>
        <v>0</v>
      </c>
      <c r="C77" s="45">
        <f t="shared" si="22"/>
        <v>0</v>
      </c>
      <c r="D77" s="45">
        <f t="shared" si="22"/>
        <v>0</v>
      </c>
      <c r="E77" s="45">
        <f t="shared" si="22"/>
        <v>0</v>
      </c>
      <c r="F77" s="45">
        <f t="shared" si="22"/>
        <v>0</v>
      </c>
      <c r="G77" s="45">
        <f t="shared" si="22"/>
        <v>0</v>
      </c>
      <c r="H77" s="45">
        <f t="shared" si="22"/>
        <v>0</v>
      </c>
      <c r="I77" s="45">
        <f t="shared" si="22"/>
        <v>0</v>
      </c>
      <c r="J77" s="45">
        <f t="shared" si="22"/>
        <v>0</v>
      </c>
      <c r="K77" s="45">
        <f t="shared" si="22"/>
        <v>0</v>
      </c>
      <c r="L77" s="45">
        <f t="shared" si="22"/>
        <v>0</v>
      </c>
      <c r="M77" s="45">
        <f t="shared" si="22"/>
        <v>0</v>
      </c>
    </row>
    <row r="78" spans="1:13" x14ac:dyDescent="0.45">
      <c r="A78" t="s">
        <v>119</v>
      </c>
      <c r="B78" s="45">
        <f t="shared" ref="B78:M78" si="23">B$34*$B22</f>
        <v>0</v>
      </c>
      <c r="C78" s="45">
        <f t="shared" si="23"/>
        <v>0</v>
      </c>
      <c r="D78" s="45">
        <f t="shared" si="23"/>
        <v>0</v>
      </c>
      <c r="E78" s="45">
        <f t="shared" si="23"/>
        <v>0</v>
      </c>
      <c r="F78" s="45">
        <f t="shared" si="23"/>
        <v>0</v>
      </c>
      <c r="G78" s="45">
        <f t="shared" si="23"/>
        <v>0</v>
      </c>
      <c r="H78" s="45">
        <f t="shared" si="23"/>
        <v>0</v>
      </c>
      <c r="I78" s="45">
        <f t="shared" si="23"/>
        <v>0</v>
      </c>
      <c r="J78" s="45">
        <f t="shared" si="23"/>
        <v>0</v>
      </c>
      <c r="K78" s="45">
        <f t="shared" si="23"/>
        <v>0</v>
      </c>
      <c r="L78" s="45">
        <f t="shared" si="23"/>
        <v>0</v>
      </c>
      <c r="M78" s="45">
        <f t="shared" si="23"/>
        <v>0</v>
      </c>
    </row>
    <row r="79" spans="1:13" x14ac:dyDescent="0.45">
      <c r="A79" t="s">
        <v>120</v>
      </c>
      <c r="B79" s="45">
        <f t="shared" ref="B79:M79" si="24">B$34*$B23</f>
        <v>2000</v>
      </c>
      <c r="C79" s="45">
        <f t="shared" si="24"/>
        <v>2500</v>
      </c>
      <c r="D79" s="45">
        <f t="shared" si="24"/>
        <v>3000</v>
      </c>
      <c r="E79" s="45">
        <f t="shared" si="24"/>
        <v>3500.0000000000005</v>
      </c>
      <c r="F79" s="45">
        <f t="shared" si="24"/>
        <v>4000</v>
      </c>
      <c r="G79" s="45">
        <f t="shared" si="24"/>
        <v>3500.0000000000005</v>
      </c>
      <c r="H79" s="45">
        <f t="shared" si="24"/>
        <v>4000</v>
      </c>
      <c r="I79" s="45">
        <f t="shared" si="24"/>
        <v>4500</v>
      </c>
      <c r="J79" s="45">
        <f t="shared" si="24"/>
        <v>5000</v>
      </c>
      <c r="K79" s="45">
        <f t="shared" si="24"/>
        <v>5500</v>
      </c>
      <c r="L79" s="45">
        <f t="shared" si="24"/>
        <v>6000</v>
      </c>
      <c r="M79" s="45">
        <f t="shared" si="24"/>
        <v>6500</v>
      </c>
    </row>
    <row r="80" spans="1:13" x14ac:dyDescent="0.45">
      <c r="A80" t="s">
        <v>121</v>
      </c>
      <c r="B80" s="45">
        <f t="shared" ref="B80:M80" si="25">B$34*$B24</f>
        <v>0</v>
      </c>
      <c r="C80" s="45">
        <f t="shared" si="25"/>
        <v>0</v>
      </c>
      <c r="D80" s="45">
        <f t="shared" si="25"/>
        <v>0</v>
      </c>
      <c r="E80" s="45">
        <f t="shared" si="25"/>
        <v>0</v>
      </c>
      <c r="F80" s="45">
        <f t="shared" si="25"/>
        <v>0</v>
      </c>
      <c r="G80" s="45">
        <f t="shared" si="25"/>
        <v>0</v>
      </c>
      <c r="H80" s="45">
        <f t="shared" si="25"/>
        <v>0</v>
      </c>
      <c r="I80" s="45">
        <f t="shared" si="25"/>
        <v>0</v>
      </c>
      <c r="J80" s="45">
        <f t="shared" si="25"/>
        <v>0</v>
      </c>
      <c r="K80" s="45">
        <f t="shared" si="25"/>
        <v>0</v>
      </c>
      <c r="L80" s="45">
        <f t="shared" si="25"/>
        <v>0</v>
      </c>
      <c r="M80" s="45">
        <f t="shared" si="25"/>
        <v>0</v>
      </c>
    </row>
    <row r="81" spans="1:13" x14ac:dyDescent="0.45">
      <c r="A81" t="s">
        <v>31</v>
      </c>
      <c r="B81" s="45">
        <f t="shared" ref="B81:M81" si="26">B$34*$B25</f>
        <v>0</v>
      </c>
      <c r="C81" s="45">
        <f t="shared" si="26"/>
        <v>0</v>
      </c>
      <c r="D81" s="45">
        <f t="shared" si="26"/>
        <v>0</v>
      </c>
      <c r="E81" s="45">
        <f t="shared" si="26"/>
        <v>0</v>
      </c>
      <c r="F81" s="45">
        <f t="shared" si="26"/>
        <v>0</v>
      </c>
      <c r="G81" s="45">
        <f t="shared" si="26"/>
        <v>0</v>
      </c>
      <c r="H81" s="45">
        <f t="shared" si="26"/>
        <v>0</v>
      </c>
      <c r="I81" s="45">
        <f t="shared" si="26"/>
        <v>0</v>
      </c>
      <c r="J81" s="45">
        <f t="shared" si="26"/>
        <v>0</v>
      </c>
      <c r="K81" s="45">
        <f t="shared" si="26"/>
        <v>0</v>
      </c>
      <c r="L81" s="45">
        <f t="shared" si="26"/>
        <v>0</v>
      </c>
      <c r="M81" s="45">
        <f t="shared" si="26"/>
        <v>0</v>
      </c>
    </row>
    <row r="82" spans="1:13" x14ac:dyDescent="0.45">
      <c r="A82" t="s">
        <v>122</v>
      </c>
      <c r="B82" s="45">
        <f t="shared" ref="B82:M82" si="27">B$34*$B26</f>
        <v>0</v>
      </c>
      <c r="C82" s="45">
        <f t="shared" si="27"/>
        <v>0</v>
      </c>
      <c r="D82" s="45">
        <f t="shared" si="27"/>
        <v>0</v>
      </c>
      <c r="E82" s="45">
        <f t="shared" si="27"/>
        <v>0</v>
      </c>
      <c r="F82" s="45">
        <f t="shared" si="27"/>
        <v>0</v>
      </c>
      <c r="G82" s="45">
        <f t="shared" si="27"/>
        <v>0</v>
      </c>
      <c r="H82" s="45">
        <f t="shared" si="27"/>
        <v>0</v>
      </c>
      <c r="I82" s="45">
        <f t="shared" si="27"/>
        <v>0</v>
      </c>
      <c r="J82" s="45">
        <f t="shared" si="27"/>
        <v>0</v>
      </c>
      <c r="K82" s="45">
        <f t="shared" si="27"/>
        <v>0</v>
      </c>
      <c r="L82" s="45">
        <f t="shared" si="27"/>
        <v>0</v>
      </c>
      <c r="M82" s="45">
        <f t="shared" si="27"/>
        <v>0</v>
      </c>
    </row>
    <row r="83" spans="1:13" x14ac:dyDescent="0.45">
      <c r="A83" t="s">
        <v>123</v>
      </c>
      <c r="B83" s="45">
        <f t="shared" ref="B83:M83" si="28">B$34*$B27</f>
        <v>0</v>
      </c>
      <c r="C83" s="45">
        <f t="shared" si="28"/>
        <v>0</v>
      </c>
      <c r="D83" s="45">
        <f t="shared" si="28"/>
        <v>0</v>
      </c>
      <c r="E83" s="45">
        <f t="shared" si="28"/>
        <v>0</v>
      </c>
      <c r="F83" s="45">
        <f t="shared" si="28"/>
        <v>0</v>
      </c>
      <c r="G83" s="45">
        <f t="shared" si="28"/>
        <v>0</v>
      </c>
      <c r="H83" s="45">
        <f t="shared" si="28"/>
        <v>0</v>
      </c>
      <c r="I83" s="45">
        <f t="shared" si="28"/>
        <v>0</v>
      </c>
      <c r="J83" s="45">
        <f t="shared" si="28"/>
        <v>0</v>
      </c>
      <c r="K83" s="45">
        <f t="shared" si="28"/>
        <v>0</v>
      </c>
      <c r="L83" s="45">
        <f t="shared" si="28"/>
        <v>0</v>
      </c>
      <c r="M83" s="45">
        <f t="shared" si="28"/>
        <v>0</v>
      </c>
    </row>
    <row r="84" spans="1:13" ht="18" x14ac:dyDescent="0.45">
      <c r="A84" s="39" t="s">
        <v>124</v>
      </c>
      <c r="B84" s="45">
        <f t="shared" ref="B84:M84" si="29">B$34*$B28</f>
        <v>224639</v>
      </c>
      <c r="C84" s="45">
        <f t="shared" si="29"/>
        <v>280798.75</v>
      </c>
      <c r="D84" s="45">
        <f t="shared" si="29"/>
        <v>336958.5</v>
      </c>
      <c r="E84" s="45">
        <f t="shared" si="29"/>
        <v>393118.25000000006</v>
      </c>
      <c r="F84" s="45">
        <f t="shared" si="29"/>
        <v>449278</v>
      </c>
      <c r="G84" s="45">
        <f t="shared" si="29"/>
        <v>393118.25000000006</v>
      </c>
      <c r="H84" s="45">
        <f t="shared" si="29"/>
        <v>449278</v>
      </c>
      <c r="I84" s="45">
        <f t="shared" si="29"/>
        <v>505437.75</v>
      </c>
      <c r="J84" s="45">
        <f t="shared" si="29"/>
        <v>561597.5</v>
      </c>
      <c r="K84" s="45">
        <f t="shared" si="29"/>
        <v>617757.25</v>
      </c>
      <c r="L84" s="45">
        <f t="shared" si="29"/>
        <v>673917</v>
      </c>
      <c r="M84" s="45">
        <f t="shared" si="29"/>
        <v>730076.75</v>
      </c>
    </row>
    <row r="85" spans="1:13" x14ac:dyDescent="0.45">
      <c r="A85" t="s">
        <v>103</v>
      </c>
      <c r="B85" s="45">
        <f>B63-B84</f>
        <v>125761</v>
      </c>
      <c r="C85" s="45">
        <f t="shared" ref="C85:M85" si="30">C63-C84</f>
        <v>157201.25</v>
      </c>
      <c r="D85" s="45">
        <f t="shared" si="30"/>
        <v>188641.5</v>
      </c>
      <c r="E85" s="45">
        <f t="shared" si="30"/>
        <v>220081.75000000006</v>
      </c>
      <c r="F85" s="45">
        <f t="shared" si="30"/>
        <v>251522</v>
      </c>
      <c r="G85" s="45">
        <f t="shared" si="30"/>
        <v>220081.75000000006</v>
      </c>
      <c r="H85" s="45">
        <f t="shared" si="30"/>
        <v>251522</v>
      </c>
      <c r="I85" s="45">
        <f t="shared" si="30"/>
        <v>282962.25</v>
      </c>
      <c r="J85" s="45">
        <f t="shared" si="30"/>
        <v>314402.5</v>
      </c>
      <c r="K85" s="45">
        <f t="shared" si="30"/>
        <v>345842.75</v>
      </c>
      <c r="L85" s="45">
        <f t="shared" si="30"/>
        <v>377283</v>
      </c>
      <c r="M85" s="45">
        <f t="shared" si="30"/>
        <v>408723.25</v>
      </c>
    </row>
    <row r="86" spans="1:13" x14ac:dyDescent="0.45">
      <c r="A86" t="s">
        <v>116</v>
      </c>
      <c r="B86" s="45">
        <f>B85+B87</f>
        <v>1132606</v>
      </c>
      <c r="C86" s="45">
        <f>B86+C85</f>
        <v>1289807.25</v>
      </c>
      <c r="D86" s="45">
        <f t="shared" ref="D86:M86" si="31">C86+D85</f>
        <v>1478448.75</v>
      </c>
      <c r="E86" s="45">
        <f t="shared" si="31"/>
        <v>1698530.5</v>
      </c>
      <c r="F86" s="45">
        <f t="shared" si="31"/>
        <v>1950052.5</v>
      </c>
      <c r="G86" s="45">
        <f t="shared" si="31"/>
        <v>2170134.25</v>
      </c>
      <c r="H86" s="45">
        <f t="shared" si="31"/>
        <v>2421656.25</v>
      </c>
      <c r="I86" s="45">
        <f t="shared" si="31"/>
        <v>2704618.5</v>
      </c>
      <c r="J86" s="45">
        <f t="shared" si="31"/>
        <v>3019021</v>
      </c>
      <c r="K86" s="45">
        <f t="shared" si="31"/>
        <v>3364863.75</v>
      </c>
      <c r="L86" s="45">
        <f t="shared" si="31"/>
        <v>3742146.75</v>
      </c>
      <c r="M86" s="45">
        <f t="shared" si="31"/>
        <v>4150870</v>
      </c>
    </row>
    <row r="87" spans="1:13" x14ac:dyDescent="0.45">
      <c r="A87" t="s">
        <v>125</v>
      </c>
      <c r="B87" s="45">
        <v>1006845</v>
      </c>
      <c r="C87" s="45">
        <v>0</v>
      </c>
      <c r="D87" s="45">
        <v>0</v>
      </c>
      <c r="E87" s="45">
        <v>0</v>
      </c>
      <c r="F87" s="45">
        <v>0</v>
      </c>
      <c r="G87" s="45">
        <v>0</v>
      </c>
      <c r="H87" s="45">
        <v>0</v>
      </c>
      <c r="I87" s="45">
        <v>0</v>
      </c>
      <c r="J87" s="45">
        <v>0</v>
      </c>
      <c r="K87" s="45">
        <v>0</v>
      </c>
      <c r="L87" s="45">
        <v>0</v>
      </c>
      <c r="M87" s="45">
        <v>0</v>
      </c>
    </row>
    <row r="88" spans="1:13" x14ac:dyDescent="0.45">
      <c r="B88" s="19"/>
      <c r="C88" s="19"/>
      <c r="D88" s="19"/>
    </row>
    <row r="89" spans="1:13" x14ac:dyDescent="0.45">
      <c r="B89" s="19"/>
      <c r="C89" s="19"/>
      <c r="D89" s="19"/>
    </row>
    <row r="90" spans="1:13" x14ac:dyDescent="0.45">
      <c r="B90" s="19"/>
      <c r="C90" s="19"/>
      <c r="D90" s="19"/>
    </row>
    <row r="91" spans="1:13" x14ac:dyDescent="0.45">
      <c r="B91" s="19"/>
      <c r="C91" s="19"/>
      <c r="D91" s="19"/>
    </row>
    <row r="92" spans="1:13" x14ac:dyDescent="0.45">
      <c r="B92" s="19"/>
      <c r="C92" s="19"/>
      <c r="D92" s="19"/>
    </row>
    <row r="93" spans="1:13" x14ac:dyDescent="0.45">
      <c r="B93" s="19"/>
      <c r="C93" s="19"/>
      <c r="D93" s="19"/>
    </row>
    <row r="94" spans="1:13" x14ac:dyDescent="0.45">
      <c r="B94" s="19"/>
      <c r="C94" s="19"/>
      <c r="D94" s="19"/>
    </row>
    <row r="95" spans="1:13" x14ac:dyDescent="0.45">
      <c r="B95" s="19"/>
      <c r="C95" s="19"/>
      <c r="D95" s="19"/>
    </row>
    <row r="96" spans="1:13" x14ac:dyDescent="0.45">
      <c r="B96" s="19"/>
      <c r="C96" s="19"/>
      <c r="D96" s="19"/>
    </row>
    <row r="97" spans="2:4" x14ac:dyDescent="0.45">
      <c r="B97" s="19"/>
      <c r="C97" s="19"/>
      <c r="D97" s="19"/>
    </row>
    <row r="98" spans="2:4" x14ac:dyDescent="0.45">
      <c r="B98" s="19"/>
      <c r="C98" s="19"/>
      <c r="D98" s="19"/>
    </row>
    <row r="99" spans="2:4" x14ac:dyDescent="0.45">
      <c r="B99" s="19"/>
      <c r="C99" s="19"/>
      <c r="D99" s="19"/>
    </row>
    <row r="100" spans="2:4" x14ac:dyDescent="0.45">
      <c r="B100" s="19"/>
      <c r="C100" s="19"/>
      <c r="D100" s="19"/>
    </row>
    <row r="101" spans="2:4" x14ac:dyDescent="0.45">
      <c r="B101" s="19"/>
      <c r="C101" s="19"/>
      <c r="D101" s="19"/>
    </row>
    <row r="102" spans="2:4" x14ac:dyDescent="0.45">
      <c r="B102" s="19"/>
      <c r="C102" s="19"/>
      <c r="D102" s="19"/>
    </row>
    <row r="103" spans="2:4" x14ac:dyDescent="0.45">
      <c r="B103" s="19"/>
      <c r="C103" s="19"/>
      <c r="D103" s="19"/>
    </row>
    <row r="104" spans="2:4" x14ac:dyDescent="0.45">
      <c r="B104" s="19"/>
      <c r="C104" s="19"/>
      <c r="D104" s="19"/>
    </row>
    <row r="105" spans="2:4" x14ac:dyDescent="0.45">
      <c r="B105" s="19"/>
      <c r="C105" s="19"/>
      <c r="D105" s="19"/>
    </row>
    <row r="106" spans="2:4" x14ac:dyDescent="0.45">
      <c r="B106" s="19"/>
      <c r="C106" s="19"/>
      <c r="D106" s="19"/>
    </row>
    <row r="107" spans="2:4" x14ac:dyDescent="0.45">
      <c r="B107" s="19"/>
      <c r="C107" s="19"/>
      <c r="D107" s="19"/>
    </row>
    <row r="108" spans="2:4" x14ac:dyDescent="0.45">
      <c r="B108" s="19"/>
      <c r="C108" s="19"/>
      <c r="D108" s="19"/>
    </row>
    <row r="109" spans="2:4" x14ac:dyDescent="0.45">
      <c r="B109" s="19"/>
      <c r="C109" s="19"/>
      <c r="D109" s="19"/>
    </row>
    <row r="110" spans="2:4" x14ac:dyDescent="0.45">
      <c r="B110" s="19"/>
      <c r="C110" s="19"/>
      <c r="D110" s="19"/>
    </row>
    <row r="111" spans="2:4" x14ac:dyDescent="0.45">
      <c r="B111" s="19"/>
      <c r="C111" s="19"/>
      <c r="D111" s="19"/>
    </row>
    <row r="112" spans="2:4" x14ac:dyDescent="0.45">
      <c r="B112" s="19"/>
      <c r="C112" s="19"/>
      <c r="D112" s="19"/>
    </row>
    <row r="113" spans="2:4" x14ac:dyDescent="0.45">
      <c r="B113" s="19"/>
      <c r="C113" s="19"/>
      <c r="D113" s="19"/>
    </row>
    <row r="114" spans="2:4" x14ac:dyDescent="0.45">
      <c r="B114" s="19"/>
      <c r="C114" s="19"/>
      <c r="D114" s="19"/>
    </row>
    <row r="115" spans="2:4" x14ac:dyDescent="0.45">
      <c r="B115" s="19"/>
      <c r="C115" s="19"/>
      <c r="D115" s="19"/>
    </row>
    <row r="116" spans="2:4" x14ac:dyDescent="0.45">
      <c r="B116" s="19"/>
      <c r="C116" s="19"/>
      <c r="D116" s="19"/>
    </row>
    <row r="117" spans="2:4" x14ac:dyDescent="0.45">
      <c r="B117" s="14"/>
      <c r="C117" s="14"/>
      <c r="D117" s="14"/>
    </row>
    <row r="118" spans="2:4" x14ac:dyDescent="0.45">
      <c r="B118" s="14"/>
      <c r="C118" s="14"/>
      <c r="D118" s="14"/>
    </row>
    <row r="119" spans="2:4" x14ac:dyDescent="0.45">
      <c r="B119" s="14"/>
      <c r="C119" s="14"/>
      <c r="D119" s="14"/>
    </row>
    <row r="120" spans="2:4" x14ac:dyDescent="0.45">
      <c r="B120" s="14"/>
      <c r="C120" s="14"/>
      <c r="D120" s="14"/>
    </row>
    <row r="121" spans="2:4" x14ac:dyDescent="0.45">
      <c r="B121" s="14"/>
      <c r="C121" s="14"/>
      <c r="D121" s="14"/>
    </row>
    <row r="122" spans="2:4" x14ac:dyDescent="0.45">
      <c r="B122" s="14"/>
      <c r="C122" s="14"/>
      <c r="D122" s="14"/>
    </row>
    <row r="123" spans="2:4" x14ac:dyDescent="0.45">
      <c r="B123" s="14"/>
      <c r="C123" s="14"/>
      <c r="D123" s="14"/>
    </row>
    <row r="124" spans="2:4" x14ac:dyDescent="0.45">
      <c r="B124" s="14"/>
      <c r="C124" s="14"/>
      <c r="D124" s="14"/>
    </row>
    <row r="125" spans="2:4" x14ac:dyDescent="0.45">
      <c r="B125" s="14"/>
      <c r="C125" s="14"/>
      <c r="D125" s="14"/>
    </row>
  </sheetData>
  <mergeCells count="2">
    <mergeCell ref="A1:D1"/>
    <mergeCell ref="A59:M59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07001-7136-43E8-AB04-C632326CF47B}">
  <dimension ref="A1:D122"/>
  <sheetViews>
    <sheetView workbookViewId="0">
      <selection activeCell="A17" sqref="A17:D18"/>
    </sheetView>
  </sheetViews>
  <sheetFormatPr defaultColWidth="8.796875" defaultRowHeight="14.25" x14ac:dyDescent="0.45"/>
  <cols>
    <col min="1" max="1" width="33" bestFit="1" customWidth="1"/>
    <col min="2" max="3" width="14.796875" bestFit="1" customWidth="1"/>
    <col min="4" max="4" width="15.796875" bestFit="1" customWidth="1"/>
  </cols>
  <sheetData>
    <row r="1" spans="1:4" s="29" customFormat="1" ht="25.25" customHeight="1" x14ac:dyDescent="0.45">
      <c r="A1" s="66" t="s">
        <v>131</v>
      </c>
      <c r="B1" s="66"/>
      <c r="C1" s="66"/>
      <c r="D1" s="66"/>
    </row>
    <row r="2" spans="1:4" ht="20" customHeight="1" x14ac:dyDescent="0.45">
      <c r="A2" s="30"/>
      <c r="B2" s="31">
        <v>2021</v>
      </c>
      <c r="C2" s="31">
        <v>2022</v>
      </c>
      <c r="D2" s="31">
        <v>2023</v>
      </c>
    </row>
    <row r="3" spans="1:4" x14ac:dyDescent="0.45">
      <c r="A3" s="7" t="s">
        <v>132</v>
      </c>
      <c r="B3" s="46">
        <v>8760000</v>
      </c>
      <c r="C3" s="46">
        <v>9636000</v>
      </c>
      <c r="D3" s="46">
        <v>10599600</v>
      </c>
    </row>
    <row r="4" spans="1:4" x14ac:dyDescent="0.45">
      <c r="A4" s="7" t="s">
        <v>133</v>
      </c>
      <c r="B4" s="46">
        <v>3066000</v>
      </c>
      <c r="C4" s="46">
        <v>3372600</v>
      </c>
      <c r="D4" s="46">
        <v>3709860</v>
      </c>
    </row>
    <row r="5" spans="1:4" x14ac:dyDescent="0.45">
      <c r="A5" s="7" t="s">
        <v>135</v>
      </c>
      <c r="B5" s="46">
        <v>0</v>
      </c>
      <c r="C5" s="46">
        <v>0</v>
      </c>
      <c r="D5" s="46">
        <v>0</v>
      </c>
    </row>
    <row r="6" spans="1:4" s="29" customFormat="1" ht="25.05" customHeight="1" x14ac:dyDescent="0.45">
      <c r="A6" s="39" t="s">
        <v>136</v>
      </c>
      <c r="B6" s="47">
        <f>B4</f>
        <v>3066000</v>
      </c>
      <c r="C6" s="47">
        <f>C4</f>
        <v>3372600</v>
      </c>
      <c r="D6" s="47">
        <f>D4</f>
        <v>3709860</v>
      </c>
    </row>
    <row r="7" spans="1:4" s="29" customFormat="1" ht="25.05" customHeight="1" x14ac:dyDescent="0.45">
      <c r="A7" s="39" t="s">
        <v>137</v>
      </c>
      <c r="B7" s="47">
        <f>B3-B6</f>
        <v>5694000</v>
      </c>
      <c r="C7" s="47">
        <f t="shared" ref="C7:D7" si="0">C3-C6</f>
        <v>6263400</v>
      </c>
      <c r="D7" s="47">
        <f t="shared" si="0"/>
        <v>6889740</v>
      </c>
    </row>
    <row r="8" spans="1:4" s="29" customFormat="1" ht="25.05" customHeight="1" x14ac:dyDescent="0.45">
      <c r="A8" s="39" t="s">
        <v>138</v>
      </c>
      <c r="B8" s="48">
        <f>B7/B3</f>
        <v>0.65</v>
      </c>
      <c r="C8" s="48">
        <f t="shared" ref="C8:D8" si="1">C7/C3</f>
        <v>0.65</v>
      </c>
      <c r="D8" s="48">
        <f t="shared" si="1"/>
        <v>0.65</v>
      </c>
    </row>
    <row r="9" spans="1:4" x14ac:dyDescent="0.45">
      <c r="A9" s="7" t="s">
        <v>139</v>
      </c>
      <c r="B9" s="46">
        <f>'Cash Flow Sheet'!B18</f>
        <v>648000</v>
      </c>
      <c r="C9" s="46">
        <f>'Cash Flow Sheet'!C18</f>
        <v>712800</v>
      </c>
      <c r="D9" s="46">
        <f>'Cash Flow Sheet'!D18</f>
        <v>784080</v>
      </c>
    </row>
    <row r="10" spans="1:4" x14ac:dyDescent="0.45">
      <c r="A10" s="7" t="s">
        <v>140</v>
      </c>
      <c r="B10" s="46">
        <v>415200</v>
      </c>
      <c r="C10" s="46">
        <f>B10*7%+B10</f>
        <v>444264</v>
      </c>
      <c r="D10" s="46">
        <f>C10*7%+C10</f>
        <v>475362.48</v>
      </c>
    </row>
    <row r="11" spans="1:4" x14ac:dyDescent="0.45">
      <c r="A11" s="7" t="s">
        <v>141</v>
      </c>
      <c r="B11" s="46">
        <v>50000</v>
      </c>
      <c r="C11" s="46">
        <v>55000</v>
      </c>
      <c r="D11" s="46">
        <v>60000</v>
      </c>
    </row>
    <row r="12" spans="1:4" x14ac:dyDescent="0.45">
      <c r="A12" s="7" t="s">
        <v>8</v>
      </c>
      <c r="B12" s="46">
        <v>66000</v>
      </c>
      <c r="C12" s="46">
        <v>66000</v>
      </c>
      <c r="D12" s="46">
        <v>66000</v>
      </c>
    </row>
    <row r="13" spans="1:4" x14ac:dyDescent="0.45">
      <c r="A13" s="7" t="s">
        <v>142</v>
      </c>
      <c r="B13" s="46">
        <v>50000</v>
      </c>
      <c r="C13" s="46">
        <v>60000</v>
      </c>
      <c r="D13" s="46">
        <v>70000</v>
      </c>
    </row>
    <row r="14" spans="1:4" x14ac:dyDescent="0.45">
      <c r="A14" s="7" t="s">
        <v>143</v>
      </c>
      <c r="B14" s="46">
        <v>40000</v>
      </c>
      <c r="C14" s="46">
        <v>40000</v>
      </c>
      <c r="D14" s="46">
        <v>50000</v>
      </c>
    </row>
    <row r="15" spans="1:4" x14ac:dyDescent="0.45">
      <c r="A15" s="7" t="s">
        <v>144</v>
      </c>
      <c r="B15" s="46">
        <f>B9*10%</f>
        <v>64800</v>
      </c>
      <c r="C15" s="46">
        <f>C9*10%</f>
        <v>71280</v>
      </c>
      <c r="D15" s="46">
        <f>D9*10%</f>
        <v>78408</v>
      </c>
    </row>
    <row r="16" spans="1:4" s="29" customFormat="1" ht="25.05" customHeight="1" x14ac:dyDescent="0.45">
      <c r="A16" s="39" t="s">
        <v>145</v>
      </c>
      <c r="B16" s="47">
        <f>B15+B14+B13+B12+B11+B10+B9+B6</f>
        <v>4400000</v>
      </c>
      <c r="C16" s="47">
        <f t="shared" ref="C16:D16" si="2">C15+C14+C13+C12+C11+C10+C9+C6</f>
        <v>4821944</v>
      </c>
      <c r="D16" s="47">
        <f t="shared" si="2"/>
        <v>5293710.4800000004</v>
      </c>
    </row>
    <row r="17" spans="1:4" s="29" customFormat="1" ht="25.05" customHeight="1" x14ac:dyDescent="0.45">
      <c r="A17" s="39" t="s">
        <v>146</v>
      </c>
      <c r="B17" s="47">
        <f>B7-B16</f>
        <v>1294000</v>
      </c>
      <c r="C17" s="47">
        <f t="shared" ref="C17:D17" si="3">C7-C16</f>
        <v>1441456</v>
      </c>
      <c r="D17" s="47">
        <f t="shared" si="3"/>
        <v>1596029.5199999996</v>
      </c>
    </row>
    <row r="18" spans="1:4" s="29" customFormat="1" ht="25.05" customHeight="1" x14ac:dyDescent="0.45">
      <c r="A18" s="39" t="s">
        <v>147</v>
      </c>
      <c r="B18" s="48">
        <f>B17/B3</f>
        <v>0.14771689497716894</v>
      </c>
      <c r="C18" s="48">
        <f t="shared" ref="C18:D18" si="4">C17/C3</f>
        <v>0.14959070153590701</v>
      </c>
      <c r="D18" s="48">
        <f t="shared" si="4"/>
        <v>0.15057450469829045</v>
      </c>
    </row>
    <row r="19" spans="1:4" x14ac:dyDescent="0.45">
      <c r="B19" s="14"/>
      <c r="C19" s="14"/>
      <c r="D19" s="14"/>
    </row>
    <row r="20" spans="1:4" x14ac:dyDescent="0.45">
      <c r="B20" s="14"/>
      <c r="C20" s="14"/>
      <c r="D20" s="14"/>
    </row>
    <row r="21" spans="1:4" x14ac:dyDescent="0.45">
      <c r="B21" s="14"/>
      <c r="C21" s="14"/>
      <c r="D21" s="14"/>
    </row>
    <row r="22" spans="1:4" x14ac:dyDescent="0.45">
      <c r="B22" s="14"/>
      <c r="C22" s="14"/>
      <c r="D22" s="14"/>
    </row>
    <row r="23" spans="1:4" x14ac:dyDescent="0.45">
      <c r="B23" s="14"/>
      <c r="C23" s="14"/>
      <c r="D23" s="14"/>
    </row>
    <row r="24" spans="1:4" x14ac:dyDescent="0.45">
      <c r="B24" s="14"/>
      <c r="C24" s="14"/>
      <c r="D24" s="14"/>
    </row>
    <row r="25" spans="1:4" x14ac:dyDescent="0.45">
      <c r="B25" s="14"/>
      <c r="C25" s="14"/>
      <c r="D25" s="14"/>
    </row>
    <row r="26" spans="1:4" x14ac:dyDescent="0.45">
      <c r="B26" s="14"/>
      <c r="C26" s="14"/>
      <c r="D26" s="14"/>
    </row>
    <row r="27" spans="1:4" x14ac:dyDescent="0.45">
      <c r="B27" s="14"/>
      <c r="C27" s="14"/>
      <c r="D27" s="14"/>
    </row>
    <row r="28" spans="1:4" x14ac:dyDescent="0.45">
      <c r="B28" s="14"/>
      <c r="C28" s="14"/>
      <c r="D28" s="14"/>
    </row>
    <row r="29" spans="1:4" x14ac:dyDescent="0.45">
      <c r="B29" s="14"/>
      <c r="C29" s="14"/>
      <c r="D29" s="14"/>
    </row>
    <row r="30" spans="1:4" x14ac:dyDescent="0.45">
      <c r="B30" s="14"/>
      <c r="C30" s="14"/>
      <c r="D30" s="14"/>
    </row>
    <row r="31" spans="1:4" x14ac:dyDescent="0.45">
      <c r="B31" s="14"/>
      <c r="C31" s="14"/>
      <c r="D31" s="14"/>
    </row>
    <row r="32" spans="1:4" x14ac:dyDescent="0.45">
      <c r="B32" s="14"/>
      <c r="C32" s="14"/>
      <c r="D32" s="14"/>
    </row>
    <row r="33" spans="2:4" x14ac:dyDescent="0.45">
      <c r="B33" s="14"/>
      <c r="C33" s="14"/>
      <c r="D33" s="14"/>
    </row>
    <row r="34" spans="2:4" x14ac:dyDescent="0.45">
      <c r="B34" s="14"/>
      <c r="C34" s="14"/>
      <c r="D34" s="14"/>
    </row>
    <row r="35" spans="2:4" x14ac:dyDescent="0.45">
      <c r="B35" s="14"/>
      <c r="C35" s="14"/>
      <c r="D35" s="14"/>
    </row>
    <row r="36" spans="2:4" x14ac:dyDescent="0.45">
      <c r="B36" s="14"/>
      <c r="C36" s="14"/>
      <c r="D36" s="14"/>
    </row>
    <row r="37" spans="2:4" x14ac:dyDescent="0.45">
      <c r="B37" s="14"/>
      <c r="C37" s="14"/>
      <c r="D37" s="14"/>
    </row>
    <row r="38" spans="2:4" x14ac:dyDescent="0.45">
      <c r="B38" s="14"/>
      <c r="C38" s="14"/>
      <c r="D38" s="14"/>
    </row>
    <row r="39" spans="2:4" x14ac:dyDescent="0.45">
      <c r="B39" s="14"/>
      <c r="C39" s="14"/>
      <c r="D39" s="14"/>
    </row>
    <row r="40" spans="2:4" x14ac:dyDescent="0.45">
      <c r="B40" s="14"/>
      <c r="C40" s="14"/>
      <c r="D40" s="14"/>
    </row>
    <row r="41" spans="2:4" x14ac:dyDescent="0.45">
      <c r="B41" s="14"/>
      <c r="C41" s="14"/>
      <c r="D41" s="14"/>
    </row>
    <row r="42" spans="2:4" x14ac:dyDescent="0.45">
      <c r="B42" s="14"/>
      <c r="C42" s="14"/>
      <c r="D42" s="14"/>
    </row>
    <row r="43" spans="2:4" x14ac:dyDescent="0.45">
      <c r="B43" s="14"/>
      <c r="C43" s="14"/>
      <c r="D43" s="14"/>
    </row>
    <row r="44" spans="2:4" x14ac:dyDescent="0.45">
      <c r="B44" s="14"/>
      <c r="C44" s="14"/>
      <c r="D44" s="14"/>
    </row>
    <row r="45" spans="2:4" x14ac:dyDescent="0.45">
      <c r="B45" s="14"/>
      <c r="C45" s="14"/>
      <c r="D45" s="14"/>
    </row>
    <row r="46" spans="2:4" x14ac:dyDescent="0.45">
      <c r="B46" s="14"/>
      <c r="C46" s="14"/>
      <c r="D46" s="14"/>
    </row>
    <row r="47" spans="2:4" x14ac:dyDescent="0.45">
      <c r="B47" s="14"/>
      <c r="C47" s="14"/>
      <c r="D47" s="14"/>
    </row>
    <row r="48" spans="2:4" x14ac:dyDescent="0.45">
      <c r="B48" s="14"/>
      <c r="C48" s="14"/>
      <c r="D48" s="14"/>
    </row>
    <row r="49" spans="2:4" x14ac:dyDescent="0.45">
      <c r="B49" s="14"/>
      <c r="C49" s="14"/>
      <c r="D49" s="14"/>
    </row>
    <row r="50" spans="2:4" x14ac:dyDescent="0.45">
      <c r="B50" s="14"/>
      <c r="C50" s="14"/>
      <c r="D50" s="14"/>
    </row>
    <row r="51" spans="2:4" x14ac:dyDescent="0.45">
      <c r="B51" s="14"/>
      <c r="C51" s="14"/>
      <c r="D51" s="14"/>
    </row>
    <row r="52" spans="2:4" x14ac:dyDescent="0.45">
      <c r="B52" s="14"/>
      <c r="C52" s="14"/>
      <c r="D52" s="14"/>
    </row>
    <row r="53" spans="2:4" x14ac:dyDescent="0.45">
      <c r="B53" s="14"/>
      <c r="C53" s="14"/>
      <c r="D53" s="14"/>
    </row>
    <row r="54" spans="2:4" x14ac:dyDescent="0.45">
      <c r="B54" s="14"/>
      <c r="C54" s="14"/>
      <c r="D54" s="14"/>
    </row>
    <row r="55" spans="2:4" x14ac:dyDescent="0.45">
      <c r="B55" s="14"/>
      <c r="C55" s="14"/>
      <c r="D55" s="14"/>
    </row>
    <row r="56" spans="2:4" x14ac:dyDescent="0.45">
      <c r="B56" s="14"/>
      <c r="C56" s="14"/>
      <c r="D56" s="14"/>
    </row>
    <row r="57" spans="2:4" x14ac:dyDescent="0.45">
      <c r="B57" s="14"/>
      <c r="C57" s="14"/>
      <c r="D57" s="14"/>
    </row>
    <row r="58" spans="2:4" x14ac:dyDescent="0.45">
      <c r="B58" s="14"/>
      <c r="C58" s="14"/>
      <c r="D58" s="14"/>
    </row>
    <row r="59" spans="2:4" x14ac:dyDescent="0.45">
      <c r="B59" s="14"/>
      <c r="C59" s="14"/>
      <c r="D59" s="14"/>
    </row>
    <row r="60" spans="2:4" x14ac:dyDescent="0.45">
      <c r="B60" s="14"/>
      <c r="C60" s="14"/>
      <c r="D60" s="14"/>
    </row>
    <row r="61" spans="2:4" x14ac:dyDescent="0.45">
      <c r="B61" s="14"/>
      <c r="C61" s="14"/>
      <c r="D61" s="14"/>
    </row>
    <row r="62" spans="2:4" x14ac:dyDescent="0.45">
      <c r="B62" s="14"/>
      <c r="C62" s="14"/>
      <c r="D62" s="14"/>
    </row>
    <row r="63" spans="2:4" x14ac:dyDescent="0.45">
      <c r="B63" s="14"/>
      <c r="C63" s="14"/>
      <c r="D63" s="14"/>
    </row>
    <row r="64" spans="2:4" x14ac:dyDescent="0.45">
      <c r="B64" s="14"/>
      <c r="C64" s="14"/>
      <c r="D64" s="14"/>
    </row>
    <row r="65" spans="2:4" x14ac:dyDescent="0.45">
      <c r="B65" s="14"/>
      <c r="C65" s="14"/>
      <c r="D65" s="14"/>
    </row>
    <row r="66" spans="2:4" x14ac:dyDescent="0.45">
      <c r="B66" s="14"/>
      <c r="C66" s="14"/>
      <c r="D66" s="14"/>
    </row>
    <row r="67" spans="2:4" x14ac:dyDescent="0.45">
      <c r="B67" s="14"/>
      <c r="C67" s="14"/>
      <c r="D67" s="14"/>
    </row>
    <row r="68" spans="2:4" x14ac:dyDescent="0.45">
      <c r="B68" s="14"/>
      <c r="C68" s="14"/>
      <c r="D68" s="14"/>
    </row>
    <row r="69" spans="2:4" x14ac:dyDescent="0.45">
      <c r="B69" s="14"/>
      <c r="C69" s="14"/>
      <c r="D69" s="14"/>
    </row>
    <row r="70" spans="2:4" x14ac:dyDescent="0.45">
      <c r="B70" s="14"/>
      <c r="C70" s="14"/>
      <c r="D70" s="14"/>
    </row>
    <row r="71" spans="2:4" x14ac:dyDescent="0.45">
      <c r="B71" s="14"/>
      <c r="C71" s="14"/>
      <c r="D71" s="14"/>
    </row>
    <row r="72" spans="2:4" x14ac:dyDescent="0.45">
      <c r="B72" s="14"/>
      <c r="C72" s="14"/>
      <c r="D72" s="14"/>
    </row>
    <row r="73" spans="2:4" x14ac:dyDescent="0.45">
      <c r="B73" s="14"/>
      <c r="C73" s="14"/>
      <c r="D73" s="14"/>
    </row>
    <row r="74" spans="2:4" x14ac:dyDescent="0.45">
      <c r="B74" s="14"/>
      <c r="C74" s="14"/>
      <c r="D74" s="14"/>
    </row>
    <row r="75" spans="2:4" x14ac:dyDescent="0.45">
      <c r="B75" s="14"/>
      <c r="C75" s="14"/>
      <c r="D75" s="14"/>
    </row>
    <row r="76" spans="2:4" x14ac:dyDescent="0.45">
      <c r="B76" s="14"/>
      <c r="C76" s="14"/>
      <c r="D76" s="14"/>
    </row>
    <row r="77" spans="2:4" x14ac:dyDescent="0.45">
      <c r="B77" s="14"/>
      <c r="C77" s="14"/>
      <c r="D77" s="14"/>
    </row>
    <row r="78" spans="2:4" x14ac:dyDescent="0.45">
      <c r="B78" s="14"/>
      <c r="C78" s="14"/>
      <c r="D78" s="14"/>
    </row>
    <row r="79" spans="2:4" x14ac:dyDescent="0.45">
      <c r="B79" s="14"/>
      <c r="C79" s="14"/>
      <c r="D79" s="14"/>
    </row>
    <row r="80" spans="2:4" x14ac:dyDescent="0.45">
      <c r="B80" s="14"/>
      <c r="C80" s="14"/>
      <c r="D80" s="14"/>
    </row>
    <row r="81" spans="2:4" x14ac:dyDescent="0.45">
      <c r="B81" s="14"/>
      <c r="C81" s="14"/>
      <c r="D81" s="14"/>
    </row>
    <row r="82" spans="2:4" x14ac:dyDescent="0.45">
      <c r="B82" s="14"/>
      <c r="C82" s="14"/>
      <c r="D82" s="14"/>
    </row>
    <row r="83" spans="2:4" x14ac:dyDescent="0.45">
      <c r="B83" s="14"/>
      <c r="C83" s="14"/>
      <c r="D83" s="14"/>
    </row>
    <row r="84" spans="2:4" x14ac:dyDescent="0.45">
      <c r="B84" s="14"/>
      <c r="C84" s="14"/>
      <c r="D84" s="14"/>
    </row>
    <row r="85" spans="2:4" x14ac:dyDescent="0.45">
      <c r="B85" s="14"/>
      <c r="C85" s="14"/>
      <c r="D85" s="14"/>
    </row>
    <row r="86" spans="2:4" x14ac:dyDescent="0.45">
      <c r="B86" s="14"/>
      <c r="C86" s="14"/>
      <c r="D86" s="14"/>
    </row>
    <row r="87" spans="2:4" x14ac:dyDescent="0.45">
      <c r="B87" s="14"/>
      <c r="C87" s="14"/>
      <c r="D87" s="14"/>
    </row>
    <row r="88" spans="2:4" x14ac:dyDescent="0.45">
      <c r="B88" s="14"/>
      <c r="C88" s="14"/>
      <c r="D88" s="14"/>
    </row>
    <row r="89" spans="2:4" x14ac:dyDescent="0.45">
      <c r="B89" s="14"/>
      <c r="C89" s="14"/>
      <c r="D89" s="14"/>
    </row>
    <row r="90" spans="2:4" x14ac:dyDescent="0.45">
      <c r="B90" s="14"/>
      <c r="C90" s="14"/>
      <c r="D90" s="14"/>
    </row>
    <row r="91" spans="2:4" x14ac:dyDescent="0.45">
      <c r="B91" s="14"/>
      <c r="C91" s="14"/>
      <c r="D91" s="14"/>
    </row>
    <row r="92" spans="2:4" x14ac:dyDescent="0.45">
      <c r="B92" s="14"/>
      <c r="C92" s="14"/>
      <c r="D92" s="14"/>
    </row>
    <row r="93" spans="2:4" x14ac:dyDescent="0.45">
      <c r="B93" s="14"/>
      <c r="C93" s="14"/>
      <c r="D93" s="14"/>
    </row>
    <row r="94" spans="2:4" x14ac:dyDescent="0.45">
      <c r="B94" s="14"/>
      <c r="C94" s="14"/>
      <c r="D94" s="14"/>
    </row>
    <row r="95" spans="2:4" x14ac:dyDescent="0.45">
      <c r="B95" s="14"/>
      <c r="C95" s="14"/>
      <c r="D95" s="14"/>
    </row>
    <row r="96" spans="2:4" x14ac:dyDescent="0.45">
      <c r="B96" s="14"/>
      <c r="C96" s="14"/>
      <c r="D96" s="14"/>
    </row>
    <row r="97" spans="2:4" x14ac:dyDescent="0.45">
      <c r="B97" s="14"/>
      <c r="C97" s="14"/>
      <c r="D97" s="14"/>
    </row>
    <row r="98" spans="2:4" x14ac:dyDescent="0.45">
      <c r="B98" s="14"/>
      <c r="C98" s="14"/>
      <c r="D98" s="14"/>
    </row>
    <row r="99" spans="2:4" x14ac:dyDescent="0.45">
      <c r="B99" s="14"/>
      <c r="C99" s="14"/>
      <c r="D99" s="14"/>
    </row>
    <row r="100" spans="2:4" x14ac:dyDescent="0.45">
      <c r="B100" s="14"/>
      <c r="C100" s="14"/>
      <c r="D100" s="14"/>
    </row>
    <row r="101" spans="2:4" x14ac:dyDescent="0.45">
      <c r="B101" s="14"/>
      <c r="C101" s="14"/>
      <c r="D101" s="14"/>
    </row>
    <row r="102" spans="2:4" x14ac:dyDescent="0.45">
      <c r="B102" s="14"/>
      <c r="C102" s="14"/>
      <c r="D102" s="14"/>
    </row>
    <row r="103" spans="2:4" x14ac:dyDescent="0.45">
      <c r="B103" s="14"/>
      <c r="C103" s="14"/>
      <c r="D103" s="14"/>
    </row>
    <row r="104" spans="2:4" x14ac:dyDescent="0.45">
      <c r="B104" s="14"/>
      <c r="C104" s="14"/>
      <c r="D104" s="14"/>
    </row>
    <row r="105" spans="2:4" x14ac:dyDescent="0.45">
      <c r="B105" s="14"/>
      <c r="C105" s="14"/>
      <c r="D105" s="14"/>
    </row>
    <row r="106" spans="2:4" x14ac:dyDescent="0.45">
      <c r="B106" s="14"/>
      <c r="C106" s="14"/>
      <c r="D106" s="14"/>
    </row>
    <row r="107" spans="2:4" x14ac:dyDescent="0.45">
      <c r="B107" s="14"/>
      <c r="C107" s="14"/>
      <c r="D107" s="14"/>
    </row>
    <row r="108" spans="2:4" x14ac:dyDescent="0.45">
      <c r="B108" s="14"/>
      <c r="C108" s="14"/>
      <c r="D108" s="14"/>
    </row>
    <row r="109" spans="2:4" x14ac:dyDescent="0.45">
      <c r="B109" s="14"/>
      <c r="C109" s="14"/>
      <c r="D109" s="14"/>
    </row>
    <row r="110" spans="2:4" x14ac:dyDescent="0.45">
      <c r="B110" s="14"/>
      <c r="C110" s="14"/>
      <c r="D110" s="14"/>
    </row>
    <row r="111" spans="2:4" x14ac:dyDescent="0.45">
      <c r="B111" s="14"/>
      <c r="C111" s="14"/>
      <c r="D111" s="14"/>
    </row>
    <row r="112" spans="2:4" x14ac:dyDescent="0.45">
      <c r="B112" s="14"/>
      <c r="C112" s="14"/>
      <c r="D112" s="14"/>
    </row>
    <row r="113" spans="2:4" x14ac:dyDescent="0.45">
      <c r="B113" s="14"/>
      <c r="C113" s="14"/>
      <c r="D113" s="14"/>
    </row>
    <row r="114" spans="2:4" x14ac:dyDescent="0.45">
      <c r="B114" s="14"/>
      <c r="C114" s="14"/>
      <c r="D114" s="14"/>
    </row>
    <row r="115" spans="2:4" x14ac:dyDescent="0.45">
      <c r="B115" s="14"/>
      <c r="C115" s="14"/>
      <c r="D115" s="14"/>
    </row>
    <row r="116" spans="2:4" x14ac:dyDescent="0.45">
      <c r="B116" s="14"/>
      <c r="C116" s="14"/>
      <c r="D116" s="14"/>
    </row>
    <row r="117" spans="2:4" x14ac:dyDescent="0.45">
      <c r="B117" s="14"/>
      <c r="C117" s="14"/>
      <c r="D117" s="14"/>
    </row>
    <row r="118" spans="2:4" x14ac:dyDescent="0.45">
      <c r="B118" s="14"/>
      <c r="C118" s="14"/>
      <c r="D118" s="14"/>
    </row>
    <row r="119" spans="2:4" x14ac:dyDescent="0.45">
      <c r="B119" s="14"/>
      <c r="C119" s="14"/>
      <c r="D119" s="14"/>
    </row>
    <row r="120" spans="2:4" x14ac:dyDescent="0.45">
      <c r="B120" s="14"/>
      <c r="C120" s="14"/>
      <c r="D120" s="14"/>
    </row>
    <row r="121" spans="2:4" x14ac:dyDescent="0.45">
      <c r="B121" s="14"/>
      <c r="C121" s="14"/>
      <c r="D121" s="14"/>
    </row>
    <row r="122" spans="2:4" x14ac:dyDescent="0.45">
      <c r="B122" s="14"/>
      <c r="C122" s="14"/>
      <c r="D122" s="14"/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2BB1E-BC1A-4953-ACC6-31D655A7D939}">
  <dimension ref="A1:F25"/>
  <sheetViews>
    <sheetView topLeftCell="A13" workbookViewId="0">
      <selection activeCell="D16" sqref="D16"/>
    </sheetView>
  </sheetViews>
  <sheetFormatPr defaultColWidth="8.796875" defaultRowHeight="14.25" x14ac:dyDescent="0.45"/>
  <cols>
    <col min="1" max="1" width="109.33203125" bestFit="1" customWidth="1"/>
    <col min="2" max="3" width="14.796875" bestFit="1" customWidth="1"/>
    <col min="4" max="6" width="13.33203125" bestFit="1" customWidth="1"/>
  </cols>
  <sheetData>
    <row r="1" spans="1:2" x14ac:dyDescent="0.45">
      <c r="A1" t="s">
        <v>148</v>
      </c>
    </row>
    <row r="2" spans="1:2" x14ac:dyDescent="0.45">
      <c r="A2" t="s">
        <v>149</v>
      </c>
    </row>
    <row r="3" spans="1:2" x14ac:dyDescent="0.45">
      <c r="A3" t="s">
        <v>150</v>
      </c>
    </row>
    <row r="4" spans="1:2" x14ac:dyDescent="0.45">
      <c r="A4" t="s">
        <v>152</v>
      </c>
      <c r="B4">
        <v>40</v>
      </c>
    </row>
    <row r="5" spans="1:2" x14ac:dyDescent="0.45">
      <c r="A5" t="s">
        <v>153</v>
      </c>
      <c r="B5">
        <v>5.9</v>
      </c>
    </row>
    <row r="6" spans="1:2" x14ac:dyDescent="0.45">
      <c r="A6" t="s">
        <v>160</v>
      </c>
      <c r="B6">
        <f>B7*A25%</f>
        <v>23.691818181818185</v>
      </c>
    </row>
    <row r="7" spans="1:2" x14ac:dyDescent="0.45">
      <c r="A7" t="s">
        <v>154</v>
      </c>
      <c r="B7">
        <v>34</v>
      </c>
    </row>
    <row r="8" spans="1:2" x14ac:dyDescent="0.45">
      <c r="A8" t="s">
        <v>155</v>
      </c>
      <c r="B8" s="40">
        <f>B11/40</f>
        <v>14102.564102564103</v>
      </c>
    </row>
    <row r="9" spans="1:2" x14ac:dyDescent="0.45">
      <c r="A9" t="s">
        <v>151</v>
      </c>
    </row>
    <row r="10" spans="1:2" x14ac:dyDescent="0.45">
      <c r="A10" t="s">
        <v>156</v>
      </c>
      <c r="B10" s="14">
        <f>4400000/65%</f>
        <v>6769230.769230769</v>
      </c>
    </row>
    <row r="11" spans="1:2" x14ac:dyDescent="0.45">
      <c r="A11" t="s">
        <v>157</v>
      </c>
      <c r="B11" s="14">
        <f>B10/12</f>
        <v>564102.56410256412</v>
      </c>
    </row>
    <row r="12" spans="1:2" x14ac:dyDescent="0.45">
      <c r="A12" t="s">
        <v>161</v>
      </c>
      <c r="B12" s="40">
        <f>('P&amp;L'!B16-'P&amp;L'!B6)/12</f>
        <v>111166.66666666667</v>
      </c>
    </row>
    <row r="18" spans="1:6" x14ac:dyDescent="0.45">
      <c r="B18" s="42" t="s">
        <v>158</v>
      </c>
      <c r="C18" s="42" t="s">
        <v>159</v>
      </c>
      <c r="D18" s="42" t="s">
        <v>162</v>
      </c>
      <c r="E18" s="42" t="s">
        <v>163</v>
      </c>
      <c r="F18" s="42" t="s">
        <v>164</v>
      </c>
    </row>
    <row r="19" spans="1:6" x14ac:dyDescent="0.45">
      <c r="B19" s="41">
        <v>1000</v>
      </c>
      <c r="C19" s="34">
        <f>B19*B4</f>
        <v>40000</v>
      </c>
      <c r="D19" s="34">
        <f>E19+F19</f>
        <v>145166.66666666669</v>
      </c>
      <c r="E19" s="34">
        <v>111166.66666666667</v>
      </c>
      <c r="F19" s="34">
        <f>B19*B7</f>
        <v>34000</v>
      </c>
    </row>
    <row r="20" spans="1:6" x14ac:dyDescent="0.45">
      <c r="B20" s="41">
        <v>5000</v>
      </c>
      <c r="C20" s="34">
        <f>B20*40</f>
        <v>200000</v>
      </c>
      <c r="D20" s="34">
        <f>E20+F20</f>
        <v>229625.7575757576</v>
      </c>
      <c r="E20" s="34">
        <f>B12</f>
        <v>111166.66666666667</v>
      </c>
      <c r="F20" s="34">
        <f>B6*B20</f>
        <v>118459.09090909093</v>
      </c>
    </row>
    <row r="21" spans="1:6" x14ac:dyDescent="0.45">
      <c r="B21" s="41">
        <v>10000</v>
      </c>
      <c r="C21" s="34">
        <f t="shared" ref="C21:C24" si="0">B21*40</f>
        <v>400000</v>
      </c>
      <c r="D21" s="34">
        <f t="shared" ref="D21:D24" si="1">E21+F21</f>
        <v>348084.84848484851</v>
      </c>
      <c r="E21" s="34">
        <v>111166.66666666667</v>
      </c>
      <c r="F21" s="34">
        <f>B21*B6</f>
        <v>236918.18181818185</v>
      </c>
    </row>
    <row r="22" spans="1:6" x14ac:dyDescent="0.45">
      <c r="B22" s="41">
        <v>15000</v>
      </c>
      <c r="C22" s="34">
        <f t="shared" si="0"/>
        <v>600000</v>
      </c>
      <c r="D22" s="34">
        <f t="shared" si="1"/>
        <v>466543.93939393945</v>
      </c>
      <c r="E22" s="34">
        <v>111166.66666666667</v>
      </c>
      <c r="F22" s="34">
        <f>B22*B6</f>
        <v>355377.27272727276</v>
      </c>
    </row>
    <row r="23" spans="1:6" x14ac:dyDescent="0.45">
      <c r="B23" s="41">
        <v>20000</v>
      </c>
      <c r="C23" s="34">
        <f t="shared" si="0"/>
        <v>800000</v>
      </c>
      <c r="D23" s="34">
        <f t="shared" si="1"/>
        <v>585003.03030303039</v>
      </c>
      <c r="E23" s="34">
        <v>111166.66666666667</v>
      </c>
      <c r="F23" s="34">
        <f>B23*B6</f>
        <v>473836.36363636371</v>
      </c>
    </row>
    <row r="24" spans="1:6" x14ac:dyDescent="0.45">
      <c r="B24" s="41">
        <v>25000</v>
      </c>
      <c r="C24" s="34">
        <f t="shared" si="0"/>
        <v>1000000</v>
      </c>
      <c r="D24" s="34">
        <f t="shared" si="1"/>
        <v>703462.12121212122</v>
      </c>
      <c r="E24" s="34">
        <v>111166.66666666667</v>
      </c>
      <c r="F24" s="34">
        <f>B24*B6</f>
        <v>592295.45454545459</v>
      </c>
    </row>
    <row r="25" spans="1:6" x14ac:dyDescent="0.45">
      <c r="A25">
        <f>'P&amp;L'!B4/'P&amp;L'!B16%</f>
        <v>69.681818181818187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0FD3A-E7F8-4EAD-8AAE-8A46C22ACC67}">
  <dimension ref="A1:K37"/>
  <sheetViews>
    <sheetView topLeftCell="A16" workbookViewId="0">
      <selection activeCell="C34" sqref="C34"/>
    </sheetView>
  </sheetViews>
  <sheetFormatPr defaultColWidth="8.796875" defaultRowHeight="14.25" x14ac:dyDescent="0.45"/>
  <cols>
    <col min="1" max="1" width="33" customWidth="1"/>
    <col min="2" max="4" width="14.796875" bestFit="1" customWidth="1"/>
    <col min="6" max="6" width="22.86328125" bestFit="1" customWidth="1"/>
    <col min="7" max="7" width="16.3984375" customWidth="1"/>
    <col min="11" max="11" width="14.796875" bestFit="1" customWidth="1"/>
  </cols>
  <sheetData>
    <row r="1" spans="1:4" ht="42.75" customHeight="1" x14ac:dyDescent="0.45">
      <c r="A1" s="68" t="s">
        <v>171</v>
      </c>
      <c r="B1" s="68"/>
      <c r="C1" s="68"/>
      <c r="D1" s="68"/>
    </row>
    <row r="2" spans="1:4" ht="20" customHeight="1" x14ac:dyDescent="0.45">
      <c r="A2" s="69" t="s">
        <v>166</v>
      </c>
      <c r="B2" s="69"/>
      <c r="C2" s="69"/>
      <c r="D2" s="69"/>
    </row>
    <row r="3" spans="1:4" x14ac:dyDescent="0.45">
      <c r="A3" s="50"/>
      <c r="B3" s="59" t="s">
        <v>173</v>
      </c>
      <c r="C3" s="6" t="s">
        <v>128</v>
      </c>
      <c r="D3" s="6" t="s">
        <v>129</v>
      </c>
    </row>
    <row r="4" spans="1:4" x14ac:dyDescent="0.45">
      <c r="A4" s="50" t="s">
        <v>167</v>
      </c>
      <c r="B4" s="50"/>
      <c r="C4" s="50"/>
      <c r="D4" s="50"/>
    </row>
    <row r="5" spans="1:4" x14ac:dyDescent="0.45">
      <c r="A5" s="50" t="s">
        <v>168</v>
      </c>
      <c r="B5" s="50"/>
      <c r="C5" s="50"/>
      <c r="D5" s="50"/>
    </row>
    <row r="6" spans="1:4" x14ac:dyDescent="0.45">
      <c r="A6" s="50" t="s">
        <v>186</v>
      </c>
      <c r="B6" s="19">
        <v>4150870</v>
      </c>
      <c r="C6" s="19">
        <v>4049320</v>
      </c>
      <c r="D6" s="19">
        <v>4458190</v>
      </c>
    </row>
    <row r="7" spans="1:4" x14ac:dyDescent="0.45">
      <c r="A7" s="50" t="s">
        <v>169</v>
      </c>
      <c r="B7" s="19">
        <v>415087</v>
      </c>
      <c r="C7" s="51">
        <f>B7*10%+B7</f>
        <v>456595.7</v>
      </c>
      <c r="D7" s="51">
        <f>C7*10%+C7</f>
        <v>502255.27</v>
      </c>
    </row>
    <row r="8" spans="1:4" x14ac:dyDescent="0.45">
      <c r="A8" s="50" t="s">
        <v>170</v>
      </c>
      <c r="B8" s="50">
        <v>0</v>
      </c>
      <c r="C8" s="50">
        <v>0</v>
      </c>
      <c r="D8" s="50">
        <v>0</v>
      </c>
    </row>
    <row r="9" spans="1:4" ht="20" customHeight="1" x14ac:dyDescent="0.45">
      <c r="A9" s="54" t="s">
        <v>172</v>
      </c>
      <c r="B9" s="55">
        <f>B7+B6</f>
        <v>4565957</v>
      </c>
      <c r="C9" s="55">
        <f t="shared" ref="C9:D9" si="0">C7+C6</f>
        <v>4505915.7</v>
      </c>
      <c r="D9" s="55">
        <f t="shared" si="0"/>
        <v>4960445.2699999996</v>
      </c>
    </row>
    <row r="10" spans="1:4" x14ac:dyDescent="0.45">
      <c r="A10" s="50" t="s">
        <v>174</v>
      </c>
      <c r="B10" s="50"/>
      <c r="C10" s="50"/>
      <c r="D10" s="50"/>
    </row>
    <row r="11" spans="1:4" x14ac:dyDescent="0.45">
      <c r="A11" s="50" t="s">
        <v>174</v>
      </c>
      <c r="B11" s="19">
        <v>887550</v>
      </c>
      <c r="C11" s="19">
        <f>B11*1.1</f>
        <v>976305.00000000012</v>
      </c>
      <c r="D11" s="19">
        <f>C11*1.1</f>
        <v>1073935.5000000002</v>
      </c>
    </row>
    <row r="12" spans="1:4" x14ac:dyDescent="0.45">
      <c r="A12" s="50" t="s">
        <v>175</v>
      </c>
      <c r="B12" s="19">
        <v>295850</v>
      </c>
      <c r="C12" s="46">
        <f>B12*2</f>
        <v>591700</v>
      </c>
      <c r="D12" s="46">
        <f>C12+B12</f>
        <v>887550</v>
      </c>
    </row>
    <row r="13" spans="1:4" ht="20" customHeight="1" x14ac:dyDescent="0.45">
      <c r="A13" s="54" t="s">
        <v>176</v>
      </c>
      <c r="B13" s="55">
        <f>B11-B12</f>
        <v>591700</v>
      </c>
      <c r="C13" s="55">
        <f t="shared" ref="C13:D13" si="1">C11-C12</f>
        <v>384605.00000000012</v>
      </c>
      <c r="D13" s="55">
        <f t="shared" si="1"/>
        <v>186385.50000000023</v>
      </c>
    </row>
    <row r="14" spans="1:4" ht="20" customHeight="1" x14ac:dyDescent="0.45">
      <c r="A14" s="52" t="s">
        <v>27</v>
      </c>
      <c r="B14" s="53">
        <f>B13+B9</f>
        <v>5157657</v>
      </c>
      <c r="C14" s="53">
        <f t="shared" ref="C14:D14" si="2">C13+C9</f>
        <v>4890520.7</v>
      </c>
      <c r="D14" s="53">
        <f t="shared" si="2"/>
        <v>5146830.7699999996</v>
      </c>
    </row>
    <row r="15" spans="1:4" x14ac:dyDescent="0.45">
      <c r="A15" s="50" t="s">
        <v>28</v>
      </c>
      <c r="B15" s="19"/>
      <c r="C15" s="19"/>
      <c r="D15" s="19"/>
    </row>
    <row r="16" spans="1:4" x14ac:dyDescent="0.45">
      <c r="A16" s="50" t="s">
        <v>177</v>
      </c>
      <c r="B16" s="19"/>
      <c r="C16" s="19"/>
      <c r="D16" s="19"/>
    </row>
    <row r="17" spans="1:11" x14ac:dyDescent="0.45">
      <c r="A17" s="50" t="s">
        <v>178</v>
      </c>
      <c r="B17" s="19">
        <f>2178857-50000</f>
        <v>2128857</v>
      </c>
      <c r="C17" s="19">
        <f>1764264.7-110000</f>
        <v>1654264.7</v>
      </c>
      <c r="D17" s="19">
        <f>1866001.25-50000-60000</f>
        <v>1756001.25</v>
      </c>
    </row>
    <row r="18" spans="1:11" x14ac:dyDescent="0.45">
      <c r="A18" s="50" t="s">
        <v>30</v>
      </c>
      <c r="B18" s="19">
        <v>50000</v>
      </c>
      <c r="C18" s="19">
        <v>50000</v>
      </c>
      <c r="D18" s="19">
        <v>50000</v>
      </c>
    </row>
    <row r="19" spans="1:11" x14ac:dyDescent="0.45">
      <c r="A19" s="50" t="s">
        <v>179</v>
      </c>
      <c r="B19" s="19"/>
      <c r="C19" s="19"/>
      <c r="D19" s="19"/>
    </row>
    <row r="20" spans="1:11" ht="20" customHeight="1" x14ac:dyDescent="0.45">
      <c r="A20" s="54" t="s">
        <v>180</v>
      </c>
      <c r="B20" s="56">
        <f>B19+B18+B17+B16</f>
        <v>2178857</v>
      </c>
      <c r="C20" s="56">
        <f t="shared" ref="C20:D20" si="3">C19+C18+C17+C16</f>
        <v>1704264.7</v>
      </c>
      <c r="D20" s="56">
        <f t="shared" si="3"/>
        <v>1806001.25</v>
      </c>
      <c r="F20" s="14"/>
    </row>
    <row r="21" spans="1:11" x14ac:dyDescent="0.45">
      <c r="A21" s="50" t="s">
        <v>31</v>
      </c>
      <c r="B21" s="19">
        <v>0</v>
      </c>
      <c r="C21" s="19">
        <v>60000</v>
      </c>
      <c r="D21" s="19">
        <v>60000</v>
      </c>
    </row>
    <row r="22" spans="1:11" ht="20" customHeight="1" x14ac:dyDescent="0.45">
      <c r="A22" s="52" t="s">
        <v>34</v>
      </c>
      <c r="B22" s="53">
        <f>B21+B20</f>
        <v>2178857</v>
      </c>
      <c r="C22" s="53">
        <f t="shared" ref="C22:D22" si="4">C21+C20</f>
        <v>1764264.7</v>
      </c>
      <c r="D22" s="53">
        <f t="shared" si="4"/>
        <v>1866001.25</v>
      </c>
      <c r="K22" s="14"/>
    </row>
    <row r="23" spans="1:11" x14ac:dyDescent="0.45">
      <c r="A23" s="50" t="s">
        <v>181</v>
      </c>
      <c r="B23" s="19">
        <v>1684800</v>
      </c>
      <c r="C23" s="19">
        <v>1684800</v>
      </c>
      <c r="D23" s="19">
        <v>1684800</v>
      </c>
      <c r="K23" s="14"/>
    </row>
    <row r="24" spans="1:11" x14ac:dyDescent="0.45">
      <c r="A24" s="50" t="s">
        <v>182</v>
      </c>
      <c r="B24" s="19"/>
      <c r="C24" s="19"/>
      <c r="D24" s="19"/>
      <c r="K24" s="14"/>
    </row>
    <row r="25" spans="1:11" x14ac:dyDescent="0.45">
      <c r="A25" s="50" t="s">
        <v>184</v>
      </c>
      <c r="B25" s="19">
        <v>1294000</v>
      </c>
      <c r="C25" s="19">
        <v>1441456</v>
      </c>
      <c r="D25" s="19">
        <v>1596029.5199999996</v>
      </c>
    </row>
    <row r="26" spans="1:11" ht="20" customHeight="1" x14ac:dyDescent="0.45">
      <c r="A26" s="54" t="s">
        <v>41</v>
      </c>
      <c r="B26" s="56">
        <f>B25+B24+B23</f>
        <v>2978800</v>
      </c>
      <c r="C26" s="56">
        <f t="shared" ref="C26:D26" si="5">C25+C24+C23</f>
        <v>3126256</v>
      </c>
      <c r="D26" s="56">
        <f t="shared" si="5"/>
        <v>3280829.5199999996</v>
      </c>
    </row>
    <row r="27" spans="1:11" ht="20" customHeight="1" x14ac:dyDescent="0.45">
      <c r="A27" s="52" t="s">
        <v>183</v>
      </c>
      <c r="B27" s="53">
        <f>B26+B22</f>
        <v>5157657</v>
      </c>
      <c r="C27" s="53">
        <f t="shared" ref="C27:D27" si="6">C26+C22</f>
        <v>4890520.7</v>
      </c>
      <c r="D27" s="53">
        <f t="shared" si="6"/>
        <v>5146830.7699999996</v>
      </c>
    </row>
    <row r="28" spans="1:11" x14ac:dyDescent="0.45">
      <c r="A28" s="57" t="s">
        <v>185</v>
      </c>
      <c r="B28" s="58">
        <f>B25+B23</f>
        <v>2978800</v>
      </c>
      <c r="C28" s="58">
        <f t="shared" ref="C28:D28" si="7">C25+C23</f>
        <v>3126256</v>
      </c>
      <c r="D28" s="58">
        <f t="shared" si="7"/>
        <v>3280829.5199999996</v>
      </c>
    </row>
    <row r="29" spans="1:11" x14ac:dyDescent="0.45">
      <c r="K29" s="14"/>
    </row>
    <row r="36" spans="6:9" x14ac:dyDescent="0.45">
      <c r="F36" t="s">
        <v>181</v>
      </c>
      <c r="G36">
        <v>1684800</v>
      </c>
      <c r="H36">
        <v>1684800</v>
      </c>
      <c r="I36">
        <v>1684800</v>
      </c>
    </row>
    <row r="37" spans="6:9" x14ac:dyDescent="0.45">
      <c r="F37" t="s">
        <v>185</v>
      </c>
      <c r="G37">
        <v>2978800</v>
      </c>
      <c r="H37">
        <v>3126256</v>
      </c>
      <c r="I37">
        <v>3280829.5199999996</v>
      </c>
    </row>
  </sheetData>
  <mergeCells count="2">
    <mergeCell ref="A1:D1"/>
    <mergeCell ref="A2:D2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094F8-E563-40D6-8780-795AA1B2C8D3}">
  <dimension ref="A1:D5"/>
  <sheetViews>
    <sheetView topLeftCell="A4" workbookViewId="0">
      <selection activeCell="C10" sqref="C10"/>
    </sheetView>
  </sheetViews>
  <sheetFormatPr defaultColWidth="8.796875" defaultRowHeight="14.25" x14ac:dyDescent="0.45"/>
  <cols>
    <col min="1" max="1" width="15.1328125" bestFit="1" customWidth="1"/>
    <col min="2" max="3" width="14.796875" bestFit="1" customWidth="1"/>
    <col min="4" max="4" width="15.796875" bestFit="1" customWidth="1"/>
  </cols>
  <sheetData>
    <row r="1" spans="1:4" ht="18" x14ac:dyDescent="0.45">
      <c r="A1" s="66"/>
      <c r="B1" s="66"/>
      <c r="C1" s="66"/>
      <c r="D1" s="66"/>
    </row>
    <row r="2" spans="1:4" x14ac:dyDescent="0.45">
      <c r="A2" s="30"/>
      <c r="B2" s="31">
        <v>2021</v>
      </c>
      <c r="C2" s="31">
        <v>2022</v>
      </c>
      <c r="D2" s="31">
        <v>2023</v>
      </c>
    </row>
    <row r="3" spans="1:4" x14ac:dyDescent="0.45">
      <c r="A3" s="7" t="s">
        <v>132</v>
      </c>
      <c r="B3" s="46">
        <v>8760000</v>
      </c>
      <c r="C3" s="46">
        <v>9636000</v>
      </c>
      <c r="D3" s="46">
        <v>10599600</v>
      </c>
    </row>
    <row r="4" spans="1:4" ht="18" x14ac:dyDescent="0.45">
      <c r="A4" s="49" t="s">
        <v>137</v>
      </c>
      <c r="B4" s="47">
        <v>5694000</v>
      </c>
      <c r="C4" s="47">
        <v>6263400</v>
      </c>
      <c r="D4" s="47">
        <v>6889740</v>
      </c>
    </row>
    <row r="5" spans="1:4" x14ac:dyDescent="0.45">
      <c r="A5" t="s">
        <v>146</v>
      </c>
      <c r="B5">
        <v>1294000</v>
      </c>
      <c r="C5">
        <v>1441456</v>
      </c>
      <c r="D5">
        <v>1596029.5199999996</v>
      </c>
    </row>
  </sheetData>
  <mergeCells count="1">
    <mergeCell ref="A1:D1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Visability Study </vt:lpstr>
      <vt:lpstr>Sales Forcasting</vt:lpstr>
      <vt:lpstr>Potintial customers gross </vt:lpstr>
      <vt:lpstr>Cash Flow Sheet</vt:lpstr>
      <vt:lpstr>P&amp;L</vt:lpstr>
      <vt:lpstr>Beakeven</vt:lpstr>
      <vt:lpstr>balance Sheet </vt:lpstr>
      <vt:lpstr>Comparsion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amer</dc:creator>
  <cp:lastModifiedBy>mohamed amer</cp:lastModifiedBy>
  <cp:lastPrinted>2020-05-12T22:03:07Z</cp:lastPrinted>
  <dcterms:created xsi:type="dcterms:W3CDTF">2020-05-05T12:27:03Z</dcterms:created>
  <dcterms:modified xsi:type="dcterms:W3CDTF">2020-05-12T22:46:41Z</dcterms:modified>
</cp:coreProperties>
</file>