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1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Trabajos 3 CUCEI\2. SEM Metodos Matematicos III\"/>
    </mc:Choice>
  </mc:AlternateContent>
  <xr:revisionPtr revIDLastSave="0" documentId="13_ncr:1_{DEC07D8C-3B6A-4424-A2D5-FF7F1B303FBD}" xr6:coauthVersionLast="47" xr6:coauthVersionMax="47" xr10:uidLastSave="{00000000-0000-0000-0000-000000000000}"/>
  <bookViews>
    <workbookView xWindow="6075" yWindow="690" windowWidth="21600" windowHeight="15600" firstSheet="11" activeTab="12" xr2:uid="{58D30A63-F773-425E-AA40-0F8B5BE799EE}"/>
  </bookViews>
  <sheets>
    <sheet name="Conceptos" sheetId="1" r:id="rId1"/>
    <sheet name="Biseccion" sheetId="3" r:id="rId2"/>
    <sheet name="Punto-Fijo" sheetId="4" r:id="rId3"/>
    <sheet name="Newton-Raphson" sheetId="5" r:id="rId4"/>
    <sheet name="Secante" sheetId="6" r:id="rId5"/>
    <sheet name="Regla Falsa" sheetId="7" r:id="rId6"/>
    <sheet name="Muller" sheetId="8" r:id="rId7"/>
    <sheet name="Gauss Simple" sheetId="9" r:id="rId8"/>
    <sheet name="Doolitle Y Crout" sheetId="10" r:id="rId9"/>
    <sheet name="Choleski" sheetId="11" r:id="rId10"/>
    <sheet name="JACOBI Y GAUSS-SEIDEL" sheetId="12" r:id="rId11"/>
    <sheet name="Punto-Fijo MV" sheetId="14" r:id="rId12"/>
    <sheet name="Newton-Raphson MV" sheetId="15" r:id="rId13"/>
    <sheet name="LAGRANGE" sheetId="16" r:id="rId14"/>
    <sheet name="Diferencias Divididas" sheetId="17" r:id="rId15"/>
    <sheet name="Diferencias Finitas" sheetId="19" r:id="rId16"/>
    <sheet name="Minimos Cuadrados" sheetId="20" r:id="rId17"/>
    <sheet name="Integracion Numerica" sheetId="21" r:id="rId18"/>
    <sheet name="Integracion Compuesta" sheetId="22" r:id="rId19"/>
    <sheet name="EULER" sheetId="23" r:id="rId20"/>
    <sheet name="EULER MEJORADO" sheetId="24" r:id="rId21"/>
    <sheet name="RUNGE-KUTTA" sheetId="25" r:id="rId2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" i="15" l="1"/>
  <c r="D4" i="15"/>
  <c r="C4" i="15"/>
  <c r="G3" i="15" s="1" a="1"/>
  <c r="H4" i="15" s="1"/>
  <c r="E3" i="15"/>
  <c r="D3" i="15"/>
  <c r="C3" i="15"/>
  <c r="H10" i="25"/>
  <c r="I10" i="25"/>
  <c r="J10" i="25"/>
  <c r="K12" i="25"/>
  <c r="L10" i="25"/>
  <c r="D10" i="25"/>
  <c r="D7" i="25"/>
  <c r="C16" i="25" s="1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F56" i="23" s="1"/>
  <c r="G34" i="23"/>
  <c r="C48" i="24"/>
  <c r="C51" i="24"/>
  <c r="D36" i="24"/>
  <c r="E36" i="24" s="1"/>
  <c r="C32" i="24"/>
  <c r="C38" i="24" s="1"/>
  <c r="F54" i="23"/>
  <c r="F34" i="23"/>
  <c r="E36" i="23"/>
  <c r="E34" i="23"/>
  <c r="C54" i="23"/>
  <c r="D35" i="23"/>
  <c r="E35" i="23" s="1"/>
  <c r="D34" i="23"/>
  <c r="C46" i="23"/>
  <c r="C48" i="23"/>
  <c r="C50" i="23"/>
  <c r="C52" i="23"/>
  <c r="C37" i="23"/>
  <c r="C39" i="23"/>
  <c r="C40" i="23"/>
  <c r="C41" i="23"/>
  <c r="C42" i="23"/>
  <c r="C43" i="23"/>
  <c r="C34" i="23"/>
  <c r="C30" i="23"/>
  <c r="C44" i="23" s="1"/>
  <c r="K11" i="23"/>
  <c r="J7" i="23"/>
  <c r="J12" i="23" s="1"/>
  <c r="N12" i="23" s="1"/>
  <c r="C21" i="24"/>
  <c r="I21" i="24" s="1"/>
  <c r="D11" i="24"/>
  <c r="C7" i="24"/>
  <c r="C17" i="24" s="1"/>
  <c r="D11" i="23"/>
  <c r="C21" i="23"/>
  <c r="G21" i="23" s="1"/>
  <c r="C7" i="23"/>
  <c r="C14" i="23" s="1"/>
  <c r="G14" i="23" s="1"/>
  <c r="O3" i="22"/>
  <c r="M6" i="22"/>
  <c r="H11" i="22"/>
  <c r="I11" i="22" s="1"/>
  <c r="H15" i="22"/>
  <c r="H19" i="22"/>
  <c r="I19" i="22" s="1"/>
  <c r="H23" i="22"/>
  <c r="I23" i="22" s="1"/>
  <c r="H27" i="22"/>
  <c r="I27" i="22" s="1"/>
  <c r="H31" i="22"/>
  <c r="H35" i="22"/>
  <c r="I35" i="22" s="1"/>
  <c r="H39" i="22"/>
  <c r="I39" i="22" s="1"/>
  <c r="I31" i="22"/>
  <c r="I15" i="22"/>
  <c r="H6" i="22"/>
  <c r="C28" i="22"/>
  <c r="D28" i="22" s="1"/>
  <c r="C12" i="22"/>
  <c r="C9" i="21"/>
  <c r="C6" i="22"/>
  <c r="C39" i="22" s="1"/>
  <c r="D39" i="22" s="1"/>
  <c r="E73" i="21"/>
  <c r="C85" i="21"/>
  <c r="D85" i="21" s="1"/>
  <c r="C80" i="21"/>
  <c r="C81" i="21"/>
  <c r="C82" i="21"/>
  <c r="D82" i="21" s="1"/>
  <c r="C83" i="21"/>
  <c r="D83" i="21" s="1"/>
  <c r="C84" i="21"/>
  <c r="C79" i="21"/>
  <c r="D79" i="21" s="1"/>
  <c r="D84" i="21"/>
  <c r="D81" i="21"/>
  <c r="D80" i="21"/>
  <c r="C76" i="21"/>
  <c r="E57" i="21"/>
  <c r="C68" i="21"/>
  <c r="D68" i="21" s="1"/>
  <c r="C64" i="21"/>
  <c r="C65" i="21"/>
  <c r="C66" i="21"/>
  <c r="C67" i="21"/>
  <c r="D67" i="21" s="1"/>
  <c r="C63" i="21"/>
  <c r="D66" i="21"/>
  <c r="D65" i="21"/>
  <c r="D64" i="21"/>
  <c r="D63" i="21"/>
  <c r="C60" i="21"/>
  <c r="E42" i="21"/>
  <c r="C52" i="21"/>
  <c r="D52" i="21" s="1"/>
  <c r="C49" i="21"/>
  <c r="C50" i="21"/>
  <c r="C51" i="21"/>
  <c r="C48" i="21"/>
  <c r="D48" i="21" s="1"/>
  <c r="D51" i="21"/>
  <c r="D50" i="21"/>
  <c r="D49" i="21"/>
  <c r="C45" i="21"/>
  <c r="C36" i="21"/>
  <c r="D36" i="21" s="1"/>
  <c r="C31" i="21"/>
  <c r="C34" i="21" s="1"/>
  <c r="D34" i="21" s="1"/>
  <c r="C23" i="21"/>
  <c r="D23" i="21" s="1"/>
  <c r="C10" i="21"/>
  <c r="C18" i="21"/>
  <c r="C21" i="21" s="1"/>
  <c r="D21" i="21" s="1"/>
  <c r="E3" i="21"/>
  <c r="E4" i="21" s="1"/>
  <c r="D10" i="21"/>
  <c r="D9" i="21"/>
  <c r="C6" i="21"/>
  <c r="C13" i="17"/>
  <c r="C18" i="16"/>
  <c r="F53" i="12"/>
  <c r="E53" i="12"/>
  <c r="D53" i="12"/>
  <c r="F52" i="12"/>
  <c r="E52" i="12"/>
  <c r="D52" i="12"/>
  <c r="F14" i="12"/>
  <c r="E14" i="12"/>
  <c r="D13" i="12"/>
  <c r="F12" i="12"/>
  <c r="E12" i="12"/>
  <c r="D12" i="12"/>
  <c r="E11" i="12"/>
  <c r="F11" i="12"/>
  <c r="D11" i="12"/>
  <c r="F10" i="12"/>
  <c r="E10" i="12"/>
  <c r="D10" i="12"/>
  <c r="I11" i="12"/>
  <c r="R9" i="12" a="1"/>
  <c r="R9" i="12" s="1"/>
  <c r="T6" i="12" s="1" a="1"/>
  <c r="Q9" i="12" a="1"/>
  <c r="Q9" i="12" s="1"/>
  <c r="T5" i="12" s="1" a="1"/>
  <c r="P9" i="12" a="1"/>
  <c r="P9" i="12" s="1"/>
  <c r="T4" i="12" s="1" a="1"/>
  <c r="O9" i="12" a="1"/>
  <c r="O9" i="12" s="1"/>
  <c r="T3" i="12" s="1" a="1"/>
  <c r="N9" i="12" a="1"/>
  <c r="N9" i="12" s="1"/>
  <c r="T2" i="12" s="1" a="1"/>
  <c r="F3" i="15" l="1"/>
  <c r="G3" i="15"/>
  <c r="H3" i="15"/>
  <c r="G4" i="15"/>
  <c r="K16" i="25"/>
  <c r="F16" i="25"/>
  <c r="C10" i="25"/>
  <c r="C11" i="25"/>
  <c r="C12" i="25"/>
  <c r="C13" i="25"/>
  <c r="C14" i="25"/>
  <c r="C15" i="25"/>
  <c r="C50" i="24"/>
  <c r="C49" i="24"/>
  <c r="C47" i="24"/>
  <c r="F36" i="24"/>
  <c r="D37" i="24" s="1"/>
  <c r="E37" i="24" s="1"/>
  <c r="C40" i="24"/>
  <c r="C45" i="24"/>
  <c r="C41" i="24"/>
  <c r="C37" i="24"/>
  <c r="C44" i="24"/>
  <c r="C36" i="24"/>
  <c r="C43" i="24"/>
  <c r="C39" i="24"/>
  <c r="C46" i="24"/>
  <c r="C42" i="24"/>
  <c r="C19" i="23"/>
  <c r="J15" i="23"/>
  <c r="N15" i="23" s="1"/>
  <c r="C36" i="23"/>
  <c r="C53" i="23"/>
  <c r="C51" i="23"/>
  <c r="C49" i="23"/>
  <c r="C47" i="23"/>
  <c r="C45" i="23"/>
  <c r="C18" i="23"/>
  <c r="G18" i="23" s="1"/>
  <c r="C35" i="23"/>
  <c r="C38" i="23"/>
  <c r="C17" i="23"/>
  <c r="G17" i="23" s="1"/>
  <c r="C12" i="23"/>
  <c r="G12" i="23" s="1"/>
  <c r="J14" i="23"/>
  <c r="N14" i="23" s="1"/>
  <c r="C11" i="23"/>
  <c r="C16" i="23"/>
  <c r="G16" i="23" s="1"/>
  <c r="C13" i="23"/>
  <c r="G13" i="23" s="1"/>
  <c r="J13" i="23"/>
  <c r="N13" i="23" s="1"/>
  <c r="C20" i="23"/>
  <c r="G20" i="23" s="1"/>
  <c r="C15" i="23"/>
  <c r="J11" i="23"/>
  <c r="I17" i="24"/>
  <c r="C19" i="24"/>
  <c r="C14" i="24"/>
  <c r="C15" i="24"/>
  <c r="C12" i="24"/>
  <c r="C16" i="24"/>
  <c r="C20" i="24"/>
  <c r="C18" i="24"/>
  <c r="C11" i="24"/>
  <c r="C13" i="24"/>
  <c r="G15" i="23"/>
  <c r="G19" i="23"/>
  <c r="C16" i="22"/>
  <c r="D16" i="22" s="1"/>
  <c r="C32" i="22"/>
  <c r="D32" i="22" s="1"/>
  <c r="H38" i="22"/>
  <c r="I38" i="22" s="1"/>
  <c r="H34" i="22"/>
  <c r="I34" i="22" s="1"/>
  <c r="H30" i="22"/>
  <c r="I30" i="22" s="1"/>
  <c r="H26" i="22"/>
  <c r="I26" i="22" s="1"/>
  <c r="H22" i="22"/>
  <c r="I22" i="22" s="1"/>
  <c r="H18" i="22"/>
  <c r="I18" i="22" s="1"/>
  <c r="H14" i="22"/>
  <c r="I14" i="22" s="1"/>
  <c r="H10" i="22"/>
  <c r="I10" i="22" s="1"/>
  <c r="C20" i="22"/>
  <c r="D20" i="22" s="1"/>
  <c r="H37" i="22"/>
  <c r="I37" i="22" s="1"/>
  <c r="H33" i="22"/>
  <c r="I33" i="22" s="1"/>
  <c r="H29" i="22"/>
  <c r="I29" i="22" s="1"/>
  <c r="H25" i="22"/>
  <c r="I25" i="22" s="1"/>
  <c r="H21" i="22"/>
  <c r="I21" i="22" s="1"/>
  <c r="H17" i="22"/>
  <c r="I17" i="22" s="1"/>
  <c r="H13" i="22"/>
  <c r="I13" i="22" s="1"/>
  <c r="C24" i="22"/>
  <c r="D24" i="22" s="1"/>
  <c r="H9" i="22"/>
  <c r="I9" i="22" s="1"/>
  <c r="J3" i="22" s="1"/>
  <c r="J4" i="22" s="1"/>
  <c r="H36" i="22"/>
  <c r="I36" i="22" s="1"/>
  <c r="H32" i="22"/>
  <c r="I32" i="22" s="1"/>
  <c r="H28" i="22"/>
  <c r="I28" i="22" s="1"/>
  <c r="H24" i="22"/>
  <c r="I24" i="22" s="1"/>
  <c r="H20" i="22"/>
  <c r="I20" i="22" s="1"/>
  <c r="H16" i="22"/>
  <c r="I16" i="22" s="1"/>
  <c r="H12" i="22"/>
  <c r="I12" i="22" s="1"/>
  <c r="M13" i="22"/>
  <c r="N13" i="22" s="1"/>
  <c r="M9" i="22"/>
  <c r="N9" i="22" s="1"/>
  <c r="M20" i="22"/>
  <c r="N20" i="22" s="1"/>
  <c r="M38" i="22"/>
  <c r="N38" i="22" s="1"/>
  <c r="M34" i="22"/>
  <c r="N34" i="22" s="1"/>
  <c r="M30" i="22"/>
  <c r="N30" i="22" s="1"/>
  <c r="M26" i="22"/>
  <c r="N26" i="22" s="1"/>
  <c r="M22" i="22"/>
  <c r="N22" i="22" s="1"/>
  <c r="M17" i="22"/>
  <c r="N17" i="22" s="1"/>
  <c r="M37" i="22"/>
  <c r="N37" i="22" s="1"/>
  <c r="M33" i="22"/>
  <c r="N33" i="22" s="1"/>
  <c r="M29" i="22"/>
  <c r="N29" i="22" s="1"/>
  <c r="M25" i="22"/>
  <c r="N25" i="22" s="1"/>
  <c r="M21" i="22"/>
  <c r="N21" i="22" s="1"/>
  <c r="M16" i="22"/>
  <c r="N16" i="22" s="1"/>
  <c r="M12" i="22"/>
  <c r="N12" i="22" s="1"/>
  <c r="M36" i="22"/>
  <c r="N36" i="22" s="1"/>
  <c r="M32" i="22"/>
  <c r="N32" i="22" s="1"/>
  <c r="M28" i="22"/>
  <c r="N28" i="22" s="1"/>
  <c r="M24" i="22"/>
  <c r="N24" i="22" s="1"/>
  <c r="M19" i="22"/>
  <c r="N19" i="22" s="1"/>
  <c r="M15" i="22"/>
  <c r="N15" i="22" s="1"/>
  <c r="M11" i="22"/>
  <c r="N11" i="22" s="1"/>
  <c r="M35" i="22"/>
  <c r="N35" i="22" s="1"/>
  <c r="M31" i="22"/>
  <c r="N31" i="22" s="1"/>
  <c r="M27" i="22"/>
  <c r="N27" i="22" s="1"/>
  <c r="M23" i="22"/>
  <c r="N23" i="22" s="1"/>
  <c r="M18" i="22"/>
  <c r="N18" i="22" s="1"/>
  <c r="M14" i="22"/>
  <c r="N14" i="22" s="1"/>
  <c r="M10" i="22"/>
  <c r="N10" i="22" s="1"/>
  <c r="C9" i="22"/>
  <c r="D9" i="22" s="1"/>
  <c r="C13" i="22"/>
  <c r="D13" i="22" s="1"/>
  <c r="C17" i="22"/>
  <c r="D17" i="22" s="1"/>
  <c r="C21" i="22"/>
  <c r="D21" i="22" s="1"/>
  <c r="C25" i="22"/>
  <c r="D25" i="22" s="1"/>
  <c r="C29" i="22"/>
  <c r="D29" i="22" s="1"/>
  <c r="C33" i="22"/>
  <c r="D33" i="22" s="1"/>
  <c r="C37" i="22"/>
  <c r="D37" i="22" s="1"/>
  <c r="C10" i="22"/>
  <c r="D10" i="22" s="1"/>
  <c r="C14" i="22"/>
  <c r="D14" i="22" s="1"/>
  <c r="C18" i="22"/>
  <c r="D18" i="22" s="1"/>
  <c r="C22" i="22"/>
  <c r="D22" i="22" s="1"/>
  <c r="C26" i="22"/>
  <c r="D26" i="22" s="1"/>
  <c r="C30" i="22"/>
  <c r="D30" i="22" s="1"/>
  <c r="C34" i="22"/>
  <c r="D34" i="22" s="1"/>
  <c r="C38" i="22"/>
  <c r="D38" i="22" s="1"/>
  <c r="C36" i="22"/>
  <c r="D36" i="22" s="1"/>
  <c r="C11" i="22"/>
  <c r="D11" i="22" s="1"/>
  <c r="C15" i="22"/>
  <c r="C19" i="22"/>
  <c r="D19" i="22" s="1"/>
  <c r="C23" i="22"/>
  <c r="D23" i="22" s="1"/>
  <c r="C27" i="22"/>
  <c r="D27" i="22" s="1"/>
  <c r="C31" i="22"/>
  <c r="D31" i="22" s="1"/>
  <c r="C35" i="22"/>
  <c r="D35" i="22" s="1"/>
  <c r="E74" i="21"/>
  <c r="E58" i="21"/>
  <c r="E43" i="21"/>
  <c r="C37" i="21"/>
  <c r="D37" i="21" s="1"/>
  <c r="C35" i="21"/>
  <c r="D35" i="21" s="1"/>
  <c r="E28" i="21"/>
  <c r="E29" i="21" s="1"/>
  <c r="C22" i="21"/>
  <c r="D22" i="21" s="1"/>
  <c r="E15" i="21" s="1"/>
  <c r="E16" i="21" s="1"/>
  <c r="G11" i="12"/>
  <c r="H11" i="12"/>
  <c r="I12" i="12"/>
  <c r="G12" i="12"/>
  <c r="G52" i="12"/>
  <c r="I52" i="12"/>
  <c r="X3" i="12"/>
  <c r="T3" i="12"/>
  <c r="V3" i="12"/>
  <c r="U3" i="12"/>
  <c r="W3" i="12"/>
  <c r="V4" i="12"/>
  <c r="X4" i="12"/>
  <c r="T4" i="12"/>
  <c r="W4" i="12"/>
  <c r="U4" i="12"/>
  <c r="X5" i="12"/>
  <c r="T5" i="12"/>
  <c r="W5" i="12"/>
  <c r="V5" i="12"/>
  <c r="U5" i="12"/>
  <c r="V2" i="12"/>
  <c r="X2" i="12"/>
  <c r="T2" i="12"/>
  <c r="W2" i="12"/>
  <c r="U2" i="12"/>
  <c r="V6" i="12"/>
  <c r="U6" i="12"/>
  <c r="X6" i="12"/>
  <c r="T6" i="12"/>
  <c r="W6" i="12"/>
  <c r="I3" i="15" l="1" a="1"/>
  <c r="I4" i="15" s="1"/>
  <c r="K4" i="15" s="1"/>
  <c r="K15" i="25"/>
  <c r="F15" i="25"/>
  <c r="K11" i="25"/>
  <c r="F11" i="25"/>
  <c r="K14" i="25"/>
  <c r="F14" i="25"/>
  <c r="K13" i="25"/>
  <c r="F13" i="25"/>
  <c r="E10" i="25"/>
  <c r="K10" i="25"/>
  <c r="F10" i="25"/>
  <c r="F12" i="25"/>
  <c r="G37" i="24"/>
  <c r="H37" i="24" s="1"/>
  <c r="F37" i="24"/>
  <c r="G38" i="24" s="1"/>
  <c r="H38" i="24" s="1"/>
  <c r="N11" i="23"/>
  <c r="L11" i="23"/>
  <c r="F35" i="23"/>
  <c r="D36" i="23" s="1"/>
  <c r="E11" i="23"/>
  <c r="F11" i="23" s="1"/>
  <c r="D12" i="23" s="1"/>
  <c r="G11" i="23"/>
  <c r="E11" i="24"/>
  <c r="I11" i="24"/>
  <c r="I12" i="24"/>
  <c r="I19" i="24"/>
  <c r="I13" i="24"/>
  <c r="I16" i="24"/>
  <c r="I18" i="24"/>
  <c r="I15" i="24"/>
  <c r="I20" i="24"/>
  <c r="I14" i="24"/>
  <c r="E12" i="23"/>
  <c r="O4" i="22"/>
  <c r="D15" i="22"/>
  <c r="D12" i="22"/>
  <c r="E3" i="22" s="1"/>
  <c r="E4" i="22" s="1"/>
  <c r="H12" i="12"/>
  <c r="F13" i="12"/>
  <c r="I13" i="12" s="1"/>
  <c r="E13" i="12"/>
  <c r="H52" i="12"/>
  <c r="U20" i="14"/>
  <c r="V20" i="14"/>
  <c r="Y20" i="14" s="1"/>
  <c r="W20" i="14"/>
  <c r="Z20" i="14" s="1"/>
  <c r="X20" i="14"/>
  <c r="U17" i="14"/>
  <c r="V17" i="14"/>
  <c r="Y17" i="14" s="1"/>
  <c r="W17" i="14"/>
  <c r="Z17" i="14" s="1"/>
  <c r="X17" i="14"/>
  <c r="W16" i="14"/>
  <c r="Z16" i="14" s="1"/>
  <c r="V16" i="14"/>
  <c r="Y16" i="14" s="1"/>
  <c r="U16" i="14"/>
  <c r="X16" i="14"/>
  <c r="H28" i="14"/>
  <c r="I28" i="14"/>
  <c r="J28" i="14"/>
  <c r="K28" i="14"/>
  <c r="H14" i="14"/>
  <c r="I14" i="14"/>
  <c r="H15" i="14" s="1"/>
  <c r="J14" i="14"/>
  <c r="K14" i="14"/>
  <c r="I15" i="14"/>
  <c r="K15" i="14"/>
  <c r="K13" i="14"/>
  <c r="J13" i="14"/>
  <c r="I13" i="14"/>
  <c r="H13" i="14"/>
  <c r="H35" i="20"/>
  <c r="J13" i="20"/>
  <c r="M3" i="15" l="1"/>
  <c r="B7" i="15"/>
  <c r="I3" i="15"/>
  <c r="K3" i="15" s="1"/>
  <c r="G10" i="25"/>
  <c r="M10" i="25"/>
  <c r="D38" i="24"/>
  <c r="E38" i="24" s="1"/>
  <c r="F11" i="24"/>
  <c r="G12" i="24" s="1"/>
  <c r="H12" i="24" s="1"/>
  <c r="F36" i="23"/>
  <c r="D37" i="23" s="1"/>
  <c r="E37" i="23" s="1"/>
  <c r="M11" i="23"/>
  <c r="K12" i="23" s="1"/>
  <c r="F12" i="23"/>
  <c r="G53" i="12"/>
  <c r="I53" i="12"/>
  <c r="G13" i="12"/>
  <c r="I14" i="12"/>
  <c r="H13" i="12"/>
  <c r="D14" i="12"/>
  <c r="V18" i="14"/>
  <c r="U18" i="14"/>
  <c r="W18" i="14"/>
  <c r="Z18" i="14" s="1"/>
  <c r="H16" i="14"/>
  <c r="I16" i="14"/>
  <c r="K16" i="14" s="1"/>
  <c r="J15" i="14"/>
  <c r="F42" i="19"/>
  <c r="C44" i="19"/>
  <c r="C36" i="19"/>
  <c r="F14" i="19"/>
  <c r="C37" i="19"/>
  <c r="F35" i="19" s="1"/>
  <c r="C16" i="19"/>
  <c r="C43" i="19"/>
  <c r="C22" i="19"/>
  <c r="D30" i="19"/>
  <c r="D29" i="19"/>
  <c r="E29" i="19" s="1"/>
  <c r="D28" i="19"/>
  <c r="E6" i="19"/>
  <c r="F6" i="19" s="1"/>
  <c r="D4" i="19"/>
  <c r="D4" i="17"/>
  <c r="E5" i="17" s="1"/>
  <c r="D5" i="17"/>
  <c r="D6" i="17"/>
  <c r="E6" i="17" s="1"/>
  <c r="F6" i="17" s="1"/>
  <c r="D7" i="17"/>
  <c r="E8" i="17" s="1"/>
  <c r="D8" i="17"/>
  <c r="D9" i="17"/>
  <c r="E9" i="17" s="1"/>
  <c r="C23" i="19"/>
  <c r="C15" i="19"/>
  <c r="D6" i="19"/>
  <c r="E5" i="19"/>
  <c r="D5" i="19"/>
  <c r="D7" i="19"/>
  <c r="E7" i="19" s="1"/>
  <c r="F7" i="19" s="1"/>
  <c r="G7" i="19" s="1"/>
  <c r="D8" i="19"/>
  <c r="D9" i="19"/>
  <c r="C31" i="16"/>
  <c r="I35" i="16" a="1"/>
  <c r="I35" i="16"/>
  <c r="I36" i="16"/>
  <c r="B25" i="11"/>
  <c r="B26" i="11" s="1"/>
  <c r="H22" i="11"/>
  <c r="H21" i="11"/>
  <c r="H20" i="11"/>
  <c r="F77" i="10" a="1"/>
  <c r="F77" i="10" s="1"/>
  <c r="D77" i="10" a="1"/>
  <c r="D77" i="10" s="1"/>
  <c r="B77" i="10" a="1"/>
  <c r="B77" i="10" s="1"/>
  <c r="I69" i="10" a="1"/>
  <c r="I69" i="10" s="1"/>
  <c r="B69" i="10" a="1"/>
  <c r="B69" i="10" s="1"/>
  <c r="R61" i="10" a="1"/>
  <c r="R61" i="10" s="1"/>
  <c r="G66" i="10"/>
  <c r="F66" i="10"/>
  <c r="F65" i="10"/>
  <c r="E66" i="10"/>
  <c r="E65" i="10"/>
  <c r="E64" i="10"/>
  <c r="D66" i="10"/>
  <c r="D65" i="10"/>
  <c r="D64" i="10"/>
  <c r="M64" i="10" s="1"/>
  <c r="N64" i="10"/>
  <c r="L63" i="10"/>
  <c r="K62" i="10"/>
  <c r="M63" i="10"/>
  <c r="N63" i="10"/>
  <c r="L62" i="10"/>
  <c r="N62" i="10"/>
  <c r="M62" i="10"/>
  <c r="D63" i="10"/>
  <c r="C64" i="10"/>
  <c r="C63" i="10"/>
  <c r="C65" i="10"/>
  <c r="C66" i="10"/>
  <c r="C62" i="10"/>
  <c r="M61" i="10"/>
  <c r="L61" i="10"/>
  <c r="K61" i="10"/>
  <c r="N61" i="10"/>
  <c r="J61" i="10"/>
  <c r="B62" i="10"/>
  <c r="B63" i="10"/>
  <c r="B64" i="10"/>
  <c r="B65" i="10"/>
  <c r="B66" i="10"/>
  <c r="B61" i="10"/>
  <c r="K53" i="10"/>
  <c r="G33" i="10"/>
  <c r="B36" i="10" s="1"/>
  <c r="S34" i="10"/>
  <c r="S35" i="10"/>
  <c r="S36" i="10"/>
  <c r="S33" i="10"/>
  <c r="Z27" i="10"/>
  <c r="S11" i="10"/>
  <c r="T11" i="10" s="1"/>
  <c r="S12" i="10"/>
  <c r="S10" i="10"/>
  <c r="X10" i="10" s="1"/>
  <c r="I33" i="10"/>
  <c r="H33" i="10"/>
  <c r="J33" i="10"/>
  <c r="I27" i="10"/>
  <c r="G10" i="10"/>
  <c r="H10" i="10"/>
  <c r="F10" i="10"/>
  <c r="B11" i="10" s="1"/>
  <c r="H5" i="10"/>
  <c r="E58" i="9"/>
  <c r="F58" i="9"/>
  <c r="E56" i="9"/>
  <c r="I49" i="9"/>
  <c r="E55" i="9"/>
  <c r="D36" i="9"/>
  <c r="D56" i="9"/>
  <c r="D57" i="9" s="1"/>
  <c r="F56" i="9"/>
  <c r="C35" i="9"/>
  <c r="C56" i="9"/>
  <c r="F55" i="9"/>
  <c r="D55" i="9"/>
  <c r="C55" i="9"/>
  <c r="B55" i="9"/>
  <c r="D35" i="9"/>
  <c r="E35" i="9"/>
  <c r="E36" i="9" s="1"/>
  <c r="H36" i="9" s="1"/>
  <c r="C34" i="9"/>
  <c r="D34" i="9"/>
  <c r="E34" i="9"/>
  <c r="B34" i="9"/>
  <c r="I29" i="9"/>
  <c r="E17" i="9"/>
  <c r="D16" i="9"/>
  <c r="E16" i="9"/>
  <c r="C16" i="9"/>
  <c r="E15" i="9"/>
  <c r="D15" i="9"/>
  <c r="C15" i="9"/>
  <c r="B15" i="9"/>
  <c r="I10" i="9"/>
  <c r="L58" i="8"/>
  <c r="K58" i="8"/>
  <c r="K57" i="8"/>
  <c r="L57" i="8" s="1"/>
  <c r="K56" i="8"/>
  <c r="L56" i="8" s="1"/>
  <c r="C58" i="8"/>
  <c r="B58" i="8"/>
  <c r="B57" i="8"/>
  <c r="C57" i="8" s="1"/>
  <c r="D57" i="8" s="1"/>
  <c r="C56" i="8"/>
  <c r="B56" i="8"/>
  <c r="K23" i="8"/>
  <c r="K21" i="8"/>
  <c r="J23" i="8"/>
  <c r="J22" i="8"/>
  <c r="K22" i="8" s="1"/>
  <c r="J21" i="8"/>
  <c r="K89" i="7"/>
  <c r="L88" i="7"/>
  <c r="K88" i="7"/>
  <c r="C88" i="7"/>
  <c r="B88" i="7"/>
  <c r="B89" i="7" s="1"/>
  <c r="I75" i="7"/>
  <c r="K75" i="7" s="1"/>
  <c r="J75" i="7"/>
  <c r="L75" i="7"/>
  <c r="I76" i="7"/>
  <c r="K76" i="7" s="1"/>
  <c r="I62" i="7"/>
  <c r="J62" i="7"/>
  <c r="M62" i="7" s="1"/>
  <c r="K62" i="7"/>
  <c r="L62" i="7"/>
  <c r="I63" i="7"/>
  <c r="K63" i="7" s="1"/>
  <c r="I61" i="7"/>
  <c r="K61" i="7" s="1"/>
  <c r="J60" i="7"/>
  <c r="I60" i="7"/>
  <c r="K60" i="7" s="1"/>
  <c r="I54" i="7"/>
  <c r="K54" i="7" s="1"/>
  <c r="J54" i="7"/>
  <c r="L54" i="7"/>
  <c r="I55" i="7"/>
  <c r="K55" i="7" s="1"/>
  <c r="I45" i="7"/>
  <c r="J45" i="7"/>
  <c r="M45" i="7" s="1"/>
  <c r="K45" i="7"/>
  <c r="L45" i="7"/>
  <c r="I46" i="7"/>
  <c r="K46" i="7" s="1"/>
  <c r="J43" i="7"/>
  <c r="I43" i="7"/>
  <c r="I44" i="7" s="1"/>
  <c r="K44" i="7" s="1"/>
  <c r="I36" i="7"/>
  <c r="K36" i="7" s="1"/>
  <c r="J36" i="7"/>
  <c r="L36" i="7"/>
  <c r="I37" i="7"/>
  <c r="K37" i="7" s="1"/>
  <c r="I24" i="7"/>
  <c r="J24" i="7"/>
  <c r="M24" i="7" s="1"/>
  <c r="K24" i="7"/>
  <c r="L24" i="7"/>
  <c r="I25" i="7"/>
  <c r="K25" i="7" s="1"/>
  <c r="O23" i="7"/>
  <c r="I23" i="7"/>
  <c r="K23" i="7" s="1"/>
  <c r="K22" i="7"/>
  <c r="M22" i="7" s="1"/>
  <c r="L22" i="7"/>
  <c r="J22" i="7"/>
  <c r="I22" i="7"/>
  <c r="K74" i="6"/>
  <c r="J74" i="6"/>
  <c r="N73" i="6"/>
  <c r="K73" i="6"/>
  <c r="J73" i="6"/>
  <c r="C73" i="6"/>
  <c r="B74" i="6" s="1"/>
  <c r="B73" i="6"/>
  <c r="L60" i="6"/>
  <c r="J60" i="6"/>
  <c r="I61" i="6" s="1"/>
  <c r="K61" i="6" s="1"/>
  <c r="I60" i="6"/>
  <c r="K60" i="6" s="1"/>
  <c r="J47" i="6"/>
  <c r="L47" i="6" s="1"/>
  <c r="M47" i="6" s="1"/>
  <c r="J48" i="6" s="1"/>
  <c r="I47" i="6"/>
  <c r="K47" i="6" s="1"/>
  <c r="K27" i="6"/>
  <c r="J27" i="6"/>
  <c r="I27" i="6"/>
  <c r="L3" i="15" l="1"/>
  <c r="B6" i="15"/>
  <c r="D6" i="15"/>
  <c r="C7" i="15"/>
  <c r="N10" i="25"/>
  <c r="D11" i="25" s="1"/>
  <c r="F38" i="24"/>
  <c r="G39" i="24" s="1"/>
  <c r="H39" i="24" s="1"/>
  <c r="D12" i="24"/>
  <c r="F37" i="23"/>
  <c r="D38" i="23" s="1"/>
  <c r="E38" i="23" s="1"/>
  <c r="L12" i="23"/>
  <c r="M12" i="23"/>
  <c r="K13" i="23" s="1"/>
  <c r="L13" i="23"/>
  <c r="M13" i="23" s="1"/>
  <c r="D13" i="23"/>
  <c r="D15" i="12"/>
  <c r="H14" i="12"/>
  <c r="F15" i="12"/>
  <c r="I15" i="12" s="1"/>
  <c r="G14" i="12"/>
  <c r="E15" i="12"/>
  <c r="H53" i="12"/>
  <c r="D54" i="12"/>
  <c r="X18" i="14"/>
  <c r="V19" i="14"/>
  <c r="Y19" i="14" s="1"/>
  <c r="W19" i="14"/>
  <c r="Z19" i="14" s="1"/>
  <c r="U19" i="14"/>
  <c r="X19" i="14" s="1"/>
  <c r="Y18" i="14"/>
  <c r="H17" i="14"/>
  <c r="I17" i="14"/>
  <c r="K17" i="14" s="1"/>
  <c r="J16" i="14"/>
  <c r="E8" i="19"/>
  <c r="F8" i="19" s="1"/>
  <c r="G8" i="19" s="1"/>
  <c r="H8" i="19" s="1"/>
  <c r="E30" i="19"/>
  <c r="F30" i="19" s="1"/>
  <c r="E9" i="19"/>
  <c r="F9" i="17"/>
  <c r="E7" i="17"/>
  <c r="F7" i="17" s="1"/>
  <c r="G7" i="17" s="1"/>
  <c r="B27" i="11"/>
  <c r="C26" i="11"/>
  <c r="C27" i="11" s="1"/>
  <c r="D27" i="11" s="1"/>
  <c r="F80" i="10"/>
  <c r="F79" i="10"/>
  <c r="F82" i="10"/>
  <c r="F78" i="10"/>
  <c r="F81" i="10"/>
  <c r="D80" i="10"/>
  <c r="D79" i="10"/>
  <c r="D82" i="10"/>
  <c r="D78" i="10"/>
  <c r="D81" i="10"/>
  <c r="B80" i="10"/>
  <c r="B79" i="10"/>
  <c r="B82" i="10"/>
  <c r="B78" i="10"/>
  <c r="B81" i="10"/>
  <c r="N74" i="10"/>
  <c r="L73" i="10"/>
  <c r="J72" i="10"/>
  <c r="N70" i="10"/>
  <c r="L69" i="10"/>
  <c r="M74" i="10"/>
  <c r="K73" i="10"/>
  <c r="I72" i="10"/>
  <c r="I70" i="10"/>
  <c r="L74" i="10"/>
  <c r="N73" i="10"/>
  <c r="J73" i="10"/>
  <c r="L72" i="10"/>
  <c r="N71" i="10"/>
  <c r="J71" i="10"/>
  <c r="L70" i="10"/>
  <c r="N69" i="10"/>
  <c r="J69" i="10"/>
  <c r="J74" i="10"/>
  <c r="N72" i="10"/>
  <c r="L71" i="10"/>
  <c r="J70" i="10"/>
  <c r="I74" i="10"/>
  <c r="M72" i="10"/>
  <c r="K71" i="10"/>
  <c r="M70" i="10"/>
  <c r="K69" i="10"/>
  <c r="K74" i="10"/>
  <c r="M73" i="10"/>
  <c r="I73" i="10"/>
  <c r="K72" i="10"/>
  <c r="M71" i="10"/>
  <c r="I71" i="10"/>
  <c r="K70" i="10"/>
  <c r="M69" i="10"/>
  <c r="G74" i="10"/>
  <c r="E73" i="10"/>
  <c r="C72" i="10"/>
  <c r="E71" i="10"/>
  <c r="G70" i="10"/>
  <c r="E69" i="10"/>
  <c r="B74" i="10"/>
  <c r="F72" i="10"/>
  <c r="D71" i="10"/>
  <c r="F70" i="10"/>
  <c r="D69" i="10"/>
  <c r="E74" i="10"/>
  <c r="G73" i="10"/>
  <c r="C73" i="10"/>
  <c r="E72" i="10"/>
  <c r="G71" i="10"/>
  <c r="C71" i="10"/>
  <c r="E70" i="10"/>
  <c r="G69" i="10"/>
  <c r="C69" i="10"/>
  <c r="C74" i="10"/>
  <c r="G72" i="10"/>
  <c r="C70" i="10"/>
  <c r="F74" i="10"/>
  <c r="D73" i="10"/>
  <c r="B72" i="10"/>
  <c r="B70" i="10"/>
  <c r="D74" i="10"/>
  <c r="F73" i="10"/>
  <c r="B73" i="10"/>
  <c r="D72" i="10"/>
  <c r="F71" i="10"/>
  <c r="B71" i="10"/>
  <c r="D70" i="10"/>
  <c r="F69" i="10"/>
  <c r="S66" i="10"/>
  <c r="W64" i="10"/>
  <c r="U63" i="10"/>
  <c r="W62" i="10"/>
  <c r="U61" i="10"/>
  <c r="U66" i="10"/>
  <c r="W65" i="10"/>
  <c r="S65" i="10"/>
  <c r="U64" i="10"/>
  <c r="W63" i="10"/>
  <c r="S63" i="10"/>
  <c r="U62" i="10"/>
  <c r="W61" i="10"/>
  <c r="S61" i="10"/>
  <c r="W66" i="10"/>
  <c r="U65" i="10"/>
  <c r="S64" i="10"/>
  <c r="S62" i="10"/>
  <c r="V66" i="10"/>
  <c r="R66" i="10"/>
  <c r="T65" i="10"/>
  <c r="V64" i="10"/>
  <c r="R64" i="10"/>
  <c r="T63" i="10"/>
  <c r="V62" i="10"/>
  <c r="R62" i="10"/>
  <c r="T61" i="10"/>
  <c r="T66" i="10"/>
  <c r="V65" i="10"/>
  <c r="R65" i="10"/>
  <c r="T64" i="10"/>
  <c r="V63" i="10"/>
  <c r="R63" i="10"/>
  <c r="T62" i="10"/>
  <c r="V61" i="10"/>
  <c r="N65" i="10"/>
  <c r="B35" i="10"/>
  <c r="B34" i="10"/>
  <c r="I34" i="10" s="1"/>
  <c r="Y33" i="10"/>
  <c r="T34" i="10" s="1"/>
  <c r="Z33" i="10"/>
  <c r="T12" i="10"/>
  <c r="AA33" i="10"/>
  <c r="Y10" i="10"/>
  <c r="Y11" i="10" s="1"/>
  <c r="H11" i="10"/>
  <c r="G11" i="10"/>
  <c r="B12" i="10"/>
  <c r="F57" i="9"/>
  <c r="E57" i="9"/>
  <c r="H35" i="9"/>
  <c r="H34" i="9" s="1"/>
  <c r="J34" i="9" s="1" a="1"/>
  <c r="D17" i="9"/>
  <c r="H17" i="9" s="1"/>
  <c r="H16" i="9" s="1"/>
  <c r="H15" i="9" s="1"/>
  <c r="J15" i="9" s="1" a="1"/>
  <c r="M57" i="8"/>
  <c r="M58" i="8"/>
  <c r="D58" i="8"/>
  <c r="L22" i="8"/>
  <c r="L23" i="8"/>
  <c r="O88" i="7"/>
  <c r="F88" i="7"/>
  <c r="M75" i="7"/>
  <c r="I77" i="7"/>
  <c r="J63" i="7"/>
  <c r="N62" i="7"/>
  <c r="O62" i="7" s="1"/>
  <c r="I64" i="7"/>
  <c r="L60" i="7"/>
  <c r="M60" i="7" s="1"/>
  <c r="M54" i="7"/>
  <c r="J46" i="7"/>
  <c r="N45" i="7"/>
  <c r="O45" i="7" s="1"/>
  <c r="I47" i="7"/>
  <c r="K43" i="7"/>
  <c r="L43" i="7"/>
  <c r="M43" i="7" s="1"/>
  <c r="M36" i="7"/>
  <c r="I38" i="7"/>
  <c r="K38" i="7" s="1"/>
  <c r="J25" i="7"/>
  <c r="N24" i="7"/>
  <c r="O24" i="7" s="1"/>
  <c r="I26" i="7"/>
  <c r="N22" i="7"/>
  <c r="J23" i="7"/>
  <c r="L23" i="7" s="1"/>
  <c r="M23" i="7" s="1"/>
  <c r="N23" i="7" s="1"/>
  <c r="F73" i="6"/>
  <c r="C74" i="6" s="1"/>
  <c r="I49" i="6"/>
  <c r="K49" i="6" s="1"/>
  <c r="L48" i="6"/>
  <c r="M48" i="6" s="1"/>
  <c r="M60" i="6"/>
  <c r="J61" i="6" s="1"/>
  <c r="I48" i="6"/>
  <c r="K48" i="6" s="1"/>
  <c r="I28" i="6"/>
  <c r="K28" i="6" s="1"/>
  <c r="L27" i="6"/>
  <c r="M27" i="6" s="1"/>
  <c r="J28" i="6" s="1"/>
  <c r="E7" i="15" l="1"/>
  <c r="E6" i="15"/>
  <c r="D7" i="15"/>
  <c r="C6" i="15"/>
  <c r="E11" i="25"/>
  <c r="G11" i="25" s="1"/>
  <c r="H11" i="25" s="1"/>
  <c r="I11" i="25" s="1"/>
  <c r="J11" i="25" s="1"/>
  <c r="D39" i="24"/>
  <c r="E12" i="24"/>
  <c r="F12" i="24"/>
  <c r="E39" i="24"/>
  <c r="F38" i="23"/>
  <c r="D39" i="23" s="1"/>
  <c r="E39" i="23" s="1"/>
  <c r="K14" i="23"/>
  <c r="L14" i="23"/>
  <c r="E13" i="23"/>
  <c r="F13" i="23" s="1"/>
  <c r="G54" i="12"/>
  <c r="E54" i="12"/>
  <c r="F54" i="12" s="1"/>
  <c r="I54" i="12" s="1"/>
  <c r="H15" i="12"/>
  <c r="D16" i="12"/>
  <c r="E16" i="12"/>
  <c r="G15" i="12"/>
  <c r="F16" i="12"/>
  <c r="I16" i="12" s="1"/>
  <c r="H18" i="14"/>
  <c r="I18" i="14"/>
  <c r="K18" i="14" s="1"/>
  <c r="J17" i="14"/>
  <c r="F9" i="19"/>
  <c r="G9" i="19" s="1"/>
  <c r="H9" i="19" s="1"/>
  <c r="I9" i="19" s="1"/>
  <c r="F21" i="19"/>
  <c r="F8" i="17"/>
  <c r="G8" i="17" s="1"/>
  <c r="H8" i="17" s="1"/>
  <c r="F25" i="11" a="1"/>
  <c r="B30" i="11" a="1"/>
  <c r="J34" i="10"/>
  <c r="H34" i="10"/>
  <c r="C36" i="10" s="1"/>
  <c r="T35" i="10"/>
  <c r="T36" i="10"/>
  <c r="U12" i="10"/>
  <c r="AA10" i="10" s="1" a="1"/>
  <c r="W15" i="10" a="1"/>
  <c r="AA34" i="10"/>
  <c r="Z34" i="10"/>
  <c r="U36" i="10" s="1"/>
  <c r="S15" i="10" a="1"/>
  <c r="C12" i="10"/>
  <c r="B15" i="10" s="1" a="1"/>
  <c r="J15" i="9"/>
  <c r="J17" i="9"/>
  <c r="J16" i="9"/>
  <c r="J35" i="9"/>
  <c r="J34" i="9"/>
  <c r="J36" i="9"/>
  <c r="N58" i="8"/>
  <c r="O58" i="8" s="1"/>
  <c r="P58" i="8" s="1"/>
  <c r="K59" i="8" s="1"/>
  <c r="E58" i="8"/>
  <c r="F58" i="8" s="1"/>
  <c r="G58" i="8" s="1"/>
  <c r="B59" i="8" s="1"/>
  <c r="N23" i="8"/>
  <c r="O23" i="8" s="1"/>
  <c r="J24" i="8" s="1"/>
  <c r="K24" i="8" s="1"/>
  <c r="L24" i="8" s="1"/>
  <c r="M24" i="8" s="1"/>
  <c r="N24" i="8" s="1"/>
  <c r="O24" i="8" s="1"/>
  <c r="M23" i="8"/>
  <c r="L89" i="7"/>
  <c r="C89" i="7"/>
  <c r="K77" i="7"/>
  <c r="I78" i="7"/>
  <c r="K78" i="7" s="1"/>
  <c r="J76" i="7"/>
  <c r="N75" i="7"/>
  <c r="O75" i="7" s="1"/>
  <c r="K64" i="7"/>
  <c r="I65" i="7"/>
  <c r="L63" i="7"/>
  <c r="M63" i="7"/>
  <c r="N60" i="7"/>
  <c r="J61" i="7"/>
  <c r="J55" i="7"/>
  <c r="N54" i="7"/>
  <c r="O54" i="7" s="1"/>
  <c r="K47" i="7"/>
  <c r="I48" i="7"/>
  <c r="L46" i="7"/>
  <c r="M46" i="7" s="1"/>
  <c r="N43" i="7"/>
  <c r="J44" i="7"/>
  <c r="J37" i="7"/>
  <c r="N36" i="7"/>
  <c r="O36" i="7" s="1"/>
  <c r="K26" i="7"/>
  <c r="I27" i="7"/>
  <c r="L25" i="7"/>
  <c r="M25" i="7" s="1"/>
  <c r="N74" i="6"/>
  <c r="O74" i="6" s="1"/>
  <c r="F74" i="6"/>
  <c r="G74" i="6" s="1"/>
  <c r="N48" i="6"/>
  <c r="J49" i="6"/>
  <c r="L61" i="6"/>
  <c r="M61" i="6" s="1"/>
  <c r="I62" i="6"/>
  <c r="K62" i="6" s="1"/>
  <c r="L28" i="6"/>
  <c r="I29" i="6"/>
  <c r="K29" i="6" s="1"/>
  <c r="M28" i="6"/>
  <c r="G6" i="15" l="1" a="1"/>
  <c r="F6" i="15"/>
  <c r="L11" i="25"/>
  <c r="M11" i="25" s="1"/>
  <c r="N11" i="25"/>
  <c r="D12" i="25" s="1"/>
  <c r="F39" i="24"/>
  <c r="G40" i="24" s="1"/>
  <c r="H40" i="24" s="1"/>
  <c r="D13" i="24"/>
  <c r="G13" i="24"/>
  <c r="H13" i="24" s="1"/>
  <c r="F39" i="23"/>
  <c r="D40" i="23" s="1"/>
  <c r="E40" i="23" s="1"/>
  <c r="M14" i="23"/>
  <c r="K15" i="23" s="1"/>
  <c r="D14" i="23"/>
  <c r="D17" i="12"/>
  <c r="H16" i="12"/>
  <c r="D55" i="12"/>
  <c r="H54" i="12"/>
  <c r="E17" i="12"/>
  <c r="F17" i="12"/>
  <c r="I17" i="12" s="1"/>
  <c r="G16" i="12"/>
  <c r="H19" i="14"/>
  <c r="I19" i="14"/>
  <c r="K19" i="14" s="1"/>
  <c r="J18" i="14"/>
  <c r="G9" i="17"/>
  <c r="H9" i="17" s="1"/>
  <c r="I9" i="17" s="1"/>
  <c r="B30" i="11"/>
  <c r="D30" i="11"/>
  <c r="B31" i="11"/>
  <c r="D31" i="11"/>
  <c r="D32" i="11"/>
  <c r="C30" i="11"/>
  <c r="C31" i="11"/>
  <c r="B32" i="11"/>
  <c r="C32" i="11"/>
  <c r="F25" i="11"/>
  <c r="H25" i="11"/>
  <c r="F26" i="11"/>
  <c r="H27" i="11"/>
  <c r="H26" i="11"/>
  <c r="G26" i="11"/>
  <c r="G25" i="11"/>
  <c r="F27" i="11"/>
  <c r="G27" i="11"/>
  <c r="C35" i="10"/>
  <c r="I35" i="10" s="1"/>
  <c r="D36" i="10" s="1"/>
  <c r="AA10" i="10"/>
  <c r="AA11" i="10"/>
  <c r="AB12" i="10"/>
  <c r="AA12" i="10"/>
  <c r="AC12" i="10"/>
  <c r="AC10" i="10"/>
  <c r="AB11" i="10"/>
  <c r="AC11" i="10"/>
  <c r="AB10" i="10"/>
  <c r="W15" i="10"/>
  <c r="W16" i="10"/>
  <c r="Y16" i="10"/>
  <c r="W17" i="10"/>
  <c r="Y15" i="10"/>
  <c r="X17" i="10"/>
  <c r="Y17" i="10"/>
  <c r="X15" i="10"/>
  <c r="X16" i="10"/>
  <c r="J10" i="10" a="1"/>
  <c r="K12" i="10" s="1"/>
  <c r="J35" i="10"/>
  <c r="U35" i="10"/>
  <c r="H12" i="10"/>
  <c r="F15" i="10" s="1" a="1"/>
  <c r="F15" i="10" s="1"/>
  <c r="S15" i="10"/>
  <c r="T17" i="10"/>
  <c r="U16" i="10"/>
  <c r="S16" i="10"/>
  <c r="T15" i="10"/>
  <c r="S17" i="10"/>
  <c r="U15" i="10"/>
  <c r="U17" i="10"/>
  <c r="T16" i="10"/>
  <c r="B15" i="10"/>
  <c r="D16" i="10"/>
  <c r="B16" i="10"/>
  <c r="D17" i="10"/>
  <c r="B17" i="10"/>
  <c r="C16" i="10"/>
  <c r="D15" i="10"/>
  <c r="C17" i="10"/>
  <c r="C15" i="10"/>
  <c r="L59" i="8"/>
  <c r="M59" i="8" s="1"/>
  <c r="C59" i="8"/>
  <c r="D59" i="8" s="1"/>
  <c r="J25" i="8"/>
  <c r="K25" i="8" s="1"/>
  <c r="L25" i="8" s="1"/>
  <c r="M25" i="8" s="1"/>
  <c r="N25" i="8" s="1"/>
  <c r="O25" i="8" s="1"/>
  <c r="J26" i="8" s="1"/>
  <c r="P24" i="8"/>
  <c r="P25" i="8"/>
  <c r="O89" i="7"/>
  <c r="Q89" i="7" s="1"/>
  <c r="F89" i="7"/>
  <c r="H89" i="7" s="1"/>
  <c r="L76" i="7"/>
  <c r="M76" i="7" s="1"/>
  <c r="N63" i="7"/>
  <c r="O63" i="7" s="1"/>
  <c r="J64" i="7"/>
  <c r="I66" i="7"/>
  <c r="K65" i="7"/>
  <c r="L61" i="7"/>
  <c r="M61" i="7" s="1"/>
  <c r="N61" i="7" s="1"/>
  <c r="O61" i="7" s="1"/>
  <c r="L55" i="7"/>
  <c r="M55" i="7" s="1"/>
  <c r="N55" i="7" s="1"/>
  <c r="O55" i="7" s="1"/>
  <c r="N46" i="7"/>
  <c r="O46" i="7" s="1"/>
  <c r="J47" i="7"/>
  <c r="I49" i="7"/>
  <c r="K48" i="7"/>
  <c r="L44" i="7"/>
  <c r="M44" i="7" s="1"/>
  <c r="N44" i="7" s="1"/>
  <c r="O44" i="7" s="1"/>
  <c r="L37" i="7"/>
  <c r="M37" i="7" s="1"/>
  <c r="N25" i="7"/>
  <c r="O25" i="7" s="1"/>
  <c r="J26" i="7"/>
  <c r="I28" i="7"/>
  <c r="K27" i="7"/>
  <c r="N61" i="6"/>
  <c r="J62" i="6"/>
  <c r="L49" i="6"/>
  <c r="M49" i="6" s="1"/>
  <c r="I50" i="6"/>
  <c r="K50" i="6" s="1"/>
  <c r="J29" i="6"/>
  <c r="N28" i="6"/>
  <c r="G7" i="15" l="1"/>
  <c r="H7" i="15"/>
  <c r="G6" i="15"/>
  <c r="I6" i="15" s="1" a="1"/>
  <c r="H6" i="15"/>
  <c r="E12" i="25"/>
  <c r="G12" i="25" s="1"/>
  <c r="H12" i="25" s="1"/>
  <c r="I12" i="25" s="1"/>
  <c r="J12" i="25" s="1"/>
  <c r="D40" i="24"/>
  <c r="E40" i="24"/>
  <c r="E13" i="24"/>
  <c r="F13" i="24"/>
  <c r="F40" i="23"/>
  <c r="D41" i="23" s="1"/>
  <c r="E41" i="23" s="1"/>
  <c r="L15" i="23"/>
  <c r="M15" i="23" s="1"/>
  <c r="M17" i="23" s="1"/>
  <c r="E14" i="23"/>
  <c r="F14" i="23"/>
  <c r="E55" i="12"/>
  <c r="G55" i="12"/>
  <c r="F55" i="12"/>
  <c r="I55" i="12" s="1"/>
  <c r="D18" i="12"/>
  <c r="H17" i="12"/>
  <c r="E18" i="12"/>
  <c r="G17" i="12"/>
  <c r="F18" i="12"/>
  <c r="I18" i="12" s="1"/>
  <c r="H20" i="14"/>
  <c r="I20" i="14"/>
  <c r="K20" i="14" s="1"/>
  <c r="J19" i="14"/>
  <c r="F30" i="11" a="1"/>
  <c r="J25" i="11" a="1"/>
  <c r="B35" i="11" a="1"/>
  <c r="J36" i="10"/>
  <c r="G39" i="10" s="1" a="1"/>
  <c r="H42" i="10" s="1"/>
  <c r="G15" i="10"/>
  <c r="G17" i="10"/>
  <c r="L10" i="10"/>
  <c r="J11" i="10"/>
  <c r="S20" i="10" a="1"/>
  <c r="H16" i="10"/>
  <c r="F17" i="10"/>
  <c r="L12" i="10"/>
  <c r="L11" i="10"/>
  <c r="H17" i="10"/>
  <c r="H15" i="10"/>
  <c r="K11" i="10"/>
  <c r="K10" i="10"/>
  <c r="J10" i="10"/>
  <c r="G16" i="10"/>
  <c r="F16" i="10"/>
  <c r="J12" i="10"/>
  <c r="L33" i="10" a="1"/>
  <c r="AA35" i="10"/>
  <c r="B20" i="10" a="1"/>
  <c r="N59" i="8"/>
  <c r="O59" i="8" s="1"/>
  <c r="P59" i="8" s="1"/>
  <c r="Q59" i="8" s="1"/>
  <c r="E59" i="8"/>
  <c r="F59" i="8" s="1"/>
  <c r="G59" i="8" s="1"/>
  <c r="H59" i="8" s="1"/>
  <c r="K26" i="8"/>
  <c r="L26" i="8" s="1"/>
  <c r="N76" i="7"/>
  <c r="O76" i="7" s="1"/>
  <c r="J77" i="7"/>
  <c r="K66" i="7"/>
  <c r="I67" i="7"/>
  <c r="L64" i="7"/>
  <c r="M64" i="7"/>
  <c r="I50" i="7"/>
  <c r="K49" i="7"/>
  <c r="L47" i="7"/>
  <c r="M47" i="7"/>
  <c r="N37" i="7"/>
  <c r="O37" i="7" s="1"/>
  <c r="J38" i="7"/>
  <c r="I29" i="7"/>
  <c r="K28" i="7"/>
  <c r="L26" i="7"/>
  <c r="M26" i="7" s="1"/>
  <c r="J50" i="6"/>
  <c r="N49" i="6"/>
  <c r="L62" i="6"/>
  <c r="M62" i="6" s="1"/>
  <c r="I63" i="6"/>
  <c r="K63" i="6" s="1"/>
  <c r="L29" i="6"/>
  <c r="M29" i="6" s="1"/>
  <c r="I30" i="6"/>
  <c r="K30" i="6" s="1"/>
  <c r="I6" i="15" l="1"/>
  <c r="K6" i="15" s="1"/>
  <c r="I7" i="15"/>
  <c r="K7" i="15" s="1"/>
  <c r="L12" i="25"/>
  <c r="M12" i="25" s="1"/>
  <c r="N12" i="25" s="1"/>
  <c r="D13" i="25" s="1"/>
  <c r="F40" i="24"/>
  <c r="G41" i="24" s="1"/>
  <c r="H41" i="24" s="1"/>
  <c r="D14" i="24"/>
  <c r="G14" i="24"/>
  <c r="H14" i="24" s="1"/>
  <c r="F41" i="23"/>
  <c r="D42" i="23" s="1"/>
  <c r="E42" i="23" s="1"/>
  <c r="D15" i="23"/>
  <c r="D19" i="12"/>
  <c r="H18" i="12"/>
  <c r="E19" i="12"/>
  <c r="F19" i="12"/>
  <c r="I19" i="12" s="1"/>
  <c r="G18" i="12"/>
  <c r="H55" i="12"/>
  <c r="D56" i="12"/>
  <c r="H21" i="14"/>
  <c r="I21" i="14"/>
  <c r="K21" i="14" s="1"/>
  <c r="J20" i="14"/>
  <c r="B35" i="11"/>
  <c r="B36" i="11"/>
  <c r="B37" i="11"/>
  <c r="J25" i="11"/>
  <c r="L26" i="11"/>
  <c r="L25" i="11"/>
  <c r="K25" i="11"/>
  <c r="L27" i="11"/>
  <c r="J26" i="11"/>
  <c r="K26" i="11"/>
  <c r="K27" i="11"/>
  <c r="J27" i="11"/>
  <c r="F30" i="11"/>
  <c r="H30" i="11"/>
  <c r="G32" i="11"/>
  <c r="F31" i="11"/>
  <c r="H32" i="11"/>
  <c r="H31" i="11"/>
  <c r="G31" i="11"/>
  <c r="F32" i="11"/>
  <c r="G30" i="11"/>
  <c r="B39" i="10" a="1"/>
  <c r="E39" i="10" s="1"/>
  <c r="G42" i="10"/>
  <c r="J41" i="10"/>
  <c r="I41" i="10"/>
  <c r="H41" i="10"/>
  <c r="G41" i="10"/>
  <c r="J40" i="10"/>
  <c r="I40" i="10"/>
  <c r="H40" i="10"/>
  <c r="G40" i="10"/>
  <c r="J39" i="10"/>
  <c r="I39" i="10"/>
  <c r="G39" i="10"/>
  <c r="H39" i="10"/>
  <c r="J42" i="10"/>
  <c r="I42" i="10"/>
  <c r="X39" i="10" a="1"/>
  <c r="V36" i="10"/>
  <c r="L33" i="10"/>
  <c r="N35" i="10"/>
  <c r="M35" i="10"/>
  <c r="L35" i="10"/>
  <c r="O34" i="10"/>
  <c r="N36" i="10"/>
  <c r="M36" i="10"/>
  <c r="L36" i="10"/>
  <c r="O35" i="10"/>
  <c r="N34" i="10"/>
  <c r="M34" i="10"/>
  <c r="L34" i="10"/>
  <c r="O33" i="10"/>
  <c r="N33" i="10"/>
  <c r="M33" i="10"/>
  <c r="O36" i="10"/>
  <c r="S21" i="10"/>
  <c r="S20" i="10"/>
  <c r="S22" i="10"/>
  <c r="B20" i="10"/>
  <c r="B22" i="10"/>
  <c r="B21" i="10"/>
  <c r="M26" i="8"/>
  <c r="N26" i="8" s="1"/>
  <c r="O26" i="8" s="1"/>
  <c r="L77" i="7"/>
  <c r="M77" i="7" s="1"/>
  <c r="J65" i="7"/>
  <c r="N64" i="7"/>
  <c r="O64" i="7" s="1"/>
  <c r="K67" i="7"/>
  <c r="I68" i="7"/>
  <c r="N47" i="7"/>
  <c r="O47" i="7" s="1"/>
  <c r="J48" i="7"/>
  <c r="K50" i="7"/>
  <c r="I51" i="7"/>
  <c r="L38" i="7"/>
  <c r="M38" i="7" s="1"/>
  <c r="N38" i="7" s="1"/>
  <c r="O38" i="7" s="1"/>
  <c r="N26" i="7"/>
  <c r="O26" i="7" s="1"/>
  <c r="J27" i="7"/>
  <c r="K29" i="7"/>
  <c r="I30" i="7"/>
  <c r="J63" i="6"/>
  <c r="N62" i="6"/>
  <c r="I51" i="6"/>
  <c r="K51" i="6" s="1"/>
  <c r="L50" i="6"/>
  <c r="M50" i="6" s="1"/>
  <c r="N29" i="6"/>
  <c r="J30" i="6"/>
  <c r="M6" i="15" l="1"/>
  <c r="B10" i="15"/>
  <c r="L6" i="15"/>
  <c r="B9" i="15"/>
  <c r="E13" i="25"/>
  <c r="G13" i="25" s="1"/>
  <c r="H13" i="25" s="1"/>
  <c r="I13" i="25" s="1"/>
  <c r="J13" i="25" s="1"/>
  <c r="D41" i="24"/>
  <c r="E14" i="24"/>
  <c r="F14" i="24"/>
  <c r="F42" i="23"/>
  <c r="D43" i="23" s="1"/>
  <c r="E43" i="23" s="1"/>
  <c r="E15" i="23"/>
  <c r="F15" i="23"/>
  <c r="G56" i="12"/>
  <c r="E56" i="12"/>
  <c r="F56" i="12" s="1"/>
  <c r="I56" i="12" s="1"/>
  <c r="H19" i="12"/>
  <c r="D20" i="12"/>
  <c r="E20" i="12"/>
  <c r="G19" i="12"/>
  <c r="F20" i="12"/>
  <c r="I20" i="12" s="1"/>
  <c r="H22" i="14"/>
  <c r="I22" i="14"/>
  <c r="K22" i="14" s="1"/>
  <c r="J21" i="14"/>
  <c r="D35" i="11" a="1"/>
  <c r="U20" i="10" a="1"/>
  <c r="U22" i="10" s="1"/>
  <c r="C39" i="10"/>
  <c r="C40" i="10"/>
  <c r="B40" i="10"/>
  <c r="D39" i="10"/>
  <c r="D41" i="10"/>
  <c r="D42" i="10"/>
  <c r="C42" i="10"/>
  <c r="B42" i="10"/>
  <c r="E42" i="10"/>
  <c r="C41" i="10"/>
  <c r="B41" i="10"/>
  <c r="D40" i="10"/>
  <c r="E40" i="10"/>
  <c r="B39" i="10"/>
  <c r="E41" i="10"/>
  <c r="U20" i="10"/>
  <c r="AC33" i="10" a="1"/>
  <c r="S39" i="10" a="1"/>
  <c r="X39" i="10"/>
  <c r="AA41" i="10"/>
  <c r="Z41" i="10"/>
  <c r="Y41" i="10"/>
  <c r="X41" i="10"/>
  <c r="AA40" i="10"/>
  <c r="Z40" i="10"/>
  <c r="Y40" i="10"/>
  <c r="X40" i="10"/>
  <c r="AA39" i="10"/>
  <c r="Y39" i="10"/>
  <c r="Z42" i="10"/>
  <c r="Y42" i="10"/>
  <c r="Z39" i="10"/>
  <c r="AA42" i="10"/>
  <c r="X42" i="10"/>
  <c r="D20" i="10" a="1"/>
  <c r="P26" i="8"/>
  <c r="J27" i="8"/>
  <c r="N77" i="7"/>
  <c r="O77" i="7" s="1"/>
  <c r="J78" i="7"/>
  <c r="K68" i="7"/>
  <c r="I69" i="7"/>
  <c r="L65" i="7"/>
  <c r="M65" i="7"/>
  <c r="L48" i="7"/>
  <c r="M48" i="7" s="1"/>
  <c r="K51" i="7"/>
  <c r="I52" i="7"/>
  <c r="L27" i="7"/>
  <c r="M27" i="7"/>
  <c r="K30" i="7"/>
  <c r="I31" i="7"/>
  <c r="N50" i="6"/>
  <c r="J51" i="6"/>
  <c r="L63" i="6"/>
  <c r="M63" i="6" s="1"/>
  <c r="I64" i="6"/>
  <c r="K64" i="6" s="1"/>
  <c r="L30" i="6"/>
  <c r="I31" i="6"/>
  <c r="K31" i="6" s="1"/>
  <c r="M30" i="6"/>
  <c r="C9" i="15" l="1"/>
  <c r="D10" i="15"/>
  <c r="E9" i="15"/>
  <c r="E10" i="15"/>
  <c r="D9" i="15"/>
  <c r="C10" i="15"/>
  <c r="L13" i="25"/>
  <c r="M13" i="25" s="1"/>
  <c r="N13" i="25" s="1"/>
  <c r="D14" i="25" s="1"/>
  <c r="D15" i="24"/>
  <c r="G15" i="24"/>
  <c r="H15" i="24" s="1"/>
  <c r="E41" i="24"/>
  <c r="F41" i="24" s="1"/>
  <c r="F43" i="23"/>
  <c r="D44" i="23" s="1"/>
  <c r="E44" i="23" s="1"/>
  <c r="D16" i="23"/>
  <c r="H20" i="12"/>
  <c r="D21" i="12"/>
  <c r="D57" i="12"/>
  <c r="H56" i="12"/>
  <c r="F21" i="12"/>
  <c r="I21" i="12" s="1"/>
  <c r="G20" i="12"/>
  <c r="E21" i="12"/>
  <c r="H23" i="14"/>
  <c r="I23" i="14"/>
  <c r="K23" i="14" s="1"/>
  <c r="J22" i="14"/>
  <c r="D35" i="11"/>
  <c r="D36" i="11"/>
  <c r="D37" i="11"/>
  <c r="U21" i="10"/>
  <c r="B45" i="10" a="1"/>
  <c r="B45" i="10" s="1"/>
  <c r="S39" i="10"/>
  <c r="V41" i="10"/>
  <c r="V42" i="10"/>
  <c r="V39" i="10"/>
  <c r="V40" i="10"/>
  <c r="U42" i="10"/>
  <c r="T42" i="10"/>
  <c r="S42" i="10"/>
  <c r="U41" i="10"/>
  <c r="S41" i="10"/>
  <c r="U40" i="10"/>
  <c r="T40" i="10"/>
  <c r="S40" i="10"/>
  <c r="U39" i="10"/>
  <c r="T39" i="10"/>
  <c r="T41" i="10"/>
  <c r="AC33" i="10"/>
  <c r="AF34" i="10"/>
  <c r="AE34" i="10"/>
  <c r="AD34" i="10"/>
  <c r="AC34" i="10"/>
  <c r="AF33" i="10"/>
  <c r="AE33" i="10"/>
  <c r="AD33" i="10"/>
  <c r="AF36" i="10"/>
  <c r="AE36" i="10"/>
  <c r="AC36" i="10"/>
  <c r="AF35" i="10"/>
  <c r="AD35" i="10"/>
  <c r="AD36" i="10"/>
  <c r="AE35" i="10"/>
  <c r="AC35" i="10"/>
  <c r="W20" i="10" a="1"/>
  <c r="D20" i="10"/>
  <c r="D21" i="10"/>
  <c r="D22" i="10"/>
  <c r="K27" i="8"/>
  <c r="L27" i="8" s="1"/>
  <c r="L78" i="7"/>
  <c r="M78" i="7" s="1"/>
  <c r="N78" i="7" s="1"/>
  <c r="O78" i="7" s="1"/>
  <c r="J66" i="7"/>
  <c r="N65" i="7"/>
  <c r="O65" i="7" s="1"/>
  <c r="I70" i="7"/>
  <c r="K69" i="7"/>
  <c r="J49" i="7"/>
  <c r="N48" i="7"/>
  <c r="O48" i="7" s="1"/>
  <c r="I53" i="7"/>
  <c r="K53" i="7" s="1"/>
  <c r="K52" i="7"/>
  <c r="J28" i="7"/>
  <c r="N27" i="7"/>
  <c r="O27" i="7" s="1"/>
  <c r="I32" i="7"/>
  <c r="K31" i="7"/>
  <c r="N63" i="6"/>
  <c r="J64" i="6"/>
  <c r="L51" i="6"/>
  <c r="M51" i="6" s="1"/>
  <c r="I52" i="6"/>
  <c r="K52" i="6" s="1"/>
  <c r="J31" i="6"/>
  <c r="N30" i="6"/>
  <c r="F9" i="15" l="1"/>
  <c r="G9" i="15" a="1"/>
  <c r="E14" i="25"/>
  <c r="G14" i="25" s="1"/>
  <c r="H14" i="25" s="1"/>
  <c r="I14" i="25" s="1"/>
  <c r="J14" i="25" s="1"/>
  <c r="G42" i="24"/>
  <c r="H42" i="24" s="1"/>
  <c r="E15" i="24"/>
  <c r="F15" i="24" s="1"/>
  <c r="D42" i="24"/>
  <c r="F44" i="23"/>
  <c r="D45" i="23" s="1"/>
  <c r="E45" i="23" s="1"/>
  <c r="E16" i="23"/>
  <c r="E22" i="12"/>
  <c r="G21" i="12"/>
  <c r="F22" i="12"/>
  <c r="I22" i="12" s="1"/>
  <c r="H21" i="12"/>
  <c r="D22" i="12"/>
  <c r="E57" i="12"/>
  <c r="G57" i="12"/>
  <c r="F57" i="12"/>
  <c r="I57" i="12" s="1"/>
  <c r="H24" i="14"/>
  <c r="I24" i="14"/>
  <c r="K24" i="14" s="1"/>
  <c r="J23" i="14"/>
  <c r="F35" i="11" a="1"/>
  <c r="B46" i="10"/>
  <c r="B47" i="10"/>
  <c r="B48" i="10"/>
  <c r="S45" i="10" a="1"/>
  <c r="W20" i="10"/>
  <c r="W22" i="10"/>
  <c r="W21" i="10"/>
  <c r="F20" i="10" a="1"/>
  <c r="M27" i="8"/>
  <c r="N27" i="8" s="1"/>
  <c r="O27" i="8" s="1"/>
  <c r="K70" i="7"/>
  <c r="I71" i="7"/>
  <c r="L66" i="7"/>
  <c r="M66" i="7" s="1"/>
  <c r="L49" i="7"/>
  <c r="M49" i="7" s="1"/>
  <c r="I33" i="7"/>
  <c r="K32" i="7"/>
  <c r="L28" i="7"/>
  <c r="M28" i="7" s="1"/>
  <c r="J52" i="6"/>
  <c r="N51" i="6"/>
  <c r="L64" i="6"/>
  <c r="M64" i="6" s="1"/>
  <c r="I65" i="6"/>
  <c r="K65" i="6" s="1"/>
  <c r="L31" i="6"/>
  <c r="M31" i="6" s="1"/>
  <c r="I32" i="6"/>
  <c r="K32" i="6" s="1"/>
  <c r="G10" i="15" l="1"/>
  <c r="H10" i="15"/>
  <c r="G9" i="15"/>
  <c r="I9" i="15" s="1" a="1"/>
  <c r="H9" i="15"/>
  <c r="L14" i="25"/>
  <c r="M14" i="25" s="1"/>
  <c r="N14" i="25" s="1"/>
  <c r="D15" i="25" s="1"/>
  <c r="D16" i="24"/>
  <c r="G16" i="24"/>
  <c r="H16" i="24"/>
  <c r="E42" i="24"/>
  <c r="F42" i="24" s="1"/>
  <c r="F45" i="23"/>
  <c r="D46" i="23" s="1"/>
  <c r="E46" i="23" s="1"/>
  <c r="F16" i="23"/>
  <c r="D17" i="23" s="1"/>
  <c r="H57" i="12"/>
  <c r="D58" i="12"/>
  <c r="F23" i="12"/>
  <c r="I23" i="12" s="1"/>
  <c r="G22" i="12"/>
  <c r="E23" i="12"/>
  <c r="H22" i="12"/>
  <c r="D23" i="12"/>
  <c r="H25" i="14"/>
  <c r="I25" i="14"/>
  <c r="K25" i="14" s="1"/>
  <c r="J24" i="14"/>
  <c r="F35" i="11"/>
  <c r="F37" i="11"/>
  <c r="F36" i="11"/>
  <c r="D45" i="10" a="1"/>
  <c r="D45" i="10" s="1"/>
  <c r="S45" i="10"/>
  <c r="S48" i="10"/>
  <c r="S47" i="10"/>
  <c r="S46" i="10"/>
  <c r="F20" i="10"/>
  <c r="F22" i="10"/>
  <c r="F21" i="10"/>
  <c r="P27" i="8"/>
  <c r="J67" i="7"/>
  <c r="N66" i="7"/>
  <c r="O66" i="7" s="1"/>
  <c r="K71" i="7"/>
  <c r="I72" i="7"/>
  <c r="J50" i="7"/>
  <c r="N49" i="7"/>
  <c r="O49" i="7" s="1"/>
  <c r="J29" i="7"/>
  <c r="N28" i="7"/>
  <c r="O28" i="7" s="1"/>
  <c r="K33" i="7"/>
  <c r="I34" i="7"/>
  <c r="J65" i="6"/>
  <c r="N64" i="6"/>
  <c r="I53" i="6"/>
  <c r="K53" i="6" s="1"/>
  <c r="L52" i="6"/>
  <c r="M52" i="6" s="1"/>
  <c r="N31" i="6"/>
  <c r="J32" i="6"/>
  <c r="I10" i="15" l="1"/>
  <c r="K10" i="15" s="1"/>
  <c r="I9" i="15"/>
  <c r="K9" i="15" s="1"/>
  <c r="G15" i="25"/>
  <c r="H15" i="25" s="1"/>
  <c r="I15" i="25" s="1"/>
  <c r="J15" i="25" s="1"/>
  <c r="E15" i="25"/>
  <c r="E16" i="24"/>
  <c r="F16" i="24"/>
  <c r="G43" i="24"/>
  <c r="H43" i="24" s="1"/>
  <c r="F46" i="23"/>
  <c r="D47" i="23" s="1"/>
  <c r="E47" i="23" s="1"/>
  <c r="E17" i="23"/>
  <c r="E24" i="12"/>
  <c r="G23" i="12"/>
  <c r="F24" i="12"/>
  <c r="I24" i="12" s="1"/>
  <c r="G58" i="12"/>
  <c r="E58" i="12"/>
  <c r="D24" i="12"/>
  <c r="H23" i="12"/>
  <c r="H26" i="14"/>
  <c r="I26" i="14"/>
  <c r="K26" i="14" s="1"/>
  <c r="J25" i="14"/>
  <c r="D46" i="10"/>
  <c r="F45" i="10" s="1" a="1"/>
  <c r="F47" i="10" s="1"/>
  <c r="D47" i="10"/>
  <c r="D48" i="10"/>
  <c r="U45" i="10" a="1"/>
  <c r="K72" i="7"/>
  <c r="I73" i="7"/>
  <c r="L67" i="7"/>
  <c r="M67" i="7"/>
  <c r="L50" i="7"/>
  <c r="M50" i="7" s="1"/>
  <c r="K34" i="7"/>
  <c r="I35" i="7"/>
  <c r="K35" i="7" s="1"/>
  <c r="L29" i="7"/>
  <c r="M29" i="7" s="1"/>
  <c r="N52" i="6"/>
  <c r="J53" i="6"/>
  <c r="L65" i="6"/>
  <c r="M65" i="6" s="1"/>
  <c r="I66" i="6"/>
  <c r="K66" i="6" s="1"/>
  <c r="L32" i="6"/>
  <c r="I33" i="6"/>
  <c r="K33" i="6" s="1"/>
  <c r="M32" i="6"/>
  <c r="B12" i="15" l="1"/>
  <c r="L9" i="15"/>
  <c r="B13" i="15"/>
  <c r="M9" i="15"/>
  <c r="L15" i="25"/>
  <c r="M15" i="25" s="1"/>
  <c r="N15" i="25" s="1"/>
  <c r="D16" i="25" s="1"/>
  <c r="D17" i="24"/>
  <c r="G17" i="24"/>
  <c r="H17" i="24" s="1"/>
  <c r="D43" i="24"/>
  <c r="F47" i="23"/>
  <c r="D48" i="23" s="1"/>
  <c r="E48" i="23" s="1"/>
  <c r="F17" i="23"/>
  <c r="D18" i="23" s="1"/>
  <c r="F25" i="12"/>
  <c r="I25" i="12" s="1"/>
  <c r="E25" i="12"/>
  <c r="G24" i="12"/>
  <c r="D59" i="12"/>
  <c r="H58" i="12"/>
  <c r="F58" i="12"/>
  <c r="I58" i="12" s="1"/>
  <c r="H24" i="12"/>
  <c r="D25" i="12"/>
  <c r="H27" i="14"/>
  <c r="J27" i="14" s="1"/>
  <c r="I27" i="14"/>
  <c r="K27" i="14" s="1"/>
  <c r="J26" i="14"/>
  <c r="F48" i="10"/>
  <c r="F46" i="10"/>
  <c r="F45" i="10"/>
  <c r="U45" i="10"/>
  <c r="U46" i="10"/>
  <c r="U47" i="10"/>
  <c r="U48" i="10"/>
  <c r="N67" i="7"/>
  <c r="O67" i="7" s="1"/>
  <c r="J68" i="7"/>
  <c r="I74" i="7"/>
  <c r="K74" i="7" s="1"/>
  <c r="K73" i="7"/>
  <c r="N50" i="7"/>
  <c r="O50" i="7" s="1"/>
  <c r="J51" i="7"/>
  <c r="N29" i="7"/>
  <c r="O29" i="7" s="1"/>
  <c r="J30" i="7"/>
  <c r="N65" i="6"/>
  <c r="J66" i="6"/>
  <c r="L53" i="6"/>
  <c r="M53" i="6" s="1"/>
  <c r="I54" i="6"/>
  <c r="K54" i="6" s="1"/>
  <c r="J33" i="6"/>
  <c r="N32" i="6"/>
  <c r="D12" i="15" l="1"/>
  <c r="C13" i="15"/>
  <c r="E12" i="15"/>
  <c r="E13" i="15"/>
  <c r="C12" i="15"/>
  <c r="D13" i="15"/>
  <c r="E16" i="25"/>
  <c r="G16" i="25" s="1"/>
  <c r="H16" i="25" s="1"/>
  <c r="I16" i="25" s="1"/>
  <c r="J16" i="25" s="1"/>
  <c r="L16" i="25" s="1"/>
  <c r="M16" i="25" s="1"/>
  <c r="E43" i="24"/>
  <c r="F43" i="24" s="1"/>
  <c r="G44" i="24" s="1"/>
  <c r="E17" i="24"/>
  <c r="F17" i="24" s="1"/>
  <c r="F48" i="23"/>
  <c r="D49" i="23" s="1"/>
  <c r="E49" i="23" s="1"/>
  <c r="E18" i="23"/>
  <c r="F18" i="23"/>
  <c r="D19" i="23" s="1"/>
  <c r="E59" i="12"/>
  <c r="G59" i="12"/>
  <c r="F59" i="12"/>
  <c r="I59" i="12" s="1"/>
  <c r="D26" i="12"/>
  <c r="H25" i="12"/>
  <c r="E26" i="12"/>
  <c r="G25" i="12"/>
  <c r="F26" i="12"/>
  <c r="I26" i="12" s="1"/>
  <c r="W45" i="10" a="1"/>
  <c r="L68" i="7"/>
  <c r="M68" i="7"/>
  <c r="L51" i="7"/>
  <c r="M51" i="7" s="1"/>
  <c r="L30" i="7"/>
  <c r="M30" i="7"/>
  <c r="J54" i="6"/>
  <c r="N53" i="6"/>
  <c r="L66" i="6"/>
  <c r="M66" i="6" s="1"/>
  <c r="I67" i="6"/>
  <c r="K67" i="6" s="1"/>
  <c r="L33" i="6"/>
  <c r="M33" i="6" s="1"/>
  <c r="I34" i="6"/>
  <c r="K34" i="6" s="1"/>
  <c r="F12" i="15" l="1"/>
  <c r="G12" i="15" a="1"/>
  <c r="H44" i="24"/>
  <c r="D18" i="24"/>
  <c r="G18" i="24"/>
  <c r="H18" i="24" s="1"/>
  <c r="D44" i="24"/>
  <c r="F49" i="23"/>
  <c r="D50" i="23" s="1"/>
  <c r="E50" i="23" s="1"/>
  <c r="E19" i="23"/>
  <c r="H26" i="12"/>
  <c r="D27" i="12"/>
  <c r="F27" i="12"/>
  <c r="I27" i="12" s="1"/>
  <c r="G26" i="12"/>
  <c r="E27" i="12"/>
  <c r="H59" i="12"/>
  <c r="D60" i="12"/>
  <c r="W45" i="10"/>
  <c r="W46" i="10"/>
  <c r="W47" i="10"/>
  <c r="W48" i="10"/>
  <c r="J69" i="7"/>
  <c r="N68" i="7"/>
  <c r="O68" i="7" s="1"/>
  <c r="N51" i="7"/>
  <c r="O51" i="7" s="1"/>
  <c r="J52" i="7"/>
  <c r="N30" i="7"/>
  <c r="O30" i="7" s="1"/>
  <c r="J31" i="7"/>
  <c r="J67" i="6"/>
  <c r="N66" i="6"/>
  <c r="I55" i="6"/>
  <c r="K55" i="6" s="1"/>
  <c r="M54" i="6"/>
  <c r="L54" i="6"/>
  <c r="N33" i="6"/>
  <c r="J34" i="6"/>
  <c r="G12" i="15" l="1"/>
  <c r="H13" i="15"/>
  <c r="H12" i="15"/>
  <c r="G13" i="15"/>
  <c r="E44" i="24"/>
  <c r="F44" i="24" s="1"/>
  <c r="E18" i="24"/>
  <c r="F18" i="24" s="1"/>
  <c r="F50" i="23"/>
  <c r="D51" i="23" s="1"/>
  <c r="E51" i="23" s="1"/>
  <c r="F19" i="23"/>
  <c r="D20" i="23" s="1"/>
  <c r="G60" i="12"/>
  <c r="E60" i="12"/>
  <c r="E28" i="12"/>
  <c r="G27" i="12"/>
  <c r="F28" i="12"/>
  <c r="I28" i="12" s="1"/>
  <c r="D28" i="12"/>
  <c r="H27" i="12"/>
  <c r="L69" i="7"/>
  <c r="M69" i="7"/>
  <c r="L52" i="7"/>
  <c r="M52" i="7" s="1"/>
  <c r="L31" i="7"/>
  <c r="M31" i="7"/>
  <c r="N54" i="6"/>
  <c r="J55" i="6"/>
  <c r="L67" i="6"/>
  <c r="M67" i="6" s="1"/>
  <c r="N67" i="6" s="1"/>
  <c r="L34" i="6"/>
  <c r="M34" i="6" s="1"/>
  <c r="N34" i="6" s="1"/>
  <c r="I12" i="15" l="1" a="1"/>
  <c r="D19" i="24"/>
  <c r="G19" i="24"/>
  <c r="H19" i="24" s="1"/>
  <c r="G45" i="24"/>
  <c r="H45" i="24" s="1"/>
  <c r="F51" i="23"/>
  <c r="D52" i="23" s="1"/>
  <c r="E52" i="23" s="1"/>
  <c r="E20" i="23"/>
  <c r="F20" i="23"/>
  <c r="D21" i="23" s="1"/>
  <c r="H28" i="12"/>
  <c r="D29" i="12"/>
  <c r="D61" i="12"/>
  <c r="H60" i="12"/>
  <c r="F60" i="12"/>
  <c r="I60" i="12" s="1"/>
  <c r="F29" i="12"/>
  <c r="I29" i="12" s="1"/>
  <c r="E29" i="12"/>
  <c r="G28" i="12"/>
  <c r="J70" i="7"/>
  <c r="N69" i="7"/>
  <c r="O69" i="7" s="1"/>
  <c r="J53" i="7"/>
  <c r="N52" i="7"/>
  <c r="O52" i="7" s="1"/>
  <c r="J32" i="7"/>
  <c r="N31" i="7"/>
  <c r="O31" i="7" s="1"/>
  <c r="L55" i="6"/>
  <c r="M55" i="6" s="1"/>
  <c r="N55" i="6" s="1"/>
  <c r="I12" i="15" l="1"/>
  <c r="K12" i="15" s="1"/>
  <c r="I13" i="15"/>
  <c r="K13" i="15" s="1"/>
  <c r="E19" i="24"/>
  <c r="F19" i="24"/>
  <c r="D45" i="24"/>
  <c r="F52" i="23"/>
  <c r="D53" i="23" s="1"/>
  <c r="E53" i="23" s="1"/>
  <c r="E21" i="23"/>
  <c r="F21" i="23" s="1"/>
  <c r="F23" i="23" s="1"/>
  <c r="E30" i="12"/>
  <c r="G29" i="12"/>
  <c r="F30" i="12"/>
  <c r="I30" i="12" s="1"/>
  <c r="D30" i="12"/>
  <c r="H29" i="12"/>
  <c r="E61" i="12"/>
  <c r="G61" i="12"/>
  <c r="F61" i="12"/>
  <c r="I61" i="12" s="1"/>
  <c r="L70" i="7"/>
  <c r="M70" i="7" s="1"/>
  <c r="L53" i="7"/>
  <c r="M53" i="7" s="1"/>
  <c r="N53" i="7" s="1"/>
  <c r="O53" i="7" s="1"/>
  <c r="M32" i="7"/>
  <c r="L32" i="7"/>
  <c r="T77" i="5"/>
  <c r="Q78" i="5" s="1"/>
  <c r="T78" i="5" s="1"/>
  <c r="U78" i="5" s="1"/>
  <c r="Q77" i="5"/>
  <c r="J77" i="5"/>
  <c r="L45" i="5"/>
  <c r="K45" i="5"/>
  <c r="J64" i="5"/>
  <c r="L64" i="5" s="1"/>
  <c r="J55" i="5"/>
  <c r="L55" i="5" s="1"/>
  <c r="J45" i="5"/>
  <c r="M12" i="15" l="1"/>
  <c r="B16" i="15"/>
  <c r="L12" i="15"/>
  <c r="B15" i="15"/>
  <c r="D20" i="24"/>
  <c r="G20" i="24"/>
  <c r="H20" i="24" s="1"/>
  <c r="E45" i="24"/>
  <c r="F45" i="24" s="1"/>
  <c r="F53" i="23"/>
  <c r="D54" i="23" s="1"/>
  <c r="E54" i="23" s="1"/>
  <c r="F31" i="12"/>
  <c r="I31" i="12" s="1"/>
  <c r="G30" i="12"/>
  <c r="E31" i="12"/>
  <c r="H61" i="12"/>
  <c r="D62" i="12"/>
  <c r="H30" i="12"/>
  <c r="D31" i="12"/>
  <c r="J71" i="7"/>
  <c r="N70" i="7"/>
  <c r="O70" i="7" s="1"/>
  <c r="J33" i="7"/>
  <c r="N32" i="7"/>
  <c r="O32" i="7" s="1"/>
  <c r="M77" i="5"/>
  <c r="J78" i="5" s="1"/>
  <c r="K64" i="5"/>
  <c r="M64" i="5" s="1"/>
  <c r="J65" i="5" s="1"/>
  <c r="K55" i="5"/>
  <c r="M55" i="5" s="1"/>
  <c r="J56" i="5" s="1"/>
  <c r="M45" i="5"/>
  <c r="J46" i="5" s="1"/>
  <c r="D16" i="15" l="1"/>
  <c r="E16" i="15"/>
  <c r="E15" i="15"/>
  <c r="C15" i="15"/>
  <c r="D15" i="15"/>
  <c r="C16" i="15"/>
  <c r="E20" i="24"/>
  <c r="F20" i="24"/>
  <c r="G46" i="24"/>
  <c r="H46" i="24" s="1"/>
  <c r="E32" i="12"/>
  <c r="G31" i="12"/>
  <c r="F32" i="12"/>
  <c r="I32" i="12" s="1"/>
  <c r="D32" i="12"/>
  <c r="H31" i="12"/>
  <c r="G62" i="12"/>
  <c r="E62" i="12"/>
  <c r="F62" i="12" s="1"/>
  <c r="I62" i="12" s="1"/>
  <c r="L71" i="7"/>
  <c r="M71" i="7"/>
  <c r="L33" i="7"/>
  <c r="M33" i="7" s="1"/>
  <c r="M78" i="5"/>
  <c r="N78" i="5" s="1"/>
  <c r="L65" i="5"/>
  <c r="K65" i="5"/>
  <c r="M65" i="5" s="1"/>
  <c r="L56" i="5"/>
  <c r="K56" i="5"/>
  <c r="M56" i="5" s="1"/>
  <c r="L46" i="5"/>
  <c r="K46" i="5"/>
  <c r="M46" i="5" s="1"/>
  <c r="F15" i="15" l="1"/>
  <c r="G15" i="15" a="1"/>
  <c r="D21" i="24"/>
  <c r="G21" i="24"/>
  <c r="H21" i="24" s="1"/>
  <c r="H23" i="24" s="1"/>
  <c r="D46" i="24"/>
  <c r="F33" i="12"/>
  <c r="I33" i="12" s="1"/>
  <c r="E33" i="12"/>
  <c r="G32" i="12"/>
  <c r="D63" i="12"/>
  <c r="H62" i="12"/>
  <c r="H32" i="12"/>
  <c r="D33" i="12"/>
  <c r="N71" i="7"/>
  <c r="O71" i="7" s="1"/>
  <c r="J72" i="7"/>
  <c r="N33" i="7"/>
  <c r="O33" i="7" s="1"/>
  <c r="J34" i="7"/>
  <c r="N65" i="5"/>
  <c r="J66" i="5"/>
  <c r="J57" i="5"/>
  <c r="N56" i="5"/>
  <c r="J47" i="5"/>
  <c r="N46" i="5"/>
  <c r="G15" i="15" l="1"/>
  <c r="H16" i="15"/>
  <c r="H15" i="15"/>
  <c r="G16" i="15"/>
  <c r="E46" i="24"/>
  <c r="F46" i="24" s="1"/>
  <c r="E21" i="24"/>
  <c r="F21" i="24" s="1"/>
  <c r="E63" i="12"/>
  <c r="H63" i="12" s="1"/>
  <c r="G63" i="12"/>
  <c r="F63" i="12"/>
  <c r="I63" i="12" s="1"/>
  <c r="D34" i="12"/>
  <c r="H33" i="12"/>
  <c r="E34" i="12"/>
  <c r="G33" i="12"/>
  <c r="F34" i="12"/>
  <c r="I34" i="12" s="1"/>
  <c r="L72" i="7"/>
  <c r="M72" i="7"/>
  <c r="L34" i="7"/>
  <c r="M34" i="7" s="1"/>
  <c r="K66" i="5"/>
  <c r="L66" i="5"/>
  <c r="M66" i="5" s="1"/>
  <c r="K57" i="5"/>
  <c r="L57" i="5"/>
  <c r="K47" i="5"/>
  <c r="L47" i="5"/>
  <c r="I15" i="15" l="1" a="1"/>
  <c r="D47" i="24"/>
  <c r="G47" i="24"/>
  <c r="H47" i="24" s="1"/>
  <c r="F35" i="12"/>
  <c r="I35" i="12" s="1"/>
  <c r="G34" i="12"/>
  <c r="E35" i="12"/>
  <c r="H34" i="12"/>
  <c r="D35" i="12"/>
  <c r="J73" i="7"/>
  <c r="N72" i="7"/>
  <c r="O72" i="7" s="1"/>
  <c r="N34" i="7"/>
  <c r="O34" i="7" s="1"/>
  <c r="J35" i="7"/>
  <c r="M57" i="5"/>
  <c r="M47" i="5"/>
  <c r="J67" i="5"/>
  <c r="N66" i="5"/>
  <c r="J58" i="5"/>
  <c r="N57" i="5"/>
  <c r="J48" i="5"/>
  <c r="N47" i="5"/>
  <c r="I15" i="15" l="1"/>
  <c r="K15" i="15" s="1"/>
  <c r="L15" i="15" s="1"/>
  <c r="I16" i="15"/>
  <c r="K16" i="15" s="1"/>
  <c r="M15" i="15" s="1"/>
  <c r="E47" i="24"/>
  <c r="F47" i="24"/>
  <c r="E36" i="12"/>
  <c r="G35" i="12"/>
  <c r="F36" i="12"/>
  <c r="I36" i="12" s="1"/>
  <c r="D36" i="12"/>
  <c r="H35" i="12"/>
  <c r="L73" i="7"/>
  <c r="M73" i="7"/>
  <c r="L35" i="7"/>
  <c r="M35" i="7" s="1"/>
  <c r="N35" i="7" s="1"/>
  <c r="O35" i="7" s="1"/>
  <c r="K67" i="5"/>
  <c r="L67" i="5"/>
  <c r="L58" i="5"/>
  <c r="K58" i="5"/>
  <c r="M58" i="5" s="1"/>
  <c r="N58" i="5" s="1"/>
  <c r="L48" i="5"/>
  <c r="K48" i="5"/>
  <c r="G48" i="24" l="1"/>
  <c r="H48" i="24" s="1"/>
  <c r="D48" i="24"/>
  <c r="F37" i="12"/>
  <c r="I37" i="12" s="1"/>
  <c r="E37" i="12"/>
  <c r="G36" i="12"/>
  <c r="H36" i="12"/>
  <c r="D37" i="12"/>
  <c r="J74" i="7"/>
  <c r="N73" i="7"/>
  <c r="O73" i="7" s="1"/>
  <c r="M67" i="5"/>
  <c r="N67" i="5" s="1"/>
  <c r="M48" i="5"/>
  <c r="N48" i="5" s="1"/>
  <c r="J49" i="5"/>
  <c r="E48" i="24" l="1"/>
  <c r="F48" i="24"/>
  <c r="D38" i="12"/>
  <c r="G38" i="12" s="1"/>
  <c r="H37" i="12"/>
  <c r="E38" i="12"/>
  <c r="H38" i="12" s="1"/>
  <c r="G37" i="12"/>
  <c r="F38" i="12"/>
  <c r="I38" i="12" s="1"/>
  <c r="L74" i="7"/>
  <c r="M74" i="7" s="1"/>
  <c r="N74" i="7" s="1"/>
  <c r="O74" i="7" s="1"/>
  <c r="K49" i="5"/>
  <c r="L49" i="5"/>
  <c r="G49" i="24" l="1"/>
  <c r="H49" i="24" s="1"/>
  <c r="D49" i="24"/>
  <c r="E49" i="24" s="1"/>
  <c r="F49" i="24" s="1"/>
  <c r="M49" i="5"/>
  <c r="N49" i="5" s="1"/>
  <c r="H41" i="4"/>
  <c r="B41" i="4"/>
  <c r="N4" i="4"/>
  <c r="O4" i="4" s="1"/>
  <c r="N5" i="4" s="1"/>
  <c r="D50" i="24" l="1"/>
  <c r="G50" i="24"/>
  <c r="H50" i="24" s="1"/>
  <c r="H42" i="4"/>
  <c r="B42" i="4"/>
  <c r="Q5" i="4"/>
  <c r="O5" i="4"/>
  <c r="P5" i="4" s="1"/>
  <c r="N6" i="4"/>
  <c r="Q4" i="4"/>
  <c r="L42" i="3"/>
  <c r="K42" i="3"/>
  <c r="C42" i="3"/>
  <c r="B42" i="3"/>
  <c r="F42" i="3" s="1"/>
  <c r="K9" i="3"/>
  <c r="M9" i="3" s="1"/>
  <c r="J9" i="3"/>
  <c r="L9" i="3" s="1"/>
  <c r="E50" i="24" l="1"/>
  <c r="F50" i="24"/>
  <c r="J42" i="4"/>
  <c r="D42" i="4"/>
  <c r="Q6" i="4"/>
  <c r="O6" i="4"/>
  <c r="O42" i="3"/>
  <c r="N9" i="3"/>
  <c r="O9" i="3" s="1"/>
  <c r="K10" i="3" s="1"/>
  <c r="M10" i="3" s="1"/>
  <c r="L43" i="3"/>
  <c r="K43" i="3"/>
  <c r="O43" i="3" s="1"/>
  <c r="C43" i="3"/>
  <c r="B43" i="3"/>
  <c r="G51" i="24" l="1"/>
  <c r="H51" i="24" s="1"/>
  <c r="D51" i="24"/>
  <c r="E51" i="24" s="1"/>
  <c r="F51" i="24" s="1"/>
  <c r="J10" i="3"/>
  <c r="P6" i="4"/>
  <c r="N7" i="4"/>
  <c r="Q43" i="3"/>
  <c r="F43" i="3"/>
  <c r="N10" i="3"/>
  <c r="L10" i="3"/>
  <c r="O7" i="4" l="1"/>
  <c r="Q7" i="4"/>
  <c r="H43" i="3"/>
  <c r="O10" i="3"/>
  <c r="P10" i="3"/>
  <c r="P7" i="4" l="1"/>
  <c r="N8" i="4"/>
  <c r="J11" i="3"/>
  <c r="K11" i="3"/>
  <c r="M11" i="3" s="1"/>
  <c r="O8" i="4" l="1"/>
  <c r="Q8" i="4"/>
  <c r="L11" i="3"/>
  <c r="N11" i="3"/>
  <c r="P8" i="4" l="1"/>
  <c r="N9" i="4"/>
  <c r="P11" i="3"/>
  <c r="O11" i="3"/>
  <c r="Q9" i="4" l="1"/>
  <c r="O9" i="4"/>
  <c r="K12" i="3"/>
  <c r="M12" i="3" s="1"/>
  <c r="J12" i="3"/>
  <c r="P9" i="4" l="1"/>
  <c r="N10" i="4"/>
  <c r="L12" i="3"/>
  <c r="N12" i="3"/>
  <c r="O10" i="4" l="1"/>
  <c r="Q10" i="4"/>
  <c r="P12" i="3"/>
  <c r="O12" i="3"/>
  <c r="P10" i="4" l="1"/>
  <c r="N11" i="4"/>
  <c r="J13" i="3"/>
  <c r="K13" i="3"/>
  <c r="M13" i="3" s="1"/>
  <c r="O11" i="4" l="1"/>
  <c r="Q11" i="4"/>
  <c r="N13" i="3"/>
  <c r="L13" i="3"/>
  <c r="P11" i="4" l="1"/>
  <c r="N12" i="4"/>
  <c r="P13" i="3"/>
  <c r="O13" i="3"/>
  <c r="O12" i="4" l="1"/>
  <c r="Q12" i="4"/>
  <c r="K14" i="3"/>
  <c r="M14" i="3" s="1"/>
  <c r="J14" i="3"/>
  <c r="P12" i="4" l="1"/>
  <c r="N13" i="4"/>
  <c r="N14" i="3"/>
  <c r="L14" i="3"/>
  <c r="Q13" i="4" l="1"/>
  <c r="O13" i="4"/>
  <c r="O14" i="3"/>
  <c r="P14" i="3"/>
  <c r="P13" i="4" l="1"/>
  <c r="N14" i="4"/>
  <c r="K15" i="3"/>
  <c r="M15" i="3" s="1"/>
  <c r="J15" i="3"/>
  <c r="Q14" i="4" l="1"/>
  <c r="O14" i="4"/>
  <c r="L15" i="3"/>
  <c r="N15" i="3"/>
  <c r="P14" i="4" l="1"/>
  <c r="N15" i="4"/>
  <c r="P15" i="3"/>
  <c r="O15" i="3"/>
  <c r="O15" i="4" l="1"/>
  <c r="Q15" i="4"/>
  <c r="K16" i="3"/>
  <c r="M16" i="3" s="1"/>
  <c r="J16" i="3"/>
  <c r="P15" i="4" l="1"/>
  <c r="N16" i="4"/>
  <c r="L16" i="3"/>
  <c r="N16" i="3"/>
  <c r="O16" i="4" l="1"/>
  <c r="Q16" i="4"/>
  <c r="P16" i="3"/>
  <c r="O16" i="3"/>
  <c r="P16" i="4" l="1"/>
  <c r="N17" i="4"/>
  <c r="J17" i="3"/>
  <c r="K17" i="3"/>
  <c r="M17" i="3" s="1"/>
  <c r="Q17" i="4" l="1"/>
  <c r="O17" i="4"/>
  <c r="N17" i="3"/>
  <c r="L17" i="3"/>
  <c r="P17" i="4" l="1"/>
  <c r="N18" i="4"/>
  <c r="P17" i="3"/>
  <c r="O17" i="3"/>
  <c r="O18" i="4" l="1"/>
  <c r="Q18" i="4"/>
  <c r="K18" i="3"/>
  <c r="M18" i="3" s="1"/>
  <c r="J18" i="3"/>
  <c r="P18" i="4" l="1"/>
  <c r="N19" i="4"/>
  <c r="N18" i="3"/>
  <c r="L18" i="3"/>
  <c r="O19" i="4" l="1"/>
  <c r="Q19" i="4"/>
  <c r="O18" i="3"/>
  <c r="P18" i="3"/>
  <c r="P19" i="4" l="1"/>
  <c r="N20" i="4"/>
  <c r="K19" i="3"/>
  <c r="M19" i="3" s="1"/>
  <c r="J19" i="3"/>
  <c r="O20" i="4" l="1"/>
  <c r="Q20" i="4"/>
  <c r="L19" i="3"/>
  <c r="N19" i="3"/>
  <c r="P20" i="4" l="1"/>
  <c r="N21" i="4"/>
  <c r="P19" i="3"/>
  <c r="O19" i="3"/>
  <c r="Q21" i="4" l="1"/>
  <c r="O21" i="4"/>
  <c r="K20" i="3"/>
  <c r="M20" i="3" s="1"/>
  <c r="J20" i="3"/>
  <c r="P21" i="4" l="1"/>
  <c r="N22" i="4"/>
  <c r="L20" i="3"/>
  <c r="N20" i="3"/>
  <c r="O22" i="4" l="1"/>
  <c r="Q22" i="4"/>
  <c r="P20" i="3"/>
  <c r="O20" i="3"/>
  <c r="P22" i="4" l="1"/>
  <c r="N23" i="4"/>
  <c r="J21" i="3"/>
  <c r="K21" i="3"/>
  <c r="M21" i="3" s="1"/>
  <c r="O23" i="4" l="1"/>
  <c r="Q23" i="4"/>
  <c r="N21" i="3"/>
  <c r="L21" i="3"/>
  <c r="P23" i="4" l="1"/>
  <c r="N24" i="4"/>
  <c r="P21" i="3"/>
  <c r="O21" i="3"/>
  <c r="O24" i="4" l="1"/>
  <c r="Q24" i="4"/>
  <c r="K22" i="3"/>
  <c r="M22" i="3" s="1"/>
  <c r="J22" i="3"/>
  <c r="P24" i="4" l="1"/>
  <c r="N25" i="4"/>
  <c r="N22" i="3"/>
  <c r="L22" i="3"/>
  <c r="Q25" i="4" l="1"/>
  <c r="O25" i="4"/>
  <c r="O22" i="3"/>
  <c r="P22" i="3"/>
  <c r="P25" i="4" l="1"/>
  <c r="N26" i="4"/>
  <c r="K23" i="3"/>
  <c r="M23" i="3" s="1"/>
  <c r="J23" i="3"/>
  <c r="O26" i="4" l="1"/>
  <c r="Q26" i="4"/>
  <c r="L23" i="3"/>
  <c r="N23" i="3"/>
  <c r="P26" i="4" l="1"/>
  <c r="N27" i="4"/>
  <c r="P23" i="3"/>
  <c r="O23" i="3"/>
  <c r="O27" i="4" l="1"/>
  <c r="Q27" i="4"/>
  <c r="K24" i="3"/>
  <c r="M24" i="3" s="1"/>
  <c r="J24" i="3"/>
  <c r="P27" i="4" l="1"/>
  <c r="N28" i="4"/>
  <c r="L24" i="3"/>
  <c r="N24" i="3"/>
  <c r="O28" i="4" l="1"/>
  <c r="Q28" i="4"/>
  <c r="P24" i="3"/>
  <c r="O24" i="3"/>
  <c r="P28" i="4" l="1"/>
  <c r="N29" i="4"/>
  <c r="J25" i="3"/>
  <c r="K25" i="3"/>
  <c r="M25" i="3" s="1"/>
  <c r="Q29" i="4" l="1"/>
  <c r="O29" i="4"/>
  <c r="N25" i="3"/>
  <c r="L25" i="3"/>
  <c r="P29" i="4" l="1"/>
  <c r="N30" i="4"/>
  <c r="P25" i="3"/>
  <c r="O25" i="3"/>
  <c r="O30" i="4" l="1"/>
  <c r="Q30" i="4"/>
  <c r="K26" i="3"/>
  <c r="M26" i="3" s="1"/>
  <c r="J26" i="3"/>
  <c r="P30" i="4" l="1"/>
  <c r="N31" i="4"/>
  <c r="N26" i="3"/>
  <c r="L26" i="3"/>
  <c r="O31" i="4" l="1"/>
  <c r="Q31" i="4"/>
  <c r="O26" i="3"/>
  <c r="P26" i="3"/>
  <c r="P31" i="4" l="1"/>
  <c r="N32" i="4"/>
  <c r="K27" i="3"/>
  <c r="M27" i="3" s="1"/>
  <c r="J27" i="3"/>
  <c r="O32" i="4" l="1"/>
  <c r="Q32" i="4"/>
  <c r="L27" i="3"/>
  <c r="N27" i="3"/>
  <c r="P32" i="4" l="1"/>
  <c r="N33" i="4"/>
  <c r="P27" i="3"/>
  <c r="O27" i="3"/>
  <c r="Q33" i="4" l="1"/>
  <c r="O33" i="4"/>
  <c r="K28" i="3"/>
  <c r="M28" i="3" s="1"/>
  <c r="J28" i="3"/>
  <c r="P33" i="4" l="1"/>
  <c r="N34" i="4"/>
  <c r="L28" i="3"/>
  <c r="N28" i="3"/>
  <c r="Q34" i="4" l="1"/>
  <c r="O34" i="4"/>
  <c r="P28" i="3"/>
  <c r="O28" i="3"/>
  <c r="P34" i="4" l="1"/>
  <c r="N35" i="4"/>
  <c r="J29" i="3"/>
  <c r="K29" i="3"/>
  <c r="M29" i="3" s="1"/>
  <c r="O35" i="4" l="1"/>
  <c r="Q35" i="4"/>
  <c r="N29" i="3"/>
  <c r="L29" i="3"/>
  <c r="P35" i="4" l="1"/>
  <c r="N36" i="4"/>
  <c r="P29" i="3"/>
  <c r="O29" i="3"/>
  <c r="O36" i="4" l="1"/>
  <c r="Q36" i="4"/>
  <c r="K30" i="3"/>
  <c r="M30" i="3" s="1"/>
  <c r="J30" i="3"/>
  <c r="P36" i="4" l="1"/>
  <c r="N37" i="4"/>
  <c r="N30" i="3"/>
  <c r="L30" i="3"/>
  <c r="Q37" i="4" l="1"/>
  <c r="O37" i="4"/>
  <c r="O30" i="3"/>
  <c r="P30" i="3"/>
  <c r="P37" i="4" l="1"/>
  <c r="N38" i="4"/>
  <c r="K31" i="3"/>
  <c r="M31" i="3" s="1"/>
  <c r="J31" i="3"/>
  <c r="O38" i="4" l="1"/>
  <c r="Q38" i="4"/>
  <c r="L31" i="3"/>
  <c r="N31" i="3"/>
  <c r="P38" i="4" l="1"/>
  <c r="N39" i="4"/>
  <c r="P31" i="3"/>
  <c r="O31" i="3"/>
  <c r="O39" i="4" l="1"/>
  <c r="Q39" i="4"/>
  <c r="P39" i="4" l="1"/>
  <c r="N40" i="4"/>
  <c r="O40" i="4" l="1"/>
  <c r="Q40" i="4"/>
  <c r="P40" i="4" l="1"/>
  <c r="N41" i="4"/>
  <c r="Q41" i="4" l="1"/>
  <c r="O41" i="4"/>
  <c r="P41" i="4" l="1"/>
  <c r="N42" i="4"/>
  <c r="O42" i="4" l="1"/>
  <c r="Q42" i="4"/>
  <c r="P42" i="4" l="1"/>
  <c r="N43" i="4"/>
  <c r="Q43" i="4" l="1"/>
  <c r="O43" i="4"/>
  <c r="P43" i="4" l="1"/>
  <c r="N44" i="4"/>
  <c r="O44" i="4" l="1"/>
  <c r="Q44" i="4"/>
  <c r="P44" i="4" l="1"/>
  <c r="N45" i="4"/>
  <c r="Q45" i="4" l="1"/>
  <c r="O45" i="4"/>
  <c r="P45" i="4" l="1"/>
  <c r="N46" i="4"/>
  <c r="O46" i="4" l="1"/>
  <c r="Q46" i="4"/>
  <c r="P46" i="4" l="1"/>
  <c r="N47" i="4"/>
  <c r="O47" i="4" l="1"/>
  <c r="Q47" i="4"/>
  <c r="P47" i="4" l="1"/>
  <c r="N48" i="4"/>
  <c r="O48" i="4" l="1"/>
  <c r="Q48" i="4"/>
  <c r="P48" i="4" l="1"/>
  <c r="N49" i="4"/>
  <c r="Q49" i="4" l="1"/>
  <c r="O49" i="4"/>
  <c r="P49" i="4" l="1"/>
  <c r="N50" i="4"/>
  <c r="Q50" i="4" l="1"/>
  <c r="O50" i="4"/>
  <c r="P50" i="4" l="1"/>
  <c r="N51" i="4"/>
  <c r="O51" i="4" l="1"/>
  <c r="Q51" i="4"/>
  <c r="P51" i="4" l="1"/>
  <c r="N52" i="4"/>
  <c r="O52" i="4" l="1"/>
  <c r="Q52" i="4"/>
  <c r="P52" i="4" l="1"/>
  <c r="N53" i="4"/>
  <c r="Q53" i="4" l="1"/>
  <c r="O53" i="4"/>
  <c r="P53" i="4" l="1"/>
  <c r="N54" i="4"/>
  <c r="O54" i="4" l="1"/>
  <c r="Q54" i="4"/>
  <c r="P54" i="4" l="1"/>
  <c r="N55" i="4"/>
  <c r="O55" i="4" l="1"/>
  <c r="Q55" i="4"/>
  <c r="P55" i="4" l="1"/>
  <c r="N56" i="4"/>
  <c r="O56" i="4" l="1"/>
  <c r="Q56" i="4"/>
  <c r="P56" i="4" l="1"/>
  <c r="N57" i="4"/>
  <c r="Q57" i="4" l="1"/>
  <c r="O57" i="4"/>
  <c r="P57" i="4" l="1"/>
  <c r="N58" i="4"/>
  <c r="O58" i="4" l="1"/>
  <c r="Q58" i="4"/>
  <c r="P58" i="4" l="1"/>
  <c r="N59" i="4"/>
  <c r="Q59" i="4" l="1"/>
  <c r="O59" i="4"/>
  <c r="P59" i="4" l="1"/>
  <c r="N60" i="4"/>
  <c r="O60" i="4" l="1"/>
  <c r="Q60" i="4"/>
  <c r="P60" i="4" l="1"/>
  <c r="N61" i="4"/>
  <c r="Q61" i="4" l="1"/>
  <c r="O61" i="4"/>
  <c r="P61" i="4" l="1"/>
  <c r="N62" i="4"/>
  <c r="O62" i="4" l="1"/>
  <c r="Q62" i="4"/>
  <c r="P62" i="4" l="1"/>
  <c r="N63" i="4"/>
  <c r="Q63" i="4" l="1"/>
  <c r="O63" i="4"/>
  <c r="P63" i="4" l="1"/>
  <c r="N64" i="4"/>
  <c r="O64" i="4" l="1"/>
  <c r="Q64" i="4"/>
  <c r="P64" i="4" l="1"/>
  <c r="N65" i="4"/>
  <c r="Q65" i="4" l="1"/>
  <c r="O65" i="4"/>
  <c r="P65" i="4" l="1"/>
  <c r="N66" i="4"/>
  <c r="O66" i="4" l="1"/>
  <c r="Q66" i="4"/>
  <c r="P66" i="4" l="1"/>
  <c r="N67" i="4"/>
  <c r="O67" i="4" l="1"/>
  <c r="Q67" i="4"/>
  <c r="P67" i="4" l="1"/>
  <c r="N68" i="4"/>
  <c r="O68" i="4" l="1"/>
  <c r="Q68" i="4"/>
  <c r="P68" i="4" l="1"/>
  <c r="N69" i="4"/>
  <c r="Q69" i="4" l="1"/>
  <c r="O69" i="4"/>
  <c r="P69" i="4" l="1"/>
  <c r="N70" i="4"/>
  <c r="Q70" i="4" l="1"/>
  <c r="O70" i="4"/>
  <c r="P70" i="4" l="1"/>
  <c r="N71" i="4"/>
  <c r="O71" i="4" l="1"/>
  <c r="Q71" i="4"/>
  <c r="P71" i="4" l="1"/>
  <c r="N72" i="4"/>
  <c r="O72" i="4" l="1"/>
  <c r="Q72" i="4"/>
  <c r="P72" i="4" l="1"/>
  <c r="N73" i="4"/>
  <c r="Q73" i="4" l="1"/>
  <c r="O73" i="4"/>
  <c r="P73" i="4" l="1"/>
  <c r="N74" i="4"/>
  <c r="O74" i="4" l="1"/>
  <c r="Q74" i="4"/>
  <c r="P74" i="4" l="1"/>
  <c r="N75" i="4"/>
  <c r="O75" i="4" l="1"/>
  <c r="Q75" i="4"/>
  <c r="P75" i="4" l="1"/>
  <c r="N76" i="4"/>
  <c r="O76" i="4" l="1"/>
  <c r="Q76" i="4"/>
  <c r="P76" i="4" l="1"/>
  <c r="N77" i="4"/>
  <c r="Q77" i="4" l="1"/>
  <c r="O77" i="4"/>
  <c r="P77" i="4" l="1"/>
  <c r="N78" i="4"/>
  <c r="O78" i="4" l="1"/>
  <c r="Q78" i="4"/>
  <c r="P78" i="4" l="1"/>
  <c r="N79" i="4"/>
  <c r="Q79" i="4" l="1"/>
  <c r="O79" i="4"/>
  <c r="P79" i="4" l="1"/>
  <c r="N80" i="4"/>
  <c r="O80" i="4" l="1"/>
  <c r="Q80" i="4"/>
  <c r="P80" i="4" l="1"/>
  <c r="N81" i="4"/>
  <c r="Q81" i="4" l="1"/>
  <c r="O81" i="4"/>
  <c r="P81" i="4" l="1"/>
  <c r="N82" i="4"/>
  <c r="O82" i="4" l="1"/>
  <c r="Q82" i="4"/>
  <c r="P82" i="4" l="1"/>
  <c r="N83" i="4"/>
  <c r="O83" i="4" l="1"/>
  <c r="Q83" i="4"/>
  <c r="P83" i="4" l="1"/>
  <c r="N84" i="4"/>
  <c r="O84" i="4" l="1"/>
  <c r="Q84" i="4"/>
  <c r="P84" i="4" l="1"/>
  <c r="N85" i="4"/>
  <c r="Q85" i="4" l="1"/>
  <c r="O85" i="4"/>
  <c r="P85" i="4" l="1"/>
  <c r="N86" i="4"/>
  <c r="Q86" i="4" l="1"/>
  <c r="O86" i="4"/>
  <c r="P86" i="4" l="1"/>
  <c r="N87" i="4"/>
  <c r="O87" i="4" l="1"/>
  <c r="Q87" i="4"/>
  <c r="P87" i="4" l="1"/>
  <c r="N88" i="4"/>
  <c r="O88" i="4" l="1"/>
  <c r="Q88" i="4"/>
  <c r="P88" i="4" l="1"/>
  <c r="N89" i="4"/>
  <c r="O89" i="4" l="1"/>
  <c r="Q89" i="4"/>
  <c r="P89" i="4" l="1"/>
  <c r="N90" i="4"/>
  <c r="O90" i="4" l="1"/>
  <c r="P90" i="4" s="1"/>
  <c r="Q90" i="4"/>
  <c r="I56" i="9"/>
  <c r="I58" i="9"/>
  <c r="I57" i="9"/>
  <c r="I55" i="9" s="1"/>
  <c r="K55" i="9" s="1" a="1"/>
  <c r="K57" i="9" l="1"/>
  <c r="K55" i="9"/>
  <c r="K58" i="9"/>
  <c r="K56" i="9"/>
</calcChain>
</file>

<file path=xl/sharedStrings.xml><?xml version="1.0" encoding="utf-8"?>
<sst xmlns="http://schemas.openxmlformats.org/spreadsheetml/2006/main" count="655" uniqueCount="173">
  <si>
    <t>Valores de Disparo</t>
  </si>
  <si>
    <t>a =</t>
  </si>
  <si>
    <t>b =</t>
  </si>
  <si>
    <t>ITERACIONES</t>
  </si>
  <si>
    <t>a</t>
  </si>
  <si>
    <t>b</t>
  </si>
  <si>
    <t>f(a)</t>
  </si>
  <si>
    <t>f(b)</t>
  </si>
  <si>
    <t>pm</t>
  </si>
  <si>
    <t>f(pm)</t>
  </si>
  <si>
    <t>TOLERANCIA</t>
  </si>
  <si>
    <t>FUNCION:</t>
  </si>
  <si>
    <t>DERIVADA DEL DESPEJE:</t>
  </si>
  <si>
    <t>f(x)</t>
  </si>
  <si>
    <t>g1(x)</t>
  </si>
  <si>
    <t>x</t>
  </si>
  <si>
    <t>ITERACION</t>
  </si>
  <si>
    <t>Valor disparo</t>
  </si>
  <si>
    <t>xi</t>
  </si>
  <si>
    <t>f(xi)</t>
  </si>
  <si>
    <t>f '(xi)</t>
  </si>
  <si>
    <t>xi+1</t>
  </si>
  <si>
    <t>Funcion:</t>
  </si>
  <si>
    <t>x^3-10x-5</t>
  </si>
  <si>
    <t>Derivada:</t>
  </si>
  <si>
    <t>3x^2-10</t>
  </si>
  <si>
    <t>Formula:</t>
  </si>
  <si>
    <t>Xn</t>
  </si>
  <si>
    <t>Xn-1</t>
  </si>
  <si>
    <t>f(Xn-1)</t>
  </si>
  <si>
    <t>f(Xn)</t>
  </si>
  <si>
    <t>Xn+1</t>
  </si>
  <si>
    <t>xD</t>
  </si>
  <si>
    <t>xI</t>
  </si>
  <si>
    <t>xl</t>
  </si>
  <si>
    <t>f(xl)</t>
  </si>
  <si>
    <t>f(xD)</t>
  </si>
  <si>
    <t>xM</t>
  </si>
  <si>
    <t>f(xM)</t>
  </si>
  <si>
    <t>VALORES DE DISPARO</t>
  </si>
  <si>
    <t>xi+2</t>
  </si>
  <si>
    <t>f [ xi , xi+1 ]</t>
  </si>
  <si>
    <t>xi+3</t>
  </si>
  <si>
    <t>c</t>
  </si>
  <si>
    <t>f [ xi , xi+1 , xi+2 ]</t>
  </si>
  <si>
    <t>Matriz A</t>
  </si>
  <si>
    <t>Vector b</t>
  </si>
  <si>
    <t>Determinante</t>
  </si>
  <si>
    <t>Gauss Simple</t>
  </si>
  <si>
    <t xml:space="preserve">Solucion </t>
  </si>
  <si>
    <t>x1=</t>
  </si>
  <si>
    <t>x2=</t>
  </si>
  <si>
    <t>x3=</t>
  </si>
  <si>
    <t>Comprobacion</t>
  </si>
  <si>
    <t>4x4</t>
  </si>
  <si>
    <t>x4=</t>
  </si>
  <si>
    <t>DOOLITLE</t>
  </si>
  <si>
    <t>Matiz L</t>
  </si>
  <si>
    <t>Matiz U</t>
  </si>
  <si>
    <t>Matriz Inversa L</t>
  </si>
  <si>
    <t>Matirz Inversa U</t>
  </si>
  <si>
    <t>Vector C</t>
  </si>
  <si>
    <t>Solucion</t>
  </si>
  <si>
    <t>Comprocacion</t>
  </si>
  <si>
    <t>CROUT</t>
  </si>
  <si>
    <t>MÉTODO DE CHOLESKY (Matrices Simétricas)</t>
  </si>
  <si>
    <t>Determinantes</t>
  </si>
  <si>
    <t>Matriz L</t>
  </si>
  <si>
    <t>Transouesta de L</t>
  </si>
  <si>
    <t>L Inversa</t>
  </si>
  <si>
    <t>Transpuesta de L Inversa</t>
  </si>
  <si>
    <t xml:space="preserve"> </t>
  </si>
  <si>
    <t>Precipitación</t>
  </si>
  <si>
    <t>Distancia</t>
  </si>
  <si>
    <t>e</t>
  </si>
  <si>
    <t>p</t>
  </si>
  <si>
    <t>Progresivo</t>
  </si>
  <si>
    <t>Datos</t>
  </si>
  <si>
    <t>h=</t>
  </si>
  <si>
    <t>s=</t>
  </si>
  <si>
    <t>Regresivo</t>
  </si>
  <si>
    <t>Valor:</t>
  </si>
  <si>
    <t>Valor Estimado</t>
  </si>
  <si>
    <t xml:space="preserve">Prediccion </t>
  </si>
  <si>
    <t>Registro</t>
  </si>
  <si>
    <t>Sexo</t>
  </si>
  <si>
    <t>Estatura</t>
  </si>
  <si>
    <t>Largo del torzo</t>
  </si>
  <si>
    <t>Largo de brazo</t>
  </si>
  <si>
    <t>Ancho de espalda</t>
  </si>
  <si>
    <t>Diametro del craneo</t>
  </si>
  <si>
    <t>Peso</t>
  </si>
  <si>
    <t>Pie</t>
  </si>
  <si>
    <t>mujer</t>
  </si>
  <si>
    <t>Estadísticas de la regresión</t>
  </si>
  <si>
    <t>Coeficiente de correlación múltiple</t>
  </si>
  <si>
    <t>Coeficiente de determinación R^2</t>
  </si>
  <si>
    <t>Coeficientes</t>
  </si>
  <si>
    <t>Humedad</t>
  </si>
  <si>
    <t>Temperatura</t>
  </si>
  <si>
    <t>Recuento</t>
  </si>
  <si>
    <t>x=g1</t>
  </si>
  <si>
    <t>y=g2</t>
  </si>
  <si>
    <t>TOLERANCIA x</t>
  </si>
  <si>
    <t>TOLERANCIA y</t>
  </si>
  <si>
    <t>ECUACIONES</t>
  </si>
  <si>
    <t>DESPEJES</t>
  </si>
  <si>
    <t>TOLERANCIA z</t>
  </si>
  <si>
    <t>z=g3</t>
  </si>
  <si>
    <t>Vector Inicial</t>
  </si>
  <si>
    <t>Matriz Derivadas</t>
  </si>
  <si>
    <t>Jacobiano</t>
  </si>
  <si>
    <t>Matirz Inversa</t>
  </si>
  <si>
    <t>Solucion al Sistema</t>
  </si>
  <si>
    <t>Tolerancia X</t>
  </si>
  <si>
    <t>Tolerancia Y</t>
  </si>
  <si>
    <t>i</t>
  </si>
  <si>
    <t>j</t>
  </si>
  <si>
    <t>(Xi+1,Yj+1)</t>
  </si>
  <si>
    <t>Matriz Diagonalizada</t>
  </si>
  <si>
    <t>Mayores</t>
  </si>
  <si>
    <t xml:space="preserve">matriz diagonal dominate </t>
  </si>
  <si>
    <t>vector b</t>
  </si>
  <si>
    <t>vector incial</t>
  </si>
  <si>
    <t xml:space="preserve">iteración </t>
  </si>
  <si>
    <t>x1</t>
  </si>
  <si>
    <t>x2</t>
  </si>
  <si>
    <t>x3</t>
  </si>
  <si>
    <t>tolerancia x1</t>
  </si>
  <si>
    <t>tolerancia x2</t>
  </si>
  <si>
    <t>tolerencia x3</t>
  </si>
  <si>
    <t>JACOBI</t>
  </si>
  <si>
    <t>GAUSS-SEIDEL</t>
  </si>
  <si>
    <t>Iteracion</t>
  </si>
  <si>
    <t>Valor exacto:</t>
  </si>
  <si>
    <t>a=</t>
  </si>
  <si>
    <t>b=</t>
  </si>
  <si>
    <t>n=</t>
  </si>
  <si>
    <t>Trapezoidal</t>
  </si>
  <si>
    <t>Error %</t>
  </si>
  <si>
    <t>Simpson 1/3</t>
  </si>
  <si>
    <t>Simpson 3/8</t>
  </si>
  <si>
    <t>n = 4</t>
  </si>
  <si>
    <t>n = 5</t>
  </si>
  <si>
    <t>n = 6</t>
  </si>
  <si>
    <t>Trapezoidal Compuesta</t>
  </si>
  <si>
    <t>1/3 Compuesta</t>
  </si>
  <si>
    <t>3/8 Compuesta</t>
  </si>
  <si>
    <t>yi+1</t>
  </si>
  <si>
    <t xml:space="preserve">error </t>
  </si>
  <si>
    <t>datos</t>
  </si>
  <si>
    <t>X0</t>
  </si>
  <si>
    <t>y0</t>
  </si>
  <si>
    <t>xn</t>
  </si>
  <si>
    <t>n</t>
  </si>
  <si>
    <t>h</t>
  </si>
  <si>
    <t>iteracion</t>
  </si>
  <si>
    <t>yi</t>
  </si>
  <si>
    <t>f(xi,yi)</t>
  </si>
  <si>
    <t>solucion</t>
  </si>
  <si>
    <t>prom yi+1</t>
  </si>
  <si>
    <t>f(xi,prom yi+1)</t>
  </si>
  <si>
    <t>x0</t>
  </si>
  <si>
    <t>yn</t>
  </si>
  <si>
    <t>k1</t>
  </si>
  <si>
    <t>xi k2 k3</t>
  </si>
  <si>
    <t>yi k2</t>
  </si>
  <si>
    <t>k2</t>
  </si>
  <si>
    <t>yi k3</t>
  </si>
  <si>
    <t>k3</t>
  </si>
  <si>
    <t>xi k4</t>
  </si>
  <si>
    <t>yi k4</t>
  </si>
  <si>
    <t>k4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</si>
</sst>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00"/>
    <numFmt numFmtId="165" formatCode="0.00000"/>
    <numFmt numFmtId="166" formatCode="0.0000000"/>
    <numFmt numFmtId="167" formatCode="0.00000000"/>
    <numFmt numFmtId="168" formatCode="0.0000000%"/>
    <numFmt numFmtId="169" formatCode="0.0"/>
    <numFmt numFmtId="170" formatCode="0.000"/>
    <numFmt numFmtId="171" formatCode="0.0000"/>
  </numFmts>
  <fonts count="15" x14ac:knownFonts="1">
    <font>
      <sz val="12"/>
      <color theme="1"/>
      <name val="Arial"/>
      <family val="2"/>
    </font>
    <font>
      <sz val="12"/>
      <color rgb="FF006100"/>
      <name val="Arial"/>
      <family val="2"/>
    </font>
    <font>
      <b/>
      <sz val="12"/>
      <color theme="0"/>
      <name val="Arial"/>
      <family val="2"/>
    </font>
    <font>
      <sz val="12"/>
      <color theme="0"/>
      <name val="Arial"/>
      <family val="2"/>
    </font>
    <font>
      <sz val="12"/>
      <name val="Arial"/>
      <family val="2"/>
    </font>
    <font>
      <sz val="12"/>
      <color rgb="FFFF0000"/>
      <name val="Arial"/>
      <family val="2"/>
    </font>
    <font>
      <b/>
      <sz val="26"/>
      <color theme="1"/>
      <name val="Arial"/>
      <family val="2"/>
    </font>
    <font>
      <b/>
      <sz val="20"/>
      <color theme="1"/>
      <name val="Arial"/>
      <family val="2"/>
    </font>
    <font>
      <b/>
      <sz val="16"/>
      <color theme="1"/>
      <name val="Arial"/>
      <family val="2"/>
    </font>
    <font>
      <sz val="12"/>
      <color theme="1"/>
      <name val="Arial"/>
      <family val="2"/>
    </font>
    <font>
      <i/>
      <sz val="12"/>
      <color theme="1"/>
      <name val="Arial"/>
      <family val="2"/>
    </font>
    <font>
      <i/>
      <sz val="12"/>
      <color theme="0"/>
      <name val="Arial"/>
      <family val="2"/>
    </font>
    <font>
      <sz val="20"/>
      <color theme="1"/>
      <name val="Arial"/>
      <family val="2"/>
    </font>
    <font>
      <sz val="22"/>
      <color theme="1"/>
      <name val="Arial"/>
      <family val="2"/>
    </font>
    <font>
      <sz val="8"/>
      <name val="Arial"/>
      <family val="2"/>
    </font>
  </fonts>
  <fills count="3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</fills>
  <borders count="14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/>
      <top style="double">
        <color rgb="FF3F3F3F"/>
      </top>
      <bottom style="double">
        <color rgb="FF3F3F3F"/>
      </bottom>
      <diagonal/>
    </border>
    <border>
      <left/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</borders>
  <cellStyleXfs count="12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9" fillId="25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9" fontId="9" fillId="0" borderId="0" applyFont="0" applyFill="0" applyBorder="0" applyAlignment="0" applyProtection="0"/>
  </cellStyleXfs>
  <cellXfs count="159">
    <xf numFmtId="0" fontId="0" fillId="0" borderId="0" xfId="0"/>
    <xf numFmtId="0" fontId="0" fillId="0" borderId="0" xfId="0" applyAlignment="1">
      <alignment vertical="top" wrapText="1"/>
    </xf>
    <xf numFmtId="0" fontId="0" fillId="0" borderId="2" xfId="0" applyBorder="1"/>
    <xf numFmtId="0" fontId="2" fillId="3" borderId="1" xfId="2"/>
    <xf numFmtId="1" fontId="0" fillId="0" borderId="2" xfId="0" applyNumberFormat="1" applyBorder="1" applyAlignment="1">
      <alignment horizontal="center" vertical="center"/>
    </xf>
    <xf numFmtId="164" fontId="0" fillId="0" borderId="2" xfId="0" applyNumberFormat="1" applyBorder="1"/>
    <xf numFmtId="164" fontId="1" fillId="2" borderId="2" xfId="1" applyNumberFormat="1" applyBorder="1"/>
    <xf numFmtId="0" fontId="3" fillId="4" borderId="1" xfId="3" applyBorder="1"/>
    <xf numFmtId="0" fontId="3" fillId="5" borderId="1" xfId="4" applyBorder="1"/>
    <xf numFmtId="0" fontId="0" fillId="9" borderId="0" xfId="0" applyFill="1"/>
    <xf numFmtId="164" fontId="1" fillId="2" borderId="5" xfId="1" applyNumberFormat="1" applyBorder="1"/>
    <xf numFmtId="0" fontId="0" fillId="0" borderId="6" xfId="0" applyBorder="1" applyAlignment="1">
      <alignment horizontal="center"/>
    </xf>
    <xf numFmtId="164" fontId="0" fillId="0" borderId="5" xfId="0" applyNumberFormat="1" applyBorder="1"/>
    <xf numFmtId="0" fontId="2" fillId="3" borderId="4" xfId="2" applyBorder="1"/>
    <xf numFmtId="0" fontId="2" fillId="3" borderId="1" xfId="2" applyAlignment="1">
      <alignment horizontal="center"/>
    </xf>
    <xf numFmtId="0" fontId="2" fillId="3" borderId="3" xfId="2" applyBorder="1"/>
    <xf numFmtId="0" fontId="3" fillId="6" borderId="2" xfId="5" applyBorder="1"/>
    <xf numFmtId="0" fontId="3" fillId="6" borderId="3" xfId="5" applyBorder="1"/>
    <xf numFmtId="0" fontId="3" fillId="6" borderId="1" xfId="5" applyBorder="1" applyAlignment="1">
      <alignment horizontal="center"/>
    </xf>
    <xf numFmtId="0" fontId="3" fillId="6" borderId="4" xfId="5" applyBorder="1"/>
    <xf numFmtId="0" fontId="3" fillId="6" borderId="1" xfId="5" applyBorder="1"/>
    <xf numFmtId="0" fontId="3" fillId="7" borderId="2" xfId="6" applyBorder="1"/>
    <xf numFmtId="0" fontId="3" fillId="7" borderId="3" xfId="6" applyBorder="1"/>
    <xf numFmtId="0" fontId="3" fillId="7" borderId="1" xfId="6" applyBorder="1" applyAlignment="1">
      <alignment horizontal="center"/>
    </xf>
    <xf numFmtId="0" fontId="3" fillId="7" borderId="4" xfId="6" applyBorder="1"/>
    <xf numFmtId="0" fontId="3" fillId="7" borderId="1" xfId="6" applyBorder="1"/>
    <xf numFmtId="0" fontId="3" fillId="8" borderId="2" xfId="7" applyBorder="1"/>
    <xf numFmtId="0" fontId="0" fillId="0" borderId="2" xfId="0" applyBorder="1" applyAlignment="1">
      <alignment horizontal="center"/>
    </xf>
    <xf numFmtId="165" fontId="0" fillId="0" borderId="2" xfId="0" applyNumberFormat="1" applyBorder="1"/>
    <xf numFmtId="165" fontId="1" fillId="2" borderId="2" xfId="1" applyNumberFormat="1" applyBorder="1"/>
    <xf numFmtId="0" fontId="0" fillId="0" borderId="2" xfId="0" applyBorder="1" applyAlignment="1"/>
    <xf numFmtId="0" fontId="3" fillId="10" borderId="2" xfId="7" applyFill="1" applyBorder="1"/>
    <xf numFmtId="0" fontId="3" fillId="11" borderId="2" xfId="7" applyFill="1" applyBorder="1"/>
    <xf numFmtId="166" fontId="0" fillId="0" borderId="2" xfId="0" applyNumberFormat="1" applyBorder="1"/>
    <xf numFmtId="166" fontId="1" fillId="2" borderId="2" xfId="1" applyNumberFormat="1" applyBorder="1"/>
    <xf numFmtId="167" fontId="0" fillId="0" borderId="2" xfId="0" applyNumberFormat="1" applyBorder="1"/>
    <xf numFmtId="167" fontId="1" fillId="2" borderId="2" xfId="1" applyNumberFormat="1" applyBorder="1"/>
    <xf numFmtId="0" fontId="3" fillId="12" borderId="2" xfId="6" applyFill="1" applyBorder="1"/>
    <xf numFmtId="0" fontId="3" fillId="13" borderId="2" xfId="6" applyFill="1" applyBorder="1"/>
    <xf numFmtId="0" fontId="3" fillId="14" borderId="2" xfId="5" applyFill="1" applyBorder="1"/>
    <xf numFmtId="0" fontId="3" fillId="15" borderId="2" xfId="5" applyFill="1" applyBorder="1"/>
    <xf numFmtId="0" fontId="0" fillId="0" borderId="0" xfId="0"/>
    <xf numFmtId="0" fontId="0" fillId="0" borderId="2" xfId="0" applyBorder="1"/>
    <xf numFmtId="0" fontId="3" fillId="6" borderId="2" xfId="5" applyBorder="1"/>
    <xf numFmtId="0" fontId="0" fillId="0" borderId="2" xfId="0" applyBorder="1" applyAlignment="1">
      <alignment horizontal="center"/>
    </xf>
    <xf numFmtId="166" fontId="0" fillId="0" borderId="2" xfId="0" applyNumberFormat="1" applyBorder="1"/>
    <xf numFmtId="168" fontId="0" fillId="0" borderId="2" xfId="0" applyNumberFormat="1" applyBorder="1"/>
    <xf numFmtId="0" fontId="1" fillId="2" borderId="2" xfId="1" applyBorder="1"/>
    <xf numFmtId="0" fontId="3" fillId="16" borderId="2" xfId="4" applyFill="1" applyBorder="1" applyAlignment="1">
      <alignment horizontal="center"/>
    </xf>
    <xf numFmtId="0" fontId="3" fillId="16" borderId="2" xfId="7" applyFill="1" applyBorder="1" applyAlignment="1">
      <alignment horizontal="center" vertical="center"/>
    </xf>
    <xf numFmtId="0" fontId="4" fillId="17" borderId="0" xfId="7" applyFont="1" applyFill="1" applyBorder="1" applyAlignment="1">
      <alignment horizontal="center" vertical="center"/>
    </xf>
    <xf numFmtId="0" fontId="3" fillId="18" borderId="2" xfId="7" applyFill="1" applyBorder="1" applyAlignment="1">
      <alignment horizontal="center" vertical="center"/>
    </xf>
    <xf numFmtId="0" fontId="3" fillId="18" borderId="2" xfId="4" applyFill="1" applyBorder="1" applyAlignment="1">
      <alignment horizontal="center"/>
    </xf>
    <xf numFmtId="0" fontId="3" fillId="19" borderId="2" xfId="7" applyFill="1" applyBorder="1" applyAlignment="1">
      <alignment horizontal="center" vertical="center"/>
    </xf>
    <xf numFmtId="0" fontId="3" fillId="19" borderId="2" xfId="4" applyFill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20" borderId="0" xfId="0" applyFill="1"/>
    <xf numFmtId="0" fontId="0" fillId="20" borderId="2" xfId="0" applyFill="1" applyBorder="1"/>
    <xf numFmtId="0" fontId="0" fillId="20" borderId="7" xfId="0" applyFill="1" applyBorder="1"/>
    <xf numFmtId="0" fontId="0" fillId="0" borderId="2" xfId="0" applyBorder="1" applyAlignment="1">
      <alignment horizontal="center" vertical="center"/>
    </xf>
    <xf numFmtId="0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 vertical="center"/>
    </xf>
    <xf numFmtId="0" fontId="0" fillId="23" borderId="7" xfId="0" applyFill="1" applyBorder="1" applyAlignment="1">
      <alignment horizontal="center"/>
    </xf>
    <xf numFmtId="0" fontId="0" fillId="22" borderId="0" xfId="0" applyFill="1" applyAlignment="1">
      <alignment horizontal="center"/>
    </xf>
    <xf numFmtId="0" fontId="0" fillId="21" borderId="2" xfId="0" applyFill="1" applyBorder="1" applyAlignment="1">
      <alignment horizontal="center"/>
    </xf>
    <xf numFmtId="0" fontId="0" fillId="23" borderId="2" xfId="0" applyFill="1" applyBorder="1" applyAlignment="1">
      <alignment horizontal="center"/>
    </xf>
    <xf numFmtId="0" fontId="0" fillId="21" borderId="7" xfId="0" applyFill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0" fontId="0" fillId="24" borderId="2" xfId="0" applyFill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0" fontId="9" fillId="25" borderId="2" xfId="8" applyBorder="1" applyAlignment="1">
      <alignment horizontal="center"/>
    </xf>
    <xf numFmtId="169" fontId="0" fillId="0" borderId="2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169" fontId="0" fillId="0" borderId="0" xfId="0" applyNumberFormat="1" applyBorder="1" applyAlignment="1">
      <alignment horizontal="center"/>
    </xf>
    <xf numFmtId="0" fontId="9" fillId="26" borderId="2" xfId="9" applyBorder="1" applyAlignment="1">
      <alignment horizontal="center"/>
    </xf>
    <xf numFmtId="0" fontId="2" fillId="6" borderId="2" xfId="5" applyFont="1" applyBorder="1" applyAlignment="1">
      <alignment horizontal="center"/>
    </xf>
    <xf numFmtId="0" fontId="9" fillId="27" borderId="2" xfId="10" applyBorder="1" applyAlignment="1">
      <alignment horizontal="center"/>
    </xf>
    <xf numFmtId="167" fontId="0" fillId="0" borderId="0" xfId="0" applyNumberFormat="1"/>
    <xf numFmtId="167" fontId="0" fillId="0" borderId="0" xfId="0" applyNumberFormat="1" applyAlignment="1">
      <alignment horizontal="center"/>
    </xf>
    <xf numFmtId="2" fontId="0" fillId="0" borderId="2" xfId="0" applyNumberFormat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3" fillId="18" borderId="2" xfId="3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3" fillId="18" borderId="2" xfId="5" applyFill="1" applyBorder="1" applyAlignment="1">
      <alignment horizontal="center"/>
    </xf>
    <xf numFmtId="0" fontId="1" fillId="2" borderId="2" xfId="1" applyBorder="1" applyAlignment="1">
      <alignment horizontal="center"/>
    </xf>
    <xf numFmtId="170" fontId="1" fillId="2" borderId="2" xfId="1" applyNumberFormat="1" applyBorder="1" applyAlignment="1">
      <alignment horizontal="center"/>
    </xf>
    <xf numFmtId="0" fontId="11" fillId="18" borderId="2" xfId="0" applyFont="1" applyFill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0" fillId="28" borderId="0" xfId="0" applyFill="1"/>
    <xf numFmtId="0" fontId="2" fillId="28" borderId="2" xfId="0" applyFont="1" applyFill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0" fontId="0" fillId="0" borderId="0" xfId="0" applyAlignment="1">
      <alignment horizontal="center"/>
    </xf>
    <xf numFmtId="164" fontId="1" fillId="2" borderId="2" xfId="1" applyNumberFormat="1" applyBorder="1" applyAlignment="1">
      <alignment horizontal="center"/>
    </xf>
    <xf numFmtId="0" fontId="2" fillId="15" borderId="2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165" fontId="0" fillId="0" borderId="13" xfId="0" applyNumberFormat="1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0" fontId="0" fillId="15" borderId="0" xfId="0" applyFill="1"/>
    <xf numFmtId="0" fontId="3" fillId="8" borderId="12" xfId="7" applyBorder="1" applyAlignment="1">
      <alignment horizontal="center"/>
    </xf>
    <xf numFmtId="0" fontId="3" fillId="8" borderId="0" xfId="7" applyAlignment="1">
      <alignment horizontal="center"/>
    </xf>
    <xf numFmtId="164" fontId="1" fillId="2" borderId="12" xfId="1" applyNumberFormat="1" applyBorder="1" applyAlignment="1">
      <alignment horizontal="center"/>
    </xf>
    <xf numFmtId="164" fontId="2" fillId="15" borderId="2" xfId="0" applyNumberFormat="1" applyFont="1" applyFill="1" applyBorder="1" applyAlignment="1">
      <alignment horizontal="center"/>
    </xf>
    <xf numFmtId="164" fontId="0" fillId="0" borderId="2" xfId="0" applyNumberFormat="1" applyBorder="1" applyAlignment="1">
      <alignment horizontal="center" vertical="center"/>
    </xf>
    <xf numFmtId="164" fontId="0" fillId="15" borderId="0" xfId="0" applyNumberFormat="1" applyFill="1"/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2" xfId="11" applyNumberFormat="1" applyFont="1" applyBorder="1" applyAlignment="1">
      <alignment horizontal="center"/>
    </xf>
    <xf numFmtId="10" fontId="0" fillId="0" borderId="2" xfId="0" applyNumberFormat="1" applyBorder="1"/>
    <xf numFmtId="0" fontId="0" fillId="0" borderId="2" xfId="0" applyFont="1" applyBorder="1" applyAlignment="1">
      <alignment horizontal="center"/>
    </xf>
    <xf numFmtId="0" fontId="0" fillId="0" borderId="0" xfId="0" applyFont="1" applyAlignment="1">
      <alignment horizontal="center"/>
    </xf>
    <xf numFmtId="171" fontId="0" fillId="0" borderId="0" xfId="0" applyNumberFormat="1" applyFont="1" applyAlignment="1">
      <alignment horizontal="center"/>
    </xf>
    <xf numFmtId="171" fontId="0" fillId="0" borderId="2" xfId="0" applyNumberFormat="1" applyFont="1" applyBorder="1" applyAlignment="1">
      <alignment horizontal="center"/>
    </xf>
    <xf numFmtId="171" fontId="5" fillId="20" borderId="2" xfId="0" applyNumberFormat="1" applyFont="1" applyFill="1" applyBorder="1" applyAlignment="1">
      <alignment horizontal="center"/>
    </xf>
    <xf numFmtId="0" fontId="0" fillId="29" borderId="2" xfId="0" applyFont="1" applyFill="1" applyBorder="1" applyAlignment="1">
      <alignment horizontal="center"/>
    </xf>
    <xf numFmtId="0" fontId="5" fillId="29" borderId="2" xfId="0" applyFont="1" applyFill="1" applyBorder="1" applyAlignment="1">
      <alignment horizontal="center"/>
    </xf>
    <xf numFmtId="0" fontId="2" fillId="3" borderId="1" xfId="2" applyAlignment="1">
      <alignment horizontal="center"/>
    </xf>
    <xf numFmtId="0" fontId="3" fillId="4" borderId="1" xfId="3" applyBorder="1" applyAlignment="1">
      <alignment horizontal="center"/>
    </xf>
    <xf numFmtId="0" fontId="3" fillId="5" borderId="3" xfId="4" applyBorder="1" applyAlignment="1">
      <alignment horizontal="center"/>
    </xf>
    <xf numFmtId="0" fontId="3" fillId="5" borderId="4" xfId="4" applyBorder="1" applyAlignment="1">
      <alignment horizontal="center"/>
    </xf>
    <xf numFmtId="0" fontId="3" fillId="16" borderId="2" xfId="4" applyFill="1" applyBorder="1" applyAlignment="1">
      <alignment horizontal="center" vertical="center"/>
    </xf>
    <xf numFmtId="0" fontId="3" fillId="18" borderId="2" xfId="4" applyFill="1" applyBorder="1" applyAlignment="1">
      <alignment horizontal="center" vertical="center"/>
    </xf>
    <xf numFmtId="0" fontId="3" fillId="19" borderId="2" xfId="4" applyFill="1" applyBorder="1" applyAlignment="1">
      <alignment horizontal="center" vertical="center"/>
    </xf>
    <xf numFmtId="0" fontId="0" fillId="20" borderId="2" xfId="0" applyFill="1" applyBorder="1" applyAlignment="1">
      <alignment horizontal="center"/>
    </xf>
    <xf numFmtId="0" fontId="6" fillId="0" borderId="0" xfId="0" applyFont="1" applyAlignment="1">
      <alignment horizontal="center" vertical="center"/>
    </xf>
    <xf numFmtId="0" fontId="7" fillId="21" borderId="0" xfId="0" applyFont="1" applyFill="1" applyAlignment="1">
      <alignment horizontal="center" vertical="center"/>
    </xf>
    <xf numFmtId="0" fontId="0" fillId="21" borderId="7" xfId="0" applyFill="1" applyBorder="1" applyAlignment="1">
      <alignment horizontal="center"/>
    </xf>
    <xf numFmtId="0" fontId="7" fillId="23" borderId="0" xfId="0" applyFont="1" applyFill="1" applyAlignment="1">
      <alignment horizontal="center" vertical="center"/>
    </xf>
    <xf numFmtId="0" fontId="0" fillId="23" borderId="8" xfId="0" applyFill="1" applyBorder="1" applyAlignment="1">
      <alignment horizontal="center"/>
    </xf>
    <xf numFmtId="0" fontId="0" fillId="23" borderId="9" xfId="0" applyFill="1" applyBorder="1" applyAlignment="1">
      <alignment horizontal="center"/>
    </xf>
    <xf numFmtId="0" fontId="0" fillId="23" borderId="6" xfId="0" applyFill="1" applyBorder="1" applyAlignment="1">
      <alignment horizontal="center"/>
    </xf>
    <xf numFmtId="0" fontId="0" fillId="23" borderId="5" xfId="0" applyFill="1" applyBorder="1" applyAlignment="1">
      <alignment horizontal="center"/>
    </xf>
    <xf numFmtId="0" fontId="0" fillId="23" borderId="2" xfId="0" applyFill="1" applyBorder="1" applyAlignment="1">
      <alignment horizontal="center"/>
    </xf>
    <xf numFmtId="0" fontId="0" fillId="24" borderId="6" xfId="0" applyFill="1" applyBorder="1" applyAlignment="1">
      <alignment horizontal="center"/>
    </xf>
    <xf numFmtId="0" fontId="0" fillId="24" borderId="10" xfId="0" applyFill="1" applyBorder="1" applyAlignment="1">
      <alignment horizontal="center"/>
    </xf>
    <xf numFmtId="0" fontId="0" fillId="24" borderId="5" xfId="0" applyFill="1" applyBorder="1" applyAlignment="1">
      <alignment horizontal="center"/>
    </xf>
    <xf numFmtId="0" fontId="8" fillId="24" borderId="0" xfId="0" applyFont="1" applyFill="1" applyAlignment="1">
      <alignment horizontal="center" vertical="center"/>
    </xf>
    <xf numFmtId="0" fontId="3" fillId="8" borderId="12" xfId="7" applyBorder="1" applyAlignment="1">
      <alignment horizontal="center" vertical="top"/>
    </xf>
    <xf numFmtId="0" fontId="13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64" fontId="2" fillId="15" borderId="6" xfId="0" applyNumberFormat="1" applyFont="1" applyFill="1" applyBorder="1" applyAlignment="1">
      <alignment horizontal="center"/>
    </xf>
    <xf numFmtId="164" fontId="2" fillId="15" borderId="10" xfId="0" applyNumberFormat="1" applyFont="1" applyFill="1" applyBorder="1" applyAlignment="1">
      <alignment horizontal="center"/>
    </xf>
    <xf numFmtId="164" fontId="2" fillId="15" borderId="5" xfId="0" applyNumberFormat="1" applyFont="1" applyFill="1" applyBorder="1" applyAlignment="1">
      <alignment horizontal="center"/>
    </xf>
    <xf numFmtId="0" fontId="9" fillId="26" borderId="6" xfId="9" applyBorder="1" applyAlignment="1">
      <alignment horizontal="center"/>
    </xf>
    <xf numFmtId="0" fontId="9" fillId="26" borderId="5" xfId="9" applyBorder="1" applyAlignment="1">
      <alignment horizontal="center"/>
    </xf>
    <xf numFmtId="0" fontId="2" fillId="6" borderId="6" xfId="5" applyFont="1" applyBorder="1" applyAlignment="1">
      <alignment horizontal="center"/>
    </xf>
    <xf numFmtId="0" fontId="2" fillId="6" borderId="5" xfId="5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0" fillId="29" borderId="6" xfId="0" applyFont="1" applyFill="1" applyBorder="1" applyAlignment="1">
      <alignment horizontal="center"/>
    </xf>
    <xf numFmtId="0" fontId="0" fillId="29" borderId="5" xfId="0" applyFont="1" applyFill="1" applyBorder="1" applyAlignment="1">
      <alignment horizontal="center"/>
    </xf>
  </cellXfs>
  <cellStyles count="12">
    <cellStyle name="40% - Énfasis1" xfId="8" builtinId="31"/>
    <cellStyle name="40% - Énfasis4" xfId="9" builtinId="43"/>
    <cellStyle name="60% - Énfasis6" xfId="10" builtinId="52"/>
    <cellStyle name="Bueno" xfId="1" builtinId="26"/>
    <cellStyle name="Celda de comprobación" xfId="2" builtinId="23"/>
    <cellStyle name="Énfasis1" xfId="3" builtinId="29"/>
    <cellStyle name="Énfasis2" xfId="4" builtinId="33"/>
    <cellStyle name="Énfasis4" xfId="5" builtinId="41"/>
    <cellStyle name="Énfasis5" xfId="6" builtinId="45"/>
    <cellStyle name="Énfasis6" xfId="7" builtinId="49"/>
    <cellStyle name="Normal" xfId="0" builtinId="0"/>
    <cellStyle name="Porcentaje" xfId="1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LAGRANGE!$B$3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LAGRANGE!$C$2:$I$2</c:f>
              <c:numCache>
                <c:formatCode>General</c:formatCode>
                <c:ptCount val="7"/>
                <c:pt idx="0">
                  <c:v>150</c:v>
                </c:pt>
                <c:pt idx="1">
                  <c:v>160</c:v>
                </c:pt>
                <c:pt idx="2">
                  <c:v>170</c:v>
                </c:pt>
                <c:pt idx="3">
                  <c:v>180</c:v>
                </c:pt>
                <c:pt idx="4">
                  <c:v>190</c:v>
                </c:pt>
                <c:pt idx="5">
                  <c:v>200</c:v>
                </c:pt>
                <c:pt idx="6">
                  <c:v>210</c:v>
                </c:pt>
              </c:numCache>
            </c:numRef>
          </c:xVal>
          <c:yVal>
            <c:numRef>
              <c:f>LAGRANGE!$C$3:$I$3</c:f>
              <c:numCache>
                <c:formatCode>General</c:formatCode>
                <c:ptCount val="7"/>
                <c:pt idx="0">
                  <c:v>35.5</c:v>
                </c:pt>
                <c:pt idx="1">
                  <c:v>37.799999999999997</c:v>
                </c:pt>
                <c:pt idx="2">
                  <c:v>43.6</c:v>
                </c:pt>
                <c:pt idx="3">
                  <c:v>45.7</c:v>
                </c:pt>
                <c:pt idx="4">
                  <c:v>47.3</c:v>
                </c:pt>
                <c:pt idx="5">
                  <c:v>50.1</c:v>
                </c:pt>
                <c:pt idx="6">
                  <c:v>51.2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E8-44FC-8C95-11AE0ECDC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761632"/>
        <c:axId val="1852762464"/>
      </c:scatterChart>
      <c:valAx>
        <c:axId val="1852761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52762464"/>
        <c:crosses val="autoZero"/>
        <c:crossBetween val="midCat"/>
      </c:valAx>
      <c:valAx>
        <c:axId val="185276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52761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LAGRANGE!$B$36</c:f>
              <c:strCache>
                <c:ptCount val="1"/>
                <c:pt idx="0">
                  <c:v>Distancia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LAGRANGE!$C$35:$I$35</c:f>
              <c:numCache>
                <c:formatCode>General</c:formatCode>
                <c:ptCount val="7"/>
                <c:pt idx="0">
                  <c:v>52.7</c:v>
                </c:pt>
                <c:pt idx="1">
                  <c:v>90.9</c:v>
                </c:pt>
                <c:pt idx="2">
                  <c:v>33.799999999999997</c:v>
                </c:pt>
                <c:pt idx="3">
                  <c:v>56.8</c:v>
                </c:pt>
                <c:pt idx="4">
                  <c:v>36.4</c:v>
                </c:pt>
                <c:pt idx="5">
                  <c:v>54.8</c:v>
                </c:pt>
                <c:pt idx="6">
                  <c:v>43</c:v>
                </c:pt>
              </c:numCache>
            </c:numRef>
          </c:xVal>
          <c:yVal>
            <c:numRef>
              <c:f>LAGRANGE!$C$36:$I$36</c:f>
              <c:numCache>
                <c:formatCode>General</c:formatCode>
                <c:ptCount val="7"/>
                <c:pt idx="0">
                  <c:v>33</c:v>
                </c:pt>
                <c:pt idx="1">
                  <c:v>27</c:v>
                </c:pt>
                <c:pt idx="2">
                  <c:v>45</c:v>
                </c:pt>
                <c:pt idx="3">
                  <c:v>44</c:v>
                </c:pt>
                <c:pt idx="4">
                  <c:v>46</c:v>
                </c:pt>
                <c:pt idx="5">
                  <c:v>41</c:v>
                </c:pt>
                <c:pt idx="6" formatCode="0.0">
                  <c:v>44.740533495134727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FD-4977-BD74-C1A83F7C6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723296"/>
        <c:axId val="1857724128"/>
      </c:scatterChart>
      <c:valAx>
        <c:axId val="1857723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57724128"/>
        <c:crosses val="autoZero"/>
        <c:crossBetween val="midCat"/>
      </c:valAx>
      <c:valAx>
        <c:axId val="185772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57723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'Diferencias Divididas'!$C$2</c:f>
              <c:strCache>
                <c:ptCount val="1"/>
                <c:pt idx="0">
                  <c:v>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'Diferencias Divididas'!$B$3:$B$9</c:f>
              <c:numCache>
                <c:formatCode>General</c:formatCode>
                <c:ptCount val="7"/>
                <c:pt idx="0">
                  <c:v>40</c:v>
                </c:pt>
                <c:pt idx="1">
                  <c:v>60</c:v>
                </c:pt>
                <c:pt idx="2">
                  <c:v>80</c:v>
                </c:pt>
                <c:pt idx="3">
                  <c:v>100</c:v>
                </c:pt>
                <c:pt idx="4">
                  <c:v>120</c:v>
                </c:pt>
                <c:pt idx="5">
                  <c:v>140</c:v>
                </c:pt>
                <c:pt idx="6">
                  <c:v>160</c:v>
                </c:pt>
              </c:numCache>
            </c:numRef>
          </c:xVal>
          <c:yVal>
            <c:numRef>
              <c:f>'Diferencias Divididas'!$C$3:$C$9</c:f>
              <c:numCache>
                <c:formatCode>General</c:formatCode>
                <c:ptCount val="7"/>
                <c:pt idx="0">
                  <c:v>0.63</c:v>
                </c:pt>
                <c:pt idx="1">
                  <c:v>1.36</c:v>
                </c:pt>
                <c:pt idx="2">
                  <c:v>2.1800000000000002</c:v>
                </c:pt>
                <c:pt idx="3" formatCode="0.00">
                  <c:v>3</c:v>
                </c:pt>
                <c:pt idx="4">
                  <c:v>3.93</c:v>
                </c:pt>
                <c:pt idx="5">
                  <c:v>6.22</c:v>
                </c:pt>
                <c:pt idx="6">
                  <c:v>8.59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01-4E34-BEEF-15F1E8E97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501887"/>
        <c:axId val="525503135"/>
      </c:scatterChart>
      <c:valAx>
        <c:axId val="525501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5503135"/>
        <c:crosses val="autoZero"/>
        <c:crossBetween val="midCat"/>
      </c:valAx>
      <c:valAx>
        <c:axId val="52550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5501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comparacion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EULER!$F$33</c:f>
              <c:strCache>
                <c:ptCount val="1"/>
                <c:pt idx="0">
                  <c:v>yi+1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EULER!$F$34:$F$54</c:f>
              <c:numCache>
                <c:formatCode>0.000000</c:formatCode>
                <c:ptCount val="21"/>
                <c:pt idx="0">
                  <c:v>0.45</c:v>
                </c:pt>
                <c:pt idx="1">
                  <c:v>0.39501665833531718</c:v>
                </c:pt>
                <c:pt idx="2">
                  <c:v>0.33564805942227932</c:v>
                </c:pt>
                <c:pt idx="3">
                  <c:v>0.27253123281391745</c:v>
                </c:pt>
                <c:pt idx="4">
                  <c:v>0.20633627530166065</c:v>
                </c:pt>
                <c:pt idx="5">
                  <c:v>0.1377600939110743</c:v>
                </c:pt>
                <c:pt idx="6">
                  <c:v>6.751983718046331E-2</c:v>
                </c:pt>
                <c:pt idx="7">
                  <c:v>-3.6539152613521281E-3</c:v>
                </c:pt>
                <c:pt idx="8">
                  <c:v>-7.502413282516919E-2</c:v>
                </c:pt>
                <c:pt idx="9">
                  <c:v>-0.1458544105054006</c:v>
                </c:pt>
                <c:pt idx="10">
                  <c:v>-0.21541606793565021</c:v>
                </c:pt>
                <c:pt idx="11">
                  <c:v>-0.28299519714822874</c:v>
                </c:pt>
                <c:pt idx="12">
                  <c:v>-0.34789958603012849</c:v>
                </c:pt>
                <c:pt idx="13">
                  <c:v>-0.40946544596883494</c:v>
                </c:pt>
                <c:pt idx="14">
                  <c:v>-0.46706387437079749</c:v>
                </c:pt>
                <c:pt idx="15">
                  <c:v>-0.52010698559412316</c:v>
                </c:pt>
                <c:pt idx="16">
                  <c:v>-0.56805364733886132</c:v>
                </c:pt>
                <c:pt idx="17">
                  <c:v>-0.61041476365022207</c:v>
                </c:pt>
                <c:pt idx="18">
                  <c:v>-0.64675805037301937</c:v>
                </c:pt>
                <c:pt idx="19">
                  <c:v>-0.6767122541044589</c:v>
                </c:pt>
                <c:pt idx="20">
                  <c:v>-0.69997077137658115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F0-49AE-85F3-F66A0C7359DA}"/>
            </c:ext>
          </c:extLst>
        </c:ser>
        <c:ser>
          <c:idx val="1"/>
          <c:order val="1"/>
          <c:tx>
            <c:strRef>
              <c:f>EULER!$G$33</c:f>
              <c:strCache>
                <c:ptCount val="1"/>
                <c:pt idx="0">
                  <c:v>solucion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EULER!$G$34:$G$54</c:f>
              <c:numCache>
                <c:formatCode>0.000000</c:formatCode>
                <c:ptCount val="21"/>
                <c:pt idx="0">
                  <c:v>0.5</c:v>
                </c:pt>
                <c:pt idx="1">
                  <c:v>0.54741879096242696</c:v>
                </c:pt>
                <c:pt idx="2">
                  <c:v>0.58936795431815137</c:v>
                </c:pt>
                <c:pt idx="3">
                  <c:v>0.62542834789347279</c:v>
                </c:pt>
                <c:pt idx="4">
                  <c:v>0.65523966815576784</c:v>
                </c:pt>
                <c:pt idx="5">
                  <c:v>0.67850405024728788</c:v>
                </c:pt>
                <c:pt idx="6">
                  <c:v>0.69498904415235685</c:v>
                </c:pt>
                <c:pt idx="7">
                  <c:v>0.70452993726108981</c:v>
                </c:pt>
                <c:pt idx="8">
                  <c:v>0.70703140012334409</c:v>
                </c:pt>
                <c:pt idx="9">
                  <c:v>0.70246843894907385</c:v>
                </c:pt>
                <c:pt idx="10">
                  <c:v>0.69088664533801813</c:v>
                </c:pt>
                <c:pt idx="11">
                  <c:v>0.67240174074350634</c:v>
                </c:pt>
                <c:pt idx="12">
                  <c:v>0.64719842022194984</c:v>
                </c:pt>
                <c:pt idx="13">
                  <c:v>0.61552850702089013</c:v>
                </c:pt>
                <c:pt idx="14">
                  <c:v>0.57770843644435055</c:v>
                </c:pt>
                <c:pt idx="15">
                  <c:v>0.53411609413587868</c:v>
                </c:pt>
                <c:pt idx="16">
                  <c:v>0.48518704037010812</c:v>
                </c:pt>
                <c:pt idx="17">
                  <c:v>0.43141015807847183</c:v>
                </c:pt>
                <c:pt idx="18">
                  <c:v>0.37332276809255405</c:v>
                </c:pt>
                <c:pt idx="19">
                  <c:v>0.31150526041195548</c:v>
                </c:pt>
                <c:pt idx="20">
                  <c:v>0.24657529513926965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F0-49AE-85F3-F66A0C735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8982015"/>
        <c:axId val="2118981599"/>
      </c:lineChart>
      <c:catAx>
        <c:axId val="21189820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118981599"/>
        <c:crosses val="autoZero"/>
        <c:auto val="1"/>
        <c:lblAlgn val="ctr"/>
        <c:lblOffset val="100"/>
        <c:noMultiLvlLbl val="0"/>
      </c:catAx>
      <c:valAx>
        <c:axId val="211898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11898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emf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emf"/><Relationship Id="rId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55.png"/><Relationship Id="rId1" Type="http://schemas.openxmlformats.org/officeDocument/2006/relationships/chart" Target="../charts/chart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553495</xdr:colOff>
      <xdr:row>16</xdr:row>
      <xdr:rowOff>114741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67ED94-94FF-451C-A496-642E4D2B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87695" cy="3162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7</xdr:col>
      <xdr:colOff>532467</xdr:colOff>
      <xdr:row>27</xdr:row>
      <xdr:rowOff>123643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5238C55-FC99-4C7E-B8FF-6E0402A73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10000"/>
          <a:ext cx="7466667" cy="1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190499</xdr:rowOff>
    </xdr:from>
    <xdr:to>
      <xdr:col>7</xdr:col>
      <xdr:colOff>304800</xdr:colOff>
      <xdr:row>47</xdr:row>
      <xdr:rowOff>82888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DAE253-92CF-47A9-9847-D05F48DD3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333999"/>
          <a:ext cx="7239000" cy="3702389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0</xdr:row>
      <xdr:rowOff>85725</xdr:rowOff>
    </xdr:from>
    <xdr:to>
      <xdr:col>16</xdr:col>
      <xdr:colOff>703903</xdr:colOff>
      <xdr:row>8</xdr:row>
      <xdr:rowOff>180773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78433D1-AD6E-45A8-83B5-7EAA0B6E7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82075" y="85725"/>
          <a:ext cx="7571428" cy="16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10</xdr:row>
      <xdr:rowOff>38100</xdr:rowOff>
    </xdr:from>
    <xdr:to>
      <xdr:col>18</xdr:col>
      <xdr:colOff>932223</xdr:colOff>
      <xdr:row>31</xdr:row>
      <xdr:rowOff>94743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DFC74DB-46B8-46FD-B980-EE79E5418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43975" y="1943100"/>
          <a:ext cx="9819048" cy="405714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27</xdr:col>
      <xdr:colOff>736926</xdr:colOff>
      <xdr:row>24</xdr:row>
      <xdr:rowOff>180975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F31DE48-EF5C-40AD-976F-DB3D38F2C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12000" y="0"/>
          <a:ext cx="7671126" cy="4752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123825</xdr:colOff>
      <xdr:row>0</xdr:row>
      <xdr:rowOff>104775</xdr:rowOff>
    </xdr:from>
    <xdr:to>
      <xdr:col>21</xdr:col>
      <xdr:colOff>92499</xdr:colOff>
      <xdr:row>18</xdr:row>
      <xdr:rowOff>190499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31B717D-0552-42BC-8FA3-308D39F06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44900" y="104775"/>
          <a:ext cx="4921674" cy="360997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0</xdr:row>
      <xdr:rowOff>66675</xdr:rowOff>
    </xdr:from>
    <xdr:to>
      <xdr:col>7</xdr:col>
      <xdr:colOff>788815</xdr:colOff>
      <xdr:row>6</xdr:row>
      <xdr:rowOff>38100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D3D073C-85B8-419A-AD2D-B07C35B90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" y="66675"/>
          <a:ext cx="7675390" cy="116205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8</xdr:row>
      <xdr:rowOff>66675</xdr:rowOff>
    </xdr:from>
    <xdr:to>
      <xdr:col>6</xdr:col>
      <xdr:colOff>952500</xdr:colOff>
      <xdr:row>22</xdr:row>
      <xdr:rowOff>126601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1939BF1-4115-4AB0-A660-1F877AEF2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1676400"/>
          <a:ext cx="6743700" cy="2736451"/>
        </a:xfrm>
        <a:prstGeom prst="rect">
          <a:avLst/>
        </a:prstGeom>
      </xdr:spPr>
    </xdr:pic>
    <xdr:clientData/>
  </xdr:twoCellAnchor>
  <xdr:twoCellAnchor editAs="oneCell">
    <xdr:from>
      <xdr:col>3</xdr:col>
      <xdr:colOff>333375</xdr:colOff>
      <xdr:row>23</xdr:row>
      <xdr:rowOff>57149</xdr:rowOff>
    </xdr:from>
    <xdr:to>
      <xdr:col>6</xdr:col>
      <xdr:colOff>809625</xdr:colOff>
      <xdr:row>36</xdr:row>
      <xdr:rowOff>148447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86B62A1-F10A-44BF-88EF-E45CA8131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05175" y="4533899"/>
          <a:ext cx="3448050" cy="25963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913733</xdr:colOff>
      <xdr:row>17</xdr:row>
      <xdr:rowOff>38100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C8F27AC-6CBA-4F70-B9E9-97C6C6E8A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57333" cy="3324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6</xdr:col>
      <xdr:colOff>494495</xdr:colOff>
      <xdr:row>34</xdr:row>
      <xdr:rowOff>161548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FC035C2-037C-46A7-A1FF-EC19967D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9500"/>
          <a:ext cx="6438095" cy="30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2</xdr:row>
      <xdr:rowOff>28575</xdr:rowOff>
    </xdr:from>
    <xdr:to>
      <xdr:col>9</xdr:col>
      <xdr:colOff>161925</xdr:colOff>
      <xdr:row>4</xdr:row>
      <xdr:rowOff>47625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5ED6604-C2EC-472D-80E9-D3DE0C8EB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0" y="409575"/>
          <a:ext cx="1933575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152400</xdr:colOff>
      <xdr:row>6</xdr:row>
      <xdr:rowOff>66675</xdr:rowOff>
    </xdr:from>
    <xdr:to>
      <xdr:col>9</xdr:col>
      <xdr:colOff>104775</xdr:colOff>
      <xdr:row>8</xdr:row>
      <xdr:rowOff>171450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A581AD3-7289-4B3B-B6FF-F3ED318AF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6600" y="1209675"/>
          <a:ext cx="19335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904875</xdr:colOff>
      <xdr:row>9</xdr:row>
      <xdr:rowOff>19051</xdr:rowOff>
    </xdr:from>
    <xdr:to>
      <xdr:col>11</xdr:col>
      <xdr:colOff>855713</xdr:colOff>
      <xdr:row>26</xdr:row>
      <xdr:rowOff>38101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43E5841-BF2A-40AD-B1ED-DAEEC8A5E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48475" y="1733551"/>
          <a:ext cx="4903838" cy="32575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7</xdr:col>
      <xdr:colOff>857251</xdr:colOff>
      <xdr:row>9</xdr:row>
      <xdr:rowOff>29341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1E90D9-CCC8-46BB-874A-EEDE225AB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791450" cy="174384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</xdr:row>
      <xdr:rowOff>0</xdr:rowOff>
    </xdr:from>
    <xdr:to>
      <xdr:col>7</xdr:col>
      <xdr:colOff>781051</xdr:colOff>
      <xdr:row>37</xdr:row>
      <xdr:rowOff>189975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74821DC-39A4-4F81-890D-50ABD031D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905000"/>
          <a:ext cx="7715250" cy="5333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7</xdr:col>
      <xdr:colOff>669829</xdr:colOff>
      <xdr:row>69</xdr:row>
      <xdr:rowOff>19050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EB779A0-D9E2-4FB0-B9B2-66E1C4230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429500"/>
          <a:ext cx="7604029" cy="5734050"/>
        </a:xfrm>
        <a:prstGeom prst="rect">
          <a:avLst/>
        </a:prstGeom>
      </xdr:spPr>
    </xdr:pic>
    <xdr:clientData/>
  </xdr:twoCellAnchor>
  <xdr:twoCellAnchor editAs="oneCell">
    <xdr:from>
      <xdr:col>14</xdr:col>
      <xdr:colOff>419100</xdr:colOff>
      <xdr:row>42</xdr:row>
      <xdr:rowOff>95250</xdr:rowOff>
    </xdr:from>
    <xdr:to>
      <xdr:col>16</xdr:col>
      <xdr:colOff>971233</xdr:colOff>
      <xdr:row>46</xdr:row>
      <xdr:rowOff>104679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A1F95BD-C561-4CB9-A96E-2EBD3C85E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87500" y="8096250"/>
          <a:ext cx="2533333" cy="771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608781</xdr:colOff>
      <xdr:row>37</xdr:row>
      <xdr:rowOff>141976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E135E4D-5513-45CC-ACA4-D2FAD4911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552381" cy="7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6</xdr:col>
      <xdr:colOff>863333</xdr:colOff>
      <xdr:row>47</xdr:row>
      <xdr:rowOff>66675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B154403-EB88-44EE-8A9C-359A131D3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39000"/>
          <a:ext cx="6806933" cy="17811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48</xdr:row>
      <xdr:rowOff>1</xdr:rowOff>
    </xdr:from>
    <xdr:to>
      <xdr:col>6</xdr:col>
      <xdr:colOff>895351</xdr:colOff>
      <xdr:row>54</xdr:row>
      <xdr:rowOff>154779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42BF39A-8DF5-4250-8AFB-353B875EE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9144001"/>
          <a:ext cx="6838950" cy="129777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13</xdr:col>
      <xdr:colOff>659460</xdr:colOff>
      <xdr:row>21</xdr:row>
      <xdr:rowOff>85725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48E4335-6970-4AF3-BA16-C164C45B4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34200" y="0"/>
          <a:ext cx="6603060" cy="40862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13</xdr:col>
      <xdr:colOff>647700</xdr:colOff>
      <xdr:row>42</xdr:row>
      <xdr:rowOff>15630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1C9FD67-E21F-4361-BC46-C23B50589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34200" y="6667500"/>
          <a:ext cx="6591300" cy="1349130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152400</xdr:colOff>
      <xdr:row>45</xdr:row>
      <xdr:rowOff>9525</xdr:rowOff>
    </xdr:from>
    <xdr:to>
      <xdr:col>17</xdr:col>
      <xdr:colOff>355056</xdr:colOff>
      <xdr:row>56</xdr:row>
      <xdr:rowOff>26439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86C1830-4BB3-4D2A-BA64-B23052645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20800" y="8582025"/>
          <a:ext cx="3174456" cy="21124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6</xdr:col>
      <xdr:colOff>762860</xdr:colOff>
      <xdr:row>31</xdr:row>
      <xdr:rowOff>38101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50C1E96-6074-42E2-9ACF-A6B8E0204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6706460" cy="594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</xdr:row>
      <xdr:rowOff>0</xdr:rowOff>
    </xdr:from>
    <xdr:to>
      <xdr:col>6</xdr:col>
      <xdr:colOff>837341</xdr:colOff>
      <xdr:row>57</xdr:row>
      <xdr:rowOff>47625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5FAD443-FA74-44B9-B192-C3420B418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6096000"/>
          <a:ext cx="6780940" cy="4810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6</xdr:col>
      <xdr:colOff>885825</xdr:colOff>
      <xdr:row>71</xdr:row>
      <xdr:rowOff>48877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03C61CC-34E1-4C73-942D-63E155C57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6829425" cy="25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6</xdr:col>
      <xdr:colOff>904875</xdr:colOff>
      <xdr:row>81</xdr:row>
      <xdr:rowOff>33865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17168DA-87B7-45CA-98DB-CCF92C924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716000"/>
          <a:ext cx="6848475" cy="1748365"/>
        </a:xfrm>
        <a:prstGeom prst="rect">
          <a:avLst/>
        </a:prstGeom>
      </xdr:spPr>
    </xdr:pic>
    <xdr:clientData/>
  </xdr:twoCellAnchor>
  <xdr:twoCellAnchor editAs="oneCell">
    <xdr:from>
      <xdr:col>8</xdr:col>
      <xdr:colOff>161925</xdr:colOff>
      <xdr:row>0</xdr:row>
      <xdr:rowOff>0</xdr:rowOff>
    </xdr:from>
    <xdr:to>
      <xdr:col>12</xdr:col>
      <xdr:colOff>685800</xdr:colOff>
      <xdr:row>4</xdr:row>
      <xdr:rowOff>27463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CEB76D3C-6E4A-4CB9-BE78-D48BF64BE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6725" y="0"/>
          <a:ext cx="4486275" cy="7894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714375</xdr:colOff>
      <xdr:row>4</xdr:row>
      <xdr:rowOff>57150</xdr:rowOff>
    </xdr:from>
    <xdr:to>
      <xdr:col>12</xdr:col>
      <xdr:colOff>428625</xdr:colOff>
      <xdr:row>17</xdr:row>
      <xdr:rowOff>31750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E9DEB91-6028-410D-AA80-791BFA68F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39175" y="819150"/>
          <a:ext cx="3676650" cy="2451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6</xdr:col>
      <xdr:colOff>924847</xdr:colOff>
      <xdr:row>31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D5D5E05-5DF3-4D0B-9343-7DD3AF4A8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6868446" cy="5905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6</xdr:col>
      <xdr:colOff>904875</xdr:colOff>
      <xdr:row>47</xdr:row>
      <xdr:rowOff>130147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2205E34-78E0-4693-8658-738432B8F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96000"/>
          <a:ext cx="6848475" cy="29876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1</xdr:rowOff>
    </xdr:from>
    <xdr:to>
      <xdr:col>12</xdr:col>
      <xdr:colOff>1162050</xdr:colOff>
      <xdr:row>14</xdr:row>
      <xdr:rowOff>88901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FED4E3E-ECCA-4953-B539-8C5209C93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1"/>
          <a:ext cx="5124450" cy="27559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105073</xdr:colOff>
      <xdr:row>5</xdr:row>
      <xdr:rowOff>162054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FBC2E12-889E-4BAF-A9A4-00E3BE180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" y="190500"/>
          <a:ext cx="2133898" cy="92405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11</xdr:col>
      <xdr:colOff>924763</xdr:colOff>
      <xdr:row>6</xdr:row>
      <xdr:rowOff>133422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395A457-47FA-437B-B6E6-4987C2BC8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0" y="762000"/>
          <a:ext cx="6001588" cy="5144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3</xdr:col>
      <xdr:colOff>657600</xdr:colOff>
      <xdr:row>25</xdr:row>
      <xdr:rowOff>152554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45FA567-DB2B-4C90-8D8B-7B74F4E75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" y="3810000"/>
          <a:ext cx="2686425" cy="11050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9</xdr:col>
      <xdr:colOff>582219</xdr:colOff>
      <xdr:row>46</xdr:row>
      <xdr:rowOff>57318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1ECC27E-A830-4DBC-ADD6-E3474A2D1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0" y="7620000"/>
          <a:ext cx="8554644" cy="120031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432956</xdr:colOff>
      <xdr:row>0</xdr:row>
      <xdr:rowOff>103910</xdr:rowOff>
    </xdr:from>
    <xdr:to>
      <xdr:col>13</xdr:col>
      <xdr:colOff>759879</xdr:colOff>
      <xdr:row>7</xdr:row>
      <xdr:rowOff>180307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DC5BAAE-8E9E-4ABB-81BC-35FA1EC61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99570" y="103910"/>
          <a:ext cx="3400900" cy="1409897"/>
        </a:xfrm>
        <a:prstGeom prst="rect">
          <a:avLst/>
        </a:prstGeom>
      </xdr:spPr>
    </xdr:pic>
    <xdr:clientData/>
  </xdr:twoCellAnchor>
  <xdr:twoCellAnchor editAs="oneCell">
    <xdr:from>
      <xdr:col>27</xdr:col>
      <xdr:colOff>155864</xdr:colOff>
      <xdr:row>0</xdr:row>
      <xdr:rowOff>17318</xdr:rowOff>
    </xdr:from>
    <xdr:to>
      <xdr:col>30</xdr:col>
      <xdr:colOff>482787</xdr:colOff>
      <xdr:row>7</xdr:row>
      <xdr:rowOff>93715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67E6F57-F128-4796-8225-4E5BB04D8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514137" y="17318"/>
          <a:ext cx="3400900" cy="1409897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36</xdr:row>
      <xdr:rowOff>155864</xdr:rowOff>
    </xdr:from>
    <xdr:to>
      <xdr:col>15</xdr:col>
      <xdr:colOff>210204</xdr:colOff>
      <xdr:row>46</xdr:row>
      <xdr:rowOff>32288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FAE5140-A202-4E37-9C52-552A7E9A9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38114" y="7013864"/>
          <a:ext cx="4686954" cy="17814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3</xdr:row>
      <xdr:rowOff>19050</xdr:rowOff>
    </xdr:from>
    <xdr:to>
      <xdr:col>6</xdr:col>
      <xdr:colOff>877197</xdr:colOff>
      <xdr:row>8</xdr:row>
      <xdr:rowOff>19183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9F7CD27-9504-49F2-A9FC-67431B5A1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590550"/>
          <a:ext cx="6430272" cy="95263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10</xdr:row>
      <xdr:rowOff>38100</xdr:rowOff>
    </xdr:from>
    <xdr:to>
      <xdr:col>3</xdr:col>
      <xdr:colOff>562407</xdr:colOff>
      <xdr:row>15</xdr:row>
      <xdr:rowOff>162075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A5EFCCF-BA53-4867-8C4E-8552B6A9E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225" y="1943100"/>
          <a:ext cx="3096057" cy="1076475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10</xdr:row>
      <xdr:rowOff>47625</xdr:rowOff>
    </xdr:from>
    <xdr:to>
      <xdr:col>6</xdr:col>
      <xdr:colOff>943248</xdr:colOff>
      <xdr:row>16</xdr:row>
      <xdr:rowOff>95416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6CED833-F7D2-48B6-850C-4857C2135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81575" y="1952625"/>
          <a:ext cx="1952898" cy="1190791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4</xdr:row>
      <xdr:rowOff>19050</xdr:rowOff>
    </xdr:from>
    <xdr:to>
      <xdr:col>11</xdr:col>
      <xdr:colOff>409897</xdr:colOff>
      <xdr:row>21</xdr:row>
      <xdr:rowOff>48081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B4E57CA-9EA6-48A9-9ED0-71EAB742E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39225" y="781050"/>
          <a:ext cx="2305372" cy="326753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162501</xdr:colOff>
      <xdr:row>4</xdr:row>
      <xdr:rowOff>181080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662C527-E17E-4ECB-A2C2-2615B9665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" y="190500"/>
          <a:ext cx="4124901" cy="7525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5</xdr:col>
      <xdr:colOff>419712</xdr:colOff>
      <xdr:row>21</xdr:row>
      <xdr:rowOff>48033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4E2C134-EBF6-4B15-A967-E8E823E30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" y="1143000"/>
          <a:ext cx="4382112" cy="2924583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</xdr:row>
      <xdr:rowOff>85725</xdr:rowOff>
    </xdr:from>
    <xdr:to>
      <xdr:col>12</xdr:col>
      <xdr:colOff>601023</xdr:colOff>
      <xdr:row>8</xdr:row>
      <xdr:rowOff>114490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003CC6B-8907-4A6C-86B8-98022C6E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0750" y="276225"/>
          <a:ext cx="6792273" cy="1362265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22</xdr:row>
      <xdr:rowOff>76200</xdr:rowOff>
    </xdr:from>
    <xdr:to>
      <xdr:col>5</xdr:col>
      <xdr:colOff>219761</xdr:colOff>
      <xdr:row>37</xdr:row>
      <xdr:rowOff>152809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77FFCC7-8651-430F-850D-FB96D7739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4276725"/>
          <a:ext cx="4915586" cy="2934109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952500</xdr:colOff>
      <xdr:row>1</xdr:row>
      <xdr:rowOff>47625</xdr:rowOff>
    </xdr:from>
    <xdr:to>
      <xdr:col>18</xdr:col>
      <xdr:colOff>829211</xdr:colOff>
      <xdr:row>7</xdr:row>
      <xdr:rowOff>181153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D83F153-9851-44B1-A41C-85F0F4427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563725" y="238125"/>
          <a:ext cx="3839111" cy="127652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</xdr:row>
      <xdr:rowOff>9525</xdr:rowOff>
    </xdr:from>
    <xdr:to>
      <xdr:col>18</xdr:col>
      <xdr:colOff>209994</xdr:colOff>
      <xdr:row>19</xdr:row>
      <xdr:rowOff>152688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B920817-A419-4D08-ACF8-B51E66941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01825" y="1724025"/>
          <a:ext cx="3181794" cy="2067213"/>
        </a:xfrm>
        <a:prstGeom prst="rect">
          <a:avLst/>
        </a:prstGeom>
      </xdr:spPr>
    </xdr:pic>
    <xdr:clientData/>
  </xdr:twoCellAnchor>
  <xdr:twoCellAnchor editAs="oneCell">
    <xdr:from>
      <xdr:col>20</xdr:col>
      <xdr:colOff>104775</xdr:colOff>
      <xdr:row>2</xdr:row>
      <xdr:rowOff>57150</xdr:rowOff>
    </xdr:from>
    <xdr:to>
      <xdr:col>24</xdr:col>
      <xdr:colOff>991307</xdr:colOff>
      <xdr:row>11</xdr:row>
      <xdr:rowOff>28812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0573C6E-B5D0-4E32-AA37-9408A3A92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659600" y="438150"/>
          <a:ext cx="5068007" cy="169568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666750</xdr:colOff>
      <xdr:row>2</xdr:row>
      <xdr:rowOff>104775</xdr:rowOff>
    </xdr:from>
    <xdr:to>
      <xdr:col>16</xdr:col>
      <xdr:colOff>219427</xdr:colOff>
      <xdr:row>6</xdr:row>
      <xdr:rowOff>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134A1BD-A420-40B3-BF16-722B057FB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73125" y="495300"/>
          <a:ext cx="2524477" cy="657317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285750</xdr:colOff>
      <xdr:row>13</xdr:row>
      <xdr:rowOff>66675</xdr:rowOff>
    </xdr:from>
    <xdr:to>
      <xdr:col>19</xdr:col>
      <xdr:colOff>705738</xdr:colOff>
      <xdr:row>18</xdr:row>
      <xdr:rowOff>9650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61ECC6B-B83C-4333-90D0-4544165D4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92125" y="2552700"/>
          <a:ext cx="6363588" cy="895475"/>
        </a:xfrm>
        <a:prstGeom prst="rect">
          <a:avLst/>
        </a:prstGeom>
      </xdr:spPr>
    </xdr:pic>
    <xdr:clientData/>
  </xdr:twoCellAnchor>
  <xdr:twoCellAnchor editAs="oneCell">
    <xdr:from>
      <xdr:col>13</xdr:col>
      <xdr:colOff>866775</xdr:colOff>
      <xdr:row>8</xdr:row>
      <xdr:rowOff>66675</xdr:rowOff>
    </xdr:from>
    <xdr:to>
      <xdr:col>16</xdr:col>
      <xdr:colOff>162241</xdr:colOff>
      <xdr:row>12</xdr:row>
      <xdr:rowOff>133466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836111B-DC1D-484C-A153-CBCF4FB9B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73150" y="1600200"/>
          <a:ext cx="2267266" cy="82879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304800</xdr:colOff>
      <xdr:row>1</xdr:row>
      <xdr:rowOff>57150</xdr:rowOff>
    </xdr:from>
    <xdr:to>
      <xdr:col>13</xdr:col>
      <xdr:colOff>914400</xdr:colOff>
      <xdr:row>15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3EA7AC5-885B-4E35-8765-A2FCBB45F2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714375</xdr:colOff>
      <xdr:row>16</xdr:row>
      <xdr:rowOff>142875</xdr:rowOff>
    </xdr:from>
    <xdr:to>
      <xdr:col>17</xdr:col>
      <xdr:colOff>468488</xdr:colOff>
      <xdr:row>21</xdr:row>
      <xdr:rowOff>85850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965D402-FE78-4CE3-8DD2-9E25AB51A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76775" y="3190875"/>
          <a:ext cx="12631913" cy="895475"/>
        </a:xfrm>
        <a:prstGeom prst="rect">
          <a:avLst/>
        </a:prstGeom>
      </xdr:spPr>
    </xdr:pic>
    <xdr:clientData/>
  </xdr:twoCellAnchor>
  <xdr:twoCellAnchor>
    <xdr:from>
      <xdr:col>9</xdr:col>
      <xdr:colOff>195261</xdr:colOff>
      <xdr:row>23</xdr:row>
      <xdr:rowOff>0</xdr:rowOff>
    </xdr:from>
    <xdr:to>
      <xdr:col>15</xdr:col>
      <xdr:colOff>352424</xdr:colOff>
      <xdr:row>37</xdr:row>
      <xdr:rowOff>76200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5CB952DF-FA67-4DE9-B9A9-FD8FA27B0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295275</xdr:colOff>
      <xdr:row>0</xdr:row>
      <xdr:rowOff>85725</xdr:rowOff>
    </xdr:from>
    <xdr:to>
      <xdr:col>13</xdr:col>
      <xdr:colOff>904875</xdr:colOff>
      <xdr:row>13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7D44382-0822-4D14-A146-0C5346121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</xdr:colOff>
      <xdr:row>1</xdr:row>
      <xdr:rowOff>104775</xdr:rowOff>
    </xdr:from>
    <xdr:to>
      <xdr:col>16</xdr:col>
      <xdr:colOff>973062</xdr:colOff>
      <xdr:row>35</xdr:row>
      <xdr:rowOff>124732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00FCE75-C8FD-4BB4-9EA0-C8447D3D9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1225" y="295275"/>
          <a:ext cx="10831437" cy="649695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40</xdr:row>
      <xdr:rowOff>47624</xdr:rowOff>
    </xdr:from>
    <xdr:to>
      <xdr:col>5</xdr:col>
      <xdr:colOff>194274</xdr:colOff>
      <xdr:row>45</xdr:row>
      <xdr:rowOff>152569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BBD4B84-1A17-4404-9C71-C0B8E6C2F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67624"/>
          <a:ext cx="4956774" cy="1057445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400051</xdr:colOff>
      <xdr:row>40</xdr:row>
      <xdr:rowOff>47625</xdr:rowOff>
    </xdr:from>
    <xdr:to>
      <xdr:col>10</xdr:col>
      <xdr:colOff>476251</xdr:colOff>
      <xdr:row>46</xdr:row>
      <xdr:rowOff>59769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9A8AA4C-B2E5-4EF7-9220-4327C42EE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53051" y="7667625"/>
          <a:ext cx="5029200" cy="1155144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40</xdr:row>
      <xdr:rowOff>114300</xdr:rowOff>
    </xdr:from>
    <xdr:to>
      <xdr:col>16</xdr:col>
      <xdr:colOff>285751</xdr:colOff>
      <xdr:row>47</xdr:row>
      <xdr:rowOff>46384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82A7D6F-96CB-49AE-93D2-0D592D284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96601" y="7734300"/>
          <a:ext cx="5238750" cy="126558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971550</xdr:colOff>
      <xdr:row>37</xdr:row>
      <xdr:rowOff>85725</xdr:rowOff>
    </xdr:from>
    <xdr:to>
      <xdr:col>12</xdr:col>
      <xdr:colOff>590550</xdr:colOff>
      <xdr:row>51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47EA831-5500-46E3-B0D4-7AB29B12D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6D657-627B-4DE5-83A1-24FB9E8CA610}">
  <sheetPr>
    <tabColor rgb="FF00B050"/>
  </sheetPr>
  <dimension ref="A1:AC50"/>
  <sheetViews>
    <sheetView topLeftCell="W1" workbookViewId="0">
      <selection activeCell="Y37" sqref="Y37"/>
    </sheetView>
  </sheetViews>
  <sheetFormatPr baseColWidth="10" defaultRowHeight="15" x14ac:dyDescent="0.2"/>
  <sheetData>
    <row r="1" spans="1:29" x14ac:dyDescent="0.2">
      <c r="A1" s="1"/>
      <c r="B1" s="1"/>
      <c r="C1" s="1"/>
      <c r="D1" s="1"/>
      <c r="E1" s="1"/>
      <c r="F1" s="1"/>
      <c r="G1" s="1"/>
      <c r="I1" s="9"/>
      <c r="T1" s="9"/>
      <c r="AC1" s="9"/>
    </row>
    <row r="2" spans="1:29" x14ac:dyDescent="0.2">
      <c r="A2" s="1"/>
      <c r="B2" s="1"/>
      <c r="C2" s="1"/>
      <c r="D2" s="1"/>
      <c r="E2" s="1"/>
      <c r="F2" s="1"/>
      <c r="G2" s="1"/>
      <c r="I2" s="9"/>
      <c r="T2" s="9"/>
      <c r="AC2" s="9"/>
    </row>
    <row r="3" spans="1:29" x14ac:dyDescent="0.2">
      <c r="A3" s="1"/>
      <c r="B3" s="1"/>
      <c r="C3" s="1"/>
      <c r="D3" s="1"/>
      <c r="E3" s="1"/>
      <c r="F3" s="1"/>
      <c r="G3" s="1"/>
      <c r="I3" s="9"/>
      <c r="T3" s="9"/>
      <c r="AC3" s="9"/>
    </row>
    <row r="4" spans="1:29" x14ac:dyDescent="0.2">
      <c r="A4" s="1"/>
      <c r="B4" s="1"/>
      <c r="C4" s="1"/>
      <c r="D4" s="1"/>
      <c r="E4" s="1"/>
      <c r="F4" s="1"/>
      <c r="G4" s="1"/>
      <c r="I4" s="9"/>
      <c r="T4" s="9"/>
      <c r="AC4" s="9"/>
    </row>
    <row r="5" spans="1:29" x14ac:dyDescent="0.2">
      <c r="A5" s="1"/>
      <c r="B5" s="1"/>
      <c r="C5" s="1"/>
      <c r="D5" s="1"/>
      <c r="E5" s="1"/>
      <c r="F5" s="1"/>
      <c r="G5" s="1"/>
      <c r="I5" s="9"/>
      <c r="T5" s="9"/>
      <c r="AC5" s="9"/>
    </row>
    <row r="6" spans="1:29" x14ac:dyDescent="0.2">
      <c r="A6" s="1"/>
      <c r="B6" s="1"/>
      <c r="C6" s="1"/>
      <c r="D6" s="1"/>
      <c r="E6" s="1"/>
      <c r="F6" s="1"/>
      <c r="G6" s="1"/>
      <c r="I6" s="9"/>
      <c r="T6" s="9"/>
      <c r="AC6" s="9"/>
    </row>
    <row r="7" spans="1:29" x14ac:dyDescent="0.2">
      <c r="A7" s="1"/>
      <c r="B7" s="1"/>
      <c r="C7" s="1"/>
      <c r="D7" s="1"/>
      <c r="E7" s="1"/>
      <c r="F7" s="1"/>
      <c r="G7" s="1"/>
      <c r="I7" s="9"/>
      <c r="T7" s="9"/>
      <c r="AC7" s="9"/>
    </row>
    <row r="8" spans="1:29" x14ac:dyDescent="0.2">
      <c r="A8" s="1"/>
      <c r="B8" s="1"/>
      <c r="C8" s="1"/>
      <c r="D8" s="1"/>
      <c r="E8" s="1"/>
      <c r="F8" s="1"/>
      <c r="G8" s="1"/>
      <c r="I8" s="9"/>
      <c r="T8" s="9"/>
      <c r="AC8" s="9"/>
    </row>
    <row r="9" spans="1:29" x14ac:dyDescent="0.2">
      <c r="A9" s="1"/>
      <c r="B9" s="1"/>
      <c r="C9" s="1"/>
      <c r="D9" s="1"/>
      <c r="E9" s="1"/>
      <c r="F9" s="1"/>
      <c r="G9" s="1"/>
      <c r="I9" s="9"/>
      <c r="T9" s="9"/>
      <c r="AC9" s="9"/>
    </row>
    <row r="10" spans="1:29" x14ac:dyDescent="0.2">
      <c r="A10" s="1"/>
      <c r="B10" s="1"/>
      <c r="C10" s="1"/>
      <c r="D10" s="1"/>
      <c r="E10" s="1"/>
      <c r="F10" s="1"/>
      <c r="G10" s="1"/>
      <c r="I10" s="9"/>
      <c r="T10" s="9"/>
      <c r="AC10" s="9"/>
    </row>
    <row r="11" spans="1:29" x14ac:dyDescent="0.2">
      <c r="A11" s="1"/>
      <c r="B11" s="1"/>
      <c r="C11" s="1"/>
      <c r="D11" s="1"/>
      <c r="E11" s="1"/>
      <c r="F11" s="1"/>
      <c r="G11" s="1"/>
      <c r="I11" s="9"/>
      <c r="T11" s="9"/>
      <c r="AC11" s="9"/>
    </row>
    <row r="12" spans="1:29" x14ac:dyDescent="0.2">
      <c r="A12" s="1"/>
      <c r="B12" s="1"/>
      <c r="C12" s="1"/>
      <c r="D12" s="1"/>
      <c r="E12" s="1"/>
      <c r="F12" s="1"/>
      <c r="G12" s="1"/>
      <c r="I12" s="9"/>
      <c r="T12" s="9"/>
      <c r="AC12" s="9"/>
    </row>
    <row r="13" spans="1:29" x14ac:dyDescent="0.2">
      <c r="A13" s="1"/>
      <c r="B13" s="1"/>
      <c r="C13" s="1"/>
      <c r="D13" s="1"/>
      <c r="E13" s="1"/>
      <c r="F13" s="1"/>
      <c r="G13" s="1"/>
      <c r="I13" s="9"/>
      <c r="T13" s="9"/>
      <c r="AC13" s="9"/>
    </row>
    <row r="14" spans="1:29" x14ac:dyDescent="0.2">
      <c r="A14" s="1"/>
      <c r="B14" s="1"/>
      <c r="C14" s="1"/>
      <c r="D14" s="1"/>
      <c r="E14" s="1"/>
      <c r="F14" s="1"/>
      <c r="G14" s="1"/>
      <c r="I14" s="9"/>
      <c r="T14" s="9"/>
      <c r="AC14" s="9"/>
    </row>
    <row r="15" spans="1:29" x14ac:dyDescent="0.2">
      <c r="A15" s="1"/>
      <c r="B15" s="1"/>
      <c r="C15" s="1"/>
      <c r="D15" s="1"/>
      <c r="E15" s="1"/>
      <c r="F15" s="1"/>
      <c r="G15" s="1"/>
      <c r="I15" s="9"/>
      <c r="T15" s="9"/>
      <c r="AC15" s="9"/>
    </row>
    <row r="16" spans="1:29" x14ac:dyDescent="0.2">
      <c r="A16" s="1"/>
      <c r="B16" s="1"/>
      <c r="C16" s="1"/>
      <c r="D16" s="1"/>
      <c r="E16" s="1"/>
      <c r="F16" s="1"/>
      <c r="G16" s="1"/>
      <c r="I16" s="9"/>
      <c r="T16" s="9"/>
      <c r="AC16" s="9"/>
    </row>
    <row r="17" spans="1:29" x14ac:dyDescent="0.2">
      <c r="A17" s="1"/>
      <c r="B17" s="1"/>
      <c r="C17" s="1"/>
      <c r="D17" s="1"/>
      <c r="E17" s="1"/>
      <c r="F17" s="1"/>
      <c r="G17" s="1"/>
      <c r="I17" s="9"/>
      <c r="T17" s="9"/>
      <c r="AC17" s="9"/>
    </row>
    <row r="18" spans="1:29" x14ac:dyDescent="0.2">
      <c r="A18" s="1"/>
      <c r="B18" s="1"/>
      <c r="C18" s="1"/>
      <c r="D18" s="1"/>
      <c r="E18" s="1"/>
      <c r="F18" s="1"/>
      <c r="G18" s="1"/>
      <c r="I18" s="9"/>
      <c r="T18" s="9"/>
      <c r="AC18" s="9"/>
    </row>
    <row r="19" spans="1:29" x14ac:dyDescent="0.2">
      <c r="A19" s="1"/>
      <c r="B19" s="1"/>
      <c r="C19" s="1"/>
      <c r="D19" s="1"/>
      <c r="E19" s="1"/>
      <c r="F19" s="1"/>
      <c r="G19" s="1"/>
      <c r="I19" s="9"/>
      <c r="T19" s="9"/>
      <c r="AC19" s="9"/>
    </row>
    <row r="20" spans="1:29" x14ac:dyDescent="0.2">
      <c r="A20" s="1"/>
      <c r="B20" s="1"/>
      <c r="C20" s="1"/>
      <c r="D20" s="1"/>
      <c r="E20" s="1"/>
      <c r="F20" s="1"/>
      <c r="G20" s="1"/>
      <c r="I20" s="9"/>
      <c r="T20" s="9"/>
      <c r="AC20" s="9"/>
    </row>
    <row r="21" spans="1:29" x14ac:dyDescent="0.2">
      <c r="A21" s="1"/>
      <c r="B21" s="1"/>
      <c r="C21" s="1"/>
      <c r="D21" s="1"/>
      <c r="E21" s="1"/>
      <c r="F21" s="1"/>
      <c r="G21" s="1"/>
      <c r="I21" s="9"/>
      <c r="T21" s="9"/>
      <c r="AC21" s="9"/>
    </row>
    <row r="22" spans="1:29" x14ac:dyDescent="0.2">
      <c r="A22" s="1"/>
      <c r="B22" s="1"/>
      <c r="C22" s="1"/>
      <c r="D22" s="1"/>
      <c r="E22" s="1"/>
      <c r="F22" s="1"/>
      <c r="G22" s="1"/>
      <c r="I22" s="9"/>
      <c r="T22" s="9"/>
      <c r="AC22" s="9"/>
    </row>
    <row r="23" spans="1:29" x14ac:dyDescent="0.2">
      <c r="A23" s="1"/>
      <c r="B23" s="1"/>
      <c r="C23" s="1"/>
      <c r="D23" s="1"/>
      <c r="E23" s="1"/>
      <c r="F23" s="1"/>
      <c r="G23" s="1"/>
      <c r="I23" s="9"/>
      <c r="T23" s="9"/>
      <c r="AC23" s="9"/>
    </row>
    <row r="24" spans="1:29" x14ac:dyDescent="0.2">
      <c r="A24" s="1"/>
      <c r="B24" s="1"/>
      <c r="C24" s="1"/>
      <c r="D24" s="1"/>
      <c r="E24" s="1"/>
      <c r="F24" s="1"/>
      <c r="G24" s="1"/>
      <c r="I24" s="9"/>
      <c r="T24" s="9"/>
      <c r="AC24" s="9"/>
    </row>
    <row r="25" spans="1:29" x14ac:dyDescent="0.2">
      <c r="A25" s="1"/>
      <c r="B25" s="1"/>
      <c r="C25" s="1"/>
      <c r="D25" s="1"/>
      <c r="E25" s="1"/>
      <c r="F25" s="1"/>
      <c r="G25" s="1"/>
      <c r="I25" s="9"/>
      <c r="T25" s="9"/>
      <c r="AC25" s="9"/>
    </row>
    <row r="26" spans="1:29" x14ac:dyDescent="0.2">
      <c r="A26" s="1"/>
      <c r="B26" s="1"/>
      <c r="C26" s="1"/>
      <c r="D26" s="1"/>
      <c r="E26" s="1"/>
      <c r="F26" s="1"/>
      <c r="G26" s="1"/>
      <c r="I26" s="9"/>
      <c r="T26" s="9"/>
      <c r="AC26" s="9"/>
    </row>
    <row r="27" spans="1:29" x14ac:dyDescent="0.2">
      <c r="A27" s="1"/>
      <c r="B27" s="1"/>
      <c r="C27" s="1"/>
      <c r="D27" s="1"/>
      <c r="E27" s="1"/>
      <c r="F27" s="1"/>
      <c r="G27" s="1"/>
      <c r="I27" s="9"/>
      <c r="T27" s="9"/>
      <c r="AC27" s="9"/>
    </row>
    <row r="28" spans="1:29" x14ac:dyDescent="0.2">
      <c r="A28" s="1"/>
      <c r="B28" s="1"/>
      <c r="C28" s="1"/>
      <c r="D28" s="1"/>
      <c r="E28" s="1"/>
      <c r="F28" s="1"/>
      <c r="G28" s="1"/>
      <c r="I28" s="9"/>
      <c r="T28" s="9"/>
      <c r="AC28" s="9"/>
    </row>
    <row r="29" spans="1:29" x14ac:dyDescent="0.2">
      <c r="A29" s="1"/>
      <c r="B29" s="1"/>
      <c r="C29" s="1"/>
      <c r="D29" s="1"/>
      <c r="E29" s="1"/>
      <c r="F29" s="1"/>
      <c r="G29" s="1"/>
      <c r="I29" s="9"/>
      <c r="T29" s="9"/>
      <c r="AC29" s="9"/>
    </row>
    <row r="30" spans="1:29" x14ac:dyDescent="0.2">
      <c r="A30" s="1"/>
      <c r="B30" s="1"/>
      <c r="C30" s="1"/>
      <c r="D30" s="1"/>
      <c r="E30" s="1"/>
      <c r="F30" s="1"/>
      <c r="G30" s="1"/>
      <c r="I30" s="9"/>
      <c r="T30" s="9"/>
      <c r="AC30" s="9"/>
    </row>
    <row r="31" spans="1:29" x14ac:dyDescent="0.2">
      <c r="I31" s="9"/>
      <c r="T31" s="9"/>
      <c r="AC31" s="9"/>
    </row>
    <row r="32" spans="1:29" x14ac:dyDescent="0.2">
      <c r="I32" s="9"/>
      <c r="T32" s="9"/>
      <c r="AC32" s="9"/>
    </row>
    <row r="33" spans="9:29" x14ac:dyDescent="0.2">
      <c r="I33" s="9"/>
      <c r="T33" s="9"/>
      <c r="AC33" s="9"/>
    </row>
    <row r="34" spans="9:29" x14ac:dyDescent="0.2">
      <c r="I34" s="9"/>
      <c r="T34" s="9"/>
      <c r="AC34" s="9"/>
    </row>
    <row r="35" spans="9:29" x14ac:dyDescent="0.2">
      <c r="I35" s="9"/>
      <c r="T35" s="9"/>
      <c r="AC35" s="9"/>
    </row>
    <row r="36" spans="9:29" x14ac:dyDescent="0.2">
      <c r="I36" s="9"/>
      <c r="T36" s="9"/>
      <c r="AC36" s="9"/>
    </row>
    <row r="37" spans="9:29" x14ac:dyDescent="0.2">
      <c r="I37" s="9"/>
      <c r="T37" s="9"/>
      <c r="AC37" s="9"/>
    </row>
    <row r="38" spans="9:29" x14ac:dyDescent="0.2">
      <c r="I38" s="9"/>
      <c r="T38" s="9"/>
      <c r="AC38" s="9"/>
    </row>
    <row r="39" spans="9:29" x14ac:dyDescent="0.2">
      <c r="I39" s="9"/>
      <c r="T39" s="9"/>
      <c r="AC39" s="9"/>
    </row>
    <row r="40" spans="9:29" x14ac:dyDescent="0.2">
      <c r="I40" s="9"/>
      <c r="T40" s="9"/>
      <c r="AC40" s="9"/>
    </row>
    <row r="41" spans="9:29" x14ac:dyDescent="0.2">
      <c r="I41" s="9"/>
      <c r="T41" s="9"/>
      <c r="AC41" s="9"/>
    </row>
    <row r="42" spans="9:29" x14ac:dyDescent="0.2">
      <c r="I42" s="9"/>
      <c r="T42" s="9"/>
      <c r="AC42" s="9"/>
    </row>
    <row r="43" spans="9:29" x14ac:dyDescent="0.2">
      <c r="I43" s="9"/>
      <c r="T43" s="9"/>
      <c r="AC43" s="9"/>
    </row>
    <row r="44" spans="9:29" x14ac:dyDescent="0.2">
      <c r="I44" s="9"/>
      <c r="T44" s="9"/>
      <c r="AC44" s="9"/>
    </row>
    <row r="45" spans="9:29" x14ac:dyDescent="0.2">
      <c r="I45" s="9"/>
      <c r="T45" s="9"/>
      <c r="AC45" s="9"/>
    </row>
    <row r="46" spans="9:29" x14ac:dyDescent="0.2">
      <c r="I46" s="9"/>
      <c r="T46" s="9"/>
      <c r="AC46" s="9"/>
    </row>
    <row r="47" spans="9:29" x14ac:dyDescent="0.2">
      <c r="I47" s="9"/>
      <c r="T47" s="9"/>
      <c r="AC47" s="9"/>
    </row>
    <row r="48" spans="9:29" x14ac:dyDescent="0.2">
      <c r="I48" s="9"/>
      <c r="T48" s="9"/>
      <c r="AC48" s="9"/>
    </row>
    <row r="49" spans="20:29" x14ac:dyDescent="0.2">
      <c r="T49" s="9"/>
      <c r="AC49" s="9"/>
    </row>
    <row r="50" spans="20:29" x14ac:dyDescent="0.2">
      <c r="AC50" s="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ED3D2-6DD8-45C5-A720-E7E7E6105FF8}">
  <sheetPr>
    <tabColor theme="5"/>
  </sheetPr>
  <dimension ref="A1:V43"/>
  <sheetViews>
    <sheetView topLeftCell="F1" workbookViewId="0">
      <selection activeCell="V1" sqref="V1:V19"/>
    </sheetView>
  </sheetViews>
  <sheetFormatPr baseColWidth="10" defaultRowHeight="15" x14ac:dyDescent="0.2"/>
  <cols>
    <col min="14" max="14" width="13.33203125" customWidth="1"/>
    <col min="16" max="16" width="14.109375" customWidth="1"/>
  </cols>
  <sheetData>
    <row r="1" spans="9:22" x14ac:dyDescent="0.2">
      <c r="V1" s="9"/>
    </row>
    <row r="2" spans="9:22" ht="15.75" thickBot="1" x14ac:dyDescent="0.25">
      <c r="V2" s="9"/>
    </row>
    <row r="3" spans="9:22" ht="17.25" thickTop="1" thickBot="1" x14ac:dyDescent="0.3">
      <c r="I3" s="122" t="s">
        <v>0</v>
      </c>
      <c r="J3" s="122"/>
      <c r="V3" s="9"/>
    </row>
    <row r="4" spans="9:22" ht="15.75" thickTop="1" x14ac:dyDescent="0.2">
      <c r="I4" s="2" t="s">
        <v>1</v>
      </c>
      <c r="J4" s="2">
        <v>-0.5</v>
      </c>
      <c r="V4" s="9"/>
    </row>
    <row r="5" spans="9:22" x14ac:dyDescent="0.2">
      <c r="I5" s="2" t="s">
        <v>2</v>
      </c>
      <c r="J5" s="2">
        <v>-1.5</v>
      </c>
      <c r="V5" s="9"/>
    </row>
    <row r="6" spans="9:22" x14ac:dyDescent="0.2">
      <c r="V6" s="9"/>
    </row>
    <row r="7" spans="9:22" ht="15.75" thickBot="1" x14ac:dyDescent="0.25">
      <c r="V7" s="9"/>
    </row>
    <row r="8" spans="9:22" ht="17.25" thickTop="1" thickBot="1" x14ac:dyDescent="0.3">
      <c r="I8" s="3" t="s">
        <v>3</v>
      </c>
      <c r="J8" s="3" t="s">
        <v>4</v>
      </c>
      <c r="K8" s="3" t="s">
        <v>5</v>
      </c>
      <c r="L8" s="3" t="s">
        <v>6</v>
      </c>
      <c r="M8" s="3" t="s">
        <v>7</v>
      </c>
      <c r="N8" s="3" t="s">
        <v>8</v>
      </c>
      <c r="O8" s="3" t="s">
        <v>9</v>
      </c>
      <c r="P8" s="3" t="s">
        <v>10</v>
      </c>
      <c r="V8" s="9"/>
    </row>
    <row r="9" spans="9:22" ht="15.75" thickTop="1" x14ac:dyDescent="0.2">
      <c r="I9" s="4">
        <v>0</v>
      </c>
      <c r="J9" s="5">
        <f>J4</f>
        <v>-0.5</v>
      </c>
      <c r="K9" s="5">
        <f>J5</f>
        <v>-1.5</v>
      </c>
      <c r="L9" s="5">
        <f>J9^2+COS(J9)-2</f>
        <v>-0.87241743810962724</v>
      </c>
      <c r="M9" s="5">
        <f>K9^2+COS(K9)-2</f>
        <v>0.32073720166770281</v>
      </c>
      <c r="N9" s="5">
        <f>(J9+K9)/2</f>
        <v>-1</v>
      </c>
      <c r="O9" s="5">
        <f>N9^2+COS(N9)-2</f>
        <v>-0.45969769413186023</v>
      </c>
      <c r="P9" s="5"/>
      <c r="V9" s="9"/>
    </row>
    <row r="10" spans="9:22" x14ac:dyDescent="0.2">
      <c r="I10" s="4">
        <v>1</v>
      </c>
      <c r="J10" s="5">
        <f>IF(O9*L9&lt;0,J9,N9)</f>
        <v>-1</v>
      </c>
      <c r="K10" s="5">
        <f>IF(O9*M9&lt;0,K9,N9)</f>
        <v>-1.5</v>
      </c>
      <c r="L10" s="5">
        <f>J10^2+COS(J10)-2</f>
        <v>-0.45969769413186023</v>
      </c>
      <c r="M10" s="5">
        <f>K10^2+COS(K10)-2</f>
        <v>0.32073720166770281</v>
      </c>
      <c r="N10" s="5">
        <f>(J10+K10)/2</f>
        <v>-1.25</v>
      </c>
      <c r="O10" s="5">
        <f>N10^2+COS(N10)-2</f>
        <v>-0.12217763760473144</v>
      </c>
      <c r="P10" s="5">
        <f>ABS(N10-N9)</f>
        <v>0.25</v>
      </c>
      <c r="V10" s="9"/>
    </row>
    <row r="11" spans="9:22" x14ac:dyDescent="0.2">
      <c r="I11" s="4">
        <v>2</v>
      </c>
      <c r="J11" s="5">
        <f t="shared" ref="J11:J31" si="0">IF(O10*L10&lt;0,J10,N10)</f>
        <v>-1.25</v>
      </c>
      <c r="K11" s="5">
        <f t="shared" ref="K11:K31" si="1">IF(O10*M10&lt;0,K10,N10)</f>
        <v>-1.5</v>
      </c>
      <c r="L11" s="5">
        <f t="shared" ref="L11:M26" si="2">J11^2+COS(J11)-2</f>
        <v>-0.12217763760473144</v>
      </c>
      <c r="M11" s="5">
        <f t="shared" si="2"/>
        <v>0.32073720166770281</v>
      </c>
      <c r="N11" s="5">
        <f t="shared" ref="N11:N31" si="3">(J11+K11)/2</f>
        <v>-1.375</v>
      </c>
      <c r="O11" s="5">
        <f t="shared" ref="O11:O31" si="4">N11^2+COS(N11)-2</f>
        <v>8.5172707988987018E-2</v>
      </c>
      <c r="P11" s="5">
        <f t="shared" ref="P11:P31" si="5">ABS(N11-N10)</f>
        <v>0.125</v>
      </c>
      <c r="V11" s="9"/>
    </row>
    <row r="12" spans="9:22" x14ac:dyDescent="0.2">
      <c r="I12" s="4">
        <v>3</v>
      </c>
      <c r="J12" s="5">
        <f t="shared" si="0"/>
        <v>-1.25</v>
      </c>
      <c r="K12" s="5">
        <f t="shared" si="1"/>
        <v>-1.375</v>
      </c>
      <c r="L12" s="5">
        <f t="shared" si="2"/>
        <v>-0.12217763760473144</v>
      </c>
      <c r="M12" s="5">
        <f t="shared" si="2"/>
        <v>8.5172707988987018E-2</v>
      </c>
      <c r="N12" s="5">
        <f t="shared" si="3"/>
        <v>-1.3125</v>
      </c>
      <c r="O12" s="5">
        <f t="shared" si="4"/>
        <v>-2.1909983111188414E-2</v>
      </c>
      <c r="P12" s="5">
        <f t="shared" si="5"/>
        <v>6.25E-2</v>
      </c>
      <c r="V12" s="9"/>
    </row>
    <row r="13" spans="9:22" x14ac:dyDescent="0.2">
      <c r="I13" s="4">
        <v>4</v>
      </c>
      <c r="J13" s="5">
        <f t="shared" si="0"/>
        <v>-1.3125</v>
      </c>
      <c r="K13" s="5">
        <f t="shared" si="1"/>
        <v>-1.375</v>
      </c>
      <c r="L13" s="5">
        <f t="shared" si="2"/>
        <v>-2.1909983111188414E-2</v>
      </c>
      <c r="M13" s="5">
        <f t="shared" si="2"/>
        <v>8.5172707988987018E-2</v>
      </c>
      <c r="N13" s="5">
        <f t="shared" si="3"/>
        <v>-1.34375</v>
      </c>
      <c r="O13" s="5">
        <f t="shared" si="4"/>
        <v>3.0764703416817252E-2</v>
      </c>
      <c r="P13" s="5">
        <f t="shared" si="5"/>
        <v>3.125E-2</v>
      </c>
      <c r="V13" s="9"/>
    </row>
    <row r="14" spans="9:22" x14ac:dyDescent="0.2">
      <c r="I14" s="4">
        <v>5</v>
      </c>
      <c r="J14" s="5">
        <f t="shared" si="0"/>
        <v>-1.3125</v>
      </c>
      <c r="K14" s="5">
        <f t="shared" si="1"/>
        <v>-1.34375</v>
      </c>
      <c r="L14" s="5">
        <f t="shared" si="2"/>
        <v>-2.1909983111188414E-2</v>
      </c>
      <c r="M14" s="5">
        <f t="shared" si="2"/>
        <v>3.0764703416817252E-2</v>
      </c>
      <c r="N14" s="5">
        <f t="shared" si="3"/>
        <v>-1.328125</v>
      </c>
      <c r="O14" s="5">
        <f t="shared" si="4"/>
        <v>4.2125520043247988E-3</v>
      </c>
      <c r="P14" s="5">
        <f t="shared" si="5"/>
        <v>1.5625E-2</v>
      </c>
      <c r="V14" s="9"/>
    </row>
    <row r="15" spans="9:22" x14ac:dyDescent="0.2">
      <c r="I15" s="4">
        <v>6</v>
      </c>
      <c r="J15" s="5">
        <f t="shared" si="0"/>
        <v>-1.3125</v>
      </c>
      <c r="K15" s="5">
        <f t="shared" si="1"/>
        <v>-1.328125</v>
      </c>
      <c r="L15" s="5">
        <f t="shared" si="2"/>
        <v>-2.1909983111188414E-2</v>
      </c>
      <c r="M15" s="5">
        <f t="shared" si="2"/>
        <v>4.2125520043247988E-3</v>
      </c>
      <c r="N15" s="5">
        <f t="shared" si="3"/>
        <v>-1.3203125</v>
      </c>
      <c r="O15" s="5">
        <f t="shared" si="4"/>
        <v>-8.902186273178625E-3</v>
      </c>
      <c r="P15" s="5">
        <f t="shared" si="5"/>
        <v>7.8125E-3</v>
      </c>
      <c r="V15" s="9"/>
    </row>
    <row r="16" spans="9:22" x14ac:dyDescent="0.2">
      <c r="I16" s="4">
        <v>7</v>
      </c>
      <c r="J16" s="5">
        <f t="shared" si="0"/>
        <v>-1.3203125</v>
      </c>
      <c r="K16" s="5">
        <f t="shared" si="1"/>
        <v>-1.328125</v>
      </c>
      <c r="L16" s="5">
        <f t="shared" si="2"/>
        <v>-8.902186273178625E-3</v>
      </c>
      <c r="M16" s="5">
        <f t="shared" si="2"/>
        <v>4.2125520043247988E-3</v>
      </c>
      <c r="N16" s="5">
        <f t="shared" si="3"/>
        <v>-1.32421875</v>
      </c>
      <c r="O16" s="5">
        <f t="shared" si="4"/>
        <v>-2.3582136937372322E-3</v>
      </c>
      <c r="P16" s="5">
        <f t="shared" si="5"/>
        <v>3.90625E-3</v>
      </c>
      <c r="V16" s="9"/>
    </row>
    <row r="17" spans="9:22" x14ac:dyDescent="0.2">
      <c r="I17" s="4">
        <v>8</v>
      </c>
      <c r="J17" s="5">
        <f t="shared" si="0"/>
        <v>-1.32421875</v>
      </c>
      <c r="K17" s="5">
        <f t="shared" si="1"/>
        <v>-1.328125</v>
      </c>
      <c r="L17" s="5">
        <f t="shared" si="2"/>
        <v>-2.3582136937372322E-3</v>
      </c>
      <c r="M17" s="5">
        <f t="shared" si="2"/>
        <v>4.2125520043247988E-3</v>
      </c>
      <c r="N17" s="5">
        <f t="shared" si="3"/>
        <v>-1.326171875</v>
      </c>
      <c r="O17" s="5">
        <f t="shared" si="4"/>
        <v>9.2381640241256946E-4</v>
      </c>
      <c r="P17" s="5">
        <f t="shared" si="5"/>
        <v>1.953125E-3</v>
      </c>
      <c r="V17" s="9"/>
    </row>
    <row r="18" spans="9:22" x14ac:dyDescent="0.2">
      <c r="I18" s="4">
        <v>9</v>
      </c>
      <c r="J18" s="5">
        <f t="shared" si="0"/>
        <v>-1.32421875</v>
      </c>
      <c r="K18" s="5">
        <f t="shared" si="1"/>
        <v>-1.326171875</v>
      </c>
      <c r="L18" s="5">
        <f t="shared" si="2"/>
        <v>-2.3582136937372322E-3</v>
      </c>
      <c r="M18" s="5">
        <f t="shared" si="2"/>
        <v>9.2381640241256946E-4</v>
      </c>
      <c r="N18" s="5">
        <f t="shared" si="3"/>
        <v>-1.3251953125</v>
      </c>
      <c r="O18" s="5">
        <f t="shared" si="4"/>
        <v>-7.1803638211243026E-4</v>
      </c>
      <c r="P18" s="5">
        <f t="shared" si="5"/>
        <v>9.765625E-4</v>
      </c>
      <c r="V18" s="9"/>
    </row>
    <row r="19" spans="9:22" x14ac:dyDescent="0.2">
      <c r="I19" s="4">
        <v>10</v>
      </c>
      <c r="J19" s="5">
        <f t="shared" si="0"/>
        <v>-1.3251953125</v>
      </c>
      <c r="K19" s="5">
        <f t="shared" si="1"/>
        <v>-1.326171875</v>
      </c>
      <c r="L19" s="5">
        <f t="shared" si="2"/>
        <v>-7.1803638211243026E-4</v>
      </c>
      <c r="M19" s="5">
        <f t="shared" si="2"/>
        <v>9.2381640241256946E-4</v>
      </c>
      <c r="N19" s="5">
        <f t="shared" si="3"/>
        <v>-1.32568359375</v>
      </c>
      <c r="O19" s="5">
        <f t="shared" si="4"/>
        <v>1.0268051957496027E-4</v>
      </c>
      <c r="P19" s="5">
        <f t="shared" si="5"/>
        <v>4.8828125E-4</v>
      </c>
      <c r="V19" s="9"/>
    </row>
    <row r="20" spans="9:22" x14ac:dyDescent="0.2">
      <c r="I20" s="4">
        <v>11</v>
      </c>
      <c r="J20" s="5">
        <f t="shared" si="0"/>
        <v>-1.3251953125</v>
      </c>
      <c r="K20" s="5">
        <f t="shared" si="1"/>
        <v>-1.32568359375</v>
      </c>
      <c r="L20" s="5">
        <f t="shared" si="2"/>
        <v>-7.1803638211243026E-4</v>
      </c>
      <c r="M20" s="5">
        <f t="shared" si="2"/>
        <v>1.0268051957496027E-4</v>
      </c>
      <c r="N20" s="5">
        <f t="shared" si="3"/>
        <v>-1.325439453125</v>
      </c>
      <c r="O20" s="5">
        <f t="shared" si="4"/>
        <v>-3.0773029685415842E-4</v>
      </c>
      <c r="P20" s="5">
        <f t="shared" si="5"/>
        <v>2.44140625E-4</v>
      </c>
    </row>
    <row r="21" spans="9:22" x14ac:dyDescent="0.2">
      <c r="I21" s="4">
        <v>12</v>
      </c>
      <c r="J21" s="5">
        <f t="shared" si="0"/>
        <v>-1.325439453125</v>
      </c>
      <c r="K21" s="5">
        <f t="shared" si="1"/>
        <v>-1.32568359375</v>
      </c>
      <c r="L21" s="5">
        <f t="shared" si="2"/>
        <v>-3.0773029685415842E-4</v>
      </c>
      <c r="M21" s="5">
        <f t="shared" si="2"/>
        <v>1.0268051957496027E-4</v>
      </c>
      <c r="N21" s="5">
        <f t="shared" si="3"/>
        <v>-1.3255615234375</v>
      </c>
      <c r="O21" s="5">
        <f t="shared" si="4"/>
        <v>-1.0253798091830468E-4</v>
      </c>
      <c r="P21" s="5">
        <f t="shared" si="5"/>
        <v>1.220703125E-4</v>
      </c>
    </row>
    <row r="22" spans="9:22" x14ac:dyDescent="0.2">
      <c r="I22" s="4">
        <v>13</v>
      </c>
      <c r="J22" s="5">
        <f t="shared" si="0"/>
        <v>-1.3255615234375</v>
      </c>
      <c r="K22" s="5">
        <f t="shared" si="1"/>
        <v>-1.32568359375</v>
      </c>
      <c r="L22" s="5">
        <f t="shared" si="2"/>
        <v>-1.0253798091830468E-4</v>
      </c>
      <c r="M22" s="5">
        <f t="shared" si="2"/>
        <v>1.0268051957496027E-4</v>
      </c>
      <c r="N22" s="5">
        <f t="shared" si="3"/>
        <v>-1.32562255859375</v>
      </c>
      <c r="O22" s="5">
        <f t="shared" si="4"/>
        <v>6.799614826746847E-8</v>
      </c>
      <c r="P22" s="5">
        <f t="shared" si="5"/>
        <v>6.103515625E-5</v>
      </c>
    </row>
    <row r="23" spans="9:22" x14ac:dyDescent="0.2">
      <c r="I23" s="4">
        <v>14</v>
      </c>
      <c r="J23" s="5">
        <f t="shared" si="0"/>
        <v>-1.3255615234375</v>
      </c>
      <c r="K23" s="5">
        <f t="shared" si="1"/>
        <v>-1.32562255859375</v>
      </c>
      <c r="L23" s="5">
        <f t="shared" si="2"/>
        <v>-1.0253798091830468E-4</v>
      </c>
      <c r="M23" s="5">
        <f t="shared" si="2"/>
        <v>6.799614826746847E-8</v>
      </c>
      <c r="N23" s="5">
        <f t="shared" si="3"/>
        <v>-1.325592041015625</v>
      </c>
      <c r="O23" s="5">
        <f t="shared" si="4"/>
        <v>-5.1235810666128145E-5</v>
      </c>
      <c r="P23" s="5">
        <f t="shared" si="5"/>
        <v>3.0517578125E-5</v>
      </c>
    </row>
    <row r="24" spans="9:22" x14ac:dyDescent="0.2">
      <c r="I24" s="4">
        <v>15</v>
      </c>
      <c r="J24" s="5">
        <f t="shared" si="0"/>
        <v>-1.325592041015625</v>
      </c>
      <c r="K24" s="5">
        <f t="shared" si="1"/>
        <v>-1.32562255859375</v>
      </c>
      <c r="L24" s="5">
        <f t="shared" si="2"/>
        <v>-5.1235810666128145E-5</v>
      </c>
      <c r="M24" s="5">
        <f t="shared" si="2"/>
        <v>6.799614826746847E-8</v>
      </c>
      <c r="N24" s="5">
        <f t="shared" si="3"/>
        <v>-1.3256072998046875</v>
      </c>
      <c r="O24" s="5">
        <f t="shared" si="4"/>
        <v>-2.5584111830845302E-5</v>
      </c>
      <c r="P24" s="5">
        <f t="shared" si="5"/>
        <v>1.52587890625E-5</v>
      </c>
    </row>
    <row r="25" spans="9:22" x14ac:dyDescent="0.2">
      <c r="I25" s="4">
        <v>16</v>
      </c>
      <c r="J25" s="5">
        <f t="shared" si="0"/>
        <v>-1.3256072998046875</v>
      </c>
      <c r="K25" s="5">
        <f t="shared" si="1"/>
        <v>-1.32562255859375</v>
      </c>
      <c r="L25" s="5">
        <f t="shared" si="2"/>
        <v>-2.5584111830845302E-5</v>
      </c>
      <c r="M25" s="5">
        <f t="shared" si="2"/>
        <v>6.799614826746847E-8</v>
      </c>
      <c r="N25" s="5">
        <f t="shared" si="3"/>
        <v>-1.3256149291992188</v>
      </c>
      <c r="O25" s="5">
        <f t="shared" si="4"/>
        <v>-1.275810898437868E-5</v>
      </c>
      <c r="P25" s="5">
        <f t="shared" si="5"/>
        <v>7.62939453125E-6</v>
      </c>
    </row>
    <row r="26" spans="9:22" x14ac:dyDescent="0.2">
      <c r="I26" s="4">
        <v>17</v>
      </c>
      <c r="J26" s="5">
        <f t="shared" si="0"/>
        <v>-1.3256149291992188</v>
      </c>
      <c r="K26" s="5">
        <f t="shared" si="1"/>
        <v>-1.32562255859375</v>
      </c>
      <c r="L26" s="5">
        <f t="shared" si="2"/>
        <v>-1.275810898437868E-5</v>
      </c>
      <c r="M26" s="5">
        <f t="shared" si="2"/>
        <v>6.799614826746847E-8</v>
      </c>
      <c r="N26" s="5">
        <f t="shared" si="3"/>
        <v>-1.3256187438964844</v>
      </c>
      <c r="O26" s="5">
        <f t="shared" si="4"/>
        <v>-6.3450692038280465E-6</v>
      </c>
      <c r="P26" s="5">
        <f t="shared" si="5"/>
        <v>3.814697265625E-6</v>
      </c>
    </row>
    <row r="27" spans="9:22" x14ac:dyDescent="0.2">
      <c r="I27" s="4">
        <v>18</v>
      </c>
      <c r="J27" s="5">
        <f t="shared" si="0"/>
        <v>-1.3256187438964844</v>
      </c>
      <c r="K27" s="5">
        <f t="shared" si="1"/>
        <v>-1.32562255859375</v>
      </c>
      <c r="L27" s="5">
        <f t="shared" ref="L27:M31" si="6">J27^2+COS(J27)-2</f>
        <v>-6.3450692038280465E-6</v>
      </c>
      <c r="M27" s="5">
        <f t="shared" si="6"/>
        <v>6.799614826746847E-8</v>
      </c>
      <c r="N27" s="5">
        <f t="shared" si="3"/>
        <v>-1.3256206512451172</v>
      </c>
      <c r="O27" s="5">
        <f t="shared" si="4"/>
        <v>-3.1385397241123769E-6</v>
      </c>
      <c r="P27" s="5">
        <f t="shared" si="5"/>
        <v>1.9073486328125E-6</v>
      </c>
    </row>
    <row r="28" spans="9:22" x14ac:dyDescent="0.2">
      <c r="I28" s="4">
        <v>19</v>
      </c>
      <c r="J28" s="5">
        <f t="shared" si="0"/>
        <v>-1.3256206512451172</v>
      </c>
      <c r="K28" s="5">
        <f t="shared" si="1"/>
        <v>-1.32562255859375</v>
      </c>
      <c r="L28" s="5">
        <f t="shared" si="6"/>
        <v>-3.1385397241123769E-6</v>
      </c>
      <c r="M28" s="5">
        <f t="shared" si="6"/>
        <v>6.799614826746847E-8</v>
      </c>
      <c r="N28" s="5">
        <f t="shared" si="3"/>
        <v>-1.3256216049194336</v>
      </c>
      <c r="O28" s="5">
        <f t="shared" si="4"/>
        <v>-1.5352725870609873E-6</v>
      </c>
      <c r="P28" s="5">
        <f t="shared" si="5"/>
        <v>9.5367431640625E-7</v>
      </c>
    </row>
    <row r="29" spans="9:22" x14ac:dyDescent="0.2">
      <c r="I29" s="4">
        <v>20</v>
      </c>
      <c r="J29" s="5">
        <f t="shared" si="0"/>
        <v>-1.3256216049194336</v>
      </c>
      <c r="K29" s="5">
        <f t="shared" si="1"/>
        <v>-1.32562255859375</v>
      </c>
      <c r="L29" s="5">
        <f t="shared" si="6"/>
        <v>-1.5352725870609873E-6</v>
      </c>
      <c r="M29" s="5">
        <f t="shared" si="6"/>
        <v>6.799614826746847E-8</v>
      </c>
      <c r="N29" s="5">
        <f t="shared" si="3"/>
        <v>-1.3256220817565918</v>
      </c>
      <c r="O29" s="5">
        <f t="shared" si="4"/>
        <v>-7.3363841912588157E-7</v>
      </c>
      <c r="P29" s="5">
        <f t="shared" si="5"/>
        <v>4.76837158203125E-7</v>
      </c>
    </row>
    <row r="30" spans="9:22" x14ac:dyDescent="0.2">
      <c r="I30" s="4">
        <v>21</v>
      </c>
      <c r="J30" s="5">
        <f t="shared" si="0"/>
        <v>-1.3256220817565918</v>
      </c>
      <c r="K30" s="5">
        <f t="shared" si="1"/>
        <v>-1.32562255859375</v>
      </c>
      <c r="L30" s="5">
        <f t="shared" si="6"/>
        <v>-7.3363841912588157E-7</v>
      </c>
      <c r="M30" s="5">
        <f t="shared" si="6"/>
        <v>6.799614826746847E-8</v>
      </c>
      <c r="N30" s="5">
        <f t="shared" si="3"/>
        <v>-1.3256223201751709</v>
      </c>
      <c r="O30" s="5">
        <f t="shared" si="4"/>
        <v>-3.3282118527822036E-7</v>
      </c>
      <c r="P30" s="5">
        <f t="shared" si="5"/>
        <v>2.384185791015625E-7</v>
      </c>
    </row>
    <row r="31" spans="9:22" x14ac:dyDescent="0.2">
      <c r="I31" s="4">
        <v>22</v>
      </c>
      <c r="J31" s="5">
        <f t="shared" si="0"/>
        <v>-1.3256223201751709</v>
      </c>
      <c r="K31" s="5">
        <f t="shared" si="1"/>
        <v>-1.32562255859375</v>
      </c>
      <c r="L31" s="5">
        <f t="shared" si="6"/>
        <v>-3.3282118527822036E-7</v>
      </c>
      <c r="M31" s="5">
        <f t="shared" si="6"/>
        <v>6.799614826746847E-8</v>
      </c>
      <c r="N31" s="6">
        <f t="shared" si="3"/>
        <v>-1.3256224393844604</v>
      </c>
      <c r="O31" s="5">
        <f t="shared" si="4"/>
        <v>-1.3241253093987382E-7</v>
      </c>
      <c r="P31" s="5">
        <f t="shared" si="5"/>
        <v>1.1920928955078125E-7</v>
      </c>
    </row>
    <row r="35" spans="1:17" ht="15.75" thickBot="1" x14ac:dyDescent="0.25"/>
    <row r="36" spans="1:17" ht="16.5" thickTop="1" thickBot="1" x14ac:dyDescent="0.25">
      <c r="A36" s="123" t="s">
        <v>0</v>
      </c>
      <c r="B36" s="123"/>
      <c r="J36" s="124" t="s">
        <v>0</v>
      </c>
      <c r="K36" s="125"/>
    </row>
    <row r="37" spans="1:17" ht="15.75" thickTop="1" x14ac:dyDescent="0.2">
      <c r="A37" s="2" t="s">
        <v>1</v>
      </c>
      <c r="B37" s="2"/>
      <c r="J37" s="2" t="s">
        <v>1</v>
      </c>
      <c r="K37" s="2"/>
    </row>
    <row r="38" spans="1:17" x14ac:dyDescent="0.2">
      <c r="A38" s="2" t="s">
        <v>2</v>
      </c>
      <c r="B38" s="2"/>
      <c r="J38" s="2" t="s">
        <v>2</v>
      </c>
      <c r="K38" s="2"/>
    </row>
    <row r="40" spans="1:17" ht="15.75" thickBot="1" x14ac:dyDescent="0.25"/>
    <row r="41" spans="1:17" ht="16.5" thickTop="1" thickBot="1" x14ac:dyDescent="0.25">
      <c r="A41" s="7" t="s">
        <v>3</v>
      </c>
      <c r="B41" s="7" t="s">
        <v>4</v>
      </c>
      <c r="C41" s="7" t="s">
        <v>5</v>
      </c>
      <c r="D41" s="7" t="s">
        <v>6</v>
      </c>
      <c r="E41" s="7" t="s">
        <v>7</v>
      </c>
      <c r="F41" s="7" t="s">
        <v>8</v>
      </c>
      <c r="G41" s="7" t="s">
        <v>9</v>
      </c>
      <c r="H41" s="7" t="s">
        <v>10</v>
      </c>
      <c r="J41" s="8" t="s">
        <v>3</v>
      </c>
      <c r="K41" s="8" t="s">
        <v>4</v>
      </c>
      <c r="L41" s="8" t="s">
        <v>5</v>
      </c>
      <c r="M41" s="8" t="s">
        <v>6</v>
      </c>
      <c r="N41" s="8" t="s">
        <v>7</v>
      </c>
      <c r="O41" s="8" t="s">
        <v>8</v>
      </c>
      <c r="P41" s="8" t="s">
        <v>9</v>
      </c>
      <c r="Q41" s="8" t="s">
        <v>10</v>
      </c>
    </row>
    <row r="42" spans="1:17" ht="15.75" thickTop="1" x14ac:dyDescent="0.2">
      <c r="A42" s="4">
        <v>0</v>
      </c>
      <c r="B42" s="5">
        <f>B37</f>
        <v>0</v>
      </c>
      <c r="C42" s="5">
        <f>B38</f>
        <v>0</v>
      </c>
      <c r="D42" s="5"/>
      <c r="E42" s="5"/>
      <c r="F42" s="5">
        <f>(B42+C42)/2</f>
        <v>0</v>
      </c>
      <c r="G42" s="5"/>
      <c r="H42" s="5"/>
      <c r="J42" s="4">
        <v>0</v>
      </c>
      <c r="K42" s="5">
        <f>K37</f>
        <v>0</v>
      </c>
      <c r="L42" s="5">
        <f>K38</f>
        <v>0</v>
      </c>
      <c r="M42" s="5"/>
      <c r="N42" s="5"/>
      <c r="O42" s="5">
        <f>(K42+L42)/2</f>
        <v>0</v>
      </c>
      <c r="P42" s="5"/>
      <c r="Q42" s="5"/>
    </row>
    <row r="43" spans="1:17" x14ac:dyDescent="0.2">
      <c r="A43" s="4">
        <v>1</v>
      </c>
      <c r="B43" s="5">
        <f>IF(G42*D42&lt;0,B42,F42)</f>
        <v>0</v>
      </c>
      <c r="C43" s="5">
        <f>IF(G42*E42&lt;0,C42,F42)</f>
        <v>0</v>
      </c>
      <c r="D43" s="5"/>
      <c r="E43" s="5"/>
      <c r="F43" s="5">
        <f>(B43+C43)/2</f>
        <v>0</v>
      </c>
      <c r="G43" s="5"/>
      <c r="H43" s="5">
        <f>ABS(F43-F42)</f>
        <v>0</v>
      </c>
      <c r="J43" s="4">
        <v>1</v>
      </c>
      <c r="K43" s="5">
        <f>IF(P42*M42&lt;0,K42,O42)</f>
        <v>0</v>
      </c>
      <c r="L43" s="5">
        <f>IF(P42*N42&lt;0,L42,O42)</f>
        <v>0</v>
      </c>
      <c r="M43" s="5"/>
      <c r="N43" s="5"/>
      <c r="O43" s="5">
        <f>(K43+L43)/2</f>
        <v>0</v>
      </c>
      <c r="P43" s="5"/>
      <c r="Q43" s="5">
        <f>ABS(O43-O42)</f>
        <v>0</v>
      </c>
    </row>
  </sheetData>
  <mergeCells count="3">
    <mergeCell ref="I3:J3"/>
    <mergeCell ref="A36:B36"/>
    <mergeCell ref="J36:K3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8126F-CA95-46B5-8EA8-910E008AD772}">
  <sheetPr>
    <tabColor rgb="FFFF0000"/>
  </sheetPr>
  <dimension ref="A1:Q90"/>
  <sheetViews>
    <sheetView workbookViewId="0">
      <selection activeCell="E41" sqref="E41:E42"/>
    </sheetView>
  </sheetViews>
  <sheetFormatPr baseColWidth="10" defaultRowHeight="15" x14ac:dyDescent="0.2"/>
  <sheetData>
    <row r="1" spans="8:17" x14ac:dyDescent="0.2">
      <c r="M1" s="2" t="s">
        <v>17</v>
      </c>
      <c r="N1" s="2">
        <v>2.6</v>
      </c>
    </row>
    <row r="2" spans="8:17" ht="15.75" thickBot="1" x14ac:dyDescent="0.25">
      <c r="H2" t="s">
        <v>11</v>
      </c>
    </row>
    <row r="3" spans="8:17" ht="17.25" thickTop="1" thickBot="1" x14ac:dyDescent="0.3">
      <c r="M3" s="15" t="s">
        <v>16</v>
      </c>
      <c r="N3" s="14" t="s">
        <v>15</v>
      </c>
      <c r="O3" s="13" t="s">
        <v>14</v>
      </c>
      <c r="P3" s="3" t="s">
        <v>10</v>
      </c>
      <c r="Q3" s="3" t="s">
        <v>13</v>
      </c>
    </row>
    <row r="4" spans="8:17" ht="15.75" thickTop="1" x14ac:dyDescent="0.2">
      <c r="M4" s="11">
        <v>0</v>
      </c>
      <c r="N4" s="2">
        <f>N1</f>
        <v>2.6</v>
      </c>
      <c r="O4" s="12">
        <f t="shared" ref="O4:O35" si="0">EXP(2/N4)</f>
        <v>2.1581055339484454</v>
      </c>
      <c r="P4" s="5"/>
      <c r="Q4" s="2">
        <f>(N4*LN(N4))-2</f>
        <v>0.48432975707133474</v>
      </c>
    </row>
    <row r="5" spans="8:17" x14ac:dyDescent="0.2">
      <c r="M5" s="11">
        <v>1</v>
      </c>
      <c r="N5" s="5">
        <f t="shared" ref="N5:N36" si="1">O4</f>
        <v>2.1581055339484454</v>
      </c>
      <c r="O5" s="12">
        <f t="shared" si="0"/>
        <v>2.5262569439802607</v>
      </c>
      <c r="P5" s="5">
        <f t="shared" ref="P5:P36" si="2">ABS(O5-O4)</f>
        <v>0.36815141003181528</v>
      </c>
      <c r="Q5" s="5">
        <f t="shared" ref="Q5:Q36" si="3">N5*LN(N5)-2</f>
        <v>-0.33991882003965745</v>
      </c>
    </row>
    <row r="6" spans="8:17" x14ac:dyDescent="0.2">
      <c r="H6" t="s">
        <v>12</v>
      </c>
      <c r="M6" s="11">
        <v>2</v>
      </c>
      <c r="N6" s="5">
        <f t="shared" si="1"/>
        <v>2.5262569439802607</v>
      </c>
      <c r="O6" s="12">
        <f t="shared" si="0"/>
        <v>2.2071125159916627</v>
      </c>
      <c r="P6" s="5">
        <f t="shared" si="2"/>
        <v>0.31914442798859799</v>
      </c>
      <c r="Q6" s="5">
        <f t="shared" si="3"/>
        <v>0.34118017329602024</v>
      </c>
    </row>
    <row r="7" spans="8:17" x14ac:dyDescent="0.2">
      <c r="M7" s="11">
        <v>3</v>
      </c>
      <c r="N7" s="5">
        <f t="shared" si="1"/>
        <v>2.2071125159916627</v>
      </c>
      <c r="O7" s="12">
        <f t="shared" si="0"/>
        <v>2.4748043048134463</v>
      </c>
      <c r="P7" s="5">
        <f t="shared" si="2"/>
        <v>0.26769178882178357</v>
      </c>
      <c r="Q7" s="5">
        <f t="shared" si="3"/>
        <v>-0.25266189074636847</v>
      </c>
    </row>
    <row r="8" spans="8:17" x14ac:dyDescent="0.2">
      <c r="M8" s="11">
        <v>4</v>
      </c>
      <c r="N8" s="5">
        <f t="shared" si="1"/>
        <v>2.4748043048134463</v>
      </c>
      <c r="O8" s="12">
        <f t="shared" si="0"/>
        <v>2.2437413252934766</v>
      </c>
      <c r="P8" s="5">
        <f t="shared" si="2"/>
        <v>0.23106297951996968</v>
      </c>
      <c r="Q8" s="5">
        <f t="shared" si="3"/>
        <v>0.24257194581809438</v>
      </c>
    </row>
    <row r="9" spans="8:17" x14ac:dyDescent="0.2">
      <c r="M9" s="11">
        <v>5</v>
      </c>
      <c r="N9" s="5">
        <f t="shared" si="1"/>
        <v>2.2437413252934766</v>
      </c>
      <c r="O9" s="12">
        <f t="shared" si="0"/>
        <v>2.4384640385245362</v>
      </c>
      <c r="P9" s="5">
        <f t="shared" si="2"/>
        <v>0.19472271323105961</v>
      </c>
      <c r="Q9" s="5">
        <f t="shared" si="3"/>
        <v>-0.18673232390177819</v>
      </c>
    </row>
    <row r="10" spans="8:17" x14ac:dyDescent="0.2">
      <c r="M10" s="11">
        <v>6</v>
      </c>
      <c r="N10" s="5">
        <f t="shared" si="1"/>
        <v>2.4384640385245362</v>
      </c>
      <c r="O10" s="12">
        <f t="shared" si="0"/>
        <v>2.2709277161654495</v>
      </c>
      <c r="P10" s="5">
        <f t="shared" si="2"/>
        <v>0.16753632235908666</v>
      </c>
      <c r="Q10" s="5">
        <f t="shared" si="3"/>
        <v>0.17356966334395985</v>
      </c>
    </row>
    <row r="11" spans="8:17" x14ac:dyDescent="0.2">
      <c r="M11" s="11">
        <v>7</v>
      </c>
      <c r="N11" s="5">
        <f t="shared" si="1"/>
        <v>2.2709277161654495</v>
      </c>
      <c r="O11" s="12">
        <f t="shared" si="0"/>
        <v>2.4125815106503632</v>
      </c>
      <c r="P11" s="5">
        <f t="shared" si="2"/>
        <v>0.14165379448491366</v>
      </c>
      <c r="Q11" s="5">
        <f t="shared" si="3"/>
        <v>-0.13741135379667901</v>
      </c>
    </row>
    <row r="12" spans="8:17" x14ac:dyDescent="0.2">
      <c r="M12" s="11">
        <v>8</v>
      </c>
      <c r="N12" s="5">
        <f t="shared" si="1"/>
        <v>2.4125815106503632</v>
      </c>
      <c r="O12" s="12">
        <f t="shared" si="0"/>
        <v>2.2909980108071943</v>
      </c>
      <c r="P12" s="5">
        <f t="shared" si="2"/>
        <v>0.12158349984316885</v>
      </c>
      <c r="Q12" s="5">
        <f t="shared" si="3"/>
        <v>0.12475412006869302</v>
      </c>
    </row>
    <row r="13" spans="8:17" x14ac:dyDescent="0.2">
      <c r="M13" s="11">
        <v>9</v>
      </c>
      <c r="N13" s="5">
        <f t="shared" si="1"/>
        <v>2.2909980108071943</v>
      </c>
      <c r="O13" s="12">
        <f t="shared" si="0"/>
        <v>2.3940392182225452</v>
      </c>
      <c r="P13" s="5">
        <f t="shared" si="2"/>
        <v>0.10304120741535083</v>
      </c>
      <c r="Q13" s="5">
        <f t="shared" si="3"/>
        <v>-0.10079120585682788</v>
      </c>
    </row>
    <row r="14" spans="8:17" x14ac:dyDescent="0.2">
      <c r="M14" s="11">
        <v>10</v>
      </c>
      <c r="N14" s="5">
        <f t="shared" si="1"/>
        <v>2.3940392182225452</v>
      </c>
      <c r="O14" s="12">
        <f t="shared" si="0"/>
        <v>2.3057550711850028</v>
      </c>
      <c r="P14" s="5">
        <f t="shared" si="2"/>
        <v>8.8284147037542393E-2</v>
      </c>
      <c r="Q14" s="5">
        <f t="shared" si="3"/>
        <v>8.9953118186293146E-2</v>
      </c>
    </row>
    <row r="15" spans="8:17" x14ac:dyDescent="0.2">
      <c r="M15" s="11">
        <v>11</v>
      </c>
      <c r="N15" s="5">
        <f t="shared" si="1"/>
        <v>2.3057550711850028</v>
      </c>
      <c r="O15" s="12">
        <f t="shared" si="0"/>
        <v>2.3807006089201672</v>
      </c>
      <c r="P15" s="5">
        <f t="shared" si="2"/>
        <v>7.4945537735164436E-2</v>
      </c>
      <c r="Q15" s="5">
        <f t="shared" si="3"/>
        <v>-7.3753300585517545E-2</v>
      </c>
    </row>
    <row r="16" spans="8:17" x14ac:dyDescent="0.2">
      <c r="M16" s="11">
        <v>12</v>
      </c>
      <c r="N16" s="5">
        <f t="shared" si="1"/>
        <v>2.3807006089201672</v>
      </c>
      <c r="O16" s="12">
        <f t="shared" si="0"/>
        <v>2.3165727593779839</v>
      </c>
      <c r="P16" s="5">
        <f t="shared" si="2"/>
        <v>6.4127849542183313E-2</v>
      </c>
      <c r="Q16" s="5">
        <f t="shared" si="3"/>
        <v>6.5007371053203311E-2</v>
      </c>
    </row>
    <row r="17" spans="13:17" x14ac:dyDescent="0.2">
      <c r="M17" s="11">
        <v>13</v>
      </c>
      <c r="N17" s="5">
        <f t="shared" si="1"/>
        <v>2.3165727593779839</v>
      </c>
      <c r="O17" s="12">
        <f t="shared" si="0"/>
        <v>2.3710771572635339</v>
      </c>
      <c r="P17" s="5">
        <f t="shared" si="2"/>
        <v>5.4504397885549949E-2</v>
      </c>
      <c r="Q17" s="5">
        <f t="shared" si="3"/>
        <v>-5.3873090385162303E-2</v>
      </c>
    </row>
    <row r="18" spans="13:17" x14ac:dyDescent="0.2">
      <c r="M18" s="11">
        <v>14</v>
      </c>
      <c r="N18" s="5">
        <f t="shared" si="1"/>
        <v>2.3710771572635339</v>
      </c>
      <c r="O18" s="12">
        <f t="shared" si="0"/>
        <v>2.3244849537500749</v>
      </c>
      <c r="P18" s="5">
        <f t="shared" si="2"/>
        <v>4.6592203513458941E-2</v>
      </c>
      <c r="Q18" s="5">
        <f t="shared" si="3"/>
        <v>4.7056063889989286E-2</v>
      </c>
    </row>
    <row r="19" spans="13:17" x14ac:dyDescent="0.2">
      <c r="M19" s="11">
        <v>15</v>
      </c>
      <c r="N19" s="5">
        <f t="shared" si="1"/>
        <v>2.3244849537500749</v>
      </c>
      <c r="O19" s="12">
        <f t="shared" si="0"/>
        <v>2.3641195169645965</v>
      </c>
      <c r="P19" s="5">
        <f t="shared" si="2"/>
        <v>3.9634563214521634E-2</v>
      </c>
      <c r="Q19" s="5">
        <f t="shared" si="3"/>
        <v>-3.9300453273508396E-2</v>
      </c>
    </row>
    <row r="20" spans="13:17" x14ac:dyDescent="0.2">
      <c r="M20" s="11">
        <v>16</v>
      </c>
      <c r="N20" s="5">
        <f t="shared" si="1"/>
        <v>2.3641195169645965</v>
      </c>
      <c r="O20" s="12">
        <f t="shared" si="0"/>
        <v>2.3302624910341656</v>
      </c>
      <c r="P20" s="5">
        <f t="shared" si="2"/>
        <v>3.385702593043094E-2</v>
      </c>
      <c r="Q20" s="5">
        <f t="shared" si="3"/>
        <v>3.4101802337398901E-2</v>
      </c>
    </row>
    <row r="21" spans="13:17" x14ac:dyDescent="0.2">
      <c r="M21" s="11">
        <v>17</v>
      </c>
      <c r="N21" s="5">
        <f t="shared" si="1"/>
        <v>2.3302624910341656</v>
      </c>
      <c r="O21" s="12">
        <f t="shared" si="0"/>
        <v>2.3590816412356466</v>
      </c>
      <c r="P21" s="5">
        <f t="shared" si="2"/>
        <v>2.8819150201480959E-2</v>
      </c>
      <c r="Q21" s="5">
        <f t="shared" si="3"/>
        <v>-2.8642397888496873E-2</v>
      </c>
    </row>
    <row r="22" spans="13:17" x14ac:dyDescent="0.2">
      <c r="M22" s="11">
        <v>18</v>
      </c>
      <c r="N22" s="5">
        <f t="shared" si="1"/>
        <v>2.3590816412356466</v>
      </c>
      <c r="O22" s="12">
        <f t="shared" si="0"/>
        <v>2.3344761778323155</v>
      </c>
      <c r="P22" s="5">
        <f t="shared" si="2"/>
        <v>2.4605463403331029E-2</v>
      </c>
      <c r="Q22" s="5">
        <f t="shared" si="3"/>
        <v>2.4734681446716422E-2</v>
      </c>
    </row>
    <row r="23" spans="13:17" x14ac:dyDescent="0.2">
      <c r="M23" s="11">
        <v>19</v>
      </c>
      <c r="N23" s="5">
        <f t="shared" si="1"/>
        <v>2.3344761778323155</v>
      </c>
      <c r="O23" s="12">
        <f t="shared" si="0"/>
        <v>2.3554298615094225</v>
      </c>
      <c r="P23" s="5">
        <f t="shared" si="2"/>
        <v>2.0953683677106927E-2</v>
      </c>
      <c r="Q23" s="5">
        <f t="shared" si="3"/>
        <v>-2.0860205067293469E-2</v>
      </c>
    </row>
    <row r="24" spans="13:17" x14ac:dyDescent="0.2">
      <c r="M24" s="11">
        <v>20</v>
      </c>
      <c r="N24" s="5">
        <f t="shared" si="1"/>
        <v>2.3554298615094225</v>
      </c>
      <c r="O24" s="12">
        <f t="shared" si="0"/>
        <v>2.3375465874196122</v>
      </c>
      <c r="P24" s="5">
        <f t="shared" si="2"/>
        <v>1.7883274089810275E-2</v>
      </c>
      <c r="Q24" s="5">
        <f t="shared" si="3"/>
        <v>1.7951507816681644E-2</v>
      </c>
    </row>
    <row r="25" spans="13:17" x14ac:dyDescent="0.2">
      <c r="M25" s="11">
        <v>21</v>
      </c>
      <c r="N25" s="5">
        <f t="shared" si="1"/>
        <v>2.3375465874196122</v>
      </c>
      <c r="O25" s="12">
        <f t="shared" si="0"/>
        <v>2.3527807366593483</v>
      </c>
      <c r="P25" s="5">
        <f t="shared" si="2"/>
        <v>1.5234149239736094E-2</v>
      </c>
      <c r="Q25" s="5">
        <f t="shared" si="3"/>
        <v>-1.5184722230149772E-2</v>
      </c>
    </row>
    <row r="26" spans="13:17" x14ac:dyDescent="0.2">
      <c r="M26" s="11">
        <v>22</v>
      </c>
      <c r="N26" s="5">
        <f t="shared" si="1"/>
        <v>2.3527807366593483</v>
      </c>
      <c r="O26" s="12">
        <f t="shared" si="0"/>
        <v>2.339782468418683</v>
      </c>
      <c r="P26" s="5">
        <f t="shared" si="2"/>
        <v>1.2998268240665301E-2</v>
      </c>
      <c r="Q26" s="5">
        <f t="shared" si="3"/>
        <v>1.3034306414874575E-2</v>
      </c>
    </row>
    <row r="27" spans="13:17" x14ac:dyDescent="0.2">
      <c r="M27" s="11">
        <v>23</v>
      </c>
      <c r="N27" s="5">
        <f t="shared" si="1"/>
        <v>2.339782468418683</v>
      </c>
      <c r="O27" s="12">
        <f t="shared" si="0"/>
        <v>2.3508578802658162</v>
      </c>
      <c r="P27" s="5">
        <f t="shared" si="2"/>
        <v>1.1075411847133232E-2</v>
      </c>
      <c r="Q27" s="5">
        <f t="shared" si="3"/>
        <v>-1.1049281421031232E-2</v>
      </c>
    </row>
    <row r="28" spans="13:17" x14ac:dyDescent="0.2">
      <c r="M28" s="11">
        <v>24</v>
      </c>
      <c r="N28" s="5">
        <f t="shared" si="1"/>
        <v>2.3508578802658162</v>
      </c>
      <c r="O28" s="12">
        <f t="shared" si="0"/>
        <v>2.3414098728279127</v>
      </c>
      <c r="P28" s="5">
        <f t="shared" si="2"/>
        <v>9.4480074379035273E-3</v>
      </c>
      <c r="Q28" s="5">
        <f t="shared" si="3"/>
        <v>9.4670440492858887E-3</v>
      </c>
    </row>
    <row r="29" spans="13:17" x14ac:dyDescent="0.2">
      <c r="M29" s="11">
        <v>25</v>
      </c>
      <c r="N29" s="5">
        <f t="shared" si="1"/>
        <v>2.3414098728279127</v>
      </c>
      <c r="O29" s="12">
        <f t="shared" si="0"/>
        <v>2.3494616085957536</v>
      </c>
      <c r="P29" s="5">
        <f t="shared" si="2"/>
        <v>8.0517357678409063E-3</v>
      </c>
      <c r="Q29" s="5">
        <f t="shared" si="3"/>
        <v>-8.0379231064662271E-3</v>
      </c>
    </row>
    <row r="30" spans="13:17" x14ac:dyDescent="0.2">
      <c r="M30" s="11">
        <v>26</v>
      </c>
      <c r="N30" s="5">
        <f t="shared" si="1"/>
        <v>2.3494616085957536</v>
      </c>
      <c r="O30" s="12">
        <f t="shared" si="0"/>
        <v>2.3425939838765295</v>
      </c>
      <c r="P30" s="5">
        <f t="shared" si="2"/>
        <v>6.8676247192240858E-3</v>
      </c>
      <c r="Q30" s="5">
        <f t="shared" si="3"/>
        <v>6.8776815723561313E-3</v>
      </c>
    </row>
    <row r="31" spans="13:17" x14ac:dyDescent="0.2">
      <c r="M31" s="11">
        <v>27</v>
      </c>
      <c r="N31" s="5">
        <f t="shared" si="1"/>
        <v>2.3425939838765295</v>
      </c>
      <c r="O31" s="12">
        <f t="shared" si="0"/>
        <v>2.3484474110396731</v>
      </c>
      <c r="P31" s="5">
        <f t="shared" si="2"/>
        <v>5.8534271631436319E-3</v>
      </c>
      <c r="Q31" s="5">
        <f t="shared" si="3"/>
        <v>-5.8461263585651846E-3</v>
      </c>
    </row>
    <row r="32" spans="13:17" x14ac:dyDescent="0.2">
      <c r="M32" s="11">
        <v>28</v>
      </c>
      <c r="N32" s="5">
        <f t="shared" si="1"/>
        <v>2.3484474110396731</v>
      </c>
      <c r="O32" s="12">
        <f t="shared" si="0"/>
        <v>2.3434553349863059</v>
      </c>
      <c r="P32" s="5">
        <f t="shared" si="2"/>
        <v>4.992076053367267E-3</v>
      </c>
      <c r="Q32" s="5">
        <f t="shared" si="3"/>
        <v>4.9973893926402724E-3</v>
      </c>
    </row>
    <row r="33" spans="1:17" x14ac:dyDescent="0.2">
      <c r="M33" s="11">
        <v>29</v>
      </c>
      <c r="N33" s="5">
        <f t="shared" si="1"/>
        <v>2.3434553349863059</v>
      </c>
      <c r="O33" s="12">
        <f t="shared" si="0"/>
        <v>2.3477105778005529</v>
      </c>
      <c r="P33" s="5">
        <f t="shared" si="2"/>
        <v>4.2552428142470511E-3</v>
      </c>
      <c r="Q33" s="5">
        <f t="shared" si="3"/>
        <v>-4.2513841526963247E-3</v>
      </c>
    </row>
    <row r="34" spans="1:17" x14ac:dyDescent="0.2">
      <c r="M34" s="11">
        <v>30</v>
      </c>
      <c r="N34" s="5">
        <f t="shared" si="1"/>
        <v>2.3477105778005529</v>
      </c>
      <c r="O34" s="12">
        <f t="shared" si="0"/>
        <v>2.3440817880397522</v>
      </c>
      <c r="P34" s="5">
        <f t="shared" si="2"/>
        <v>3.6287897608007214E-3</v>
      </c>
      <c r="Q34" s="5">
        <f t="shared" si="3"/>
        <v>3.6315971127920399E-3</v>
      </c>
    </row>
    <row r="35" spans="1:17" x14ac:dyDescent="0.2">
      <c r="M35" s="11">
        <v>31</v>
      </c>
      <c r="N35" s="5">
        <f t="shared" si="1"/>
        <v>2.3440817880397522</v>
      </c>
      <c r="O35" s="12">
        <f t="shared" si="0"/>
        <v>2.3471751707137347</v>
      </c>
      <c r="P35" s="5">
        <f t="shared" si="2"/>
        <v>3.0933826739825143E-3</v>
      </c>
      <c r="Q35" s="5">
        <f t="shared" si="3"/>
        <v>-3.0913433666945878E-3</v>
      </c>
    </row>
    <row r="36" spans="1:17" x14ac:dyDescent="0.2">
      <c r="M36" s="11">
        <v>32</v>
      </c>
      <c r="N36" s="5">
        <f t="shared" si="1"/>
        <v>2.3471751707137347</v>
      </c>
      <c r="O36" s="12">
        <f t="shared" ref="O36:O67" si="4">EXP(2/N36)</f>
        <v>2.3445373411435946</v>
      </c>
      <c r="P36" s="5">
        <f t="shared" si="2"/>
        <v>2.6378295701401377E-3</v>
      </c>
      <c r="Q36" s="5">
        <f t="shared" si="3"/>
        <v>2.6393129196824461E-3</v>
      </c>
    </row>
    <row r="37" spans="1:17" x14ac:dyDescent="0.2">
      <c r="M37" s="11">
        <v>33</v>
      </c>
      <c r="N37" s="5">
        <f t="shared" ref="N37:N68" si="5">O36</f>
        <v>2.3445373411435946</v>
      </c>
      <c r="O37" s="12">
        <f t="shared" si="4"/>
        <v>2.3467860820348809</v>
      </c>
      <c r="P37" s="5">
        <f t="shared" ref="P37:P68" si="6">ABS(O37-O36)</f>
        <v>2.2487408912863494E-3</v>
      </c>
      <c r="Q37" s="5">
        <f t="shared" ref="Q37:Q68" si="7">N37*LN(N37)-2</f>
        <v>-2.2476631510528478E-3</v>
      </c>
    </row>
    <row r="38" spans="1:17" x14ac:dyDescent="0.2">
      <c r="A38" s="16" t="s">
        <v>17</v>
      </c>
      <c r="B38" s="2">
        <v>2.6</v>
      </c>
      <c r="G38" s="21" t="s">
        <v>17</v>
      </c>
      <c r="H38" s="2">
        <v>2.6</v>
      </c>
      <c r="M38" s="11">
        <v>34</v>
      </c>
      <c r="N38" s="5">
        <f t="shared" si="5"/>
        <v>2.3467860820348809</v>
      </c>
      <c r="O38" s="12">
        <f t="shared" si="4"/>
        <v>2.3448685846821347</v>
      </c>
      <c r="P38" s="5">
        <f t="shared" si="6"/>
        <v>1.9174973527462669E-3</v>
      </c>
      <c r="Q38" s="5">
        <f t="shared" si="7"/>
        <v>1.9182811481175399E-3</v>
      </c>
    </row>
    <row r="39" spans="1:17" ht="15.75" thickBot="1" x14ac:dyDescent="0.25">
      <c r="M39" s="11">
        <v>35</v>
      </c>
      <c r="N39" s="5">
        <f t="shared" si="5"/>
        <v>2.3448685846821347</v>
      </c>
      <c r="O39" s="12">
        <f t="shared" si="4"/>
        <v>2.346503301777271</v>
      </c>
      <c r="P39" s="5">
        <f t="shared" si="6"/>
        <v>1.6347170951362955E-3</v>
      </c>
      <c r="Q39" s="5">
        <f t="shared" si="7"/>
        <v>-1.6341475411201234E-3</v>
      </c>
    </row>
    <row r="40" spans="1:17" ht="16.5" thickTop="1" thickBot="1" x14ac:dyDescent="0.25">
      <c r="A40" s="17" t="s">
        <v>16</v>
      </c>
      <c r="B40" s="18" t="s">
        <v>15</v>
      </c>
      <c r="C40" s="19" t="s">
        <v>14</v>
      </c>
      <c r="D40" s="20" t="s">
        <v>10</v>
      </c>
      <c r="E40" s="20" t="s">
        <v>13</v>
      </c>
      <c r="G40" s="22" t="s">
        <v>16</v>
      </c>
      <c r="H40" s="23" t="s">
        <v>15</v>
      </c>
      <c r="I40" s="24" t="s">
        <v>14</v>
      </c>
      <c r="J40" s="25" t="s">
        <v>10</v>
      </c>
      <c r="K40" s="25" t="s">
        <v>13</v>
      </c>
      <c r="M40" s="11">
        <v>36</v>
      </c>
      <c r="N40" s="5">
        <f t="shared" si="5"/>
        <v>2.346503301777271</v>
      </c>
      <c r="O40" s="12">
        <f t="shared" si="4"/>
        <v>2.3451094227963871</v>
      </c>
      <c r="P40" s="5">
        <f t="shared" si="6"/>
        <v>1.3938789808838337E-3</v>
      </c>
      <c r="Q40" s="5">
        <f t="shared" si="7"/>
        <v>1.3942931436030648E-3</v>
      </c>
    </row>
    <row r="41" spans="1:17" ht="15.75" thickTop="1" x14ac:dyDescent="0.2">
      <c r="A41" s="11">
        <v>0</v>
      </c>
      <c r="B41" s="2">
        <f>B38</f>
        <v>2.6</v>
      </c>
      <c r="C41" s="12"/>
      <c r="D41" s="5"/>
      <c r="E41" s="2"/>
      <c r="G41" s="11">
        <v>0</v>
      </c>
      <c r="H41" s="2">
        <f>H38</f>
        <v>2.6</v>
      </c>
      <c r="I41" s="12"/>
      <c r="J41" s="5"/>
      <c r="K41" s="2"/>
      <c r="M41" s="11">
        <v>37</v>
      </c>
      <c r="N41" s="5">
        <f t="shared" si="5"/>
        <v>2.3451094227963871</v>
      </c>
      <c r="O41" s="12">
        <f t="shared" si="4"/>
        <v>2.346297771530911</v>
      </c>
      <c r="P41" s="5">
        <f t="shared" si="6"/>
        <v>1.1883487345238919E-3</v>
      </c>
      <c r="Q41" s="5">
        <f t="shared" si="7"/>
        <v>-1.1880477473251716E-3</v>
      </c>
    </row>
    <row r="42" spans="1:17" x14ac:dyDescent="0.2">
      <c r="A42" s="11">
        <v>1</v>
      </c>
      <c r="B42" s="5">
        <f>C41</f>
        <v>0</v>
      </c>
      <c r="C42" s="12"/>
      <c r="D42" s="5">
        <f>ABS(C42-C41)</f>
        <v>0</v>
      </c>
      <c r="E42" s="5"/>
      <c r="G42" s="11">
        <v>1</v>
      </c>
      <c r="H42" s="5">
        <f>I41</f>
        <v>0</v>
      </c>
      <c r="I42" s="12"/>
      <c r="J42" s="5">
        <f>ABS(I42-I41)</f>
        <v>0</v>
      </c>
      <c r="K42" s="5"/>
      <c r="M42" s="11">
        <v>38</v>
      </c>
      <c r="N42" s="5">
        <f t="shared" si="5"/>
        <v>2.346297771530911</v>
      </c>
      <c r="O42" s="12">
        <f t="shared" si="4"/>
        <v>2.3452845206269304</v>
      </c>
      <c r="P42" s="5">
        <f t="shared" si="6"/>
        <v>1.0132509039806337E-3</v>
      </c>
      <c r="Q42" s="5">
        <f t="shared" si="7"/>
        <v>1.0134697536687831E-3</v>
      </c>
    </row>
    <row r="43" spans="1:17" x14ac:dyDescent="0.2">
      <c r="M43" s="11">
        <v>39</v>
      </c>
      <c r="N43" s="5">
        <f t="shared" si="5"/>
        <v>2.3452845206269304</v>
      </c>
      <c r="O43" s="12">
        <f t="shared" si="4"/>
        <v>2.3461483815698951</v>
      </c>
      <c r="P43" s="5">
        <f t="shared" si="6"/>
        <v>8.6386094296475591E-4</v>
      </c>
      <c r="Q43" s="5">
        <f t="shared" si="7"/>
        <v>-8.637018849650957E-4</v>
      </c>
    </row>
    <row r="44" spans="1:17" x14ac:dyDescent="0.2">
      <c r="M44" s="11">
        <v>40</v>
      </c>
      <c r="N44" s="5">
        <f t="shared" si="5"/>
        <v>2.3461483815698951</v>
      </c>
      <c r="O44" s="12">
        <f t="shared" si="4"/>
        <v>2.3454118182015486</v>
      </c>
      <c r="P44" s="5">
        <f t="shared" si="6"/>
        <v>7.3656336834648783E-4</v>
      </c>
      <c r="Q44" s="5">
        <f t="shared" si="7"/>
        <v>7.3667901302965078E-4</v>
      </c>
    </row>
    <row r="45" spans="1:17" x14ac:dyDescent="0.2">
      <c r="M45" s="11">
        <v>41</v>
      </c>
      <c r="N45" s="5">
        <f t="shared" si="5"/>
        <v>2.3454118182015486</v>
      </c>
      <c r="O45" s="12">
        <f t="shared" si="4"/>
        <v>2.3460397938026092</v>
      </c>
      <c r="P45" s="5">
        <f t="shared" si="6"/>
        <v>6.2797560106053751E-4</v>
      </c>
      <c r="Q45" s="5">
        <f t="shared" si="7"/>
        <v>-6.2789154695597205E-4</v>
      </c>
    </row>
    <row r="46" spans="1:17" x14ac:dyDescent="0.2">
      <c r="M46" s="11">
        <v>42</v>
      </c>
      <c r="N46" s="5">
        <f t="shared" si="5"/>
        <v>2.3460397938026092</v>
      </c>
      <c r="O46" s="12">
        <f t="shared" si="4"/>
        <v>2.345504362086364</v>
      </c>
      <c r="P46" s="5">
        <f t="shared" si="6"/>
        <v>5.354317162451494E-4</v>
      </c>
      <c r="Q46" s="5">
        <f t="shared" si="7"/>
        <v>5.3549282576970114E-4</v>
      </c>
    </row>
    <row r="47" spans="1:17" x14ac:dyDescent="0.2">
      <c r="M47" s="11">
        <v>43</v>
      </c>
      <c r="N47" s="5">
        <f t="shared" si="5"/>
        <v>2.345504362086364</v>
      </c>
      <c r="O47" s="12">
        <f t="shared" si="4"/>
        <v>2.3459608622880235</v>
      </c>
      <c r="P47" s="5">
        <f t="shared" si="6"/>
        <v>4.5650020165943772E-4</v>
      </c>
      <c r="Q47" s="5">
        <f t="shared" si="7"/>
        <v>-4.5645578362241146E-4</v>
      </c>
    </row>
    <row r="48" spans="1:17" x14ac:dyDescent="0.2">
      <c r="M48" s="11">
        <v>44</v>
      </c>
      <c r="N48" s="5">
        <f t="shared" si="5"/>
        <v>2.3459608622880235</v>
      </c>
      <c r="O48" s="12">
        <f t="shared" si="4"/>
        <v>2.3455716391098038</v>
      </c>
      <c r="P48" s="5">
        <f t="shared" si="6"/>
        <v>3.8922317821965535E-4</v>
      </c>
      <c r="Q48" s="5">
        <f t="shared" si="7"/>
        <v>3.892554701994122E-4</v>
      </c>
    </row>
    <row r="49" spans="13:17" x14ac:dyDescent="0.2">
      <c r="M49" s="11">
        <v>45</v>
      </c>
      <c r="N49" s="5">
        <f t="shared" si="5"/>
        <v>2.3455716391098038</v>
      </c>
      <c r="O49" s="12">
        <f t="shared" si="4"/>
        <v>2.3459034866842043</v>
      </c>
      <c r="P49" s="5">
        <f t="shared" si="6"/>
        <v>3.3184757440052337E-4</v>
      </c>
      <c r="Q49" s="5">
        <f t="shared" si="7"/>
        <v>-3.3182410199272816E-4</v>
      </c>
    </row>
    <row r="50" spans="13:17" x14ac:dyDescent="0.2">
      <c r="M50" s="11">
        <v>46</v>
      </c>
      <c r="N50" s="5">
        <f t="shared" si="5"/>
        <v>2.3459034866842043</v>
      </c>
      <c r="O50" s="12">
        <f t="shared" si="4"/>
        <v>2.3456205470746148</v>
      </c>
      <c r="P50" s="5">
        <f t="shared" si="6"/>
        <v>2.8293960958958309E-4</v>
      </c>
      <c r="Q50" s="5">
        <f t="shared" si="7"/>
        <v>2.829566736464173E-4</v>
      </c>
    </row>
    <row r="51" spans="13:17" x14ac:dyDescent="0.2">
      <c r="M51" s="11">
        <v>47</v>
      </c>
      <c r="N51" s="5">
        <f t="shared" si="5"/>
        <v>2.3456205470746148</v>
      </c>
      <c r="O51" s="12">
        <f t="shared" si="4"/>
        <v>2.3458617796404395</v>
      </c>
      <c r="P51" s="5">
        <f t="shared" si="6"/>
        <v>2.4123256582475605E-4</v>
      </c>
      <c r="Q51" s="5">
        <f t="shared" si="7"/>
        <v>-2.4122016203631524E-4</v>
      </c>
    </row>
    <row r="52" spans="13:17" x14ac:dyDescent="0.2">
      <c r="M52" s="11">
        <v>48</v>
      </c>
      <c r="N52" s="5">
        <f t="shared" si="5"/>
        <v>2.3458617796404395</v>
      </c>
      <c r="O52" s="12">
        <f t="shared" si="4"/>
        <v>2.345656101027441</v>
      </c>
      <c r="P52" s="5">
        <f t="shared" si="6"/>
        <v>2.0567861299847223E-4</v>
      </c>
      <c r="Q52" s="5">
        <f t="shared" si="7"/>
        <v>2.0568763018902203E-4</v>
      </c>
    </row>
    <row r="53" spans="13:17" x14ac:dyDescent="0.2">
      <c r="M53" s="11">
        <v>49</v>
      </c>
      <c r="N53" s="5">
        <f t="shared" si="5"/>
        <v>2.345656101027441</v>
      </c>
      <c r="O53" s="12">
        <f t="shared" si="4"/>
        <v>2.3458314619996368</v>
      </c>
      <c r="P53" s="5">
        <f t="shared" si="6"/>
        <v>1.7536097219572611E-4</v>
      </c>
      <c r="Q53" s="5">
        <f t="shared" si="7"/>
        <v>-1.7535441753935288E-4</v>
      </c>
    </row>
    <row r="54" spans="13:17" x14ac:dyDescent="0.2">
      <c r="M54" s="11">
        <v>50</v>
      </c>
      <c r="N54" s="5">
        <f t="shared" si="5"/>
        <v>2.3458314619996368</v>
      </c>
      <c r="O54" s="12">
        <f t="shared" si="4"/>
        <v>2.3456819470015806</v>
      </c>
      <c r="P54" s="5">
        <f t="shared" si="6"/>
        <v>1.4951499805615498E-4</v>
      </c>
      <c r="Q54" s="5">
        <f t="shared" si="7"/>
        <v>1.4951976303700931E-4</v>
      </c>
    </row>
    <row r="55" spans="13:17" x14ac:dyDescent="0.2">
      <c r="M55" s="11">
        <v>51</v>
      </c>
      <c r="N55" s="5">
        <f t="shared" si="5"/>
        <v>2.3456819470015806</v>
      </c>
      <c r="O55" s="12">
        <f t="shared" si="4"/>
        <v>2.345809423389503</v>
      </c>
      <c r="P55" s="5">
        <f t="shared" si="6"/>
        <v>1.2747638792243166E-4</v>
      </c>
      <c r="Q55" s="5">
        <f t="shared" si="7"/>
        <v>-1.2747292418779921E-4</v>
      </c>
    </row>
    <row r="56" spans="13:17" x14ac:dyDescent="0.2">
      <c r="M56" s="11">
        <v>52</v>
      </c>
      <c r="N56" s="5">
        <f t="shared" si="5"/>
        <v>2.345809423389503</v>
      </c>
      <c r="O56" s="12">
        <f t="shared" si="4"/>
        <v>2.3457007356495492</v>
      </c>
      <c r="P56" s="5">
        <f t="shared" si="6"/>
        <v>1.0868773995387215E-4</v>
      </c>
      <c r="Q56" s="5">
        <f t="shared" si="7"/>
        <v>1.0869025793125431E-4</v>
      </c>
    </row>
    <row r="57" spans="13:17" x14ac:dyDescent="0.2">
      <c r="M57" s="11">
        <v>53</v>
      </c>
      <c r="N57" s="5">
        <f t="shared" si="5"/>
        <v>2.3457007356495492</v>
      </c>
      <c r="O57" s="12">
        <f t="shared" si="4"/>
        <v>2.3457934029273928</v>
      </c>
      <c r="P57" s="5">
        <f t="shared" si="6"/>
        <v>9.2667277843627716E-5</v>
      </c>
      <c r="Q57" s="5">
        <f t="shared" si="7"/>
        <v>-9.2665447474216123E-5</v>
      </c>
    </row>
    <row r="58" spans="13:17" x14ac:dyDescent="0.2">
      <c r="M58" s="11">
        <v>54</v>
      </c>
      <c r="N58" s="5">
        <f t="shared" si="5"/>
        <v>2.3457934029273928</v>
      </c>
      <c r="O58" s="12">
        <f t="shared" si="4"/>
        <v>2.3457143939422678</v>
      </c>
      <c r="P58" s="5">
        <f t="shared" si="6"/>
        <v>7.900898512502863E-5</v>
      </c>
      <c r="Q58" s="5">
        <f t="shared" si="7"/>
        <v>7.9010315711336432E-5</v>
      </c>
    </row>
    <row r="59" spans="13:17" x14ac:dyDescent="0.2">
      <c r="M59" s="11">
        <v>55</v>
      </c>
      <c r="N59" s="5">
        <f t="shared" si="5"/>
        <v>2.3457143939422678</v>
      </c>
      <c r="O59" s="12">
        <f t="shared" si="4"/>
        <v>2.3457817571802191</v>
      </c>
      <c r="P59" s="5">
        <f t="shared" si="6"/>
        <v>6.7363237951312271E-5</v>
      </c>
      <c r="Q59" s="5">
        <f t="shared" si="7"/>
        <v>-6.73622707154653E-5</v>
      </c>
    </row>
    <row r="60" spans="13:17" x14ac:dyDescent="0.2">
      <c r="M60" s="11">
        <v>56</v>
      </c>
      <c r="N60" s="5">
        <f t="shared" si="5"/>
        <v>2.3457817571802191</v>
      </c>
      <c r="O60" s="12">
        <f t="shared" si="4"/>
        <v>2.3457243227257467</v>
      </c>
      <c r="P60" s="5">
        <f t="shared" si="6"/>
        <v>5.7434454472371499E-5</v>
      </c>
      <c r="Q60" s="5">
        <f t="shared" si="7"/>
        <v>5.7435157601037901E-5</v>
      </c>
    </row>
    <row r="61" spans="13:17" x14ac:dyDescent="0.2">
      <c r="M61" s="11">
        <v>57</v>
      </c>
      <c r="N61" s="5">
        <f t="shared" si="5"/>
        <v>2.3457243227257467</v>
      </c>
      <c r="O61" s="12">
        <f t="shared" si="4"/>
        <v>2.3457732915215761</v>
      </c>
      <c r="P61" s="5">
        <f t="shared" si="6"/>
        <v>4.8968795829384959E-5</v>
      </c>
      <c r="Q61" s="5">
        <f t="shared" si="7"/>
        <v>-4.8968284706019105E-5</v>
      </c>
    </row>
    <row r="62" spans="13:17" x14ac:dyDescent="0.2">
      <c r="M62" s="11">
        <v>58</v>
      </c>
      <c r="N62" s="5">
        <f t="shared" si="5"/>
        <v>2.3457732915215761</v>
      </c>
      <c r="O62" s="12">
        <f t="shared" si="4"/>
        <v>2.3457315403579218</v>
      </c>
      <c r="P62" s="5">
        <f t="shared" si="6"/>
        <v>4.1751163654346612E-5</v>
      </c>
      <c r="Q62" s="5">
        <f t="shared" si="7"/>
        <v>4.1751535212242175E-5</v>
      </c>
    </row>
    <row r="63" spans="13:17" x14ac:dyDescent="0.2">
      <c r="M63" s="11">
        <v>59</v>
      </c>
      <c r="N63" s="5">
        <f t="shared" si="5"/>
        <v>2.3457315403579218</v>
      </c>
      <c r="O63" s="12">
        <f t="shared" si="4"/>
        <v>2.3457671375578713</v>
      </c>
      <c r="P63" s="5">
        <f t="shared" si="6"/>
        <v>3.5597199949499725E-5</v>
      </c>
      <c r="Q63" s="5">
        <f t="shared" si="7"/>
        <v>-3.5596929852665937E-5</v>
      </c>
    </row>
    <row r="64" spans="13:17" x14ac:dyDescent="0.2">
      <c r="M64" s="11">
        <v>60</v>
      </c>
      <c r="N64" s="5">
        <f t="shared" si="5"/>
        <v>2.3457671375578713</v>
      </c>
      <c r="O64" s="12">
        <f t="shared" si="4"/>
        <v>2.3457367871370733</v>
      </c>
      <c r="P64" s="5">
        <f t="shared" si="6"/>
        <v>3.0350420797908839E-5</v>
      </c>
      <c r="Q64" s="5">
        <f t="shared" si="7"/>
        <v>3.0350617142183012E-5</v>
      </c>
    </row>
    <row r="65" spans="13:17" x14ac:dyDescent="0.2">
      <c r="M65" s="11">
        <v>61</v>
      </c>
      <c r="N65" s="5">
        <f t="shared" si="5"/>
        <v>2.3457367871370733</v>
      </c>
      <c r="O65" s="12">
        <f t="shared" si="4"/>
        <v>2.3457626640348406</v>
      </c>
      <c r="P65" s="5">
        <f t="shared" si="6"/>
        <v>2.5876897767229678E-5</v>
      </c>
      <c r="Q65" s="5">
        <f t="shared" si="7"/>
        <v>-2.5876755038511945E-5</v>
      </c>
    </row>
    <row r="66" spans="13:17" x14ac:dyDescent="0.2">
      <c r="M66" s="11">
        <v>62</v>
      </c>
      <c r="N66" s="5">
        <f t="shared" si="5"/>
        <v>2.3457626640348406</v>
      </c>
      <c r="O66" s="12">
        <f t="shared" si="4"/>
        <v>2.3457406012218107</v>
      </c>
      <c r="P66" s="5">
        <f t="shared" si="6"/>
        <v>2.2062813029855022E-5</v>
      </c>
      <c r="Q66" s="5">
        <f t="shared" si="7"/>
        <v>2.2062916785081654E-5</v>
      </c>
    </row>
    <row r="67" spans="13:17" x14ac:dyDescent="0.2">
      <c r="M67" s="11">
        <v>63</v>
      </c>
      <c r="N67" s="5">
        <f t="shared" si="5"/>
        <v>2.3457406012218107</v>
      </c>
      <c r="O67" s="12">
        <f t="shared" si="4"/>
        <v>2.3457594120775132</v>
      </c>
      <c r="P67" s="5">
        <f t="shared" si="6"/>
        <v>1.8810855702433571E-5</v>
      </c>
      <c r="Q67" s="5">
        <f t="shared" si="7"/>
        <v>-1.8810780279210348E-5</v>
      </c>
    </row>
    <row r="68" spans="13:17" x14ac:dyDescent="0.2">
      <c r="M68" s="11">
        <v>64</v>
      </c>
      <c r="N68" s="5">
        <f t="shared" si="5"/>
        <v>2.3457594120775132</v>
      </c>
      <c r="O68" s="12">
        <f t="shared" ref="O68:O90" si="8">EXP(2/N68)</f>
        <v>2.3457433738238489</v>
      </c>
      <c r="P68" s="5">
        <f t="shared" si="6"/>
        <v>1.6038253664252267E-5</v>
      </c>
      <c r="Q68" s="5">
        <f t="shared" si="7"/>
        <v>1.6038308491950204E-5</v>
      </c>
    </row>
    <row r="69" spans="13:17" x14ac:dyDescent="0.2">
      <c r="M69" s="11">
        <v>65</v>
      </c>
      <c r="N69" s="5">
        <f t="shared" ref="N69:N90" si="9">O68</f>
        <v>2.3457433738238489</v>
      </c>
      <c r="O69" s="12">
        <f t="shared" si="8"/>
        <v>2.3457570481165564</v>
      </c>
      <c r="P69" s="5">
        <f t="shared" ref="P69:P90" si="10">ABS(O69-O68)</f>
        <v>1.3674292707488434E-5</v>
      </c>
      <c r="Q69" s="5">
        <f t="shared" ref="Q69:Q90" si="11">N69*LN(N69)-2</f>
        <v>-1.3674252851147983E-5</v>
      </c>
    </row>
    <row r="70" spans="13:17" x14ac:dyDescent="0.2">
      <c r="M70" s="11">
        <v>66</v>
      </c>
      <c r="N70" s="5">
        <f t="shared" si="9"/>
        <v>2.3457570481165564</v>
      </c>
      <c r="O70" s="12">
        <f t="shared" si="8"/>
        <v>2.3457453893316456</v>
      </c>
      <c r="P70" s="5">
        <f t="shared" si="10"/>
        <v>1.1658784910828501E-5</v>
      </c>
      <c r="Q70" s="5">
        <f t="shared" si="11"/>
        <v>1.165881388409673E-5</v>
      </c>
    </row>
    <row r="71" spans="13:17" x14ac:dyDescent="0.2">
      <c r="M71" s="11">
        <v>67</v>
      </c>
      <c r="N71" s="5">
        <f t="shared" si="9"/>
        <v>2.3457453893316456</v>
      </c>
      <c r="O71" s="12">
        <f t="shared" si="8"/>
        <v>2.3457553296702005</v>
      </c>
      <c r="P71" s="5">
        <f t="shared" si="10"/>
        <v>9.940338554947914E-6</v>
      </c>
      <c r="Q71" s="5">
        <f t="shared" si="11"/>
        <v>-9.9403174937950922E-6</v>
      </c>
    </row>
    <row r="72" spans="13:17" x14ac:dyDescent="0.2">
      <c r="M72" s="11">
        <v>68</v>
      </c>
      <c r="N72" s="5">
        <f t="shared" si="9"/>
        <v>2.3457553296702005</v>
      </c>
      <c r="O72" s="12">
        <f t="shared" si="8"/>
        <v>2.3457468544787816</v>
      </c>
      <c r="P72" s="5">
        <f t="shared" si="10"/>
        <v>8.475191418888528E-6</v>
      </c>
      <c r="Q72" s="5">
        <f t="shared" si="11"/>
        <v>8.4752067293081268E-6</v>
      </c>
    </row>
    <row r="73" spans="13:17" x14ac:dyDescent="0.2">
      <c r="M73" s="11">
        <v>69</v>
      </c>
      <c r="N73" s="5">
        <f t="shared" si="9"/>
        <v>2.3457468544787816</v>
      </c>
      <c r="O73" s="12">
        <f t="shared" si="8"/>
        <v>2.3457540804706531</v>
      </c>
      <c r="P73" s="5">
        <f t="shared" si="10"/>
        <v>7.2259918715289473E-6</v>
      </c>
      <c r="Q73" s="5">
        <f t="shared" si="11"/>
        <v>-7.2259807419872146E-6</v>
      </c>
    </row>
    <row r="74" spans="13:17" x14ac:dyDescent="0.2">
      <c r="M74" s="11">
        <v>70</v>
      </c>
      <c r="N74" s="5">
        <f t="shared" si="9"/>
        <v>2.3457540804706531</v>
      </c>
      <c r="O74" s="12">
        <f t="shared" si="8"/>
        <v>2.3457479195480726</v>
      </c>
      <c r="P74" s="5">
        <f t="shared" si="10"/>
        <v>6.160922580544792E-6</v>
      </c>
      <c r="Q74" s="5">
        <f t="shared" si="11"/>
        <v>6.1609306714061063E-6</v>
      </c>
    </row>
    <row r="75" spans="13:17" x14ac:dyDescent="0.2">
      <c r="M75" s="11">
        <v>71</v>
      </c>
      <c r="N75" s="5">
        <f t="shared" si="9"/>
        <v>2.3457479195480726</v>
      </c>
      <c r="O75" s="12">
        <f t="shared" si="8"/>
        <v>2.3457531723829965</v>
      </c>
      <c r="P75" s="5">
        <f t="shared" si="10"/>
        <v>5.2528349239189254E-6</v>
      </c>
      <c r="Q75" s="5">
        <f t="shared" si="11"/>
        <v>-5.2528290428455193E-6</v>
      </c>
    </row>
    <row r="76" spans="13:17" x14ac:dyDescent="0.2">
      <c r="M76" s="11">
        <v>72</v>
      </c>
      <c r="N76" s="5">
        <f t="shared" si="9"/>
        <v>2.3457531723829965</v>
      </c>
      <c r="O76" s="12">
        <f t="shared" si="8"/>
        <v>2.3457486937859011</v>
      </c>
      <c r="P76" s="5">
        <f t="shared" si="10"/>
        <v>4.4785970954031029E-6</v>
      </c>
      <c r="Q76" s="5">
        <f t="shared" si="11"/>
        <v>4.4786013706499261E-6</v>
      </c>
    </row>
    <row r="77" spans="13:17" x14ac:dyDescent="0.2">
      <c r="M77" s="11">
        <v>73</v>
      </c>
      <c r="N77" s="5">
        <f t="shared" si="9"/>
        <v>2.3457486937859011</v>
      </c>
      <c r="O77" s="12">
        <f t="shared" si="8"/>
        <v>2.345752512261599</v>
      </c>
      <c r="P77" s="5">
        <f t="shared" si="10"/>
        <v>3.8184756978587586E-6</v>
      </c>
      <c r="Q77" s="5">
        <f t="shared" si="11"/>
        <v>-3.8184725899004235E-6</v>
      </c>
    </row>
    <row r="78" spans="13:17" x14ac:dyDescent="0.2">
      <c r="M78" s="11">
        <v>74</v>
      </c>
      <c r="N78" s="5">
        <f t="shared" si="9"/>
        <v>2.345752512261599</v>
      </c>
      <c r="O78" s="12">
        <f t="shared" si="8"/>
        <v>2.3457492566076081</v>
      </c>
      <c r="P78" s="5">
        <f t="shared" si="10"/>
        <v>3.2556539908412674E-6</v>
      </c>
      <c r="Q78" s="5">
        <f t="shared" si="11"/>
        <v>3.2556562503671671E-6</v>
      </c>
    </row>
    <row r="79" spans="13:17" x14ac:dyDescent="0.2">
      <c r="M79" s="11">
        <v>75</v>
      </c>
      <c r="N79" s="5">
        <f t="shared" si="9"/>
        <v>2.3457492566076081</v>
      </c>
      <c r="O79" s="12">
        <f t="shared" si="8"/>
        <v>2.345752032395676</v>
      </c>
      <c r="P79" s="5">
        <f t="shared" si="10"/>
        <v>2.7757880678436209E-6</v>
      </c>
      <c r="Q79" s="5">
        <f t="shared" si="11"/>
        <v>-2.7757864256017228E-6</v>
      </c>
    </row>
    <row r="80" spans="13:17" x14ac:dyDescent="0.2">
      <c r="M80" s="11">
        <v>76</v>
      </c>
      <c r="N80" s="5">
        <f t="shared" si="9"/>
        <v>2.345752032395676</v>
      </c>
      <c r="O80" s="12">
        <f t="shared" si="8"/>
        <v>2.3457496657431793</v>
      </c>
      <c r="P80" s="5">
        <f t="shared" si="10"/>
        <v>2.3666524966436953E-6</v>
      </c>
      <c r="Q80" s="5">
        <f t="shared" si="11"/>
        <v>2.3666536903554913E-6</v>
      </c>
    </row>
    <row r="81" spans="13:17" x14ac:dyDescent="0.2">
      <c r="M81" s="11">
        <v>77</v>
      </c>
      <c r="N81" s="5">
        <f t="shared" si="9"/>
        <v>2.3457496657431793</v>
      </c>
      <c r="O81" s="12">
        <f t="shared" si="8"/>
        <v>2.3457516835638881</v>
      </c>
      <c r="P81" s="5">
        <f t="shared" si="10"/>
        <v>2.0178207087440114E-6</v>
      </c>
      <c r="Q81" s="5">
        <f t="shared" si="11"/>
        <v>-2.0178198409936954E-6</v>
      </c>
    </row>
    <row r="82" spans="13:17" x14ac:dyDescent="0.2">
      <c r="M82" s="11">
        <v>78</v>
      </c>
      <c r="N82" s="5">
        <f t="shared" si="9"/>
        <v>2.3457516835638881</v>
      </c>
      <c r="O82" s="12">
        <f t="shared" si="8"/>
        <v>2.3457499631586818</v>
      </c>
      <c r="P82" s="5">
        <f t="shared" si="10"/>
        <v>1.7204052062957942E-6</v>
      </c>
      <c r="Q82" s="5">
        <f t="shared" si="11"/>
        <v>1.7204058369024722E-6</v>
      </c>
    </row>
    <row r="83" spans="13:17" x14ac:dyDescent="0.2">
      <c r="M83" s="11">
        <v>79</v>
      </c>
      <c r="N83" s="5">
        <f t="shared" si="9"/>
        <v>2.3457499631586818</v>
      </c>
      <c r="O83" s="12">
        <f t="shared" si="8"/>
        <v>2.3457514299855045</v>
      </c>
      <c r="P83" s="5">
        <f t="shared" si="10"/>
        <v>1.4668268226714076E-6</v>
      </c>
      <c r="Q83" s="5">
        <f t="shared" si="11"/>
        <v>-1.4668263641492985E-6</v>
      </c>
    </row>
    <row r="84" spans="13:17" x14ac:dyDescent="0.2">
      <c r="M84" s="11">
        <v>80</v>
      </c>
      <c r="N84" s="5">
        <f t="shared" si="9"/>
        <v>2.3457514299855045</v>
      </c>
      <c r="O84" s="12">
        <f t="shared" si="8"/>
        <v>2.3457501793607962</v>
      </c>
      <c r="P84" s="5">
        <f t="shared" si="10"/>
        <v>1.2506247082377797E-6</v>
      </c>
      <c r="Q84" s="5">
        <f t="shared" si="11"/>
        <v>1.2506250417487763E-6</v>
      </c>
    </row>
    <row r="85" spans="13:17" x14ac:dyDescent="0.2">
      <c r="M85" s="11">
        <v>81</v>
      </c>
      <c r="N85" s="5">
        <f t="shared" si="9"/>
        <v>2.3457501793607962</v>
      </c>
      <c r="O85" s="12">
        <f t="shared" si="8"/>
        <v>2.3457512456502387</v>
      </c>
      <c r="P85" s="5">
        <f t="shared" si="10"/>
        <v>1.0662894425195191E-6</v>
      </c>
      <c r="Q85" s="5">
        <f t="shared" si="11"/>
        <v>-1.0662892004908997E-6</v>
      </c>
    </row>
    <row r="86" spans="13:17" x14ac:dyDescent="0.2">
      <c r="M86" s="11">
        <v>82</v>
      </c>
      <c r="N86" s="5">
        <f t="shared" si="9"/>
        <v>2.3457512456502387</v>
      </c>
      <c r="O86" s="12">
        <f t="shared" si="8"/>
        <v>2.3457503365259464</v>
      </c>
      <c r="P86" s="5">
        <f t="shared" si="10"/>
        <v>9.0912429229206282E-7</v>
      </c>
      <c r="Q86" s="5">
        <f t="shared" si="11"/>
        <v>9.0912446815138992E-7</v>
      </c>
    </row>
    <row r="87" spans="13:17" x14ac:dyDescent="0.2">
      <c r="M87" s="11">
        <v>83</v>
      </c>
      <c r="N87" s="5">
        <f t="shared" si="9"/>
        <v>2.3457503365259464</v>
      </c>
      <c r="O87" s="12">
        <f t="shared" si="8"/>
        <v>2.3457511116502863</v>
      </c>
      <c r="P87" s="5">
        <f t="shared" si="10"/>
        <v>7.7512433982462881E-7</v>
      </c>
      <c r="Q87" s="5">
        <f t="shared" si="11"/>
        <v>-7.7512421148284716E-7</v>
      </c>
    </row>
    <row r="88" spans="13:17" x14ac:dyDescent="0.2">
      <c r="M88" s="11">
        <v>84</v>
      </c>
      <c r="N88" s="5">
        <f t="shared" si="9"/>
        <v>2.3457511116502863</v>
      </c>
      <c r="O88" s="12">
        <f t="shared" si="8"/>
        <v>2.3457504507749847</v>
      </c>
      <c r="P88" s="5">
        <f t="shared" si="10"/>
        <v>6.6087530159464336E-7</v>
      </c>
      <c r="Q88" s="5">
        <f t="shared" si="11"/>
        <v>6.6087539485337743E-7</v>
      </c>
    </row>
    <row r="89" spans="13:17" x14ac:dyDescent="0.2">
      <c r="M89" s="11">
        <v>85</v>
      </c>
      <c r="N89" s="5">
        <f t="shared" si="9"/>
        <v>2.3457504507749847</v>
      </c>
      <c r="O89" s="12">
        <f t="shared" si="8"/>
        <v>2.3457510142408848</v>
      </c>
      <c r="P89" s="5">
        <f t="shared" si="10"/>
        <v>5.6346590016076448E-7</v>
      </c>
      <c r="Q89" s="5">
        <f t="shared" si="11"/>
        <v>-5.6346583243715997E-7</v>
      </c>
    </row>
    <row r="90" spans="13:17" x14ac:dyDescent="0.2">
      <c r="M90" s="11">
        <v>86</v>
      </c>
      <c r="N90" s="5">
        <f t="shared" si="9"/>
        <v>2.3457510142408848</v>
      </c>
      <c r="O90" s="10">
        <f t="shared" si="8"/>
        <v>2.3457505338267448</v>
      </c>
      <c r="P90" s="5">
        <f t="shared" si="10"/>
        <v>4.8041414002497618E-7</v>
      </c>
      <c r="Q90" s="5">
        <f t="shared" si="11"/>
        <v>4.8041418887478926E-7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F0D77-16AB-44C7-AE49-3440053CA0D2}">
  <sheetPr>
    <tabColor theme="8"/>
  </sheetPr>
  <dimension ref="I39:U78"/>
  <sheetViews>
    <sheetView topLeftCell="A45" workbookViewId="0">
      <selection activeCell="E75" sqref="E75"/>
    </sheetView>
  </sheetViews>
  <sheetFormatPr baseColWidth="10" defaultRowHeight="15" x14ac:dyDescent="0.2"/>
  <sheetData>
    <row r="39" spans="9:16" x14ac:dyDescent="0.2">
      <c r="I39" s="2" t="s">
        <v>22</v>
      </c>
      <c r="J39" s="30" t="s">
        <v>23</v>
      </c>
      <c r="K39" s="30" t="s">
        <v>24</v>
      </c>
      <c r="L39" s="2" t="s">
        <v>25</v>
      </c>
    </row>
    <row r="41" spans="9:16" x14ac:dyDescent="0.2">
      <c r="I41" s="26" t="s">
        <v>18</v>
      </c>
      <c r="J41" s="2">
        <v>4</v>
      </c>
    </row>
    <row r="42" spans="9:16" x14ac:dyDescent="0.2">
      <c r="P42" s="2" t="s">
        <v>26</v>
      </c>
    </row>
    <row r="44" spans="9:16" x14ac:dyDescent="0.2">
      <c r="I44" s="26" t="s">
        <v>16</v>
      </c>
      <c r="J44" s="26" t="s">
        <v>18</v>
      </c>
      <c r="K44" s="26" t="s">
        <v>19</v>
      </c>
      <c r="L44" s="26" t="s">
        <v>20</v>
      </c>
      <c r="M44" s="26" t="s">
        <v>21</v>
      </c>
      <c r="N44" s="26" t="s">
        <v>10</v>
      </c>
    </row>
    <row r="45" spans="9:16" x14ac:dyDescent="0.2">
      <c r="I45" s="27">
        <v>0</v>
      </c>
      <c r="J45" s="28">
        <f>J41</f>
        <v>4</v>
      </c>
      <c r="K45" s="28">
        <f>J45^3-10*J45-5</f>
        <v>19</v>
      </c>
      <c r="L45" s="28">
        <f>3*J45^2-10</f>
        <v>38</v>
      </c>
      <c r="M45" s="28">
        <f>J45-K45/L45</f>
        <v>3.5</v>
      </c>
      <c r="N45" s="28"/>
    </row>
    <row r="46" spans="9:16" x14ac:dyDescent="0.2">
      <c r="I46" s="27">
        <v>1</v>
      </c>
      <c r="J46" s="28">
        <f>M45</f>
        <v>3.5</v>
      </c>
      <c r="K46" s="28">
        <f>J46^3-10*J46-5</f>
        <v>2.875</v>
      </c>
      <c r="L46" s="28">
        <f>3*J46^2-10</f>
        <v>26.75</v>
      </c>
      <c r="M46" s="28">
        <f>J46-K46/L46</f>
        <v>3.3925233644859811</v>
      </c>
      <c r="N46" s="28">
        <f>ABS(M46-M45)</f>
        <v>0.10747663551401887</v>
      </c>
    </row>
    <row r="47" spans="9:16" x14ac:dyDescent="0.2">
      <c r="I47" s="27">
        <v>2</v>
      </c>
      <c r="J47" s="28">
        <f t="shared" ref="J47:J49" si="0">M46</f>
        <v>3.3925233644859811</v>
      </c>
      <c r="K47" s="28">
        <f t="shared" ref="K47:K49" si="1">J47^3-10*J47-5</f>
        <v>0.12004639837132203</v>
      </c>
      <c r="L47" s="28">
        <f t="shared" ref="L47:L49" si="2">3*J47^2-10</f>
        <v>24.527644335749841</v>
      </c>
      <c r="M47" s="28">
        <f t="shared" ref="M47:M49" si="3">J47-K47/L47</f>
        <v>3.3876290339612862</v>
      </c>
      <c r="N47" s="28">
        <f t="shared" ref="N47:N49" si="4">ABS(M47-M46)</f>
        <v>4.8943305246949009E-3</v>
      </c>
    </row>
    <row r="48" spans="9:16" x14ac:dyDescent="0.2">
      <c r="I48" s="27">
        <v>3</v>
      </c>
      <c r="J48" s="28">
        <f t="shared" si="0"/>
        <v>3.3876290339612862</v>
      </c>
      <c r="K48" s="28">
        <f t="shared" si="1"/>
        <v>2.4368106944905321E-4</v>
      </c>
      <c r="L48" s="28">
        <f t="shared" si="2"/>
        <v>24.428091415212435</v>
      </c>
      <c r="M48" s="28">
        <f t="shared" si="3"/>
        <v>3.3876190585168149</v>
      </c>
      <c r="N48" s="28">
        <f t="shared" si="4"/>
        <v>9.9754444713440193E-6</v>
      </c>
    </row>
    <row r="49" spans="9:14" x14ac:dyDescent="0.2">
      <c r="I49" s="27">
        <v>4</v>
      </c>
      <c r="J49" s="28">
        <f t="shared" si="0"/>
        <v>3.3876190585168149</v>
      </c>
      <c r="K49" s="28">
        <f t="shared" si="1"/>
        <v>1.011308370379993E-9</v>
      </c>
      <c r="L49" s="28">
        <f t="shared" si="2"/>
        <v>24.427888656879055</v>
      </c>
      <c r="M49" s="29">
        <f t="shared" si="3"/>
        <v>3.3876190584754151</v>
      </c>
      <c r="N49" s="28">
        <f t="shared" si="4"/>
        <v>4.1399772499062237E-11</v>
      </c>
    </row>
    <row r="51" spans="9:14" x14ac:dyDescent="0.2">
      <c r="I51" s="26" t="s">
        <v>18</v>
      </c>
      <c r="J51" s="2">
        <v>-1</v>
      </c>
    </row>
    <row r="54" spans="9:14" x14ac:dyDescent="0.2">
      <c r="I54" s="26" t="s">
        <v>16</v>
      </c>
      <c r="J54" s="26" t="s">
        <v>18</v>
      </c>
      <c r="K54" s="26" t="s">
        <v>19</v>
      </c>
      <c r="L54" s="26" t="s">
        <v>20</v>
      </c>
      <c r="M54" s="26" t="s">
        <v>21</v>
      </c>
      <c r="N54" s="26" t="s">
        <v>10</v>
      </c>
    </row>
    <row r="55" spans="9:14" x14ac:dyDescent="0.2">
      <c r="I55" s="27">
        <v>0</v>
      </c>
      <c r="J55" s="28">
        <f>J51</f>
        <v>-1</v>
      </c>
      <c r="K55" s="28">
        <f>J55^3-10*J55-5</f>
        <v>4</v>
      </c>
      <c r="L55" s="28">
        <f>3*J55^2-10</f>
        <v>-7</v>
      </c>
      <c r="M55" s="28">
        <f>J55-K55/L55</f>
        <v>-0.4285714285714286</v>
      </c>
      <c r="N55" s="28"/>
    </row>
    <row r="56" spans="9:14" x14ac:dyDescent="0.2">
      <c r="I56" s="27">
        <v>1</v>
      </c>
      <c r="J56" s="28">
        <f>M55</f>
        <v>-0.4285714285714286</v>
      </c>
      <c r="K56" s="28">
        <f>J56^3-10*J56-5</f>
        <v>-0.79300291545189427</v>
      </c>
      <c r="L56" s="28">
        <f>3*J56^2-10</f>
        <v>-9.4489795918367339</v>
      </c>
      <c r="M56" s="28">
        <f>J56-K56/L56</f>
        <v>-0.51249614316568959</v>
      </c>
      <c r="N56" s="28">
        <f>ABS(M56-M55)</f>
        <v>8.3924714594260985E-2</v>
      </c>
    </row>
    <row r="57" spans="9:14" x14ac:dyDescent="0.2">
      <c r="I57" s="27">
        <v>2</v>
      </c>
      <c r="J57" s="28">
        <f t="shared" ref="J57:J58" si="5">M56</f>
        <v>-0.51249614316568959</v>
      </c>
      <c r="K57" s="28">
        <f t="shared" ref="K57:K58" si="6">J57^3-10*J57-5</f>
        <v>-9.6468574260644147E-3</v>
      </c>
      <c r="L57" s="28">
        <f t="shared" ref="L57:L58" si="7">3*J57^2-10</f>
        <v>-9.212043109720879</v>
      </c>
      <c r="M57" s="28">
        <f t="shared" ref="M57:M58" si="8">J57-K57/L57</f>
        <v>-0.51354334380415434</v>
      </c>
      <c r="N57" s="28">
        <f t="shared" ref="N57:N58" si="9">ABS(M57-M56)</f>
        <v>1.0472006384647514E-3</v>
      </c>
    </row>
    <row r="58" spans="9:14" x14ac:dyDescent="0.2">
      <c r="I58" s="27">
        <v>3</v>
      </c>
      <c r="J58" s="28">
        <f t="shared" si="5"/>
        <v>-0.51354334380415434</v>
      </c>
      <c r="K58" s="28">
        <f t="shared" si="6"/>
        <v>-1.6872030617065548E-6</v>
      </c>
      <c r="L58" s="28">
        <f t="shared" si="7"/>
        <v>-9.2088197021033444</v>
      </c>
      <c r="M58" s="29">
        <f t="shared" si="8"/>
        <v>-0.51354352702014905</v>
      </c>
      <c r="N58" s="28">
        <f t="shared" si="9"/>
        <v>1.832159947090517E-7</v>
      </c>
    </row>
    <row r="60" spans="9:14" x14ac:dyDescent="0.2">
      <c r="I60" s="26" t="s">
        <v>18</v>
      </c>
      <c r="J60" s="2">
        <v>-3</v>
      </c>
    </row>
    <row r="63" spans="9:14" x14ac:dyDescent="0.2">
      <c r="I63" s="26" t="s">
        <v>16</v>
      </c>
      <c r="J63" s="26" t="s">
        <v>18</v>
      </c>
      <c r="K63" s="26" t="s">
        <v>19</v>
      </c>
      <c r="L63" s="26" t="s">
        <v>20</v>
      </c>
      <c r="M63" s="26" t="s">
        <v>21</v>
      </c>
      <c r="N63" s="26" t="s">
        <v>10</v>
      </c>
    </row>
    <row r="64" spans="9:14" x14ac:dyDescent="0.2">
      <c r="I64" s="27">
        <v>0</v>
      </c>
      <c r="J64" s="28">
        <f>J60</f>
        <v>-3</v>
      </c>
      <c r="K64" s="28">
        <f>J64^3-10*J64-5</f>
        <v>-2</v>
      </c>
      <c r="L64" s="28">
        <f>3*J64^2-10</f>
        <v>17</v>
      </c>
      <c r="M64" s="28">
        <f>J64-K64/L64</f>
        <v>-2.8823529411764706</v>
      </c>
      <c r="N64" s="28"/>
    </row>
    <row r="65" spans="9:21" x14ac:dyDescent="0.2">
      <c r="I65" s="27">
        <v>1</v>
      </c>
      <c r="J65" s="28">
        <f>M64</f>
        <v>-2.8823529411764706</v>
      </c>
      <c r="K65" s="28">
        <f>J65^3-10*J65-5</f>
        <v>-0.12293914105434567</v>
      </c>
      <c r="L65" s="28">
        <f>3*J65^2-10</f>
        <v>14.923875432525953</v>
      </c>
      <c r="M65" s="28">
        <f>J65-K65/L65</f>
        <v>-2.8741151921004895</v>
      </c>
      <c r="N65" s="28">
        <f>ABS(M65-M64)</f>
        <v>8.2377490759810712E-3</v>
      </c>
    </row>
    <row r="66" spans="9:21" x14ac:dyDescent="0.2">
      <c r="I66" s="27">
        <v>2</v>
      </c>
      <c r="J66" s="28">
        <f t="shared" ref="J66:J67" si="10">M65</f>
        <v>-2.8741151921004895</v>
      </c>
      <c r="K66" s="28">
        <f t="shared" ref="K66:K67" si="11">J66^3-10*J66-5</f>
        <v>-5.8623480251895899E-4</v>
      </c>
      <c r="L66" s="28">
        <f t="shared" ref="L66:L67" si="12">3*J66^2-10</f>
        <v>14.781614412388503</v>
      </c>
      <c r="M66" s="28">
        <f t="shared" ref="M66:M67" si="13">J66-K66/L66</f>
        <v>-2.8740755323727925</v>
      </c>
      <c r="N66" s="28">
        <f t="shared" ref="N66:N67" si="14">ABS(M66-M65)</f>
        <v>3.965972769703896E-5</v>
      </c>
    </row>
    <row r="67" spans="9:21" x14ac:dyDescent="0.2">
      <c r="I67" s="27">
        <v>3</v>
      </c>
      <c r="J67" s="28">
        <f t="shared" si="10"/>
        <v>-2.8740755323727925</v>
      </c>
      <c r="K67" s="28">
        <f t="shared" si="11"/>
        <v>-1.3561972878051165E-8</v>
      </c>
      <c r="L67" s="28">
        <f t="shared" si="12"/>
        <v>14.780930497351854</v>
      </c>
      <c r="M67" s="29">
        <f t="shared" si="13"/>
        <v>-2.8740755314552606</v>
      </c>
      <c r="N67" s="28">
        <f t="shared" si="14"/>
        <v>9.1753182829279467E-10</v>
      </c>
    </row>
    <row r="74" spans="9:21" x14ac:dyDescent="0.2">
      <c r="I74" s="31" t="s">
        <v>18</v>
      </c>
      <c r="J74" s="2"/>
      <c r="P74" s="32" t="s">
        <v>18</v>
      </c>
      <c r="Q74" s="2"/>
    </row>
    <row r="76" spans="9:21" x14ac:dyDescent="0.2">
      <c r="I76" s="31" t="s">
        <v>16</v>
      </c>
      <c r="J76" s="31" t="s">
        <v>18</v>
      </c>
      <c r="K76" s="31" t="s">
        <v>19</v>
      </c>
      <c r="L76" s="31" t="s">
        <v>20</v>
      </c>
      <c r="M76" s="31" t="s">
        <v>21</v>
      </c>
      <c r="N76" s="31" t="s">
        <v>10</v>
      </c>
      <c r="P76" s="32" t="s">
        <v>16</v>
      </c>
      <c r="Q76" s="32" t="s">
        <v>18</v>
      </c>
      <c r="R76" s="32" t="s">
        <v>19</v>
      </c>
      <c r="S76" s="32" t="s">
        <v>20</v>
      </c>
      <c r="T76" s="32" t="s">
        <v>21</v>
      </c>
      <c r="U76" s="32" t="s">
        <v>10</v>
      </c>
    </row>
    <row r="77" spans="9:21" x14ac:dyDescent="0.2">
      <c r="I77" s="27">
        <v>0</v>
      </c>
      <c r="J77" s="28">
        <f>J74</f>
        <v>0</v>
      </c>
      <c r="K77" s="28"/>
      <c r="L77" s="28"/>
      <c r="M77" s="28" t="e">
        <f>J77-K77/L77</f>
        <v>#DIV/0!</v>
      </c>
      <c r="N77" s="28"/>
      <c r="P77" s="27">
        <v>0</v>
      </c>
      <c r="Q77" s="28">
        <f>Q74</f>
        <v>0</v>
      </c>
      <c r="R77" s="28"/>
      <c r="S77" s="28"/>
      <c r="T77" s="28" t="e">
        <f>Q77-R77/S77</f>
        <v>#DIV/0!</v>
      </c>
      <c r="U77" s="28"/>
    </row>
    <row r="78" spans="9:21" x14ac:dyDescent="0.2">
      <c r="I78" s="27">
        <v>1</v>
      </c>
      <c r="J78" s="28" t="e">
        <f>M77</f>
        <v>#DIV/0!</v>
      </c>
      <c r="K78" s="28"/>
      <c r="L78" s="28"/>
      <c r="M78" s="28" t="e">
        <f>J78-K78/L78</f>
        <v>#DIV/0!</v>
      </c>
      <c r="N78" s="28" t="e">
        <f>ABS(M78-M77)</f>
        <v>#DIV/0!</v>
      </c>
      <c r="P78" s="27">
        <v>1</v>
      </c>
      <c r="Q78" s="28" t="e">
        <f>T77</f>
        <v>#DIV/0!</v>
      </c>
      <c r="R78" s="28"/>
      <c r="S78" s="28"/>
      <c r="T78" s="28" t="e">
        <f>Q78-R78/S78</f>
        <v>#DIV/0!</v>
      </c>
      <c r="U78" s="28" t="e">
        <f>ABS(T78-T77)</f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468A-2261-47B5-BA6A-324FBA6FE2DA}">
  <sheetPr>
    <tabColor rgb="FF7030A0"/>
  </sheetPr>
  <dimension ref="A24:O74"/>
  <sheetViews>
    <sheetView topLeftCell="A43" workbookViewId="0">
      <selection activeCell="F77" sqref="F77"/>
    </sheetView>
  </sheetViews>
  <sheetFormatPr baseColWidth="10" defaultRowHeight="15" x14ac:dyDescent="0.2"/>
  <sheetData>
    <row r="24" spans="8:14" x14ac:dyDescent="0.2">
      <c r="H24" s="21" t="s">
        <v>27</v>
      </c>
      <c r="I24" s="2">
        <v>3</v>
      </c>
      <c r="J24" s="21" t="s">
        <v>28</v>
      </c>
      <c r="K24" s="2">
        <v>2</v>
      </c>
    </row>
    <row r="26" spans="8:14" x14ac:dyDescent="0.2">
      <c r="H26" s="21" t="s">
        <v>16</v>
      </c>
      <c r="I26" s="21" t="s">
        <v>28</v>
      </c>
      <c r="J26" s="21" t="s">
        <v>27</v>
      </c>
      <c r="K26" s="21" t="s">
        <v>29</v>
      </c>
      <c r="L26" s="21" t="s">
        <v>30</v>
      </c>
      <c r="M26" s="21" t="s">
        <v>31</v>
      </c>
      <c r="N26" s="21" t="s">
        <v>10</v>
      </c>
    </row>
    <row r="27" spans="8:14" x14ac:dyDescent="0.2">
      <c r="H27" s="27">
        <v>0</v>
      </c>
      <c r="I27" s="33">
        <f>K24</f>
        <v>2</v>
      </c>
      <c r="J27" s="33">
        <f>I24</f>
        <v>3</v>
      </c>
      <c r="K27" s="33">
        <f>I27^3+4*I27^2-10</f>
        <v>14</v>
      </c>
      <c r="L27" s="33">
        <f>J27^3+4*J27^2-10</f>
        <v>53</v>
      </c>
      <c r="M27" s="33">
        <f>J27-((L27*(J27-I27))/(L27-K27))</f>
        <v>1.641025641025641</v>
      </c>
      <c r="N27" s="33"/>
    </row>
    <row r="28" spans="8:14" x14ac:dyDescent="0.2">
      <c r="H28" s="27">
        <v>1</v>
      </c>
      <c r="I28" s="33">
        <f>J27</f>
        <v>3</v>
      </c>
      <c r="J28" s="33">
        <f>M27</f>
        <v>1.641025641025641</v>
      </c>
      <c r="K28" s="33">
        <f>I28^3+4*I28^2-10</f>
        <v>53</v>
      </c>
      <c r="L28" s="33">
        <f>J28^3+4*J28^2-10</f>
        <v>5.1910854869434733</v>
      </c>
      <c r="M28" s="33">
        <f>J28-((L28*(J28-I28))/(L28-K28))</f>
        <v>1.4934683884953932</v>
      </c>
      <c r="N28" s="33">
        <f>ABS(M28-M27)</f>
        <v>0.14755725253024776</v>
      </c>
    </row>
    <row r="29" spans="8:14" x14ac:dyDescent="0.2">
      <c r="H29" s="27">
        <v>2</v>
      </c>
      <c r="I29" s="33">
        <f t="shared" ref="I29:I34" si="0">J28</f>
        <v>1.641025641025641</v>
      </c>
      <c r="J29" s="33">
        <f t="shared" ref="J29:J34" si="1">M28</f>
        <v>1.4934683884953932</v>
      </c>
      <c r="K29" s="33">
        <f t="shared" ref="K29:L34" si="2">I29^3+4*I29^2-10</f>
        <v>5.1910854869434733</v>
      </c>
      <c r="L29" s="33">
        <f t="shared" si="2"/>
        <v>2.2528946322025458</v>
      </c>
      <c r="M29" s="33">
        <f t="shared" ref="M29:M34" si="3">J29-((L29*(J29-I29))/(L29-K29))</f>
        <v>1.3803270172901989</v>
      </c>
      <c r="N29" s="33">
        <f t="shared" ref="N29:N34" si="4">ABS(M29-M28)</f>
        <v>0.1131413712051943</v>
      </c>
    </row>
    <row r="30" spans="8:14" x14ac:dyDescent="0.2">
      <c r="H30" s="27">
        <v>3</v>
      </c>
      <c r="I30" s="33">
        <f t="shared" si="0"/>
        <v>1.4934683884953932</v>
      </c>
      <c r="J30" s="33">
        <f t="shared" si="1"/>
        <v>1.3803270172901989</v>
      </c>
      <c r="K30" s="33">
        <f t="shared" si="2"/>
        <v>2.2528946322025458</v>
      </c>
      <c r="L30" s="33">
        <f t="shared" si="2"/>
        <v>0.25115145659523996</v>
      </c>
      <c r="M30" s="33">
        <f t="shared" si="3"/>
        <v>1.3661315797707247</v>
      </c>
      <c r="N30" s="33">
        <f t="shared" si="4"/>
        <v>1.4195437519474163E-2</v>
      </c>
    </row>
    <row r="31" spans="8:14" x14ac:dyDescent="0.2">
      <c r="H31" s="27">
        <v>4</v>
      </c>
      <c r="I31" s="33">
        <f t="shared" si="0"/>
        <v>1.3803270172901989</v>
      </c>
      <c r="J31" s="33">
        <f t="shared" si="1"/>
        <v>1.3661315797707247</v>
      </c>
      <c r="K31" s="33">
        <f t="shared" si="2"/>
        <v>0.25115145659523996</v>
      </c>
      <c r="L31" s="33">
        <f t="shared" si="2"/>
        <v>1.4894506127330231E-2</v>
      </c>
      <c r="M31" s="33">
        <f t="shared" si="3"/>
        <v>1.3652366472377551</v>
      </c>
      <c r="N31" s="33">
        <f t="shared" si="4"/>
        <v>8.9493253296968334E-4</v>
      </c>
    </row>
    <row r="32" spans="8:14" x14ac:dyDescent="0.2">
      <c r="H32" s="27">
        <v>5</v>
      </c>
      <c r="I32" s="33">
        <f t="shared" si="0"/>
        <v>1.3661315797707247</v>
      </c>
      <c r="J32" s="33">
        <f t="shared" si="1"/>
        <v>1.3652366472377551</v>
      </c>
      <c r="K32" s="33">
        <f t="shared" si="2"/>
        <v>1.4894506127330231E-2</v>
      </c>
      <c r="L32" s="33">
        <f t="shared" si="2"/>
        <v>1.095473337393571E-4</v>
      </c>
      <c r="M32" s="33">
        <f t="shared" si="3"/>
        <v>1.3652300163452222</v>
      </c>
      <c r="N32" s="33">
        <f t="shared" si="4"/>
        <v>6.6308925328328883E-6</v>
      </c>
    </row>
    <row r="33" spans="8:14" x14ac:dyDescent="0.2">
      <c r="H33" s="27">
        <v>6</v>
      </c>
      <c r="I33" s="33">
        <f t="shared" si="0"/>
        <v>1.3652366472377551</v>
      </c>
      <c r="J33" s="33">
        <f t="shared" si="1"/>
        <v>1.3652300163452222</v>
      </c>
      <c r="K33" s="33">
        <f t="shared" si="2"/>
        <v>1.095473337393571E-4</v>
      </c>
      <c r="L33" s="33">
        <f t="shared" si="2"/>
        <v>4.8402842622863318E-8</v>
      </c>
      <c r="M33" s="33">
        <f t="shared" si="3"/>
        <v>1.3652300134141064</v>
      </c>
      <c r="N33" s="33">
        <f t="shared" si="4"/>
        <v>2.9311157945244304E-9</v>
      </c>
    </row>
    <row r="34" spans="8:14" x14ac:dyDescent="0.2">
      <c r="H34" s="27">
        <v>7</v>
      </c>
      <c r="I34" s="33">
        <f t="shared" si="0"/>
        <v>1.3652300163452222</v>
      </c>
      <c r="J34" s="33">
        <f t="shared" si="1"/>
        <v>1.3652300134141064</v>
      </c>
      <c r="K34" s="33">
        <f t="shared" si="2"/>
        <v>4.8402842622863318E-8</v>
      </c>
      <c r="L34" s="33">
        <f t="shared" si="2"/>
        <v>1.5987211554602254E-13</v>
      </c>
      <c r="M34" s="34">
        <f t="shared" si="3"/>
        <v>1.3652300134140967</v>
      </c>
      <c r="N34" s="33">
        <f t="shared" si="4"/>
        <v>9.7699626167013776E-15</v>
      </c>
    </row>
    <row r="44" spans="8:14" x14ac:dyDescent="0.2">
      <c r="H44" s="21" t="s">
        <v>27</v>
      </c>
      <c r="I44" s="2">
        <v>-0.5</v>
      </c>
      <c r="J44" s="21" t="s">
        <v>28</v>
      </c>
      <c r="K44" s="2">
        <v>-1</v>
      </c>
    </row>
    <row r="46" spans="8:14" x14ac:dyDescent="0.2">
      <c r="H46" s="21" t="s">
        <v>16</v>
      </c>
      <c r="I46" s="21" t="s">
        <v>28</v>
      </c>
      <c r="J46" s="21" t="s">
        <v>27</v>
      </c>
      <c r="K46" s="21" t="s">
        <v>29</v>
      </c>
      <c r="L46" s="21" t="s">
        <v>30</v>
      </c>
      <c r="M46" s="21" t="s">
        <v>31</v>
      </c>
      <c r="N46" s="21" t="s">
        <v>10</v>
      </c>
    </row>
    <row r="47" spans="8:14" x14ac:dyDescent="0.2">
      <c r="H47" s="27">
        <v>0</v>
      </c>
      <c r="I47" s="35">
        <f>K44</f>
        <v>-1</v>
      </c>
      <c r="J47" s="35">
        <f>I44</f>
        <v>-0.5</v>
      </c>
      <c r="K47" s="35">
        <f>2*I47^4+EXP(2*I47)-SIN(I47)-2</f>
        <v>0.9768062680445091</v>
      </c>
      <c r="L47" s="35">
        <f>2*J47^4+EXP(2*J47)-SIN(J47)-2</f>
        <v>-1.0276950202243547</v>
      </c>
      <c r="M47" s="35">
        <f>J47-((L47*(J47-I47))/(L47-K47))</f>
        <v>-0.75634680961265355</v>
      </c>
      <c r="N47" s="35"/>
    </row>
    <row r="48" spans="8:14" x14ac:dyDescent="0.2">
      <c r="H48" s="27">
        <v>1</v>
      </c>
      <c r="I48" s="35">
        <f>J47</f>
        <v>-0.5</v>
      </c>
      <c r="J48" s="35">
        <f>M47</f>
        <v>-0.75634680961265355</v>
      </c>
      <c r="K48" s="35">
        <f>2*I48^4+EXP(2*I48)-SIN(I48)-2</f>
        <v>-1.0276950202243547</v>
      </c>
      <c r="L48" s="35">
        <f>2*J48^4+EXP(2*J48)-SIN(J48)-2</f>
        <v>-0.43890895564457155</v>
      </c>
      <c r="M48" s="35">
        <f>J48-((L48*(J48-I48))/(L48-K48))</f>
        <v>-0.94743983517569585</v>
      </c>
      <c r="N48" s="35">
        <f>ABS(M48-M47)</f>
        <v>0.19109302556304231</v>
      </c>
    </row>
    <row r="49" spans="8:14" x14ac:dyDescent="0.2">
      <c r="H49" s="27">
        <v>2</v>
      </c>
      <c r="I49" s="35">
        <f t="shared" ref="I49:I55" si="5">J48</f>
        <v>-0.75634680961265355</v>
      </c>
      <c r="J49" s="35">
        <f t="shared" ref="J49:J55" si="6">M48</f>
        <v>-0.94743983517569585</v>
      </c>
      <c r="K49" s="35">
        <f t="shared" ref="K49:L55" si="7">2*I49^4+EXP(2*I49)-SIN(I49)-2</f>
        <v>-0.43890895564457155</v>
      </c>
      <c r="L49" s="35">
        <f t="shared" si="7"/>
        <v>0.57378324662936064</v>
      </c>
      <c r="M49" s="35">
        <f t="shared" ref="M49:M55" si="8">J49-((L49*(J49-I49))/(L49-K49))</f>
        <v>-0.83916806575791303</v>
      </c>
      <c r="N49" s="35">
        <f t="shared" ref="N49:N55" si="9">ABS(M49-M48)</f>
        <v>0.10827176941778283</v>
      </c>
    </row>
    <row r="50" spans="8:14" x14ac:dyDescent="0.2">
      <c r="H50" s="27">
        <v>3</v>
      </c>
      <c r="I50" s="35">
        <f t="shared" si="5"/>
        <v>-0.94743983517569585</v>
      </c>
      <c r="J50" s="35">
        <f t="shared" si="6"/>
        <v>-0.83916806575791303</v>
      </c>
      <c r="K50" s="35">
        <f t="shared" si="7"/>
        <v>0.57378324662936064</v>
      </c>
      <c r="L50" s="35">
        <f t="shared" si="7"/>
        <v>-7.7424236502495081E-2</v>
      </c>
      <c r="M50" s="35">
        <f t="shared" si="8"/>
        <v>-0.85204085868349533</v>
      </c>
      <c r="N50" s="35">
        <f t="shared" si="9"/>
        <v>1.2872792925582299E-2</v>
      </c>
    </row>
    <row r="51" spans="8:14" x14ac:dyDescent="0.2">
      <c r="H51" s="27">
        <v>4</v>
      </c>
      <c r="I51" s="35">
        <f t="shared" si="5"/>
        <v>-0.83916806575791303</v>
      </c>
      <c r="J51" s="35">
        <f t="shared" si="6"/>
        <v>-0.85204085868349533</v>
      </c>
      <c r="K51" s="35">
        <f t="shared" si="7"/>
        <v>-7.7424236502495081E-2</v>
      </c>
      <c r="L51" s="35">
        <f t="shared" si="7"/>
        <v>-1.135943877467982E-2</v>
      </c>
      <c r="M51" s="35">
        <f t="shared" si="8"/>
        <v>-0.85425425686416845</v>
      </c>
      <c r="N51" s="35">
        <f t="shared" si="9"/>
        <v>2.2133981806731207E-3</v>
      </c>
    </row>
    <row r="52" spans="8:14" x14ac:dyDescent="0.2">
      <c r="H52" s="27">
        <v>5</v>
      </c>
      <c r="I52" s="35">
        <f t="shared" si="5"/>
        <v>-0.85204085868349533</v>
      </c>
      <c r="J52" s="35">
        <f t="shared" si="6"/>
        <v>-0.85425425686416845</v>
      </c>
      <c r="K52" s="35">
        <f t="shared" si="7"/>
        <v>-1.135943877467982E-2</v>
      </c>
      <c r="L52" s="35">
        <f t="shared" si="7"/>
        <v>2.8819259143642029E-4</v>
      </c>
      <c r="M52" s="35">
        <f t="shared" si="8"/>
        <v>-0.85419949165590259</v>
      </c>
      <c r="N52" s="35">
        <f t="shared" si="9"/>
        <v>5.4765208265861176E-5</v>
      </c>
    </row>
    <row r="53" spans="8:14" x14ac:dyDescent="0.2">
      <c r="H53" s="27">
        <v>6</v>
      </c>
      <c r="I53" s="35">
        <f t="shared" si="5"/>
        <v>-0.85425425686416845</v>
      </c>
      <c r="J53" s="35">
        <f t="shared" si="6"/>
        <v>-0.85419949165590259</v>
      </c>
      <c r="K53" s="35">
        <f t="shared" si="7"/>
        <v>2.8819259143642029E-4</v>
      </c>
      <c r="L53" s="35">
        <f t="shared" si="7"/>
        <v>-1.0317523102543191E-6</v>
      </c>
      <c r="M53" s="35">
        <f t="shared" si="8"/>
        <v>-0.85419968702026716</v>
      </c>
      <c r="N53" s="35">
        <f t="shared" si="9"/>
        <v>1.9536436457467943E-7</v>
      </c>
    </row>
    <row r="54" spans="8:14" x14ac:dyDescent="0.2">
      <c r="H54" s="27">
        <v>7</v>
      </c>
      <c r="I54" s="35">
        <f t="shared" si="5"/>
        <v>-0.85419949165590259</v>
      </c>
      <c r="J54" s="35">
        <f t="shared" si="6"/>
        <v>-0.85419968702026716</v>
      </c>
      <c r="K54" s="35">
        <f t="shared" si="7"/>
        <v>-1.0317523102543191E-6</v>
      </c>
      <c r="L54" s="35">
        <f t="shared" si="7"/>
        <v>-9.319345295466519E-11</v>
      </c>
      <c r="M54" s="35">
        <f t="shared" si="8"/>
        <v>-0.85419968703791516</v>
      </c>
      <c r="N54" s="35">
        <f t="shared" si="9"/>
        <v>1.7647994177139026E-11</v>
      </c>
    </row>
    <row r="55" spans="8:14" x14ac:dyDescent="0.2">
      <c r="H55" s="27">
        <v>8</v>
      </c>
      <c r="I55" s="35">
        <f t="shared" si="5"/>
        <v>-0.85419968702026716</v>
      </c>
      <c r="J55" s="35">
        <f t="shared" si="6"/>
        <v>-0.85419968703791516</v>
      </c>
      <c r="K55" s="35">
        <f t="shared" si="7"/>
        <v>-9.319345295466519E-11</v>
      </c>
      <c r="L55" s="35">
        <f t="shared" si="7"/>
        <v>0</v>
      </c>
      <c r="M55" s="36">
        <f t="shared" si="8"/>
        <v>-0.85419968703791516</v>
      </c>
      <c r="N55" s="35">
        <f t="shared" si="9"/>
        <v>0</v>
      </c>
    </row>
    <row r="57" spans="8:14" x14ac:dyDescent="0.2">
      <c r="H57" s="21" t="s">
        <v>27</v>
      </c>
      <c r="I57" s="2">
        <v>0.5</v>
      </c>
      <c r="J57" s="21" t="s">
        <v>28</v>
      </c>
      <c r="K57" s="2">
        <v>0</v>
      </c>
    </row>
    <row r="59" spans="8:14" x14ac:dyDescent="0.2">
      <c r="H59" s="21" t="s">
        <v>16</v>
      </c>
      <c r="I59" s="21" t="s">
        <v>28</v>
      </c>
      <c r="J59" s="21" t="s">
        <v>27</v>
      </c>
      <c r="K59" s="21" t="s">
        <v>29</v>
      </c>
      <c r="L59" s="21" t="s">
        <v>30</v>
      </c>
      <c r="M59" s="21" t="s">
        <v>31</v>
      </c>
      <c r="N59" s="21" t="s">
        <v>10</v>
      </c>
    </row>
    <row r="60" spans="8:14" x14ac:dyDescent="0.2">
      <c r="H60" s="27">
        <v>0</v>
      </c>
      <c r="I60" s="35">
        <f>K57</f>
        <v>0</v>
      </c>
      <c r="J60" s="35">
        <f>I57</f>
        <v>0.5</v>
      </c>
      <c r="K60" s="35">
        <f>2*I60^4+EXP(2*I60)-SIN(I60)-2</f>
        <v>-1</v>
      </c>
      <c r="L60" s="35">
        <f>2*J60^4+EXP(2*J60)-SIN(J60)-2</f>
        <v>0.36385628985484209</v>
      </c>
      <c r="M60" s="35">
        <f>J60-((L60*(J60-I60))/(L60-K60))</f>
        <v>0.36660754048596716</v>
      </c>
      <c r="N60" s="35"/>
    </row>
    <row r="61" spans="8:14" x14ac:dyDescent="0.2">
      <c r="H61" s="27">
        <v>1</v>
      </c>
      <c r="I61" s="35">
        <f>J60</f>
        <v>0.5</v>
      </c>
      <c r="J61" s="35">
        <f>M60</f>
        <v>0.36660754048596716</v>
      </c>
      <c r="K61" s="35">
        <f>2*I61^4+EXP(2*I61)-SIN(I61)-2</f>
        <v>0.36385628985484209</v>
      </c>
      <c r="L61" s="35">
        <f>2*J61^4+EXP(2*J61)-SIN(J61)-2</f>
        <v>-0.2405602729296028</v>
      </c>
      <c r="M61" s="35">
        <f>J61-((L61*(J61-I61))/(L61-K61))</f>
        <v>0.41969828690697603</v>
      </c>
      <c r="N61" s="35">
        <f>ABS(M61-M60)</f>
        <v>5.3090746421008861E-2</v>
      </c>
    </row>
    <row r="62" spans="8:14" x14ac:dyDescent="0.2">
      <c r="H62" s="27">
        <v>2</v>
      </c>
      <c r="I62" s="35">
        <f t="shared" ref="I62:I67" si="10">J61</f>
        <v>0.36660754048596716</v>
      </c>
      <c r="J62" s="35">
        <f t="shared" ref="J62:J67" si="11">M61</f>
        <v>0.41969828690697603</v>
      </c>
      <c r="K62" s="35">
        <f t="shared" ref="K62:L67" si="12">2*I62^4+EXP(2*I62)-SIN(I62)-2</f>
        <v>-0.2405602729296028</v>
      </c>
      <c r="L62" s="35">
        <f t="shared" si="12"/>
        <v>-3.046001564393519E-2</v>
      </c>
      <c r="M62" s="35">
        <f t="shared" ref="M62:M67" si="13">J62-((L62*(J62-I62))/(L62-K62))</f>
        <v>0.42739530254810082</v>
      </c>
      <c r="N62" s="35">
        <f t="shared" ref="N62:N67" si="14">ABS(M62-M61)</f>
        <v>7.6970156411247936E-3</v>
      </c>
    </row>
    <row r="63" spans="8:14" x14ac:dyDescent="0.2">
      <c r="H63" s="27">
        <v>3</v>
      </c>
      <c r="I63" s="35">
        <f t="shared" si="10"/>
        <v>0.41969828690697603</v>
      </c>
      <c r="J63" s="35">
        <f t="shared" si="11"/>
        <v>0.42739530254810082</v>
      </c>
      <c r="K63" s="35">
        <f t="shared" si="12"/>
        <v>-3.046001564393519E-2</v>
      </c>
      <c r="L63" s="35">
        <f t="shared" si="12"/>
        <v>3.1145352876404964E-3</v>
      </c>
      <c r="M63" s="35">
        <f t="shared" si="13"/>
        <v>0.42668129071000777</v>
      </c>
      <c r="N63" s="35">
        <f t="shared" si="14"/>
        <v>7.140118380930538E-4</v>
      </c>
    </row>
    <row r="64" spans="8:14" x14ac:dyDescent="0.2">
      <c r="H64" s="27">
        <v>4</v>
      </c>
      <c r="I64" s="35">
        <f t="shared" si="10"/>
        <v>0.42739530254810082</v>
      </c>
      <c r="J64" s="35">
        <f t="shared" si="11"/>
        <v>0.42668129071000777</v>
      </c>
      <c r="K64" s="35">
        <f t="shared" si="12"/>
        <v>3.1145352876404964E-3</v>
      </c>
      <c r="L64" s="35">
        <f t="shared" si="12"/>
        <v>-3.5125243645683923E-5</v>
      </c>
      <c r="M64" s="35">
        <f t="shared" si="13"/>
        <v>0.42668925342203018</v>
      </c>
      <c r="N64" s="35">
        <f t="shared" si="14"/>
        <v>7.9627120224134984E-6</v>
      </c>
    </row>
    <row r="65" spans="1:15" x14ac:dyDescent="0.2">
      <c r="H65" s="27">
        <v>5</v>
      </c>
      <c r="I65" s="35">
        <f t="shared" si="10"/>
        <v>0.42668129071000777</v>
      </c>
      <c r="J65" s="35">
        <f t="shared" si="11"/>
        <v>0.42668925342203018</v>
      </c>
      <c r="K65" s="35">
        <f t="shared" si="12"/>
        <v>-3.5125243645683923E-5</v>
      </c>
      <c r="L65" s="35">
        <f t="shared" si="12"/>
        <v>-3.9868876200443992E-8</v>
      </c>
      <c r="M65" s="35">
        <f t="shared" si="13"/>
        <v>0.42668926247036959</v>
      </c>
      <c r="N65" s="35">
        <f t="shared" si="14"/>
        <v>9.0483394110663085E-9</v>
      </c>
    </row>
    <row r="66" spans="1:15" x14ac:dyDescent="0.2">
      <c r="H66" s="27">
        <v>6</v>
      </c>
      <c r="I66" s="35">
        <f t="shared" si="10"/>
        <v>0.42668925342203018</v>
      </c>
      <c r="J66" s="35">
        <f t="shared" si="11"/>
        <v>0.42668926247036959</v>
      </c>
      <c r="K66" s="35">
        <f t="shared" si="12"/>
        <v>-3.9868876200443992E-8</v>
      </c>
      <c r="L66" s="35">
        <f t="shared" si="12"/>
        <v>5.1114668053742207E-13</v>
      </c>
      <c r="M66" s="35">
        <f t="shared" si="13"/>
        <v>0.42668926247025357</v>
      </c>
      <c r="N66" s="35">
        <f t="shared" si="14"/>
        <v>1.1601830607332886E-13</v>
      </c>
    </row>
    <row r="67" spans="1:15" x14ac:dyDescent="0.2">
      <c r="H67" s="27">
        <v>7</v>
      </c>
      <c r="I67" s="35">
        <f t="shared" si="10"/>
        <v>0.42668926247036959</v>
      </c>
      <c r="J67" s="35">
        <f t="shared" si="11"/>
        <v>0.42668926247025357</v>
      </c>
      <c r="K67" s="35">
        <f t="shared" si="12"/>
        <v>5.1114668053742207E-13</v>
      </c>
      <c r="L67" s="35">
        <f t="shared" si="12"/>
        <v>0</v>
      </c>
      <c r="M67" s="36">
        <f t="shared" si="13"/>
        <v>0.42668926247025357</v>
      </c>
      <c r="N67" s="35">
        <f t="shared" si="14"/>
        <v>0</v>
      </c>
    </row>
    <row r="70" spans="1:15" x14ac:dyDescent="0.2">
      <c r="A70" s="37" t="s">
        <v>27</v>
      </c>
      <c r="B70" s="2">
        <v>3</v>
      </c>
      <c r="C70" s="37" t="s">
        <v>28</v>
      </c>
      <c r="D70" s="2">
        <v>2</v>
      </c>
      <c r="I70" s="38" t="s">
        <v>27</v>
      </c>
      <c r="J70" s="2">
        <v>3</v>
      </c>
      <c r="K70" s="38" t="s">
        <v>28</v>
      </c>
      <c r="L70" s="2">
        <v>2</v>
      </c>
    </row>
    <row r="72" spans="1:15" x14ac:dyDescent="0.2">
      <c r="A72" s="37" t="s">
        <v>16</v>
      </c>
      <c r="B72" s="37" t="s">
        <v>28</v>
      </c>
      <c r="C72" s="37" t="s">
        <v>27</v>
      </c>
      <c r="D72" s="37" t="s">
        <v>29</v>
      </c>
      <c r="E72" s="37" t="s">
        <v>30</v>
      </c>
      <c r="F72" s="37" t="s">
        <v>31</v>
      </c>
      <c r="G72" s="37" t="s">
        <v>10</v>
      </c>
      <c r="I72" s="38" t="s">
        <v>16</v>
      </c>
      <c r="J72" s="38" t="s">
        <v>28</v>
      </c>
      <c r="K72" s="38" t="s">
        <v>27</v>
      </c>
      <c r="L72" s="38" t="s">
        <v>29</v>
      </c>
      <c r="M72" s="38" t="s">
        <v>30</v>
      </c>
      <c r="N72" s="38" t="s">
        <v>31</v>
      </c>
      <c r="O72" s="38" t="s">
        <v>10</v>
      </c>
    </row>
    <row r="73" spans="1:15" x14ac:dyDescent="0.2">
      <c r="A73" s="27">
        <v>0</v>
      </c>
      <c r="B73" s="33">
        <f>D70</f>
        <v>2</v>
      </c>
      <c r="C73" s="33">
        <f>B70</f>
        <v>3</v>
      </c>
      <c r="D73" s="33"/>
      <c r="E73" s="33"/>
      <c r="F73" s="33" t="e">
        <f>C73-((E73*(C73-B73))/(E73-D73))</f>
        <v>#DIV/0!</v>
      </c>
      <c r="G73" s="33"/>
      <c r="I73" s="27">
        <v>0</v>
      </c>
      <c r="J73" s="33">
        <f>L70</f>
        <v>2</v>
      </c>
      <c r="K73" s="33">
        <f>J70</f>
        <v>3</v>
      </c>
      <c r="L73" s="33"/>
      <c r="M73" s="33"/>
      <c r="N73" s="33" t="e">
        <f>K73-((M73*(K73-J73))/(M73-L73))</f>
        <v>#DIV/0!</v>
      </c>
      <c r="O73" s="33"/>
    </row>
    <row r="74" spans="1:15" x14ac:dyDescent="0.2">
      <c r="A74" s="27">
        <v>1</v>
      </c>
      <c r="B74" s="33">
        <f>C73</f>
        <v>3</v>
      </c>
      <c r="C74" s="33" t="e">
        <f>F73</f>
        <v>#DIV/0!</v>
      </c>
      <c r="D74" s="33"/>
      <c r="E74" s="33"/>
      <c r="F74" s="33" t="e">
        <f>C74-((E74*(C74-B74))/(E74-D74))</f>
        <v>#DIV/0!</v>
      </c>
      <c r="G74" s="33" t="e">
        <f>ABS(F74-F73)</f>
        <v>#DIV/0!</v>
      </c>
      <c r="I74" s="27">
        <v>1</v>
      </c>
      <c r="J74" s="33">
        <f>K73</f>
        <v>3</v>
      </c>
      <c r="K74" s="33" t="e">
        <f>N73</f>
        <v>#DIV/0!</v>
      </c>
      <c r="L74" s="33"/>
      <c r="M74" s="33"/>
      <c r="N74" s="33" t="e">
        <f>K74-((M74*(K74-J74))/(M74-L74))</f>
        <v>#DIV/0!</v>
      </c>
      <c r="O74" s="33" t="e">
        <f>ABS(N74-N73)</f>
        <v>#DIV/0!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82DB6-736A-461D-B24B-169C06D1D948}">
  <sheetPr>
    <tabColor theme="7"/>
  </sheetPr>
  <dimension ref="A19:Q89"/>
  <sheetViews>
    <sheetView topLeftCell="A55" workbookViewId="0">
      <selection activeCell="P88" sqref="P88:P89"/>
    </sheetView>
  </sheetViews>
  <sheetFormatPr baseColWidth="10" defaultRowHeight="15" x14ac:dyDescent="0.2"/>
  <cols>
    <col min="15" max="15" width="13" bestFit="1" customWidth="1"/>
  </cols>
  <sheetData>
    <row r="19" spans="8:15" x14ac:dyDescent="0.2">
      <c r="H19" s="43" t="s">
        <v>33</v>
      </c>
      <c r="I19" s="42">
        <v>-3.5</v>
      </c>
      <c r="J19" s="43" t="s">
        <v>32</v>
      </c>
      <c r="K19" s="42">
        <v>-2.5</v>
      </c>
      <c r="L19" s="41"/>
      <c r="M19" s="41"/>
      <c r="N19" s="41"/>
      <c r="O19" s="41"/>
    </row>
    <row r="21" spans="8:15" x14ac:dyDescent="0.2">
      <c r="H21" s="43" t="s">
        <v>16</v>
      </c>
      <c r="I21" s="43" t="s">
        <v>34</v>
      </c>
      <c r="J21" s="43" t="s">
        <v>32</v>
      </c>
      <c r="K21" s="43" t="s">
        <v>35</v>
      </c>
      <c r="L21" s="43" t="s">
        <v>36</v>
      </c>
      <c r="M21" s="43" t="s">
        <v>37</v>
      </c>
      <c r="N21" s="43" t="s">
        <v>38</v>
      </c>
      <c r="O21" s="43" t="s">
        <v>10</v>
      </c>
    </row>
    <row r="22" spans="8:15" x14ac:dyDescent="0.2">
      <c r="H22" s="44">
        <v>0</v>
      </c>
      <c r="I22" s="45">
        <f>I19</f>
        <v>-3.5</v>
      </c>
      <c r="J22" s="45">
        <f>K19</f>
        <v>-2.5</v>
      </c>
      <c r="K22" s="45">
        <f>I22^3+3*I22^2-COS(I22)</f>
        <v>-5.1885433127092035</v>
      </c>
      <c r="L22" s="45">
        <f>J22^3+3*J22^2-COS(J22)</f>
        <v>3.9261436155469336</v>
      </c>
      <c r="M22" s="42">
        <f>J22-((L22*(J22-I22))/(L22-K22))</f>
        <v>-2.9307491465642803</v>
      </c>
      <c r="N22" s="45">
        <f>M22^3+3*M22^2-COS(M22)</f>
        <v>1.5726704311118718</v>
      </c>
      <c r="O22" s="45"/>
    </row>
    <row r="23" spans="8:15" x14ac:dyDescent="0.2">
      <c r="H23" s="44">
        <v>1</v>
      </c>
      <c r="I23" s="45">
        <f>I22</f>
        <v>-3.5</v>
      </c>
      <c r="J23" s="45">
        <f>M22</f>
        <v>-2.9307491465642803</v>
      </c>
      <c r="K23" s="45">
        <f>I23^3+3*I23^2-COS(I23)</f>
        <v>-5.1885433127092035</v>
      </c>
      <c r="L23" s="45">
        <f>J23^3+3*J23^2-COS(J23)</f>
        <v>1.5726704311118718</v>
      </c>
      <c r="M23" s="42">
        <f>J23-((L23*(J23-I23))/(L23-K23))</f>
        <v>-3.0631579150197514</v>
      </c>
      <c r="N23" s="45">
        <f>M23^3+3*M23^2-COS(M23)</f>
        <v>0.40431887196943916</v>
      </c>
      <c r="O23" s="46">
        <f>ABS(N23-N22)</f>
        <v>1.1683515591424327</v>
      </c>
    </row>
    <row r="24" spans="8:15" x14ac:dyDescent="0.2">
      <c r="H24" s="44">
        <v>2</v>
      </c>
      <c r="I24" s="45">
        <f t="shared" ref="I24:I35" si="0">I23</f>
        <v>-3.5</v>
      </c>
      <c r="J24" s="45">
        <f t="shared" ref="J24:J35" si="1">M23</f>
        <v>-3.0631579150197514</v>
      </c>
      <c r="K24" s="45">
        <f t="shared" ref="K24:K35" si="2">I24^3+3*I24^2-COS(I24)</f>
        <v>-5.1885433127092035</v>
      </c>
      <c r="L24" s="45">
        <f t="shared" ref="L24:L35" si="3">J24^3+3*J24^2-COS(J24)</f>
        <v>0.40431887196943916</v>
      </c>
      <c r="M24" s="42">
        <f t="shared" ref="M24:M35" si="4">J24-((L24*(J24-I24))/(L24-K24))</f>
        <v>-3.0947380779481075</v>
      </c>
      <c r="N24" s="45">
        <f t="shared" ref="N24:N38" si="5">M24^3+3*M24^2-COS(M24)</f>
        <v>9.155770016416398E-2</v>
      </c>
      <c r="O24" s="46">
        <f t="shared" ref="O24:O38" si="6">ABS(N24-N23)</f>
        <v>0.31276117180527518</v>
      </c>
    </row>
    <row r="25" spans="8:15" x14ac:dyDescent="0.2">
      <c r="H25" s="44">
        <v>3</v>
      </c>
      <c r="I25" s="45">
        <f t="shared" si="0"/>
        <v>-3.5</v>
      </c>
      <c r="J25" s="45">
        <f t="shared" si="1"/>
        <v>-3.0947380779481075</v>
      </c>
      <c r="K25" s="45">
        <f t="shared" si="2"/>
        <v>-5.1885433127092035</v>
      </c>
      <c r="L25" s="45">
        <f t="shared" si="3"/>
        <v>9.155770016416398E-2</v>
      </c>
      <c r="M25" s="42">
        <f t="shared" si="4"/>
        <v>-3.1017653771336184</v>
      </c>
      <c r="N25" s="45">
        <f t="shared" si="5"/>
        <v>2.0127550971395292E-2</v>
      </c>
      <c r="O25" s="46">
        <f t="shared" si="6"/>
        <v>7.1430149192768688E-2</v>
      </c>
    </row>
    <row r="26" spans="8:15" x14ac:dyDescent="0.2">
      <c r="H26" s="44">
        <v>4</v>
      </c>
      <c r="I26" s="45">
        <f t="shared" si="0"/>
        <v>-3.5</v>
      </c>
      <c r="J26" s="45">
        <f t="shared" si="1"/>
        <v>-3.1017653771336184</v>
      </c>
      <c r="K26" s="45">
        <f t="shared" si="2"/>
        <v>-5.1885433127092035</v>
      </c>
      <c r="L26" s="45">
        <f t="shared" si="3"/>
        <v>2.0127550971395292E-2</v>
      </c>
      <c r="M26" s="42">
        <f t="shared" si="4"/>
        <v>-3.103304251038324</v>
      </c>
      <c r="N26" s="45">
        <f t="shared" si="5"/>
        <v>4.3957805888972246E-3</v>
      </c>
      <c r="O26" s="46">
        <f t="shared" si="6"/>
        <v>1.5731770382498067E-2</v>
      </c>
    </row>
    <row r="27" spans="8:15" x14ac:dyDescent="0.2">
      <c r="H27" s="44">
        <v>5</v>
      </c>
      <c r="I27" s="45">
        <f t="shared" si="0"/>
        <v>-3.5</v>
      </c>
      <c r="J27" s="45">
        <f t="shared" si="1"/>
        <v>-3.103304251038324</v>
      </c>
      <c r="K27" s="45">
        <f t="shared" si="2"/>
        <v>-5.1885433127092035</v>
      </c>
      <c r="L27" s="45">
        <f t="shared" si="3"/>
        <v>4.3957805888972246E-3</v>
      </c>
      <c r="M27" s="42">
        <f t="shared" si="4"/>
        <v>-3.1036400507543718</v>
      </c>
      <c r="N27" s="45">
        <f t="shared" si="5"/>
        <v>9.5864415727253682E-4</v>
      </c>
      <c r="O27" s="46">
        <f t="shared" si="6"/>
        <v>3.4371364316246877E-3</v>
      </c>
    </row>
    <row r="28" spans="8:15" x14ac:dyDescent="0.2">
      <c r="H28" s="44">
        <v>6</v>
      </c>
      <c r="I28" s="45">
        <f t="shared" si="0"/>
        <v>-3.5</v>
      </c>
      <c r="J28" s="45">
        <f t="shared" si="1"/>
        <v>-3.1036400507543718</v>
      </c>
      <c r="K28" s="45">
        <f t="shared" si="2"/>
        <v>-5.1885433127092035</v>
      </c>
      <c r="L28" s="45">
        <f t="shared" si="3"/>
        <v>9.5864415727253682E-4</v>
      </c>
      <c r="M28" s="42">
        <f t="shared" si="4"/>
        <v>-3.1037132693700848</v>
      </c>
      <c r="N28" s="45">
        <f t="shared" si="5"/>
        <v>2.0899832109033678E-4</v>
      </c>
      <c r="O28" s="46">
        <f t="shared" si="6"/>
        <v>7.4964583618220004E-4</v>
      </c>
    </row>
    <row r="29" spans="8:15" x14ac:dyDescent="0.2">
      <c r="H29" s="44">
        <v>7</v>
      </c>
      <c r="I29" s="45">
        <f t="shared" si="0"/>
        <v>-3.5</v>
      </c>
      <c r="J29" s="45">
        <f t="shared" si="1"/>
        <v>-3.1037132693700848</v>
      </c>
      <c r="K29" s="45">
        <f t="shared" si="2"/>
        <v>-5.1885433127092035</v>
      </c>
      <c r="L29" s="45">
        <f t="shared" si="3"/>
        <v>2.0899832109033678E-4</v>
      </c>
      <c r="M29" s="42">
        <f t="shared" si="4"/>
        <v>-3.1037292314465934</v>
      </c>
      <c r="N29" s="45">
        <f t="shared" si="5"/>
        <v>4.55615511018026E-5</v>
      </c>
      <c r="O29" s="46">
        <f t="shared" si="6"/>
        <v>1.6343676998853418E-4</v>
      </c>
    </row>
    <row r="30" spans="8:15" x14ac:dyDescent="0.2">
      <c r="H30" s="44">
        <v>8</v>
      </c>
      <c r="I30" s="45">
        <f t="shared" si="0"/>
        <v>-3.5</v>
      </c>
      <c r="J30" s="45">
        <f t="shared" si="1"/>
        <v>-3.1037292314465934</v>
      </c>
      <c r="K30" s="45">
        <f t="shared" si="2"/>
        <v>-5.1885433127092035</v>
      </c>
      <c r="L30" s="45">
        <f t="shared" si="3"/>
        <v>4.55615511018026E-5</v>
      </c>
      <c r="M30" s="42">
        <f t="shared" si="4"/>
        <v>-3.1037327111423854</v>
      </c>
      <c r="N30" s="45">
        <f t="shared" si="5"/>
        <v>9.9322521662781327E-6</v>
      </c>
      <c r="O30" s="46">
        <f t="shared" si="6"/>
        <v>3.5629298935524467E-5</v>
      </c>
    </row>
    <row r="31" spans="8:15" x14ac:dyDescent="0.2">
      <c r="H31" s="44">
        <v>9</v>
      </c>
      <c r="I31" s="45">
        <f t="shared" si="0"/>
        <v>-3.5</v>
      </c>
      <c r="J31" s="45">
        <f t="shared" si="1"/>
        <v>-3.1037327111423854</v>
      </c>
      <c r="K31" s="45">
        <f t="shared" si="2"/>
        <v>-5.1885433127092035</v>
      </c>
      <c r="L31" s="45">
        <f t="shared" si="3"/>
        <v>9.9322521662781327E-6</v>
      </c>
      <c r="M31" s="42">
        <f t="shared" si="4"/>
        <v>-3.1037334697019401</v>
      </c>
      <c r="N31" s="45">
        <f t="shared" si="5"/>
        <v>2.1651877625261662E-6</v>
      </c>
      <c r="O31" s="46">
        <f t="shared" si="6"/>
        <v>7.7670644037519665E-6</v>
      </c>
    </row>
    <row r="32" spans="8:15" x14ac:dyDescent="0.2">
      <c r="H32" s="44">
        <v>10</v>
      </c>
      <c r="I32" s="45">
        <f t="shared" si="0"/>
        <v>-3.5</v>
      </c>
      <c r="J32" s="45">
        <f t="shared" si="1"/>
        <v>-3.1037334697019401</v>
      </c>
      <c r="K32" s="45">
        <f t="shared" si="2"/>
        <v>-5.1885433127092035</v>
      </c>
      <c r="L32" s="45">
        <f t="shared" si="3"/>
        <v>2.1651877625261662E-6</v>
      </c>
      <c r="M32" s="42">
        <f t="shared" si="4"/>
        <v>-3.1037336350645539</v>
      </c>
      <c r="N32" s="45">
        <f t="shared" si="5"/>
        <v>4.7200118147294745E-7</v>
      </c>
      <c r="O32" s="46">
        <f t="shared" si="6"/>
        <v>1.6931865810532187E-6</v>
      </c>
    </row>
    <row r="33" spans="8:15" x14ac:dyDescent="0.2">
      <c r="H33" s="44">
        <v>11</v>
      </c>
      <c r="I33" s="45">
        <f t="shared" si="0"/>
        <v>-3.5</v>
      </c>
      <c r="J33" s="45">
        <f t="shared" si="1"/>
        <v>-3.1037336350645539</v>
      </c>
      <c r="K33" s="45">
        <f t="shared" si="2"/>
        <v>-5.1885433127092035</v>
      </c>
      <c r="L33" s="45">
        <f t="shared" si="3"/>
        <v>4.7200118147294745E-7</v>
      </c>
      <c r="M33" s="42">
        <f t="shared" si="4"/>
        <v>-3.1037336711128556</v>
      </c>
      <c r="N33" s="45">
        <f t="shared" si="5"/>
        <v>1.0289411467301335E-7</v>
      </c>
      <c r="O33" s="46">
        <f t="shared" si="6"/>
        <v>3.691070667999341E-7</v>
      </c>
    </row>
    <row r="34" spans="8:15" x14ac:dyDescent="0.2">
      <c r="H34" s="44">
        <v>12</v>
      </c>
      <c r="I34" s="45">
        <f t="shared" si="0"/>
        <v>-3.5</v>
      </c>
      <c r="J34" s="45">
        <f t="shared" si="1"/>
        <v>-3.1037336711128556</v>
      </c>
      <c r="K34" s="45">
        <f t="shared" si="2"/>
        <v>-5.1885433127092035</v>
      </c>
      <c r="L34" s="45">
        <f t="shared" si="3"/>
        <v>1.0289411467301335E-7</v>
      </c>
      <c r="M34" s="42">
        <f t="shared" si="4"/>
        <v>-3.1037336789712215</v>
      </c>
      <c r="N34" s="45">
        <f t="shared" si="5"/>
        <v>2.2430452384369914E-8</v>
      </c>
      <c r="O34" s="46">
        <f t="shared" si="6"/>
        <v>8.0463662288643434E-8</v>
      </c>
    </row>
    <row r="35" spans="8:15" x14ac:dyDescent="0.2">
      <c r="H35" s="44">
        <v>13</v>
      </c>
      <c r="I35" s="45">
        <f t="shared" si="0"/>
        <v>-3.5</v>
      </c>
      <c r="J35" s="45">
        <f t="shared" si="1"/>
        <v>-3.1037336789712215</v>
      </c>
      <c r="K35" s="45">
        <f t="shared" si="2"/>
        <v>-5.1885433127092035</v>
      </c>
      <c r="L35" s="45">
        <f t="shared" si="3"/>
        <v>2.2430452384369914E-8</v>
      </c>
      <c r="M35" s="42">
        <f t="shared" si="4"/>
        <v>-3.1037336806843099</v>
      </c>
      <c r="N35" s="45">
        <f t="shared" si="5"/>
        <v>4.8897347282306214E-9</v>
      </c>
      <c r="O35" s="46">
        <f t="shared" si="6"/>
        <v>1.7540717656139293E-8</v>
      </c>
    </row>
    <row r="36" spans="8:15" x14ac:dyDescent="0.2">
      <c r="H36" s="44">
        <v>14</v>
      </c>
      <c r="I36" s="45">
        <f>I35</f>
        <v>-3.5</v>
      </c>
      <c r="J36" s="45">
        <f>M35</f>
        <v>-3.1037336806843099</v>
      </c>
      <c r="K36" s="45">
        <f>I36^3+3*I36^2-COS(I36)</f>
        <v>-5.1885433127092035</v>
      </c>
      <c r="L36" s="45">
        <f>J36^3+3*J36^2-COS(J36)</f>
        <v>4.8897347282306214E-9</v>
      </c>
      <c r="M36" s="42">
        <f>J36-((L36*(J36-I36))/(L36-K36))</f>
        <v>-3.1037336810577552</v>
      </c>
      <c r="N36" s="45">
        <f>M36^3+3*M36^2-COS(M36)</f>
        <v>1.0659405580426551E-9</v>
      </c>
      <c r="O36" s="46">
        <f>ABS(N36-N35)</f>
        <v>3.8237941701879663E-9</v>
      </c>
    </row>
    <row r="37" spans="8:15" x14ac:dyDescent="0.2">
      <c r="H37" s="44">
        <v>15</v>
      </c>
      <c r="I37" s="45">
        <f t="shared" ref="I37:I38" si="7">I36</f>
        <v>-3.5</v>
      </c>
      <c r="J37" s="45">
        <f t="shared" ref="J37:J38" si="8">M36</f>
        <v>-3.1037336810577552</v>
      </c>
      <c r="K37" s="45">
        <f t="shared" ref="K37:K38" si="9">I37^3+3*I37^2-COS(I37)</f>
        <v>-5.1885433127092035</v>
      </c>
      <c r="L37" s="45">
        <f t="shared" ref="L37:L38" si="10">J37^3+3*J37^2-COS(J37)</f>
        <v>1.0659405580426551E-9</v>
      </c>
      <c r="M37" s="42">
        <f t="shared" ref="M37:M38" si="11">J37-((L37*(J37-I37))/(L37-K37))</f>
        <v>-3.1037336811391647</v>
      </c>
      <c r="N37" s="45">
        <f t="shared" si="5"/>
        <v>2.3236845780871818E-10</v>
      </c>
      <c r="O37" s="46">
        <f t="shared" si="6"/>
        <v>8.3357210023393691E-10</v>
      </c>
    </row>
    <row r="38" spans="8:15" x14ac:dyDescent="0.2">
      <c r="H38" s="44">
        <v>16</v>
      </c>
      <c r="I38" s="45">
        <f t="shared" si="7"/>
        <v>-3.5</v>
      </c>
      <c r="J38" s="45">
        <f t="shared" si="8"/>
        <v>-3.1037336811391647</v>
      </c>
      <c r="K38" s="45">
        <f t="shared" si="9"/>
        <v>-5.1885433127092035</v>
      </c>
      <c r="L38" s="45">
        <f t="shared" si="10"/>
        <v>2.3236845780871818E-10</v>
      </c>
      <c r="M38" s="47">
        <f t="shared" si="11"/>
        <v>-3.1037336811569114</v>
      </c>
      <c r="N38" s="45">
        <f t="shared" si="5"/>
        <v>5.065803332371388E-11</v>
      </c>
      <c r="O38" s="46">
        <f t="shared" si="6"/>
        <v>1.817104244850043E-10</v>
      </c>
    </row>
    <row r="40" spans="8:15" x14ac:dyDescent="0.2">
      <c r="H40" s="43" t="s">
        <v>33</v>
      </c>
      <c r="I40" s="42">
        <v>-1</v>
      </c>
      <c r="J40" s="43" t="s">
        <v>32</v>
      </c>
      <c r="K40" s="42">
        <v>0</v>
      </c>
      <c r="L40" s="41"/>
      <c r="M40" s="41"/>
      <c r="N40" s="41"/>
      <c r="O40" s="41"/>
    </row>
    <row r="41" spans="8:15" x14ac:dyDescent="0.2">
      <c r="H41" s="41"/>
      <c r="I41" s="41"/>
      <c r="J41" s="41"/>
      <c r="K41" s="41"/>
      <c r="L41" s="41"/>
      <c r="M41" s="41"/>
      <c r="N41" s="41"/>
      <c r="O41" s="41"/>
    </row>
    <row r="42" spans="8:15" x14ac:dyDescent="0.2">
      <c r="H42" s="43" t="s">
        <v>16</v>
      </c>
      <c r="I42" s="43" t="s">
        <v>34</v>
      </c>
      <c r="J42" s="43" t="s">
        <v>32</v>
      </c>
      <c r="K42" s="43" t="s">
        <v>35</v>
      </c>
      <c r="L42" s="43" t="s">
        <v>36</v>
      </c>
      <c r="M42" s="43" t="s">
        <v>37</v>
      </c>
      <c r="N42" s="43" t="s">
        <v>38</v>
      </c>
      <c r="O42" s="43" t="s">
        <v>10</v>
      </c>
    </row>
    <row r="43" spans="8:15" x14ac:dyDescent="0.2">
      <c r="H43" s="44">
        <v>0</v>
      </c>
      <c r="I43" s="45">
        <f>I40</f>
        <v>-1</v>
      </c>
      <c r="J43" s="45">
        <f>K40</f>
        <v>0</v>
      </c>
      <c r="K43" s="45">
        <f>I43^3+3*I43^2-COS(I43)</f>
        <v>1.4596976941318602</v>
      </c>
      <c r="L43" s="45">
        <f>J43^3+3*J43^2-COS(J43)</f>
        <v>-1</v>
      </c>
      <c r="M43" s="42">
        <f>J43-((L43*(J43-I43))/(L43-K43))</f>
        <v>-0.40655402588119499</v>
      </c>
      <c r="N43" s="45">
        <f>M43^3+3*M43^2-COS(M43)</f>
        <v>-0.48982820462516147</v>
      </c>
      <c r="O43" s="45"/>
    </row>
    <row r="44" spans="8:15" x14ac:dyDescent="0.2">
      <c r="H44" s="44">
        <v>1</v>
      </c>
      <c r="I44" s="45">
        <f>I43</f>
        <v>-1</v>
      </c>
      <c r="J44" s="45">
        <f>M43</f>
        <v>-0.40655402588119499</v>
      </c>
      <c r="K44" s="45">
        <f>I44^3+3*I44^2-COS(I44)</f>
        <v>1.4596976941318602</v>
      </c>
      <c r="L44" s="45">
        <f>J44^3+3*J44^2-COS(J44)</f>
        <v>-0.48982820462516147</v>
      </c>
      <c r="M44" s="42">
        <f>J44-((L44*(J44-I44))/(L44-K44))</f>
        <v>-0.55566031691840567</v>
      </c>
      <c r="N44" s="45">
        <f>M44^3+3*M44^2-COS(M44)</f>
        <v>-9.4841925654217341E-2</v>
      </c>
      <c r="O44" s="46">
        <f>ABS(N44-N43)</f>
        <v>0.39498627897094413</v>
      </c>
    </row>
    <row r="45" spans="8:15" x14ac:dyDescent="0.2">
      <c r="H45" s="44">
        <v>2</v>
      </c>
      <c r="I45" s="45">
        <f t="shared" ref="I45:I53" si="12">I44</f>
        <v>-1</v>
      </c>
      <c r="J45" s="45">
        <f t="shared" ref="J45:J53" si="13">M44</f>
        <v>-0.55566031691840567</v>
      </c>
      <c r="K45" s="45">
        <f t="shared" ref="K45:K53" si="14">I45^3+3*I45^2-COS(I45)</f>
        <v>1.4596976941318602</v>
      </c>
      <c r="L45" s="45">
        <f t="shared" ref="L45:L53" si="15">J45^3+3*J45^2-COS(J45)</f>
        <v>-9.4841925654217341E-2</v>
      </c>
      <c r="M45" s="42">
        <f t="shared" ref="M45:M53" si="16">J45-((L45*(J45-I45))/(L45-K45))</f>
        <v>-0.58276932761949174</v>
      </c>
      <c r="N45" s="45">
        <f t="shared" ref="N45:N55" si="17">M45^3+3*M45^2-COS(M45)</f>
        <v>-1.4001689938518469E-2</v>
      </c>
      <c r="O45" s="46">
        <f t="shared" ref="O45:O55" si="18">ABS(N45-N44)</f>
        <v>8.0840235715698872E-2</v>
      </c>
    </row>
    <row r="46" spans="8:15" x14ac:dyDescent="0.2">
      <c r="H46" s="44">
        <v>3</v>
      </c>
      <c r="I46" s="45">
        <f t="shared" si="12"/>
        <v>-1</v>
      </c>
      <c r="J46" s="45">
        <f t="shared" si="13"/>
        <v>-0.58276932761949174</v>
      </c>
      <c r="K46" s="45">
        <f t="shared" si="14"/>
        <v>1.4596976941318602</v>
      </c>
      <c r="L46" s="45">
        <f t="shared" si="15"/>
        <v>-1.4001689938518469E-2</v>
      </c>
      <c r="M46" s="42">
        <f t="shared" si="16"/>
        <v>-0.58673345664788012</v>
      </c>
      <c r="N46" s="45">
        <f t="shared" si="17"/>
        <v>-1.9717729905893711E-3</v>
      </c>
      <c r="O46" s="46">
        <f t="shared" si="18"/>
        <v>1.2029916947929098E-2</v>
      </c>
    </row>
    <row r="47" spans="8:15" x14ac:dyDescent="0.2">
      <c r="H47" s="44">
        <v>4</v>
      </c>
      <c r="I47" s="45">
        <f t="shared" si="12"/>
        <v>-1</v>
      </c>
      <c r="J47" s="45">
        <f t="shared" si="13"/>
        <v>-0.58673345664788012</v>
      </c>
      <c r="K47" s="45">
        <f t="shared" si="14"/>
        <v>1.4596976941318602</v>
      </c>
      <c r="L47" s="45">
        <f t="shared" si="15"/>
        <v>-1.9717729905893711E-3</v>
      </c>
      <c r="M47" s="42">
        <f t="shared" si="16"/>
        <v>-0.58729094780879232</v>
      </c>
      <c r="N47" s="45">
        <f t="shared" si="17"/>
        <v>-2.757739314390717E-4</v>
      </c>
      <c r="O47" s="46">
        <f t="shared" si="18"/>
        <v>1.6959990591502994E-3</v>
      </c>
    </row>
    <row r="48" spans="8:15" x14ac:dyDescent="0.2">
      <c r="H48" s="44">
        <v>5</v>
      </c>
      <c r="I48" s="45">
        <f t="shared" si="12"/>
        <v>-1</v>
      </c>
      <c r="J48" s="45">
        <f t="shared" si="13"/>
        <v>-0.58729094780879232</v>
      </c>
      <c r="K48" s="45">
        <f t="shared" si="14"/>
        <v>1.4596976941318602</v>
      </c>
      <c r="L48" s="45">
        <f t="shared" si="15"/>
        <v>-2.757739314390717E-4</v>
      </c>
      <c r="M48" s="42">
        <f t="shared" si="16"/>
        <v>-0.58736890429249078</v>
      </c>
      <c r="N48" s="45">
        <f t="shared" si="17"/>
        <v>-3.8532815821334943E-5</v>
      </c>
      <c r="O48" s="46">
        <f t="shared" si="18"/>
        <v>2.3724111561773675E-4</v>
      </c>
    </row>
    <row r="49" spans="8:15" x14ac:dyDescent="0.2">
      <c r="H49" s="44">
        <v>6</v>
      </c>
      <c r="I49" s="45">
        <f t="shared" si="12"/>
        <v>-1</v>
      </c>
      <c r="J49" s="45">
        <f t="shared" si="13"/>
        <v>-0.58736890429249078</v>
      </c>
      <c r="K49" s="45">
        <f t="shared" si="14"/>
        <v>1.4596976941318602</v>
      </c>
      <c r="L49" s="45">
        <f t="shared" si="15"/>
        <v>-3.8532815821334943E-5</v>
      </c>
      <c r="M49" s="42">
        <f t="shared" si="16"/>
        <v>-0.58737979656036732</v>
      </c>
      <c r="N49" s="45">
        <f t="shared" si="17"/>
        <v>-5.3833142504844389E-6</v>
      </c>
      <c r="O49" s="46">
        <f t="shared" si="18"/>
        <v>3.3149501570850504E-5</v>
      </c>
    </row>
    <row r="50" spans="8:15" x14ac:dyDescent="0.2">
      <c r="H50" s="44">
        <v>7</v>
      </c>
      <c r="I50" s="45">
        <f t="shared" si="12"/>
        <v>-1</v>
      </c>
      <c r="J50" s="45">
        <f t="shared" si="13"/>
        <v>-0.58737979656036732</v>
      </c>
      <c r="K50" s="45">
        <f t="shared" si="14"/>
        <v>1.4596976941318602</v>
      </c>
      <c r="L50" s="45">
        <f t="shared" si="15"/>
        <v>-5.3833142504844389E-6</v>
      </c>
      <c r="M50" s="42">
        <f t="shared" si="16"/>
        <v>-0.58738131828369278</v>
      </c>
      <c r="N50" s="45">
        <f t="shared" si="17"/>
        <v>-7.5207393535059452E-7</v>
      </c>
      <c r="O50" s="46">
        <f t="shared" si="18"/>
        <v>4.6312403151338444E-6</v>
      </c>
    </row>
    <row r="51" spans="8:15" x14ac:dyDescent="0.2">
      <c r="H51" s="44">
        <v>8</v>
      </c>
      <c r="I51" s="45">
        <f t="shared" si="12"/>
        <v>-1</v>
      </c>
      <c r="J51" s="45">
        <f t="shared" si="13"/>
        <v>-0.58738131828369278</v>
      </c>
      <c r="K51" s="45">
        <f t="shared" si="14"/>
        <v>1.4596976941318602</v>
      </c>
      <c r="L51" s="45">
        <f t="shared" si="15"/>
        <v>-7.5207393535059452E-7</v>
      </c>
      <c r="M51" s="42">
        <f t="shared" si="16"/>
        <v>-0.58738153087538014</v>
      </c>
      <c r="N51" s="45">
        <f t="shared" si="17"/>
        <v>-1.0506793590714381E-7</v>
      </c>
      <c r="O51" s="46">
        <f t="shared" si="18"/>
        <v>6.4700599944345072E-7</v>
      </c>
    </row>
    <row r="52" spans="8:15" x14ac:dyDescent="0.2">
      <c r="H52" s="44">
        <v>9</v>
      </c>
      <c r="I52" s="45">
        <f t="shared" si="12"/>
        <v>-1</v>
      </c>
      <c r="J52" s="45">
        <f t="shared" si="13"/>
        <v>-0.58738153087538014</v>
      </c>
      <c r="K52" s="45">
        <f t="shared" si="14"/>
        <v>1.4596976941318602</v>
      </c>
      <c r="L52" s="45">
        <f t="shared" si="15"/>
        <v>-1.0506793590714381E-7</v>
      </c>
      <c r="M52" s="42">
        <f t="shared" si="16"/>
        <v>-0.5873815605753433</v>
      </c>
      <c r="N52" s="45">
        <f t="shared" si="17"/>
        <v>-1.4678433246650968E-8</v>
      </c>
      <c r="O52" s="46">
        <f t="shared" si="18"/>
        <v>9.0389502660492838E-8</v>
      </c>
    </row>
    <row r="53" spans="8:15" x14ac:dyDescent="0.2">
      <c r="H53" s="44">
        <v>10</v>
      </c>
      <c r="I53" s="45">
        <f t="shared" si="12"/>
        <v>-1</v>
      </c>
      <c r="J53" s="45">
        <f t="shared" si="13"/>
        <v>-0.5873815605753433</v>
      </c>
      <c r="K53" s="45">
        <f t="shared" si="14"/>
        <v>1.4596976941318602</v>
      </c>
      <c r="L53" s="45">
        <f t="shared" si="15"/>
        <v>-1.4678433246650968E-8</v>
      </c>
      <c r="M53" s="42">
        <f t="shared" si="16"/>
        <v>-0.58738156472455327</v>
      </c>
      <c r="N53" s="45">
        <f t="shared" si="17"/>
        <v>-2.05063854785692E-9</v>
      </c>
      <c r="O53" s="46">
        <f t="shared" si="18"/>
        <v>1.2627794698794048E-8</v>
      </c>
    </row>
    <row r="54" spans="8:15" x14ac:dyDescent="0.2">
      <c r="H54" s="44">
        <v>11</v>
      </c>
      <c r="I54" s="45">
        <f>I53</f>
        <v>-1</v>
      </c>
      <c r="J54" s="45">
        <f>M53</f>
        <v>-0.58738156472455327</v>
      </c>
      <c r="K54" s="45">
        <f>I54^3+3*I54^2-COS(I54)</f>
        <v>1.4596976941318602</v>
      </c>
      <c r="L54" s="45">
        <f>J54^3+3*J54^2-COS(J54)</f>
        <v>-2.05063854785692E-9</v>
      </c>
      <c r="M54" s="42">
        <f>J54-((L54*(J54-I54))/(L54-K54))</f>
        <v>-0.58738156530421526</v>
      </c>
      <c r="N54" s="45">
        <f>M54^3+3*M54^2-COS(M54)</f>
        <v>-2.8648283745269509E-10</v>
      </c>
      <c r="O54" s="46">
        <f>ABS(N54-N53)</f>
        <v>1.7641557104042249E-9</v>
      </c>
    </row>
    <row r="55" spans="8:15" x14ac:dyDescent="0.2">
      <c r="H55" s="44">
        <v>12</v>
      </c>
      <c r="I55" s="45">
        <f t="shared" ref="I55" si="19">I54</f>
        <v>-1</v>
      </c>
      <c r="J55" s="45">
        <f t="shared" ref="J55" si="20">M54</f>
        <v>-0.58738156530421526</v>
      </c>
      <c r="K55" s="45">
        <f t="shared" ref="K55" si="21">I55^3+3*I55^2-COS(I55)</f>
        <v>1.4596976941318602</v>
      </c>
      <c r="L55" s="45">
        <f t="shared" ref="L55" si="22">J55^3+3*J55^2-COS(J55)</f>
        <v>-2.8648283745269509E-10</v>
      </c>
      <c r="M55" s="47">
        <f t="shared" ref="M55" si="23">J55-((L55*(J55-I55))/(L55-K55))</f>
        <v>-0.58738156538519648</v>
      </c>
      <c r="N55" s="45">
        <f t="shared" si="17"/>
        <v>-4.0022984926224581E-11</v>
      </c>
      <c r="O55" s="46">
        <f t="shared" si="18"/>
        <v>2.4645985252647051E-10</v>
      </c>
    </row>
    <row r="57" spans="8:15" x14ac:dyDescent="0.2">
      <c r="H57" s="43" t="s">
        <v>33</v>
      </c>
      <c r="I57" s="42">
        <v>0.3</v>
      </c>
      <c r="J57" s="43" t="s">
        <v>32</v>
      </c>
      <c r="K57" s="42">
        <v>1</v>
      </c>
      <c r="L57" s="41"/>
      <c r="M57" s="41"/>
      <c r="N57" s="41"/>
      <c r="O57" s="41"/>
    </row>
    <row r="58" spans="8:15" x14ac:dyDescent="0.2">
      <c r="H58" s="41"/>
      <c r="I58" s="41"/>
      <c r="J58" s="41"/>
      <c r="K58" s="41"/>
      <c r="L58" s="41"/>
      <c r="M58" s="41"/>
      <c r="N58" s="41"/>
      <c r="O58" s="41"/>
    </row>
    <row r="59" spans="8:15" x14ac:dyDescent="0.2">
      <c r="H59" s="43" t="s">
        <v>16</v>
      </c>
      <c r="I59" s="43" t="s">
        <v>34</v>
      </c>
      <c r="J59" s="43" t="s">
        <v>32</v>
      </c>
      <c r="K59" s="43" t="s">
        <v>35</v>
      </c>
      <c r="L59" s="43" t="s">
        <v>36</v>
      </c>
      <c r="M59" s="43" t="s">
        <v>37</v>
      </c>
      <c r="N59" s="43" t="s">
        <v>38</v>
      </c>
      <c r="O59" s="43" t="s">
        <v>10</v>
      </c>
    </row>
    <row r="60" spans="8:15" x14ac:dyDescent="0.2">
      <c r="H60" s="44">
        <v>0</v>
      </c>
      <c r="I60" s="45">
        <f>I57</f>
        <v>0.3</v>
      </c>
      <c r="J60" s="45">
        <f>K57</f>
        <v>1</v>
      </c>
      <c r="K60" s="45">
        <f>I60^3+3*I60^2-COS(I60)</f>
        <v>-0.65833648912560594</v>
      </c>
      <c r="L60" s="45">
        <f>J60^3+3*J60^2-COS(J60)</f>
        <v>3.4596976941318602</v>
      </c>
      <c r="M60" s="42">
        <f>J60-((L60*(J60-I60))/(L60-K60))</f>
        <v>0.41190668214011572</v>
      </c>
      <c r="N60" s="45">
        <f>M60^3+3*M60^2-COS(M60)</f>
        <v>-0.33747077222651178</v>
      </c>
      <c r="O60" s="45"/>
    </row>
    <row r="61" spans="8:15" x14ac:dyDescent="0.2">
      <c r="H61" s="44">
        <v>1</v>
      </c>
      <c r="I61" s="45">
        <f>I60</f>
        <v>0.3</v>
      </c>
      <c r="J61" s="45">
        <f>M60</f>
        <v>0.41190668214011572</v>
      </c>
      <c r="K61" s="45">
        <f>I61^3+3*I61^2-COS(I61)</f>
        <v>-0.65833648912560594</v>
      </c>
      <c r="L61" s="45">
        <f>J61^3+3*J61^2-COS(J61)</f>
        <v>-0.33747077222651178</v>
      </c>
      <c r="M61" s="42">
        <f>J61-((L61*(J61-I61))/(L61-K61))</f>
        <v>0.52960462383392426</v>
      </c>
      <c r="N61" s="45">
        <f>M61^3+3*M61^2-COS(M61)</f>
        <v>0.12698035884851111</v>
      </c>
      <c r="O61" s="46">
        <f>ABS(N61-N60)</f>
        <v>0.46445113107502289</v>
      </c>
    </row>
    <row r="62" spans="8:15" x14ac:dyDescent="0.2">
      <c r="H62" s="44">
        <v>2</v>
      </c>
      <c r="I62" s="45">
        <f t="shared" ref="I62:I74" si="24">I61</f>
        <v>0.3</v>
      </c>
      <c r="J62" s="45">
        <f t="shared" ref="J62:J74" si="25">M61</f>
        <v>0.52960462383392426</v>
      </c>
      <c r="K62" s="45">
        <f t="shared" ref="K62:K74" si="26">I62^3+3*I62^2-COS(I62)</f>
        <v>-0.65833648912560594</v>
      </c>
      <c r="L62" s="45">
        <f t="shared" ref="L62:L74" si="27">J62^3+3*J62^2-COS(J62)</f>
        <v>0.12698035884851111</v>
      </c>
      <c r="M62" s="42">
        <f t="shared" ref="M62:M74" si="28">J62-((L62*(J62-I62))/(L62-K62))</f>
        <v>0.49247912779634273</v>
      </c>
      <c r="N62" s="45">
        <f t="shared" ref="N62:N78" si="29">M62^3+3*M62^2-COS(M62)</f>
        <v>-3.4112566980357584E-2</v>
      </c>
      <c r="O62" s="46">
        <f t="shared" ref="O62:O78" si="30">ABS(N62-N61)</f>
        <v>0.16109292582886869</v>
      </c>
    </row>
    <row r="63" spans="8:15" x14ac:dyDescent="0.2">
      <c r="H63" s="44">
        <v>3</v>
      </c>
      <c r="I63" s="45">
        <f t="shared" si="24"/>
        <v>0.3</v>
      </c>
      <c r="J63" s="45">
        <f t="shared" si="25"/>
        <v>0.49247912779634273</v>
      </c>
      <c r="K63" s="45">
        <f t="shared" si="26"/>
        <v>-0.65833648912560594</v>
      </c>
      <c r="L63" s="45">
        <f t="shared" si="27"/>
        <v>-3.4112566980357584E-2</v>
      </c>
      <c r="M63" s="42">
        <f t="shared" si="28"/>
        <v>0.50299772041405044</v>
      </c>
      <c r="N63" s="45">
        <f t="shared" si="29"/>
        <v>1.0140479766250543E-2</v>
      </c>
      <c r="O63" s="46">
        <f t="shared" si="30"/>
        <v>4.4253046746608127E-2</v>
      </c>
    </row>
    <row r="64" spans="8:15" x14ac:dyDescent="0.2">
      <c r="H64" s="44">
        <v>4</v>
      </c>
      <c r="I64" s="45">
        <f t="shared" si="24"/>
        <v>0.3</v>
      </c>
      <c r="J64" s="45">
        <f t="shared" si="25"/>
        <v>0.50299772041405044</v>
      </c>
      <c r="K64" s="45">
        <f t="shared" si="26"/>
        <v>-0.65833648912560594</v>
      </c>
      <c r="L64" s="45">
        <f t="shared" si="27"/>
        <v>1.0140479766250543E-2</v>
      </c>
      <c r="M64" s="42">
        <f t="shared" si="28"/>
        <v>0.49991834091072057</v>
      </c>
      <c r="N64" s="45">
        <f t="shared" si="29"/>
        <v>-2.9278999956493523E-3</v>
      </c>
      <c r="O64" s="46">
        <f t="shared" si="30"/>
        <v>1.3068379761899895E-2</v>
      </c>
    </row>
    <row r="65" spans="8:15" x14ac:dyDescent="0.2">
      <c r="H65" s="44">
        <v>5</v>
      </c>
      <c r="I65" s="45">
        <f t="shared" si="24"/>
        <v>0.3</v>
      </c>
      <c r="J65" s="45">
        <f t="shared" si="25"/>
        <v>0.49991834091072057</v>
      </c>
      <c r="K65" s="45">
        <f t="shared" si="26"/>
        <v>-0.65833648912560594</v>
      </c>
      <c r="L65" s="45">
        <f t="shared" si="27"/>
        <v>-2.9278999956493523E-3</v>
      </c>
      <c r="M65" s="42">
        <f t="shared" si="28"/>
        <v>0.50081143404253281</v>
      </c>
      <c r="N65" s="45">
        <f t="shared" si="29"/>
        <v>8.5259028823414518E-4</v>
      </c>
      <c r="O65" s="46">
        <f t="shared" si="30"/>
        <v>3.7804902838834975E-3</v>
      </c>
    </row>
    <row r="66" spans="8:15" x14ac:dyDescent="0.2">
      <c r="H66" s="44">
        <v>6</v>
      </c>
      <c r="I66" s="45">
        <f t="shared" si="24"/>
        <v>0.3</v>
      </c>
      <c r="J66" s="45">
        <f t="shared" si="25"/>
        <v>0.50081143404253281</v>
      </c>
      <c r="K66" s="45">
        <f t="shared" si="26"/>
        <v>-0.65833648912560594</v>
      </c>
      <c r="L66" s="45">
        <f t="shared" si="27"/>
        <v>8.5259028823414518E-4</v>
      </c>
      <c r="M66" s="42">
        <f t="shared" si="28"/>
        <v>0.50055170601642041</v>
      </c>
      <c r="N66" s="45">
        <f t="shared" si="29"/>
        <v>-2.4765895325440379E-4</v>
      </c>
      <c r="O66" s="46">
        <f t="shared" si="30"/>
        <v>1.100249241488549E-3</v>
      </c>
    </row>
    <row r="67" spans="8:15" x14ac:dyDescent="0.2">
      <c r="H67" s="44">
        <v>7</v>
      </c>
      <c r="I67" s="45">
        <f t="shared" si="24"/>
        <v>0.3</v>
      </c>
      <c r="J67" s="45">
        <f t="shared" si="25"/>
        <v>0.50055170601642041</v>
      </c>
      <c r="K67" s="45">
        <f t="shared" si="26"/>
        <v>-0.65833648912560594</v>
      </c>
      <c r="L67" s="45">
        <f t="shared" si="27"/>
        <v>-2.4765895325440379E-4</v>
      </c>
      <c r="M67" s="42">
        <f t="shared" si="28"/>
        <v>0.50062717975690674</v>
      </c>
      <c r="N67" s="45">
        <f t="shared" si="29"/>
        <v>7.199111328526353E-5</v>
      </c>
      <c r="O67" s="46">
        <f t="shared" si="30"/>
        <v>3.1965006653966732E-4</v>
      </c>
    </row>
    <row r="68" spans="8:15" x14ac:dyDescent="0.2">
      <c r="H68" s="44">
        <v>8</v>
      </c>
      <c r="I68" s="45">
        <f t="shared" si="24"/>
        <v>0.3</v>
      </c>
      <c r="J68" s="45">
        <f t="shared" si="25"/>
        <v>0.50062717975690674</v>
      </c>
      <c r="K68" s="45">
        <f t="shared" si="26"/>
        <v>-0.65833648912560594</v>
      </c>
      <c r="L68" s="45">
        <f t="shared" si="27"/>
        <v>7.199111328526353E-5</v>
      </c>
      <c r="M68" s="42">
        <f t="shared" si="28"/>
        <v>0.50060524295861286</v>
      </c>
      <c r="N68" s="45">
        <f t="shared" si="29"/>
        <v>-2.0922486888230729E-5</v>
      </c>
      <c r="O68" s="46">
        <f t="shared" si="30"/>
        <v>9.291360017349426E-5</v>
      </c>
    </row>
    <row r="69" spans="8:15" x14ac:dyDescent="0.2">
      <c r="H69" s="44">
        <v>9</v>
      </c>
      <c r="I69" s="45">
        <f t="shared" si="24"/>
        <v>0.3</v>
      </c>
      <c r="J69" s="45">
        <f t="shared" si="25"/>
        <v>0.50060524295861286</v>
      </c>
      <c r="K69" s="45">
        <f t="shared" si="26"/>
        <v>-0.65833648912560594</v>
      </c>
      <c r="L69" s="45">
        <f t="shared" si="27"/>
        <v>-2.0922486888230729E-5</v>
      </c>
      <c r="M69" s="42">
        <f t="shared" si="28"/>
        <v>0.50061161856444414</v>
      </c>
      <c r="N69" s="45">
        <f t="shared" si="29"/>
        <v>6.080986029166624E-6</v>
      </c>
      <c r="O69" s="46">
        <f t="shared" si="30"/>
        <v>2.7003472917397353E-5</v>
      </c>
    </row>
    <row r="70" spans="8:15" x14ac:dyDescent="0.2">
      <c r="H70" s="44">
        <v>10</v>
      </c>
      <c r="I70" s="45">
        <f t="shared" si="24"/>
        <v>0.3</v>
      </c>
      <c r="J70" s="45">
        <f t="shared" si="25"/>
        <v>0.50061161856444414</v>
      </c>
      <c r="K70" s="45">
        <f t="shared" si="26"/>
        <v>-0.65833648912560594</v>
      </c>
      <c r="L70" s="45">
        <f t="shared" si="27"/>
        <v>6.080986029166624E-6</v>
      </c>
      <c r="M70" s="42">
        <f t="shared" si="28"/>
        <v>0.50060976555279768</v>
      </c>
      <c r="N70" s="45">
        <f t="shared" si="29"/>
        <v>-1.7673683240237992E-6</v>
      </c>
      <c r="O70" s="46">
        <f t="shared" si="30"/>
        <v>7.8483543531904232E-6</v>
      </c>
    </row>
    <row r="71" spans="8:15" x14ac:dyDescent="0.2">
      <c r="H71" s="44">
        <v>11</v>
      </c>
      <c r="I71" s="45">
        <f t="shared" si="24"/>
        <v>0.3</v>
      </c>
      <c r="J71" s="45">
        <f t="shared" si="25"/>
        <v>0.50060976555279768</v>
      </c>
      <c r="K71" s="45">
        <f t="shared" si="26"/>
        <v>-0.65833648912560594</v>
      </c>
      <c r="L71" s="45">
        <f t="shared" si="27"/>
        <v>-1.7673683240237992E-6</v>
      </c>
      <c r="M71" s="42">
        <f t="shared" si="28"/>
        <v>0.50061030411066709</v>
      </c>
      <c r="N71" s="45">
        <f t="shared" si="29"/>
        <v>5.136678077333201E-7</v>
      </c>
      <c r="O71" s="46">
        <f t="shared" si="30"/>
        <v>2.2810361317571193E-6</v>
      </c>
    </row>
    <row r="72" spans="8:15" x14ac:dyDescent="0.2">
      <c r="H72" s="44">
        <v>12</v>
      </c>
      <c r="I72" s="45">
        <f t="shared" si="24"/>
        <v>0.3</v>
      </c>
      <c r="J72" s="45">
        <f t="shared" si="25"/>
        <v>0.50061030411066709</v>
      </c>
      <c r="K72" s="45">
        <f t="shared" si="26"/>
        <v>-0.65833648912560594</v>
      </c>
      <c r="L72" s="45">
        <f t="shared" si="27"/>
        <v>5.136678077333201E-7</v>
      </c>
      <c r="M72" s="42">
        <f t="shared" si="28"/>
        <v>0.50061014758436717</v>
      </c>
      <c r="N72" s="45">
        <f t="shared" si="29"/>
        <v>-1.4929215474968061E-7</v>
      </c>
      <c r="O72" s="46">
        <f t="shared" si="30"/>
        <v>6.6295996248300071E-7</v>
      </c>
    </row>
    <row r="73" spans="8:15" x14ac:dyDescent="0.2">
      <c r="H73" s="44">
        <v>13</v>
      </c>
      <c r="I73" s="45">
        <f t="shared" si="24"/>
        <v>0.3</v>
      </c>
      <c r="J73" s="45">
        <f t="shared" si="25"/>
        <v>0.50061014758436717</v>
      </c>
      <c r="K73" s="45">
        <f t="shared" si="26"/>
        <v>-0.65833648912560594</v>
      </c>
      <c r="L73" s="45">
        <f t="shared" si="27"/>
        <v>-1.4929215474968061E-7</v>
      </c>
      <c r="M73" s="42">
        <f t="shared" si="28"/>
        <v>0.50061019307710297</v>
      </c>
      <c r="N73" s="45">
        <f t="shared" si="29"/>
        <v>4.3390215753724704E-8</v>
      </c>
      <c r="O73" s="46">
        <f t="shared" si="30"/>
        <v>1.9268237050340531E-7</v>
      </c>
    </row>
    <row r="74" spans="8:15" x14ac:dyDescent="0.2">
      <c r="H74" s="44">
        <v>14</v>
      </c>
      <c r="I74" s="45">
        <f t="shared" si="24"/>
        <v>0.3</v>
      </c>
      <c r="J74" s="45">
        <f t="shared" si="25"/>
        <v>0.50061019307710297</v>
      </c>
      <c r="K74" s="45">
        <f t="shared" si="26"/>
        <v>-0.65833648912560594</v>
      </c>
      <c r="L74" s="45">
        <f t="shared" si="27"/>
        <v>4.3390215753724704E-8</v>
      </c>
      <c r="M74" s="42">
        <f t="shared" si="28"/>
        <v>0.50061017985511225</v>
      </c>
      <c r="N74" s="45">
        <f t="shared" si="29"/>
        <v>-1.2610914201793832E-8</v>
      </c>
      <c r="O74" s="46">
        <f t="shared" si="30"/>
        <v>5.6001129955518536E-8</v>
      </c>
    </row>
    <row r="75" spans="8:15" x14ac:dyDescent="0.2">
      <c r="H75" s="44">
        <v>15</v>
      </c>
      <c r="I75" s="45">
        <f>I74</f>
        <v>0.3</v>
      </c>
      <c r="J75" s="45">
        <f>M74</f>
        <v>0.50061017985511225</v>
      </c>
      <c r="K75" s="45">
        <f>I75^3+3*I75^2-COS(I75)</f>
        <v>-0.65833648912560594</v>
      </c>
      <c r="L75" s="45">
        <f>J75^3+3*J75^2-COS(J75)</f>
        <v>-1.2610914201793832E-8</v>
      </c>
      <c r="M75" s="42">
        <f>J75-((L75*(J75-I75))/(L75-K75))</f>
        <v>0.50061018369794619</v>
      </c>
      <c r="N75" s="45">
        <f>M75^3+3*M75^2-COS(M75)</f>
        <v>3.6652308965656744E-9</v>
      </c>
      <c r="O75" s="46">
        <f>ABS(N75-N74)</f>
        <v>1.6276145098359507E-8</v>
      </c>
    </row>
    <row r="76" spans="8:15" x14ac:dyDescent="0.2">
      <c r="H76" s="44">
        <v>16</v>
      </c>
      <c r="I76" s="45">
        <f t="shared" ref="I76:I78" si="31">I75</f>
        <v>0.3</v>
      </c>
      <c r="J76" s="45">
        <f t="shared" ref="J76:J78" si="32">M75</f>
        <v>0.50061018369794619</v>
      </c>
      <c r="K76" s="45">
        <f t="shared" ref="K76:K78" si="33">I76^3+3*I76^2-COS(I76)</f>
        <v>-0.65833648912560594</v>
      </c>
      <c r="L76" s="45">
        <f t="shared" ref="L76:L78" si="34">J76^3+3*J76^2-COS(J76)</f>
        <v>3.6652308965656744E-9</v>
      </c>
      <c r="M76" s="42">
        <f t="shared" ref="M76:M78" si="35">J76-((L76*(J76-I76))/(L76-K76))</f>
        <v>0.50061018258106649</v>
      </c>
      <c r="N76" s="45">
        <f t="shared" si="29"/>
        <v>-1.0652613235961894E-9</v>
      </c>
      <c r="O76" s="46">
        <f t="shared" si="30"/>
        <v>4.7304922201618638E-9</v>
      </c>
    </row>
    <row r="77" spans="8:15" x14ac:dyDescent="0.2">
      <c r="H77" s="44">
        <v>17</v>
      </c>
      <c r="I77" s="45">
        <f t="shared" si="31"/>
        <v>0.3</v>
      </c>
      <c r="J77" s="45">
        <f t="shared" si="32"/>
        <v>0.50061018258106649</v>
      </c>
      <c r="K77" s="45">
        <f t="shared" si="33"/>
        <v>-0.65833648912560594</v>
      </c>
      <c r="L77" s="45">
        <f t="shared" si="34"/>
        <v>-1.0652613235961894E-9</v>
      </c>
      <c r="M77" s="42">
        <f t="shared" si="35"/>
        <v>0.50061018290567594</v>
      </c>
      <c r="N77" s="45">
        <f t="shared" si="29"/>
        <v>3.096070066987977E-10</v>
      </c>
      <c r="O77" s="46">
        <f t="shared" si="30"/>
        <v>1.3748683302949871E-9</v>
      </c>
    </row>
    <row r="78" spans="8:15" x14ac:dyDescent="0.2">
      <c r="H78" s="44">
        <v>18</v>
      </c>
      <c r="I78" s="45">
        <f t="shared" si="31"/>
        <v>0.3</v>
      </c>
      <c r="J78" s="45">
        <f t="shared" si="32"/>
        <v>0.50061018290567594</v>
      </c>
      <c r="K78" s="45">
        <f t="shared" si="33"/>
        <v>-0.65833648912560594</v>
      </c>
      <c r="L78" s="45">
        <f t="shared" si="34"/>
        <v>3.096070066987977E-10</v>
      </c>
      <c r="M78" s="47">
        <f t="shared" si="35"/>
        <v>0.50061018281133163</v>
      </c>
      <c r="N78" s="45">
        <f t="shared" si="29"/>
        <v>-8.9983909212776325E-11</v>
      </c>
      <c r="O78" s="46">
        <f t="shared" si="30"/>
        <v>3.9959091591157403E-10</v>
      </c>
    </row>
    <row r="85" spans="1:17" x14ac:dyDescent="0.2">
      <c r="A85" s="39" t="s">
        <v>33</v>
      </c>
      <c r="B85" s="42">
        <v>0.3</v>
      </c>
      <c r="C85" s="39" t="s">
        <v>32</v>
      </c>
      <c r="D85" s="42">
        <v>1</v>
      </c>
      <c r="E85" s="41"/>
      <c r="F85" s="41"/>
      <c r="G85" s="41"/>
      <c r="H85" s="41"/>
      <c r="J85" s="40" t="s">
        <v>33</v>
      </c>
      <c r="K85" s="42">
        <v>0.3</v>
      </c>
      <c r="L85" s="40" t="s">
        <v>32</v>
      </c>
      <c r="M85" s="42">
        <v>1</v>
      </c>
      <c r="N85" s="41"/>
      <c r="O85" s="41"/>
      <c r="P85" s="41"/>
      <c r="Q85" s="41"/>
    </row>
    <row r="86" spans="1:17" x14ac:dyDescent="0.2">
      <c r="A86" s="41"/>
      <c r="B86" s="41"/>
      <c r="C86" s="41"/>
      <c r="D86" s="41"/>
      <c r="E86" s="41"/>
      <c r="F86" s="41"/>
      <c r="G86" s="41"/>
      <c r="H86" s="41"/>
      <c r="J86" s="41"/>
      <c r="K86" s="41"/>
      <c r="L86" s="41"/>
      <c r="M86" s="41"/>
      <c r="N86" s="41"/>
      <c r="O86" s="41"/>
      <c r="P86" s="41"/>
      <c r="Q86" s="41"/>
    </row>
    <row r="87" spans="1:17" x14ac:dyDescent="0.2">
      <c r="A87" s="39" t="s">
        <v>16</v>
      </c>
      <c r="B87" s="39" t="s">
        <v>34</v>
      </c>
      <c r="C87" s="39" t="s">
        <v>32</v>
      </c>
      <c r="D87" s="39" t="s">
        <v>35</v>
      </c>
      <c r="E87" s="39" t="s">
        <v>36</v>
      </c>
      <c r="F87" s="39" t="s">
        <v>37</v>
      </c>
      <c r="G87" s="39" t="s">
        <v>38</v>
      </c>
      <c r="H87" s="39" t="s">
        <v>10</v>
      </c>
      <c r="J87" s="40" t="s">
        <v>16</v>
      </c>
      <c r="K87" s="40" t="s">
        <v>34</v>
      </c>
      <c r="L87" s="40" t="s">
        <v>32</v>
      </c>
      <c r="M87" s="40" t="s">
        <v>35</v>
      </c>
      <c r="N87" s="40" t="s">
        <v>36</v>
      </c>
      <c r="O87" s="40" t="s">
        <v>37</v>
      </c>
      <c r="P87" s="40" t="s">
        <v>38</v>
      </c>
      <c r="Q87" s="40" t="s">
        <v>10</v>
      </c>
    </row>
    <row r="88" spans="1:17" x14ac:dyDescent="0.2">
      <c r="A88" s="44">
        <v>0</v>
      </c>
      <c r="B88" s="45">
        <f>B85</f>
        <v>0.3</v>
      </c>
      <c r="C88" s="45">
        <f>D85</f>
        <v>1</v>
      </c>
      <c r="D88" s="45"/>
      <c r="E88" s="45"/>
      <c r="F88" s="42" t="e">
        <f>C88-((E88*(C88-B88))/(E88-D88))</f>
        <v>#DIV/0!</v>
      </c>
      <c r="G88" s="45"/>
      <c r="H88" s="45"/>
      <c r="J88" s="44">
        <v>0</v>
      </c>
      <c r="K88" s="45">
        <f>K85</f>
        <v>0.3</v>
      </c>
      <c r="L88" s="45">
        <f>M85</f>
        <v>1</v>
      </c>
      <c r="M88" s="45"/>
      <c r="N88" s="45"/>
      <c r="O88" s="42" t="e">
        <f>L88-((N88*(L88-K88))/(N88-M88))</f>
        <v>#DIV/0!</v>
      </c>
      <c r="P88" s="45"/>
      <c r="Q88" s="45"/>
    </row>
    <row r="89" spans="1:17" x14ac:dyDescent="0.2">
      <c r="A89" s="44">
        <v>1</v>
      </c>
      <c r="B89" s="45">
        <f>B88</f>
        <v>0.3</v>
      </c>
      <c r="C89" s="45" t="e">
        <f>F88</f>
        <v>#DIV/0!</v>
      </c>
      <c r="D89" s="45"/>
      <c r="E89" s="45"/>
      <c r="F89" s="42" t="e">
        <f>C89-((E89*(C89-B89))/(E89-D89))</f>
        <v>#DIV/0!</v>
      </c>
      <c r="G89" s="45"/>
      <c r="H89" s="46">
        <f>ABS(G89-G88)</f>
        <v>0</v>
      </c>
      <c r="J89" s="44">
        <v>1</v>
      </c>
      <c r="K89" s="45">
        <f>K88</f>
        <v>0.3</v>
      </c>
      <c r="L89" s="45" t="e">
        <f>O88</f>
        <v>#DIV/0!</v>
      </c>
      <c r="M89" s="45"/>
      <c r="N89" s="45"/>
      <c r="O89" s="42" t="e">
        <f>L89-((N89*(L89-K89))/(N89-M89))</f>
        <v>#DIV/0!</v>
      </c>
      <c r="P89" s="45"/>
      <c r="Q89" s="46">
        <f>ABS(P89-P88)</f>
        <v>0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DB058-5E38-4C0D-9E5B-3A4268677D55}">
  <sheetPr>
    <tabColor rgb="FFFFFF00"/>
  </sheetPr>
  <dimension ref="A16:Q59"/>
  <sheetViews>
    <sheetView workbookViewId="0">
      <selection activeCell="M44" sqref="M44"/>
    </sheetView>
  </sheetViews>
  <sheetFormatPr baseColWidth="10" defaultRowHeight="15" x14ac:dyDescent="0.2"/>
  <cols>
    <col min="13" max="13" width="15.77734375" customWidth="1"/>
    <col min="16" max="16" width="12.109375" customWidth="1"/>
  </cols>
  <sheetData>
    <row r="16" spans="9:12" x14ac:dyDescent="0.2">
      <c r="I16" s="126" t="s">
        <v>39</v>
      </c>
      <c r="J16" s="126"/>
      <c r="K16" s="49" t="s">
        <v>18</v>
      </c>
      <c r="L16" s="42">
        <v>0.2</v>
      </c>
    </row>
    <row r="17" spans="9:16" x14ac:dyDescent="0.2">
      <c r="I17" s="126"/>
      <c r="J17" s="126"/>
      <c r="K17" s="49" t="s">
        <v>21</v>
      </c>
      <c r="L17" s="42">
        <v>0.4</v>
      </c>
    </row>
    <row r="18" spans="9:16" x14ac:dyDescent="0.2">
      <c r="I18" s="126"/>
      <c r="J18" s="126"/>
      <c r="K18" s="49" t="s">
        <v>40</v>
      </c>
      <c r="L18" s="42">
        <v>0.6</v>
      </c>
    </row>
    <row r="19" spans="9:16" x14ac:dyDescent="0.2">
      <c r="K19" s="50" t="s">
        <v>43</v>
      </c>
      <c r="M19" t="s">
        <v>4</v>
      </c>
    </row>
    <row r="20" spans="9:16" x14ac:dyDescent="0.2">
      <c r="I20" s="48" t="s">
        <v>16</v>
      </c>
      <c r="J20" s="48" t="s">
        <v>18</v>
      </c>
      <c r="K20" s="48" t="s">
        <v>19</v>
      </c>
      <c r="L20" s="48" t="s">
        <v>41</v>
      </c>
      <c r="M20" s="48" t="s">
        <v>44</v>
      </c>
      <c r="N20" s="48" t="s">
        <v>5</v>
      </c>
      <c r="O20" s="48" t="s">
        <v>42</v>
      </c>
      <c r="P20" s="48" t="s">
        <v>10</v>
      </c>
    </row>
    <row r="21" spans="9:16" x14ac:dyDescent="0.2">
      <c r="I21" s="44">
        <v>0</v>
      </c>
      <c r="J21" s="35">
        <f>L16</f>
        <v>0.2</v>
      </c>
      <c r="K21" s="35">
        <f>SIN(J21)+LN(J21)</f>
        <v>-1.4107685816390392</v>
      </c>
      <c r="L21" s="35"/>
      <c r="M21" s="35"/>
      <c r="N21" s="35"/>
      <c r="O21" s="35"/>
      <c r="P21" s="35"/>
    </row>
    <row r="22" spans="9:16" x14ac:dyDescent="0.2">
      <c r="I22" s="44">
        <v>1</v>
      </c>
      <c r="J22" s="35">
        <f>L17</f>
        <v>0.4</v>
      </c>
      <c r="K22" s="35">
        <f t="shared" ref="K22:K27" si="0">SIN(J22)+LN(J22)</f>
        <v>-0.52687238956550453</v>
      </c>
      <c r="L22" s="35">
        <f>(K22-K21)/(J22-J21)</f>
        <v>4.4194809603676726</v>
      </c>
      <c r="M22" s="35"/>
      <c r="N22" s="35"/>
      <c r="O22" s="35"/>
      <c r="P22" s="35"/>
    </row>
    <row r="23" spans="9:16" x14ac:dyDescent="0.2">
      <c r="I23" s="44">
        <v>2</v>
      </c>
      <c r="J23" s="35">
        <f>L18</f>
        <v>0.6</v>
      </c>
      <c r="K23" s="35">
        <f t="shared" si="0"/>
        <v>5.381684962904465E-2</v>
      </c>
      <c r="L23" s="35">
        <f>(K23-K22)/(J23-J22)</f>
        <v>2.9034461959727467</v>
      </c>
      <c r="M23" s="35">
        <f>(L23-L22)/(J23-J21)</f>
        <v>-3.790086910987315</v>
      </c>
      <c r="N23" s="35">
        <f>L23-M23*(J22-J23)</f>
        <v>2.1454288137752839</v>
      </c>
      <c r="O23" s="35">
        <f>J23-2*K23/(N23+(SIGN(N23))*SQRT(N23^2-4*M23*K23))</f>
        <v>0.57593836189048664</v>
      </c>
      <c r="P23" s="35"/>
    </row>
    <row r="24" spans="9:16" x14ac:dyDescent="0.2">
      <c r="I24" s="44">
        <v>3</v>
      </c>
      <c r="J24" s="35">
        <f>O23</f>
        <v>0.57593836189048664</v>
      </c>
      <c r="K24" s="35">
        <f t="shared" si="0"/>
        <v>-7.1326174051364877E-3</v>
      </c>
      <c r="L24" s="35">
        <f>(K24-K23)/(J24-J23)</f>
        <v>2.5330555948343068</v>
      </c>
      <c r="M24" s="35">
        <f>(L24-L23)/(J24-J22)</f>
        <v>-2.1052293380393681</v>
      </c>
      <c r="N24" s="35">
        <f>L24-M24*(J23-J24)</f>
        <v>2.5837108613037403</v>
      </c>
      <c r="O24" s="35">
        <f>J24-2*K24/(N24+(SIGN(N24))*SQRT(N24^2-4*M24*K24))</f>
        <v>0.57870520936537484</v>
      </c>
      <c r="P24" s="42">
        <f>ABS(O24-O23)</f>
        <v>2.766847474888201E-3</v>
      </c>
    </row>
    <row r="25" spans="9:16" x14ac:dyDescent="0.2">
      <c r="I25" s="44">
        <v>4</v>
      </c>
      <c r="J25" s="35">
        <f t="shared" ref="J25:J27" si="1">O24</f>
        <v>0.57870520936537484</v>
      </c>
      <c r="K25" s="35">
        <f t="shared" si="0"/>
        <v>-2.1634888998200985E-5</v>
      </c>
      <c r="L25" s="35">
        <f t="shared" ref="L25:L27" si="2">(K25-K24)/(J25-J24)</f>
        <v>2.5700666844404272</v>
      </c>
      <c r="M25" s="35">
        <f t="shared" ref="M25:M27" si="3">(L25-L24)/(J25-J23)</f>
        <v>-1.7380349138507485</v>
      </c>
      <c r="N25" s="35">
        <f t="shared" ref="N25:N27" si="4">L25-M25*(J24-J25)</f>
        <v>2.5652578069277716</v>
      </c>
      <c r="O25" s="35">
        <f t="shared" ref="O25:O27" si="5">J25-2*K25/(N25+(SIGN(N25))*SQRT(N25^2-4*M25*K25))</f>
        <v>0.5787136432204697</v>
      </c>
      <c r="P25" s="42">
        <f t="shared" ref="P25:P27" si="6">ABS(O25-O24)</f>
        <v>8.433855094858167E-6</v>
      </c>
    </row>
    <row r="26" spans="9:16" x14ac:dyDescent="0.2">
      <c r="I26" s="44">
        <v>5</v>
      </c>
      <c r="J26" s="35">
        <f t="shared" si="1"/>
        <v>0.5787136432204697</v>
      </c>
      <c r="K26" s="35">
        <f t="shared" si="0"/>
        <v>-7.676287383517888E-10</v>
      </c>
      <c r="L26" s="35">
        <f t="shared" si="2"/>
        <v>2.5651521310405507</v>
      </c>
      <c r="M26" s="35">
        <f t="shared" si="3"/>
        <v>-1.7708307070643727</v>
      </c>
      <c r="N26" s="35">
        <f t="shared" si="4"/>
        <v>2.5651371961109697</v>
      </c>
      <c r="O26" s="35">
        <f t="shared" si="5"/>
        <v>0.57871364351972421</v>
      </c>
      <c r="P26" s="42">
        <f t="shared" si="6"/>
        <v>2.9925451006107551E-10</v>
      </c>
    </row>
    <row r="27" spans="9:16" x14ac:dyDescent="0.2">
      <c r="I27" s="44">
        <v>6</v>
      </c>
      <c r="J27" s="35">
        <f t="shared" si="1"/>
        <v>0.57871364351972421</v>
      </c>
      <c r="K27" s="35">
        <f t="shared" si="0"/>
        <v>0</v>
      </c>
      <c r="L27" s="35">
        <f t="shared" si="2"/>
        <v>2.5651367399446103</v>
      </c>
      <c r="M27" s="35">
        <f t="shared" si="3"/>
        <v>-1.8248534829755509</v>
      </c>
      <c r="N27" s="35">
        <f t="shared" si="4"/>
        <v>2.5651367393985147</v>
      </c>
      <c r="O27" s="36">
        <f t="shared" si="5"/>
        <v>0.57871364351972421</v>
      </c>
      <c r="P27" s="42">
        <f t="shared" si="6"/>
        <v>0</v>
      </c>
    </row>
    <row r="51" spans="1:17" x14ac:dyDescent="0.2">
      <c r="A51" s="127" t="s">
        <v>39</v>
      </c>
      <c r="B51" s="127"/>
      <c r="C51" s="51" t="s">
        <v>18</v>
      </c>
      <c r="D51" s="42">
        <v>0.2</v>
      </c>
      <c r="E51" s="41"/>
      <c r="F51" s="41"/>
      <c r="G51" s="41"/>
      <c r="H51" s="41"/>
      <c r="J51" s="128" t="s">
        <v>39</v>
      </c>
      <c r="K51" s="128"/>
      <c r="L51" s="53" t="s">
        <v>18</v>
      </c>
      <c r="M51" s="42">
        <v>0.2</v>
      </c>
      <c r="N51" s="41"/>
      <c r="O51" s="41"/>
      <c r="P51" s="41"/>
      <c r="Q51" s="41"/>
    </row>
    <row r="52" spans="1:17" x14ac:dyDescent="0.2">
      <c r="A52" s="127"/>
      <c r="B52" s="127"/>
      <c r="C52" s="51" t="s">
        <v>21</v>
      </c>
      <c r="D52" s="42">
        <v>0.4</v>
      </c>
      <c r="E52" s="41"/>
      <c r="F52" s="41"/>
      <c r="G52" s="41"/>
      <c r="H52" s="41"/>
      <c r="J52" s="128"/>
      <c r="K52" s="128"/>
      <c r="L52" s="53" t="s">
        <v>21</v>
      </c>
      <c r="M52" s="42">
        <v>0.4</v>
      </c>
      <c r="N52" s="41"/>
      <c r="O52" s="41"/>
      <c r="P52" s="41"/>
      <c r="Q52" s="41"/>
    </row>
    <row r="53" spans="1:17" x14ac:dyDescent="0.2">
      <c r="A53" s="127"/>
      <c r="B53" s="127"/>
      <c r="C53" s="51" t="s">
        <v>40</v>
      </c>
      <c r="D53" s="42">
        <v>0.6</v>
      </c>
      <c r="E53" s="41"/>
      <c r="F53" s="41"/>
      <c r="G53" s="41"/>
      <c r="H53" s="41"/>
      <c r="J53" s="128"/>
      <c r="K53" s="128"/>
      <c r="L53" s="53" t="s">
        <v>40</v>
      </c>
      <c r="M53" s="42">
        <v>0.6</v>
      </c>
      <c r="N53" s="41"/>
      <c r="O53" s="41"/>
      <c r="P53" s="41"/>
      <c r="Q53" s="41"/>
    </row>
    <row r="54" spans="1:17" x14ac:dyDescent="0.2">
      <c r="A54" s="41"/>
      <c r="B54" s="41"/>
      <c r="C54" s="50" t="s">
        <v>43</v>
      </c>
      <c r="D54" s="41"/>
      <c r="E54" s="41" t="s">
        <v>4</v>
      </c>
      <c r="F54" s="41"/>
      <c r="G54" s="41"/>
      <c r="H54" s="41"/>
      <c r="J54" s="41"/>
      <c r="K54" s="41"/>
      <c r="L54" s="50" t="s">
        <v>43</v>
      </c>
      <c r="M54" s="41"/>
      <c r="N54" s="41" t="s">
        <v>4</v>
      </c>
      <c r="O54" s="41"/>
      <c r="P54" s="41"/>
      <c r="Q54" s="41"/>
    </row>
    <row r="55" spans="1:17" x14ac:dyDescent="0.2">
      <c r="A55" s="52" t="s">
        <v>16</v>
      </c>
      <c r="B55" s="52" t="s">
        <v>18</v>
      </c>
      <c r="C55" s="52" t="s">
        <v>19</v>
      </c>
      <c r="D55" s="52" t="s">
        <v>41</v>
      </c>
      <c r="E55" s="52" t="s">
        <v>44</v>
      </c>
      <c r="F55" s="52" t="s">
        <v>5</v>
      </c>
      <c r="G55" s="52" t="s">
        <v>42</v>
      </c>
      <c r="H55" s="52" t="s">
        <v>10</v>
      </c>
      <c r="J55" s="54" t="s">
        <v>16</v>
      </c>
      <c r="K55" s="54" t="s">
        <v>18</v>
      </c>
      <c r="L55" s="54" t="s">
        <v>19</v>
      </c>
      <c r="M55" s="54" t="s">
        <v>41</v>
      </c>
      <c r="N55" s="54" t="s">
        <v>44</v>
      </c>
      <c r="O55" s="54" t="s">
        <v>5</v>
      </c>
      <c r="P55" s="54" t="s">
        <v>42</v>
      </c>
      <c r="Q55" s="54" t="s">
        <v>10</v>
      </c>
    </row>
    <row r="56" spans="1:17" x14ac:dyDescent="0.2">
      <c r="A56" s="44">
        <v>0</v>
      </c>
      <c r="B56" s="35">
        <f>D51</f>
        <v>0.2</v>
      </c>
      <c r="C56" s="35">
        <f>SIN(B56)+LN(B56)</f>
        <v>-1.4107685816390392</v>
      </c>
      <c r="D56" s="35"/>
      <c r="E56" s="35"/>
      <c r="F56" s="35"/>
      <c r="G56" s="35"/>
      <c r="H56" s="35"/>
      <c r="J56" s="44">
        <v>0</v>
      </c>
      <c r="K56" s="35">
        <f>M51</f>
        <v>0.2</v>
      </c>
      <c r="L56" s="35">
        <f>SIN(K56)+LN(K56)</f>
        <v>-1.4107685816390392</v>
      </c>
      <c r="M56" s="35"/>
      <c r="N56" s="35"/>
      <c r="O56" s="35"/>
      <c r="P56" s="35"/>
      <c r="Q56" s="35"/>
    </row>
    <row r="57" spans="1:17" x14ac:dyDescent="0.2">
      <c r="A57" s="44">
        <v>1</v>
      </c>
      <c r="B57" s="35">
        <f>D52</f>
        <v>0.4</v>
      </c>
      <c r="C57" s="35">
        <f t="shared" ref="C57:C59" si="7">SIN(B57)+LN(B57)</f>
        <v>-0.52687238956550453</v>
      </c>
      <c r="D57" s="35">
        <f>(C57-C56)/(B57-B56)</f>
        <v>4.4194809603676726</v>
      </c>
      <c r="E57" s="35"/>
      <c r="F57" s="35"/>
      <c r="G57" s="35"/>
      <c r="H57" s="35"/>
      <c r="J57" s="44">
        <v>1</v>
      </c>
      <c r="K57" s="35">
        <f>M52</f>
        <v>0.4</v>
      </c>
      <c r="L57" s="35">
        <f t="shared" ref="L57:L59" si="8">SIN(K57)+LN(K57)</f>
        <v>-0.52687238956550453</v>
      </c>
      <c r="M57" s="35">
        <f>(L57-L56)/(K57-K56)</f>
        <v>4.4194809603676726</v>
      </c>
      <c r="N57" s="35"/>
      <c r="O57" s="35"/>
      <c r="P57" s="35"/>
      <c r="Q57" s="35"/>
    </row>
    <row r="58" spans="1:17" x14ac:dyDescent="0.2">
      <c r="A58" s="44">
        <v>2</v>
      </c>
      <c r="B58" s="35">
        <f>D53</f>
        <v>0.6</v>
      </c>
      <c r="C58" s="35">
        <f t="shared" si="7"/>
        <v>5.381684962904465E-2</v>
      </c>
      <c r="D58" s="35">
        <f>(C58-C57)/(B58-B57)</f>
        <v>2.9034461959727467</v>
      </c>
      <c r="E58" s="35">
        <f>(D58-D57)/(B58-B56)</f>
        <v>-3.790086910987315</v>
      </c>
      <c r="F58" s="35">
        <f>D58-E58*(B57-B58)</f>
        <v>2.1454288137752839</v>
      </c>
      <c r="G58" s="35">
        <f>B58-2*C58/(F58+(SIGN(F58))*SQRT(F58^2-4*E58*C58))</f>
        <v>0.57593836189048664</v>
      </c>
      <c r="H58" s="35"/>
      <c r="J58" s="44">
        <v>2</v>
      </c>
      <c r="K58" s="35">
        <f>M53</f>
        <v>0.6</v>
      </c>
      <c r="L58" s="35">
        <f t="shared" si="8"/>
        <v>5.381684962904465E-2</v>
      </c>
      <c r="M58" s="35">
        <f>(L58-L57)/(K58-K57)</f>
        <v>2.9034461959727467</v>
      </c>
      <c r="N58" s="35">
        <f>(M58-M57)/(K58-K56)</f>
        <v>-3.790086910987315</v>
      </c>
      <c r="O58" s="35">
        <f>M58-N58*(K57-K58)</f>
        <v>2.1454288137752839</v>
      </c>
      <c r="P58" s="35">
        <f>K58-2*L58/(O58+(SIGN(O58))*SQRT(O58^2-4*N58*L58))</f>
        <v>0.57593836189048664</v>
      </c>
      <c r="Q58" s="35"/>
    </row>
    <row r="59" spans="1:17" x14ac:dyDescent="0.2">
      <c r="A59" s="44">
        <v>3</v>
      </c>
      <c r="B59" s="35">
        <f>G58</f>
        <v>0.57593836189048664</v>
      </c>
      <c r="C59" s="35">
        <f t="shared" si="7"/>
        <v>-7.1326174051364877E-3</v>
      </c>
      <c r="D59" s="35">
        <f>(C59-C58)/(B59-B58)</f>
        <v>2.5330555948343068</v>
      </c>
      <c r="E59" s="35">
        <f>(D59-D58)/(B59-B57)</f>
        <v>-2.1052293380393681</v>
      </c>
      <c r="F59" s="35">
        <f>D59-E59*(B58-B59)</f>
        <v>2.5837108613037403</v>
      </c>
      <c r="G59" s="35">
        <f>B59-2*C59/(F59+(SIGN(F59))*SQRT(F59^2-4*E59*C59))</f>
        <v>0.57870520936537484</v>
      </c>
      <c r="H59" s="42">
        <f>ABS(G59-G58)</f>
        <v>2.766847474888201E-3</v>
      </c>
      <c r="J59" s="44">
        <v>3</v>
      </c>
      <c r="K59" s="35">
        <f>P58</f>
        <v>0.57593836189048664</v>
      </c>
      <c r="L59" s="35">
        <f t="shared" si="8"/>
        <v>-7.1326174051364877E-3</v>
      </c>
      <c r="M59" s="35">
        <f>(L59-L58)/(K59-K58)</f>
        <v>2.5330555948343068</v>
      </c>
      <c r="N59" s="35">
        <f>(M59-M58)/(K59-K57)</f>
        <v>-2.1052293380393681</v>
      </c>
      <c r="O59" s="35">
        <f>M59-N59*(K58-K59)</f>
        <v>2.5837108613037403</v>
      </c>
      <c r="P59" s="35">
        <f>K59-2*L59/(O59+(SIGN(O59))*SQRT(O59^2-4*N59*L59))</f>
        <v>0.57870520936537484</v>
      </c>
      <c r="Q59" s="42">
        <f>ABS(P59-P58)</f>
        <v>2.766847474888201E-3</v>
      </c>
    </row>
  </sheetData>
  <mergeCells count="3">
    <mergeCell ref="I16:J18"/>
    <mergeCell ref="A51:B53"/>
    <mergeCell ref="J51:K5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6EDA7-5950-4557-8137-EFD7E925A566}">
  <sheetPr>
    <tabColor theme="1" tint="0.499984740745262"/>
  </sheetPr>
  <dimension ref="A9:M60"/>
  <sheetViews>
    <sheetView topLeftCell="A17" workbookViewId="0">
      <selection activeCell="F62" sqref="F62"/>
    </sheetView>
  </sheetViews>
  <sheetFormatPr baseColWidth="10" defaultRowHeight="15" x14ac:dyDescent="0.2"/>
  <cols>
    <col min="2" max="2" width="12.109375" customWidth="1"/>
    <col min="10" max="10" width="12" customWidth="1"/>
    <col min="11" max="11" width="12.5546875" customWidth="1"/>
  </cols>
  <sheetData>
    <row r="9" spans="2:10" x14ac:dyDescent="0.2">
      <c r="B9" s="58" t="s">
        <v>45</v>
      </c>
      <c r="E9" s="58" t="s">
        <v>46</v>
      </c>
    </row>
    <row r="10" spans="2:10" x14ac:dyDescent="0.2">
      <c r="B10" s="44">
        <v>4</v>
      </c>
      <c r="C10" s="44">
        <v>-9</v>
      </c>
      <c r="D10" s="44">
        <v>2</v>
      </c>
      <c r="E10" s="44">
        <v>5</v>
      </c>
      <c r="H10" s="58" t="s">
        <v>47</v>
      </c>
      <c r="I10" s="55">
        <f>MDETERM(B10:D12)</f>
        <v>-20</v>
      </c>
    </row>
    <row r="11" spans="2:10" x14ac:dyDescent="0.2">
      <c r="B11" s="44">
        <v>2</v>
      </c>
      <c r="C11" s="44">
        <v>-4</v>
      </c>
      <c r="D11" s="44">
        <v>6</v>
      </c>
      <c r="E11" s="44">
        <v>3</v>
      </c>
    </row>
    <row r="12" spans="2:10" x14ac:dyDescent="0.2">
      <c r="B12" s="44">
        <v>1</v>
      </c>
      <c r="C12" s="44">
        <v>-1</v>
      </c>
      <c r="D12" s="44">
        <v>3</v>
      </c>
      <c r="E12" s="44">
        <v>4</v>
      </c>
    </row>
    <row r="14" spans="2:10" x14ac:dyDescent="0.2">
      <c r="B14" s="58" t="s">
        <v>48</v>
      </c>
      <c r="G14" s="129" t="s">
        <v>49</v>
      </c>
      <c r="H14" s="129"/>
      <c r="J14" s="58" t="s">
        <v>53</v>
      </c>
    </row>
    <row r="15" spans="2:10" x14ac:dyDescent="0.2">
      <c r="B15" s="44">
        <f>B10</f>
        <v>4</v>
      </c>
      <c r="C15" s="44">
        <f>C10</f>
        <v>-9</v>
      </c>
      <c r="D15" s="44">
        <f>D10</f>
        <v>2</v>
      </c>
      <c r="E15" s="44">
        <f>E10</f>
        <v>5</v>
      </c>
      <c r="G15" s="44" t="s">
        <v>50</v>
      </c>
      <c r="H15" s="44">
        <f>(E15-C15*H16-D15*H17)/B15</f>
        <v>6.95</v>
      </c>
      <c r="J15" s="44">
        <f t="array" ref="J15:J17">MMULT(B10:D12,H15:H17)</f>
        <v>5.0000000000000009</v>
      </c>
    </row>
    <row r="16" spans="2:10" x14ac:dyDescent="0.2">
      <c r="B16" s="44">
        <v>0</v>
      </c>
      <c r="C16" s="44">
        <f>(C11*$B$10-C10*$B$11)/$B$10</f>
        <v>0.5</v>
      </c>
      <c r="D16" s="44">
        <f t="shared" ref="D16:E16" si="0">(D11*$B$10-D10*$B$11)/$B$10</f>
        <v>5</v>
      </c>
      <c r="E16" s="44">
        <f t="shared" si="0"/>
        <v>0.5</v>
      </c>
      <c r="G16" s="44" t="s">
        <v>51</v>
      </c>
      <c r="H16" s="44">
        <f>(E16-D16*H17)/C16</f>
        <v>2.5</v>
      </c>
      <c r="J16" s="44">
        <v>3.0000000000000004</v>
      </c>
    </row>
    <row r="17" spans="1:13" x14ac:dyDescent="0.2">
      <c r="B17" s="44">
        <v>0</v>
      </c>
      <c r="C17" s="44">
        <v>0</v>
      </c>
      <c r="D17" s="44">
        <f>(D12*$B$10-D10*$B$12)/$B$10+D16*(-($C$12*$B$10-$C$10*$B$12)/($C$11*$B$10-$C$10*$B$11))</f>
        <v>-10</v>
      </c>
      <c r="E17" s="44">
        <f>(E12*$B$10-E10*$B$12)/$B$10+E16*(-($C$12*$B$10-$C$10*$B$12)/($C$11*$B$10-$C$10*$B$11))</f>
        <v>1.5</v>
      </c>
      <c r="G17" s="44" t="s">
        <v>52</v>
      </c>
      <c r="H17" s="44">
        <f>E17/D17</f>
        <v>-0.15</v>
      </c>
      <c r="J17" s="44">
        <v>4</v>
      </c>
    </row>
    <row r="19" spans="1:13" x14ac:dyDescent="0.2">
      <c r="A19" s="57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</row>
    <row r="28" spans="1:13" x14ac:dyDescent="0.2">
      <c r="B28" s="58" t="s">
        <v>45</v>
      </c>
      <c r="C28" s="41"/>
      <c r="D28" s="41"/>
      <c r="E28" s="58" t="s">
        <v>46</v>
      </c>
      <c r="F28" s="41"/>
      <c r="G28" s="41"/>
      <c r="H28" s="41"/>
      <c r="I28" s="41"/>
      <c r="J28" s="41"/>
    </row>
    <row r="29" spans="1:13" x14ac:dyDescent="0.2">
      <c r="B29" s="44">
        <v>-2</v>
      </c>
      <c r="C29" s="44">
        <v>3</v>
      </c>
      <c r="D29" s="44">
        <v>-1</v>
      </c>
      <c r="E29" s="44">
        <v>7</v>
      </c>
      <c r="F29" s="41"/>
      <c r="G29" s="41"/>
      <c r="H29" s="58" t="s">
        <v>47</v>
      </c>
      <c r="I29" s="55">
        <f>MDETERM(B29:D31)</f>
        <v>49</v>
      </c>
      <c r="J29" s="41"/>
    </row>
    <row r="30" spans="1:13" x14ac:dyDescent="0.2">
      <c r="B30" s="44">
        <v>4</v>
      </c>
      <c r="C30" s="44">
        <v>-2</v>
      </c>
      <c r="D30" s="44">
        <v>5</v>
      </c>
      <c r="E30" s="44">
        <v>-3</v>
      </c>
      <c r="F30" s="41"/>
      <c r="G30" s="41"/>
      <c r="H30" s="41"/>
      <c r="I30" s="41"/>
      <c r="J30" s="41"/>
    </row>
    <row r="31" spans="1:13" x14ac:dyDescent="0.2">
      <c r="B31" s="44">
        <v>1</v>
      </c>
      <c r="C31" s="44">
        <v>2</v>
      </c>
      <c r="D31" s="44">
        <v>-3</v>
      </c>
      <c r="E31" s="44">
        <v>0</v>
      </c>
      <c r="F31" s="41"/>
      <c r="G31" s="41"/>
      <c r="H31" s="41"/>
      <c r="I31" s="41"/>
      <c r="J31" s="41"/>
    </row>
    <row r="32" spans="1:13" x14ac:dyDescent="0.2">
      <c r="B32" s="41"/>
      <c r="C32" s="41"/>
      <c r="D32" s="41"/>
      <c r="E32" s="41"/>
      <c r="F32" s="41"/>
      <c r="G32" s="41"/>
      <c r="H32" s="41"/>
      <c r="I32" s="41"/>
      <c r="J32" s="41"/>
    </row>
    <row r="33" spans="1:13" x14ac:dyDescent="0.2">
      <c r="B33" s="58" t="s">
        <v>48</v>
      </c>
      <c r="C33" s="41"/>
      <c r="D33" s="41"/>
      <c r="E33" s="41"/>
      <c r="F33" s="41"/>
      <c r="G33" s="129" t="s">
        <v>49</v>
      </c>
      <c r="H33" s="129"/>
      <c r="I33" s="41"/>
      <c r="J33" s="58" t="s">
        <v>53</v>
      </c>
    </row>
    <row r="34" spans="1:13" x14ac:dyDescent="0.2">
      <c r="B34" s="44">
        <f>B29</f>
        <v>-2</v>
      </c>
      <c r="C34" s="44">
        <f>C29</f>
        <v>3</v>
      </c>
      <c r="D34" s="44">
        <f>D29</f>
        <v>-1</v>
      </c>
      <c r="E34" s="44">
        <f>E29</f>
        <v>7</v>
      </c>
      <c r="F34" s="41"/>
      <c r="G34" s="44" t="s">
        <v>50</v>
      </c>
      <c r="H34" s="44">
        <f>(E34-C34*H35-D34*H36)/B34</f>
        <v>-1</v>
      </c>
      <c r="I34" s="41"/>
      <c r="J34" s="44">
        <f t="array" ref="J34:J36">MMULT(B29:D31,H34:H36)</f>
        <v>7</v>
      </c>
    </row>
    <row r="35" spans="1:13" x14ac:dyDescent="0.2">
      <c r="B35" s="44">
        <v>0</v>
      </c>
      <c r="C35" s="44">
        <f>(C30*$B$29-C29*$B$30)/$B$29</f>
        <v>4</v>
      </c>
      <c r="D35" s="44">
        <f>(D30*$B$29-D29*$B$30)/$B$29</f>
        <v>3</v>
      </c>
      <c r="E35" s="44">
        <f>(E30*$B$29-E29*$B$30)/$B$29</f>
        <v>11</v>
      </c>
      <c r="F35" s="41"/>
      <c r="G35" s="44" t="s">
        <v>51</v>
      </c>
      <c r="H35" s="44">
        <f>(E35-D35*H36)/C35</f>
        <v>2</v>
      </c>
      <c r="I35" s="41"/>
      <c r="J35" s="44">
        <v>-3</v>
      </c>
    </row>
    <row r="36" spans="1:13" x14ac:dyDescent="0.2">
      <c r="B36" s="44">
        <v>0</v>
      </c>
      <c r="C36" s="44">
        <v>0</v>
      </c>
      <c r="D36" s="44">
        <f>(D31*$B$29-D29*$B$31)/$B$29+D35*(-($C$31*$B$29-$C$29*$B$31)/($C$30*$B$29-$C$29*$B$30))</f>
        <v>-6.125</v>
      </c>
      <c r="E36" s="44">
        <f>(E31*$B$29-E29*$B$31)/$B$29+E35*(-($C$31*$B$29-$C$29*$B$31)/($C$30*$B$29-$C$29*$B$30))</f>
        <v>-6.125</v>
      </c>
      <c r="F36" s="41"/>
      <c r="G36" s="44" t="s">
        <v>52</v>
      </c>
      <c r="H36" s="44">
        <f>E36/D36</f>
        <v>1</v>
      </c>
      <c r="I36" s="41"/>
      <c r="J36" s="44">
        <v>0</v>
      </c>
    </row>
    <row r="38" spans="1:13" x14ac:dyDescent="0.2">
      <c r="A38" s="57"/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</row>
    <row r="39" spans="1:13" x14ac:dyDescent="0.2">
      <c r="A39" s="130" t="s">
        <v>54</v>
      </c>
      <c r="B39" s="130"/>
    </row>
    <row r="40" spans="1:13" x14ac:dyDescent="0.2">
      <c r="A40" s="130"/>
      <c r="B40" s="130"/>
    </row>
    <row r="48" spans="1:13" x14ac:dyDescent="0.2">
      <c r="B48" s="59" t="s">
        <v>45</v>
      </c>
      <c r="C48" s="41"/>
      <c r="D48" s="41"/>
      <c r="F48" s="59" t="s">
        <v>46</v>
      </c>
    </row>
    <row r="49" spans="1:13" x14ac:dyDescent="0.2">
      <c r="B49" s="60">
        <v>3</v>
      </c>
      <c r="C49" s="60">
        <v>2</v>
      </c>
      <c r="D49" s="60">
        <v>-1</v>
      </c>
      <c r="E49" s="60">
        <v>1</v>
      </c>
      <c r="F49" s="60">
        <v>2</v>
      </c>
      <c r="H49" s="58" t="s">
        <v>47</v>
      </c>
      <c r="I49" s="55">
        <f>MDETERM(B49:E52)</f>
        <v>-240.00000000000006</v>
      </c>
    </row>
    <row r="50" spans="1:13" x14ac:dyDescent="0.2">
      <c r="B50" s="60">
        <v>1</v>
      </c>
      <c r="C50" s="60">
        <v>0</v>
      </c>
      <c r="D50" s="60">
        <v>-1</v>
      </c>
      <c r="E50" s="60">
        <v>5</v>
      </c>
      <c r="F50" s="60">
        <v>-1</v>
      </c>
    </row>
    <row r="51" spans="1:13" x14ac:dyDescent="0.2">
      <c r="B51" s="60">
        <v>0</v>
      </c>
      <c r="C51" s="60">
        <v>3</v>
      </c>
      <c r="D51" s="60">
        <v>7</v>
      </c>
      <c r="E51" s="60">
        <v>-1</v>
      </c>
      <c r="F51" s="60">
        <v>5</v>
      </c>
    </row>
    <row r="52" spans="1:13" x14ac:dyDescent="0.2">
      <c r="B52" s="60">
        <v>1</v>
      </c>
      <c r="C52" s="60">
        <v>3</v>
      </c>
      <c r="D52" s="60">
        <v>-1</v>
      </c>
      <c r="E52" s="60">
        <v>-1</v>
      </c>
      <c r="F52" s="60">
        <v>0</v>
      </c>
    </row>
    <row r="54" spans="1:13" x14ac:dyDescent="0.2">
      <c r="B54" s="59" t="s">
        <v>48</v>
      </c>
      <c r="C54" s="41"/>
      <c r="D54" s="41"/>
      <c r="E54" s="41"/>
      <c r="H54" s="129" t="s">
        <v>49</v>
      </c>
      <c r="I54" s="129"/>
      <c r="J54" s="41"/>
      <c r="K54" s="58" t="s">
        <v>53</v>
      </c>
    </row>
    <row r="55" spans="1:13" x14ac:dyDescent="0.2">
      <c r="B55" s="62">
        <f>B49</f>
        <v>3</v>
      </c>
      <c r="C55" s="62">
        <f>C49</f>
        <v>2</v>
      </c>
      <c r="D55" s="62">
        <f>D49</f>
        <v>-1</v>
      </c>
      <c r="E55" s="62">
        <f>E49</f>
        <v>1</v>
      </c>
      <c r="F55" s="62">
        <f>F49</f>
        <v>2</v>
      </c>
      <c r="H55" s="44" t="s">
        <v>50</v>
      </c>
      <c r="I55" s="44">
        <f>(F55-E55*I58-D55*I57-C55*I56)/B55</f>
        <v>1.1666666666666667</v>
      </c>
      <c r="J55" s="56"/>
      <c r="K55" s="44">
        <f t="array" ref="K55:K58">MMULT(B49:E52,I55:I58)</f>
        <v>1.9999999999999996</v>
      </c>
    </row>
    <row r="56" spans="1:13" x14ac:dyDescent="0.2">
      <c r="B56" s="62">
        <v>0</v>
      </c>
      <c r="C56" s="61">
        <f>(C50*$B$49-C49*$B$50)/$B$49</f>
        <v>-0.66666666666666663</v>
      </c>
      <c r="D56" s="61">
        <f t="shared" ref="D56:F56" si="1">(D50*$B$49-D49*$B$50)/$B$49</f>
        <v>-0.66666666666666663</v>
      </c>
      <c r="E56" s="61">
        <f>(E50*$B$49-E49*$B$50)/$B$49</f>
        <v>4.666666666666667</v>
      </c>
      <c r="F56" s="61">
        <f t="shared" si="1"/>
        <v>-1.6666666666666667</v>
      </c>
      <c r="H56" s="44" t="s">
        <v>51</v>
      </c>
      <c r="I56" s="44">
        <f>(F56-E56*I58-D56*I57)/C56</f>
        <v>-0.22500000000000003</v>
      </c>
      <c r="J56" s="56"/>
      <c r="K56" s="44">
        <v>-1.0000000000000002</v>
      </c>
    </row>
    <row r="57" spans="1:13" x14ac:dyDescent="0.2">
      <c r="B57" s="62">
        <v>0</v>
      </c>
      <c r="C57" s="62">
        <v>0</v>
      </c>
      <c r="D57" s="61">
        <f>(D51*$B$49-D49*$B$51)/$B$49+D56*(-($C$51*$B$49-$C$49*$B$51)/($C$50*$B$49-$C$49*$B$50))</f>
        <v>4</v>
      </c>
      <c r="E57" s="61">
        <f>(E51*$B$49-E49*$B$51)/$B$49+E56*(-($C$51*$B$49-$C$49*$B$51)/($C$50*$B$49-$C$49*$B$50))</f>
        <v>20</v>
      </c>
      <c r="F57" s="61">
        <f t="shared" ref="F57" si="2">(F51*$B$49-F49*$B$51)/$B$49+F56*(-($C$51*$B$49-$C$49*$B$51)/($C$50*$B$49-$C$49*$B$50))</f>
        <v>-2.5</v>
      </c>
      <c r="H57" s="44" t="s">
        <v>52</v>
      </c>
      <c r="I57" s="44">
        <f>(F57-E57*I58)/D57</f>
        <v>0.77083333333333348</v>
      </c>
      <c r="J57" s="56"/>
      <c r="K57" s="44">
        <v>5.0000000000000009</v>
      </c>
    </row>
    <row r="58" spans="1:13" x14ac:dyDescent="0.2">
      <c r="B58" s="62">
        <v>0</v>
      </c>
      <c r="C58" s="62">
        <v>0</v>
      </c>
      <c r="D58" s="62">
        <v>0</v>
      </c>
      <c r="E58" s="62">
        <f>(((E52*$B$49-E49*$B$52)/$B$49) + (E56) * (-( ($C$52*$B$49-$C$49*$B$52) / ($C$50*$B$49-$C$49*$B$50) ) ) ) + (E57) * (-(   ( ( ($D$52*$B$49-$D$49*$B$52)/$B$49) + ($D$56) * (-(($C$52*$B$49-$C$49*$B$52)/($C$50*$B$49-$C$49*$B$50)))) / ( (($D$51*$B$49-$D$49*$B$51)/$B$49) + ($D$56) * (- ( ($C$51*$B$49-$C$49*$B$51) / ($C$50*$B$49-$C$49*$B$50) )) )   ))</f>
        <v>30</v>
      </c>
      <c r="F58" s="62">
        <f>(((F52*$B$49-F49*$B$52)/$B$49) + (F56) * (-( ($C$52*$B$49-$C$49*$B$52) / ($C$50*$B$49-$C$49*$B$50) ) ) ) + (F57) * (-(   ( ( ($D$52*$B$49-$D$49*$B$52)/$B$49) + ($D$56) * (-(($C$52*$B$49-$C$49*$B$52)/($C$50*$B$49-$C$49*$B$50)))) / ( (($D$51*$B$49-$D$49*$B$51)/$B$49) + ($D$56) * (- ( ($C$51*$B$49-$C$49*$B$51) / ($C$50*$B$49-$C$49*$B$50) )) )   ))</f>
        <v>-8.375</v>
      </c>
      <c r="H58" s="44" t="s">
        <v>55</v>
      </c>
      <c r="I58" s="44">
        <f>F58/E58</f>
        <v>-0.27916666666666667</v>
      </c>
      <c r="J58" s="56"/>
      <c r="K58" s="44">
        <v>-1.1102230246251565E-16</v>
      </c>
    </row>
    <row r="60" spans="1:13" x14ac:dyDescent="0.2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</row>
  </sheetData>
  <mergeCells count="4">
    <mergeCell ref="G14:H14"/>
    <mergeCell ref="G33:H33"/>
    <mergeCell ref="A39:B40"/>
    <mergeCell ref="H54:I54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83E9E-4DEC-4BED-8CDC-9337B6ED5A0F}">
  <sheetPr>
    <tabColor theme="4" tint="0.79998168889431442"/>
  </sheetPr>
  <dimension ref="A1:AF184"/>
  <sheetViews>
    <sheetView topLeftCell="A41" zoomScale="85" zoomScaleNormal="85" workbookViewId="0">
      <selection activeCell="L92" sqref="L92"/>
    </sheetView>
  </sheetViews>
  <sheetFormatPr baseColWidth="10" defaultRowHeight="15" x14ac:dyDescent="0.2"/>
  <cols>
    <col min="1" max="5" width="11.5546875" style="56"/>
    <col min="6" max="6" width="12.5546875" style="56" customWidth="1"/>
    <col min="7" max="9" width="11.5546875" style="56"/>
    <col min="10" max="10" width="12.109375" style="56" customWidth="1"/>
    <col min="11" max="11" width="12.33203125" style="56" customWidth="1"/>
    <col min="12" max="12" width="12" style="56" customWidth="1"/>
    <col min="13" max="13" width="11.5546875" style="56" customWidth="1"/>
    <col min="14" max="16" width="11.5546875" style="56"/>
    <col min="17" max="17" width="3.77734375" style="64" customWidth="1"/>
    <col min="18" max="18" width="10.6640625" style="56" customWidth="1"/>
    <col min="19" max="19" width="12.77734375" style="56" customWidth="1"/>
    <col min="20" max="21" width="11.6640625" style="56" bestFit="1" customWidth="1"/>
    <col min="22" max="22" width="12.88671875" style="56" bestFit="1" customWidth="1"/>
    <col min="23" max="23" width="12.6640625" style="56" customWidth="1"/>
    <col min="24" max="26" width="11.5546875" style="56"/>
    <col min="27" max="27" width="12.33203125" style="56" customWidth="1"/>
    <col min="28" max="28" width="12" style="56" customWidth="1"/>
    <col min="29" max="29" width="12.33203125" style="56" customWidth="1"/>
    <col min="30" max="16384" width="11.5546875" style="56"/>
  </cols>
  <sheetData>
    <row r="1" spans="1:29" ht="15" customHeight="1" x14ac:dyDescent="0.2">
      <c r="A1" s="131" t="s">
        <v>56</v>
      </c>
      <c r="B1" s="131"/>
      <c r="C1" s="131"/>
      <c r="R1" s="133" t="s">
        <v>64</v>
      </c>
      <c r="S1" s="133"/>
      <c r="T1" s="133"/>
    </row>
    <row r="2" spans="1:29" ht="15" customHeight="1" x14ac:dyDescent="0.2">
      <c r="A2" s="131"/>
      <c r="B2" s="131"/>
      <c r="C2" s="131"/>
      <c r="R2" s="133"/>
      <c r="S2" s="133"/>
      <c r="T2" s="133"/>
    </row>
    <row r="4" spans="1:29" x14ac:dyDescent="0.2">
      <c r="B4" s="65" t="s">
        <v>45</v>
      </c>
      <c r="F4" s="65" t="s">
        <v>46</v>
      </c>
      <c r="H4" s="65" t="s">
        <v>47</v>
      </c>
      <c r="S4" s="66" t="s">
        <v>45</v>
      </c>
      <c r="W4" s="66" t="s">
        <v>46</v>
      </c>
      <c r="Y4" s="66" t="s">
        <v>47</v>
      </c>
    </row>
    <row r="5" spans="1:29" x14ac:dyDescent="0.2">
      <c r="B5" s="44">
        <v>4</v>
      </c>
      <c r="C5" s="44">
        <v>-9</v>
      </c>
      <c r="D5" s="44">
        <v>2</v>
      </c>
      <c r="F5" s="44">
        <v>5</v>
      </c>
      <c r="H5" s="44">
        <f>MDETERM(B5:D7)</f>
        <v>-20</v>
      </c>
      <c r="S5" s="44">
        <v>4</v>
      </c>
      <c r="T5" s="44">
        <v>-9</v>
      </c>
      <c r="U5" s="44">
        <v>2</v>
      </c>
      <c r="W5" s="44">
        <v>5</v>
      </c>
      <c r="Y5" s="44"/>
    </row>
    <row r="6" spans="1:29" x14ac:dyDescent="0.2">
      <c r="B6" s="44">
        <v>2</v>
      </c>
      <c r="C6" s="44">
        <v>-4</v>
      </c>
      <c r="D6" s="44">
        <v>6</v>
      </c>
      <c r="F6" s="44">
        <v>3</v>
      </c>
      <c r="S6" s="44">
        <v>2</v>
      </c>
      <c r="T6" s="44">
        <v>-4</v>
      </c>
      <c r="U6" s="44">
        <v>6</v>
      </c>
      <c r="W6" s="44">
        <v>3</v>
      </c>
    </row>
    <row r="7" spans="1:29" x14ac:dyDescent="0.2">
      <c r="B7" s="44">
        <v>1</v>
      </c>
      <c r="C7" s="44">
        <v>-1</v>
      </c>
      <c r="D7" s="44">
        <v>3</v>
      </c>
      <c r="F7" s="44">
        <v>4</v>
      </c>
      <c r="S7" s="44">
        <v>1</v>
      </c>
      <c r="T7" s="44">
        <v>-1</v>
      </c>
      <c r="U7" s="44">
        <v>3</v>
      </c>
      <c r="W7" s="44">
        <v>4</v>
      </c>
    </row>
    <row r="9" spans="1:29" x14ac:dyDescent="0.2">
      <c r="B9" s="65" t="s">
        <v>57</v>
      </c>
      <c r="F9" s="65" t="s">
        <v>58</v>
      </c>
      <c r="J9" s="67" t="s">
        <v>63</v>
      </c>
      <c r="S9" s="66" t="s">
        <v>57</v>
      </c>
      <c r="W9" s="66" t="s">
        <v>58</v>
      </c>
      <c r="AA9" s="63" t="s">
        <v>63</v>
      </c>
    </row>
    <row r="10" spans="1:29" x14ac:dyDescent="0.2">
      <c r="B10" s="44">
        <v>1</v>
      </c>
      <c r="C10" s="44">
        <v>0</v>
      </c>
      <c r="D10" s="44">
        <v>0</v>
      </c>
      <c r="F10" s="44">
        <f>B5</f>
        <v>4</v>
      </c>
      <c r="G10" s="44">
        <f t="shared" ref="G10:H10" si="0">C5</f>
        <v>-9</v>
      </c>
      <c r="H10" s="44">
        <f t="shared" si="0"/>
        <v>2</v>
      </c>
      <c r="J10" s="44">
        <f t="array" ref="J10:L12">MMULT(B10:D12,F10:H12)</f>
        <v>4</v>
      </c>
      <c r="K10" s="44">
        <v>-9</v>
      </c>
      <c r="L10" s="44">
        <v>2</v>
      </c>
      <c r="S10" s="44">
        <f>S5</f>
        <v>4</v>
      </c>
      <c r="T10" s="44">
        <v>0</v>
      </c>
      <c r="U10" s="44">
        <v>0</v>
      </c>
      <c r="W10" s="44">
        <v>1</v>
      </c>
      <c r="X10" s="44">
        <f>T5/S10</f>
        <v>-2.25</v>
      </c>
      <c r="Y10" s="44">
        <f>U5/S10</f>
        <v>0.5</v>
      </c>
      <c r="AA10" s="44">
        <f t="array" ref="AA10:AC12">MMULT(S10:U12,W10:Y12)</f>
        <v>4</v>
      </c>
      <c r="AB10" s="44">
        <v>-9</v>
      </c>
      <c r="AC10" s="44">
        <v>2</v>
      </c>
    </row>
    <row r="11" spans="1:29" x14ac:dyDescent="0.2">
      <c r="B11" s="44">
        <f>B6/F10</f>
        <v>0.5</v>
      </c>
      <c r="C11" s="44">
        <v>1</v>
      </c>
      <c r="D11" s="44">
        <v>0</v>
      </c>
      <c r="F11" s="44">
        <v>0</v>
      </c>
      <c r="G11" s="44">
        <f>C6-B11*G10</f>
        <v>0.5</v>
      </c>
      <c r="H11" s="44">
        <f>D6-B11*H10</f>
        <v>5</v>
      </c>
      <c r="J11" s="44">
        <v>2</v>
      </c>
      <c r="K11" s="44">
        <v>-4</v>
      </c>
      <c r="L11" s="44">
        <v>6</v>
      </c>
      <c r="S11" s="44">
        <f t="shared" ref="S11:S12" si="1">S6</f>
        <v>2</v>
      </c>
      <c r="T11" s="44">
        <f>T6-S11*X10</f>
        <v>0.5</v>
      </c>
      <c r="U11" s="44">
        <v>0</v>
      </c>
      <c r="W11" s="44">
        <v>0</v>
      </c>
      <c r="X11" s="44">
        <v>1</v>
      </c>
      <c r="Y11" s="44">
        <f>(U6-S11*Y10)/T11</f>
        <v>10</v>
      </c>
      <c r="AA11" s="44">
        <v>2</v>
      </c>
      <c r="AB11" s="44">
        <v>-4</v>
      </c>
      <c r="AC11" s="44">
        <v>6</v>
      </c>
    </row>
    <row r="12" spans="1:29" x14ac:dyDescent="0.2">
      <c r="B12" s="44">
        <f>B7/F10</f>
        <v>0.25</v>
      </c>
      <c r="C12" s="44">
        <f>(C7-B12*G10)/G11</f>
        <v>2.5</v>
      </c>
      <c r="D12" s="44">
        <v>1</v>
      </c>
      <c r="F12" s="44">
        <v>0</v>
      </c>
      <c r="G12" s="44">
        <v>0</v>
      </c>
      <c r="H12" s="44">
        <f>D7-B12*H10-C12*H11</f>
        <v>-10</v>
      </c>
      <c r="J12" s="44">
        <v>1</v>
      </c>
      <c r="K12" s="44">
        <v>-1</v>
      </c>
      <c r="L12" s="44">
        <v>3</v>
      </c>
      <c r="S12" s="44">
        <f t="shared" si="1"/>
        <v>1</v>
      </c>
      <c r="T12" s="44">
        <f>T7-S12*X10</f>
        <v>1.25</v>
      </c>
      <c r="U12" s="44">
        <f>U7-S12*Y10-T12*Y11</f>
        <v>-10</v>
      </c>
      <c r="W12" s="44">
        <v>0</v>
      </c>
      <c r="X12" s="44">
        <v>0</v>
      </c>
      <c r="Y12" s="44">
        <v>1</v>
      </c>
      <c r="AA12" s="44">
        <v>1</v>
      </c>
      <c r="AB12" s="44">
        <v>-1</v>
      </c>
      <c r="AC12" s="44">
        <v>3</v>
      </c>
    </row>
    <row r="14" spans="1:29" x14ac:dyDescent="0.2">
      <c r="B14" s="132" t="s">
        <v>59</v>
      </c>
      <c r="C14" s="132"/>
      <c r="F14" s="132" t="s">
        <v>60</v>
      </c>
      <c r="G14" s="132"/>
      <c r="S14" s="136" t="s">
        <v>59</v>
      </c>
      <c r="T14" s="137"/>
      <c r="W14" s="136" t="s">
        <v>60</v>
      </c>
      <c r="X14" s="137"/>
    </row>
    <row r="15" spans="1:29" x14ac:dyDescent="0.2">
      <c r="B15" s="44">
        <f t="array" ref="B15:D17">MINVERSE(B10:D12)</f>
        <v>1</v>
      </c>
      <c r="C15" s="44">
        <v>0</v>
      </c>
      <c r="D15" s="44">
        <v>0</v>
      </c>
      <c r="F15" s="44">
        <f t="array" ref="F15:H17">MINVERSE(F10:H12)</f>
        <v>0.25</v>
      </c>
      <c r="G15" s="44">
        <v>4.5</v>
      </c>
      <c r="H15" s="44">
        <v>2.2999999999999998</v>
      </c>
      <c r="S15" s="44">
        <f t="array" ref="S15:U17">MINVERSE(S10:U12)</f>
        <v>0.25</v>
      </c>
      <c r="T15" s="44">
        <v>0</v>
      </c>
      <c r="U15" s="44">
        <v>0</v>
      </c>
      <c r="W15" s="44">
        <f t="array" ref="W15:Y17">MINVERSE(W10:Y12)</f>
        <v>1</v>
      </c>
      <c r="X15" s="44">
        <v>2.25</v>
      </c>
      <c r="Y15" s="44">
        <v>-23</v>
      </c>
    </row>
    <row r="16" spans="1:29" x14ac:dyDescent="0.2">
      <c r="B16" s="44">
        <v>-0.5</v>
      </c>
      <c r="C16" s="44">
        <v>1</v>
      </c>
      <c r="D16" s="44">
        <v>0</v>
      </c>
      <c r="F16" s="44">
        <v>0</v>
      </c>
      <c r="G16" s="44">
        <v>2</v>
      </c>
      <c r="H16" s="44">
        <v>1</v>
      </c>
      <c r="S16" s="44">
        <v>-1</v>
      </c>
      <c r="T16" s="44">
        <v>2</v>
      </c>
      <c r="U16" s="44">
        <v>0</v>
      </c>
      <c r="W16" s="44">
        <v>0</v>
      </c>
      <c r="X16" s="44">
        <v>1</v>
      </c>
      <c r="Y16" s="44">
        <v>-10</v>
      </c>
    </row>
    <row r="17" spans="2:29" x14ac:dyDescent="0.2">
      <c r="B17" s="44">
        <v>1</v>
      </c>
      <c r="C17" s="44">
        <v>-2.5</v>
      </c>
      <c r="D17" s="44">
        <v>1</v>
      </c>
      <c r="F17" s="44">
        <v>0</v>
      </c>
      <c r="G17" s="44">
        <v>0</v>
      </c>
      <c r="H17" s="44">
        <v>-0.1</v>
      </c>
      <c r="S17" s="44">
        <v>-0.1</v>
      </c>
      <c r="T17" s="44">
        <v>0.25</v>
      </c>
      <c r="U17" s="44">
        <v>-0.1</v>
      </c>
      <c r="W17" s="44">
        <v>0</v>
      </c>
      <c r="X17" s="44">
        <v>0</v>
      </c>
      <c r="Y17" s="44">
        <v>1</v>
      </c>
    </row>
    <row r="19" spans="2:29" x14ac:dyDescent="0.2">
      <c r="B19" s="65" t="s">
        <v>61</v>
      </c>
      <c r="D19" s="65" t="s">
        <v>62</v>
      </c>
      <c r="F19" s="65" t="s">
        <v>53</v>
      </c>
      <c r="S19" s="66" t="s">
        <v>61</v>
      </c>
      <c r="U19" s="66" t="s">
        <v>62</v>
      </c>
      <c r="W19" s="66" t="s">
        <v>53</v>
      </c>
    </row>
    <row r="20" spans="2:29" x14ac:dyDescent="0.2">
      <c r="B20" s="44">
        <f t="array" ref="B20:B22">MMULT(B15:D17,F5:F7)</f>
        <v>5</v>
      </c>
      <c r="D20" s="44">
        <f t="array" ref="D20:D22">MMULT(F15:H17,B20:B22)</f>
        <v>6.9499999999999993</v>
      </c>
      <c r="F20" s="44">
        <f t="array" ref="F20:F22">MMULT(B5:D7,D20:D22)</f>
        <v>4.9999999999999973</v>
      </c>
      <c r="S20" s="44">
        <f t="array" ref="S20:S22">MMULT(S15:U17,W5:W7)</f>
        <v>1.25</v>
      </c>
      <c r="U20" s="44">
        <f t="array" ref="U20:U22">MMULT(W15:Y17,S20:S22)</f>
        <v>6.9500000000000011</v>
      </c>
      <c r="W20" s="44">
        <f t="array" ref="W20:W22">MMULT(S5:U7,U20:U22)</f>
        <v>5.0000000000000044</v>
      </c>
    </row>
    <row r="21" spans="2:29" x14ac:dyDescent="0.2">
      <c r="B21" s="44">
        <v>0.5</v>
      </c>
      <c r="D21" s="44">
        <v>2.5</v>
      </c>
      <c r="F21" s="44">
        <v>2.9999999999999982</v>
      </c>
      <c r="S21" s="44">
        <v>1</v>
      </c>
      <c r="U21" s="44">
        <v>2.5</v>
      </c>
      <c r="W21" s="44">
        <v>3.0000000000000018</v>
      </c>
    </row>
    <row r="22" spans="2:29" x14ac:dyDescent="0.2">
      <c r="B22" s="44">
        <v>1.5</v>
      </c>
      <c r="D22" s="44">
        <v>-0.15000000000000002</v>
      </c>
      <c r="F22" s="44">
        <v>3.9999999999999991</v>
      </c>
      <c r="S22" s="44">
        <v>-0.15000000000000002</v>
      </c>
      <c r="U22" s="44">
        <v>-0.15000000000000002</v>
      </c>
      <c r="W22" s="44">
        <v>4.0000000000000009</v>
      </c>
    </row>
    <row r="24" spans="2:29" s="64" customFormat="1" x14ac:dyDescent="0.2"/>
    <row r="26" spans="2:29" x14ac:dyDescent="0.2">
      <c r="B26" s="67" t="s">
        <v>45</v>
      </c>
      <c r="G26" s="65" t="s">
        <v>46</v>
      </c>
      <c r="I26" s="65" t="s">
        <v>47</v>
      </c>
      <c r="S26" s="63" t="s">
        <v>45</v>
      </c>
      <c r="X26" s="66" t="s">
        <v>46</v>
      </c>
      <c r="Z26" s="66" t="s">
        <v>47</v>
      </c>
    </row>
    <row r="27" spans="2:29" x14ac:dyDescent="0.2">
      <c r="B27" s="44">
        <v>16</v>
      </c>
      <c r="C27" s="44">
        <v>-6</v>
      </c>
      <c r="D27" s="44">
        <v>4</v>
      </c>
      <c r="E27" s="44">
        <v>1</v>
      </c>
      <c r="G27" s="44">
        <v>-36</v>
      </c>
      <c r="I27" s="44">
        <f>MDETERM(B27:E30)</f>
        <v>1120</v>
      </c>
      <c r="S27" s="44">
        <v>16</v>
      </c>
      <c r="T27" s="44">
        <v>-6</v>
      </c>
      <c r="U27" s="44">
        <v>4</v>
      </c>
      <c r="V27" s="44">
        <v>1</v>
      </c>
      <c r="X27" s="44">
        <v>-36</v>
      </c>
      <c r="Z27" s="44">
        <f>MDETERM(S27:V30)</f>
        <v>1120</v>
      </c>
    </row>
    <row r="28" spans="2:29" x14ac:dyDescent="0.2">
      <c r="B28" s="44">
        <v>1</v>
      </c>
      <c r="C28" s="44">
        <v>-8</v>
      </c>
      <c r="D28" s="44">
        <v>1</v>
      </c>
      <c r="E28" s="44">
        <v>1</v>
      </c>
      <c r="G28" s="44">
        <v>-64</v>
      </c>
      <c r="S28" s="44">
        <v>1</v>
      </c>
      <c r="T28" s="44">
        <v>-8</v>
      </c>
      <c r="U28" s="44">
        <v>1</v>
      </c>
      <c r="V28" s="44">
        <v>1</v>
      </c>
      <c r="X28" s="44">
        <v>-64</v>
      </c>
    </row>
    <row r="29" spans="2:29" x14ac:dyDescent="0.2">
      <c r="B29" s="44">
        <v>16</v>
      </c>
      <c r="C29" s="44">
        <v>2</v>
      </c>
      <c r="D29" s="44">
        <v>-4</v>
      </c>
      <c r="E29" s="44">
        <v>1</v>
      </c>
      <c r="G29" s="44">
        <v>-4</v>
      </c>
      <c r="S29" s="44">
        <v>16</v>
      </c>
      <c r="T29" s="44">
        <v>2</v>
      </c>
      <c r="U29" s="44">
        <v>-4</v>
      </c>
      <c r="V29" s="44">
        <v>1</v>
      </c>
      <c r="X29" s="44">
        <v>-4</v>
      </c>
    </row>
    <row r="30" spans="2:29" x14ac:dyDescent="0.2">
      <c r="B30" s="44">
        <v>9</v>
      </c>
      <c r="C30" s="44">
        <v>8</v>
      </c>
      <c r="D30" s="44">
        <v>-3</v>
      </c>
      <c r="E30" s="44">
        <v>1</v>
      </c>
      <c r="G30" s="44">
        <v>-64</v>
      </c>
      <c r="S30" s="44">
        <v>9</v>
      </c>
      <c r="T30" s="44">
        <v>8</v>
      </c>
      <c r="U30" s="44">
        <v>-3</v>
      </c>
      <c r="V30" s="44">
        <v>1</v>
      </c>
      <c r="X30" s="44">
        <v>-64</v>
      </c>
    </row>
    <row r="32" spans="2:29" x14ac:dyDescent="0.2">
      <c r="B32" s="67" t="s">
        <v>57</v>
      </c>
      <c r="G32" s="67" t="s">
        <v>58</v>
      </c>
      <c r="L32" s="67" t="s">
        <v>63</v>
      </c>
      <c r="S32" s="63" t="s">
        <v>57</v>
      </c>
      <c r="X32" s="63" t="s">
        <v>58</v>
      </c>
      <c r="AC32" s="63" t="s">
        <v>63</v>
      </c>
    </row>
    <row r="33" spans="2:32" x14ac:dyDescent="0.2">
      <c r="B33" s="44">
        <v>1</v>
      </c>
      <c r="C33" s="44">
        <v>0</v>
      </c>
      <c r="D33" s="44">
        <v>0</v>
      </c>
      <c r="E33" s="44">
        <v>0</v>
      </c>
      <c r="G33" s="44">
        <f>B27</f>
        <v>16</v>
      </c>
      <c r="H33" s="44">
        <f>C27</f>
        <v>-6</v>
      </c>
      <c r="I33" s="44">
        <f t="shared" ref="I33" si="2">D27</f>
        <v>4</v>
      </c>
      <c r="J33" s="44">
        <f>E27</f>
        <v>1</v>
      </c>
      <c r="L33" s="44">
        <f t="array" ref="L33:O36">MMULT(B33:E36,G33:J36)</f>
        <v>16</v>
      </c>
      <c r="M33" s="44">
        <v>-6</v>
      </c>
      <c r="N33" s="44">
        <v>4</v>
      </c>
      <c r="O33" s="44">
        <v>1</v>
      </c>
      <c r="S33" s="44">
        <f>S27</f>
        <v>16</v>
      </c>
      <c r="T33" s="44">
        <v>0</v>
      </c>
      <c r="U33" s="44">
        <v>0</v>
      </c>
      <c r="V33" s="44">
        <v>0</v>
      </c>
      <c r="X33" s="44">
        <v>1</v>
      </c>
      <c r="Y33" s="44">
        <f>T27/$S$33</f>
        <v>-0.375</v>
      </c>
      <c r="Z33" s="44">
        <f>U27/$S$33</f>
        <v>0.25</v>
      </c>
      <c r="AA33" s="44">
        <f>V27/$S$33</f>
        <v>6.25E-2</v>
      </c>
      <c r="AC33" s="44">
        <f t="array" ref="AC33:AF36">MMULT(S33:V36,X33:AA36)</f>
        <v>16</v>
      </c>
      <c r="AD33" s="44">
        <v>-6</v>
      </c>
      <c r="AE33" s="44">
        <v>4</v>
      </c>
      <c r="AF33" s="44">
        <v>1</v>
      </c>
    </row>
    <row r="34" spans="2:32" x14ac:dyDescent="0.2">
      <c r="B34" s="44">
        <f>B28/$G$33</f>
        <v>6.25E-2</v>
      </c>
      <c r="C34" s="44">
        <v>1</v>
      </c>
      <c r="D34" s="44">
        <v>0</v>
      </c>
      <c r="E34" s="44">
        <v>0</v>
      </c>
      <c r="G34" s="44">
        <v>0</v>
      </c>
      <c r="H34" s="44">
        <f>C28-B34*H33</f>
        <v>-7.625</v>
      </c>
      <c r="I34" s="44">
        <f>D28-B34*I33</f>
        <v>0.75</v>
      </c>
      <c r="J34" s="44">
        <f>E28-B34*J33</f>
        <v>0.9375</v>
      </c>
      <c r="L34" s="44">
        <v>1</v>
      </c>
      <c r="M34" s="44">
        <v>-8</v>
      </c>
      <c r="N34" s="44">
        <v>1</v>
      </c>
      <c r="O34" s="44">
        <v>1</v>
      </c>
      <c r="S34" s="44">
        <f t="shared" ref="S34:S36" si="3">S28</f>
        <v>1</v>
      </c>
      <c r="T34" s="44">
        <f>T28-S34*Y33</f>
        <v>-7.625</v>
      </c>
      <c r="U34" s="44">
        <v>0</v>
      </c>
      <c r="V34" s="44">
        <v>0</v>
      </c>
      <c r="X34" s="44">
        <v>0</v>
      </c>
      <c r="Y34" s="44">
        <v>1</v>
      </c>
      <c r="Z34" s="44">
        <f>(U28-S34*Z33)/T34</f>
        <v>-9.8360655737704916E-2</v>
      </c>
      <c r="AA34" s="44">
        <f>(V28-S34*AA33)/T34</f>
        <v>-0.12295081967213115</v>
      </c>
      <c r="AC34" s="44">
        <v>1</v>
      </c>
      <c r="AD34" s="44">
        <v>-8</v>
      </c>
      <c r="AE34" s="44">
        <v>1</v>
      </c>
      <c r="AF34" s="44">
        <v>1</v>
      </c>
    </row>
    <row r="35" spans="2:32" x14ac:dyDescent="0.2">
      <c r="B35" s="44">
        <f>B29/$G$33</f>
        <v>1</v>
      </c>
      <c r="C35" s="44">
        <f>(C29-B35*H33)/H34</f>
        <v>-1.0491803278688525</v>
      </c>
      <c r="D35" s="44">
        <v>1</v>
      </c>
      <c r="E35" s="44">
        <v>0</v>
      </c>
      <c r="G35" s="44">
        <v>0</v>
      </c>
      <c r="H35" s="44">
        <v>0</v>
      </c>
      <c r="I35" s="44">
        <f>D29-B35*I33-C35*I34</f>
        <v>-7.2131147540983607</v>
      </c>
      <c r="J35" s="44">
        <f>E29-B35*J33-C35*J34</f>
        <v>0.98360655737704927</v>
      </c>
      <c r="L35" s="44">
        <v>16</v>
      </c>
      <c r="M35" s="44">
        <v>2</v>
      </c>
      <c r="N35" s="44">
        <v>-4</v>
      </c>
      <c r="O35" s="44">
        <v>1</v>
      </c>
      <c r="S35" s="44">
        <f t="shared" si="3"/>
        <v>16</v>
      </c>
      <c r="T35" s="44">
        <f>T29-S35*Y33</f>
        <v>8</v>
      </c>
      <c r="U35" s="44">
        <f>U29-S35*Z33-T35*Z34</f>
        <v>-7.2131147540983607</v>
      </c>
      <c r="V35" s="44">
        <v>0</v>
      </c>
      <c r="X35" s="44">
        <v>0</v>
      </c>
      <c r="Y35" s="44">
        <v>0</v>
      </c>
      <c r="Z35" s="44">
        <v>1</v>
      </c>
      <c r="AA35" s="44">
        <f>(V29-S35*AA33-T35*AA34)/U35</f>
        <v>-0.13636363636363635</v>
      </c>
      <c r="AC35" s="44">
        <v>16</v>
      </c>
      <c r="AD35" s="44">
        <v>2</v>
      </c>
      <c r="AE35" s="44">
        <v>-4</v>
      </c>
      <c r="AF35" s="44">
        <v>1</v>
      </c>
    </row>
    <row r="36" spans="2:32" x14ac:dyDescent="0.2">
      <c r="B36" s="44">
        <f t="shared" ref="B36" si="4">B30/$G$33</f>
        <v>0.5625</v>
      </c>
      <c r="C36" s="44">
        <f>(C30-B36*H33)/H34</f>
        <v>-1.4918032786885247</v>
      </c>
      <c r="D36" s="44">
        <f>(D30-B36*I33-C36*I34)/I35</f>
        <v>0.57272727272727275</v>
      </c>
      <c r="E36" s="44">
        <v>1</v>
      </c>
      <c r="G36" s="44">
        <v>0</v>
      </c>
      <c r="H36" s="44">
        <v>0</v>
      </c>
      <c r="I36" s="44">
        <v>0</v>
      </c>
      <c r="J36" s="44">
        <f>E30-B36*J33-C36*J34-D36*J35</f>
        <v>1.2727272727272727</v>
      </c>
      <c r="L36" s="44">
        <v>9</v>
      </c>
      <c r="M36" s="44">
        <v>8</v>
      </c>
      <c r="N36" s="44">
        <v>-3</v>
      </c>
      <c r="O36" s="44">
        <v>1</v>
      </c>
      <c r="S36" s="44">
        <f t="shared" si="3"/>
        <v>9</v>
      </c>
      <c r="T36" s="44">
        <f>T30-S36*Y33</f>
        <v>11.375</v>
      </c>
      <c r="U36" s="44">
        <f>U30-S36*Z33-T36*Z34</f>
        <v>-4.1311475409836067</v>
      </c>
      <c r="V36" s="44">
        <f>V30-S36*AA33-T36*AA34-U36*AA35</f>
        <v>1.2727272727272729</v>
      </c>
      <c r="X36" s="44">
        <v>0</v>
      </c>
      <c r="Y36" s="44">
        <v>0</v>
      </c>
      <c r="Z36" s="44">
        <v>0</v>
      </c>
      <c r="AA36" s="44">
        <v>1</v>
      </c>
      <c r="AC36" s="44">
        <v>9</v>
      </c>
      <c r="AD36" s="44">
        <v>8</v>
      </c>
      <c r="AE36" s="44">
        <v>-3</v>
      </c>
      <c r="AF36" s="44">
        <v>1</v>
      </c>
    </row>
    <row r="38" spans="2:32" x14ac:dyDescent="0.2">
      <c r="B38" s="132" t="s">
        <v>59</v>
      </c>
      <c r="C38" s="132"/>
      <c r="G38" s="132" t="s">
        <v>60</v>
      </c>
      <c r="H38" s="132"/>
      <c r="S38" s="134" t="s">
        <v>59</v>
      </c>
      <c r="T38" s="135"/>
      <c r="X38" s="134" t="s">
        <v>60</v>
      </c>
      <c r="Y38" s="135"/>
    </row>
    <row r="39" spans="2:32" x14ac:dyDescent="0.2">
      <c r="B39" s="44">
        <f t="array" ref="B39:E42">MINVERSE(B33:E36)</f>
        <v>1</v>
      </c>
      <c r="C39" s="44">
        <v>0</v>
      </c>
      <c r="D39" s="44">
        <v>0</v>
      </c>
      <c r="E39" s="44">
        <v>0</v>
      </c>
      <c r="G39" s="44">
        <f t="array" ref="G39:J42">MINVERSE(G33:J36)</f>
        <v>6.25E-2</v>
      </c>
      <c r="H39" s="44">
        <v>-4.9180327868852458E-2</v>
      </c>
      <c r="I39" s="44">
        <v>2.9545454545454548E-2</v>
      </c>
      <c r="J39" s="44">
        <v>-3.5714285714285719E-2</v>
      </c>
      <c r="S39" s="68">
        <f t="array" ref="S39:V42">MINVERSE(S33:V36)</f>
        <v>6.25E-2</v>
      </c>
      <c r="T39" s="68">
        <v>0</v>
      </c>
      <c r="U39" s="68">
        <v>0</v>
      </c>
      <c r="V39" s="68">
        <v>0</v>
      </c>
      <c r="X39" s="44">
        <f t="array" ref="X39:AA42">MINVERSE(X33:AA36)</f>
        <v>1</v>
      </c>
      <c r="Y39" s="44">
        <v>0.375</v>
      </c>
      <c r="Z39" s="44">
        <v>-0.21311475409836067</v>
      </c>
      <c r="AA39" s="44">
        <v>-4.5454545454545456E-2</v>
      </c>
    </row>
    <row r="40" spans="2:32" x14ac:dyDescent="0.2">
      <c r="B40" s="44">
        <v>-6.2500000000000069E-2</v>
      </c>
      <c r="C40" s="44">
        <v>1</v>
      </c>
      <c r="D40" s="44">
        <v>0</v>
      </c>
      <c r="E40" s="44">
        <v>0</v>
      </c>
      <c r="G40" s="44">
        <v>0</v>
      </c>
      <c r="H40" s="44">
        <v>-0.13114754098360656</v>
      </c>
      <c r="I40" s="44">
        <v>-1.3636363636363636E-2</v>
      </c>
      <c r="J40" s="44">
        <v>0.10714285714285714</v>
      </c>
      <c r="S40" s="68">
        <v>8.1967213114754172E-3</v>
      </c>
      <c r="T40" s="68">
        <v>-0.13114754098360656</v>
      </c>
      <c r="U40" s="68">
        <v>9.7602024142870912E-18</v>
      </c>
      <c r="V40" s="68">
        <v>-2.9280607242861272E-17</v>
      </c>
      <c r="X40" s="44">
        <v>0</v>
      </c>
      <c r="Y40" s="44">
        <v>1</v>
      </c>
      <c r="Z40" s="44">
        <v>9.8360655737704916E-2</v>
      </c>
      <c r="AA40" s="44">
        <v>0.13636363636363635</v>
      </c>
    </row>
    <row r="41" spans="2:32" x14ac:dyDescent="0.2">
      <c r="B41" s="44">
        <v>-1.0655737704918034</v>
      </c>
      <c r="C41" s="44">
        <v>1.0491803278688525</v>
      </c>
      <c r="D41" s="44">
        <v>1</v>
      </c>
      <c r="E41" s="44">
        <v>0</v>
      </c>
      <c r="G41" s="44">
        <v>0</v>
      </c>
      <c r="H41" s="44">
        <v>0</v>
      </c>
      <c r="I41" s="44">
        <v>-0.13863636363636364</v>
      </c>
      <c r="J41" s="44">
        <v>0.10714285714285715</v>
      </c>
      <c r="S41" s="68">
        <v>0.14772727272727273</v>
      </c>
      <c r="T41" s="68">
        <v>-0.14545454545454548</v>
      </c>
      <c r="U41" s="68">
        <v>-0.13863636363636361</v>
      </c>
      <c r="V41" s="68">
        <v>-2.5773034500226849E-17</v>
      </c>
      <c r="X41" s="44">
        <v>0</v>
      </c>
      <c r="Y41" s="44">
        <v>0</v>
      </c>
      <c r="Z41" s="44">
        <v>1</v>
      </c>
      <c r="AA41" s="44">
        <v>0.13636363636363635</v>
      </c>
    </row>
    <row r="42" spans="2:32" x14ac:dyDescent="0.2">
      <c r="B42" s="44">
        <v>-4.5454545454545456E-2</v>
      </c>
      <c r="C42" s="44">
        <v>0.89090909090909098</v>
      </c>
      <c r="D42" s="44">
        <v>-0.57272727272727275</v>
      </c>
      <c r="E42" s="44">
        <v>1</v>
      </c>
      <c r="G42" s="44">
        <v>0</v>
      </c>
      <c r="H42" s="44">
        <v>0</v>
      </c>
      <c r="I42" s="44">
        <v>0</v>
      </c>
      <c r="J42" s="44">
        <v>0.7857142857142857</v>
      </c>
      <c r="S42" s="68">
        <v>-3.5714285714285705E-2</v>
      </c>
      <c r="T42" s="68">
        <v>0.69999999999999984</v>
      </c>
      <c r="U42" s="68">
        <v>-0.44999999999999996</v>
      </c>
      <c r="V42" s="68">
        <v>0.7857142857142857</v>
      </c>
      <c r="X42" s="44">
        <v>0</v>
      </c>
      <c r="Y42" s="44">
        <v>0</v>
      </c>
      <c r="Z42" s="44">
        <v>0</v>
      </c>
      <c r="AA42" s="44">
        <v>1</v>
      </c>
    </row>
    <row r="44" spans="2:32" x14ac:dyDescent="0.2">
      <c r="B44" s="65" t="s">
        <v>61</v>
      </c>
      <c r="D44" s="65" t="s">
        <v>62</v>
      </c>
      <c r="F44" s="65" t="s">
        <v>53</v>
      </c>
      <c r="S44" s="66" t="s">
        <v>61</v>
      </c>
      <c r="U44" s="66" t="s">
        <v>62</v>
      </c>
      <c r="W44" s="66" t="s">
        <v>53</v>
      </c>
    </row>
    <row r="45" spans="2:32" x14ac:dyDescent="0.2">
      <c r="B45" s="44">
        <f t="array" ref="B45:B48">MMULT(B39:E42,G27:G30)</f>
        <v>-36</v>
      </c>
      <c r="D45" s="44">
        <f t="array" ref="D45:D48">MMULT(G39:J42,B45:B48)</f>
        <v>4</v>
      </c>
      <c r="F45" s="44">
        <f t="array" ref="F45:F48">MMULT(B27:E30,D45:D48)</f>
        <v>-36.000000000000014</v>
      </c>
      <c r="S45" s="44">
        <f t="array" ref="S45:S48">MMULT(S39:V42,X27:X30)</f>
        <v>-2.25</v>
      </c>
      <c r="U45" s="44">
        <f t="array" ref="U45:U48">MMULT(X39:AA42,S45:S48)</f>
        <v>4</v>
      </c>
      <c r="W45" s="44">
        <f t="array" ref="W45:W48">MMULT(S27:V30,U45:U48)</f>
        <v>-36.000000000000014</v>
      </c>
    </row>
    <row r="46" spans="2:32" x14ac:dyDescent="0.2">
      <c r="B46" s="44">
        <v>-61.75</v>
      </c>
      <c r="D46" s="44">
        <v>-3.9999999999999982</v>
      </c>
      <c r="F46" s="44">
        <v>-64.000000000000014</v>
      </c>
      <c r="S46" s="44">
        <v>8.0983606557377072</v>
      </c>
      <c r="U46" s="44">
        <v>-3.9999999999999964</v>
      </c>
      <c r="W46" s="44">
        <v>-64.000000000000028</v>
      </c>
    </row>
    <row r="47" spans="2:32" x14ac:dyDescent="0.2">
      <c r="B47" s="44">
        <v>-32.786885245901644</v>
      </c>
      <c r="D47" s="44">
        <v>-8</v>
      </c>
      <c r="F47" s="44">
        <v>-4</v>
      </c>
      <c r="S47" s="44">
        <v>4.5454545454545485</v>
      </c>
      <c r="U47" s="44">
        <v>-7.9999999999999964</v>
      </c>
      <c r="W47" s="44">
        <v>-4</v>
      </c>
    </row>
    <row r="48" spans="2:32" x14ac:dyDescent="0.2">
      <c r="B48" s="44">
        <v>-117.09090909090909</v>
      </c>
      <c r="D48" s="44">
        <v>-92</v>
      </c>
      <c r="F48" s="44">
        <v>-63.999999999999986</v>
      </c>
      <c r="S48" s="44">
        <v>-92</v>
      </c>
      <c r="U48" s="44">
        <v>-92</v>
      </c>
      <c r="W48" s="44">
        <v>-63.999999999999986</v>
      </c>
    </row>
    <row r="50" spans="1:32" x14ac:dyDescent="0.2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</row>
    <row r="51" spans="1:32" x14ac:dyDescent="0.2">
      <c r="Q51" s="56"/>
    </row>
    <row r="52" spans="1:32" x14ac:dyDescent="0.2">
      <c r="B52" s="63" t="s">
        <v>45</v>
      </c>
      <c r="I52" s="66" t="s">
        <v>46</v>
      </c>
      <c r="K52" s="66" t="s">
        <v>47</v>
      </c>
      <c r="Q52" s="56"/>
    </row>
    <row r="53" spans="1:32" x14ac:dyDescent="0.2">
      <c r="B53" s="44">
        <v>4</v>
      </c>
      <c r="C53" s="44">
        <v>-1</v>
      </c>
      <c r="D53" s="44">
        <v>0</v>
      </c>
      <c r="E53" s="44">
        <v>-1</v>
      </c>
      <c r="F53" s="44">
        <v>0</v>
      </c>
      <c r="G53" s="44">
        <v>0</v>
      </c>
      <c r="I53" s="44">
        <v>56</v>
      </c>
      <c r="K53" s="44">
        <f>MDETERM(B53:G58)</f>
        <v>2190.0000000000005</v>
      </c>
      <c r="Q53" s="56"/>
    </row>
    <row r="54" spans="1:32" x14ac:dyDescent="0.2">
      <c r="B54" s="44">
        <v>-1</v>
      </c>
      <c r="C54" s="44">
        <v>4</v>
      </c>
      <c r="D54" s="44">
        <v>-1</v>
      </c>
      <c r="E54" s="44">
        <v>0</v>
      </c>
      <c r="F54" s="44">
        <v>-1</v>
      </c>
      <c r="G54" s="44">
        <v>0</v>
      </c>
      <c r="I54" s="44">
        <v>25</v>
      </c>
      <c r="Q54" s="56"/>
    </row>
    <row r="55" spans="1:32" x14ac:dyDescent="0.2">
      <c r="B55" s="44">
        <v>0</v>
      </c>
      <c r="C55" s="44">
        <v>-2</v>
      </c>
      <c r="D55" s="44">
        <v>4</v>
      </c>
      <c r="E55" s="44">
        <v>0</v>
      </c>
      <c r="F55" s="44">
        <v>0</v>
      </c>
      <c r="G55" s="44">
        <v>-1</v>
      </c>
      <c r="I55" s="44">
        <v>62</v>
      </c>
      <c r="Q55" s="56"/>
    </row>
    <row r="56" spans="1:32" x14ac:dyDescent="0.2">
      <c r="B56" s="44">
        <v>-1</v>
      </c>
      <c r="C56" s="44">
        <v>0</v>
      </c>
      <c r="D56" s="44">
        <v>0</v>
      </c>
      <c r="E56" s="44">
        <v>4</v>
      </c>
      <c r="F56" s="44">
        <v>-1</v>
      </c>
      <c r="G56" s="44">
        <v>0</v>
      </c>
      <c r="I56" s="44">
        <v>41</v>
      </c>
      <c r="Q56" s="56"/>
    </row>
    <row r="57" spans="1:32" x14ac:dyDescent="0.2">
      <c r="B57" s="44">
        <v>0</v>
      </c>
      <c r="C57" s="44">
        <v>-1</v>
      </c>
      <c r="D57" s="44">
        <v>0</v>
      </c>
      <c r="E57" s="44">
        <v>-1</v>
      </c>
      <c r="F57" s="44">
        <v>4</v>
      </c>
      <c r="G57" s="44">
        <v>-1</v>
      </c>
      <c r="I57" s="44">
        <v>10</v>
      </c>
      <c r="Q57" s="56"/>
    </row>
    <row r="58" spans="1:32" x14ac:dyDescent="0.2">
      <c r="B58" s="44">
        <v>0</v>
      </c>
      <c r="C58" s="44">
        <v>0</v>
      </c>
      <c r="D58" s="44">
        <v>-1</v>
      </c>
      <c r="E58" s="44">
        <v>0</v>
      </c>
      <c r="F58" s="44">
        <v>-1</v>
      </c>
      <c r="G58" s="44">
        <v>4</v>
      </c>
      <c r="I58" s="44">
        <v>47</v>
      </c>
      <c r="Q58" s="56"/>
    </row>
    <row r="59" spans="1:32" x14ac:dyDescent="0.2">
      <c r="Q59" s="56"/>
    </row>
    <row r="60" spans="1:32" x14ac:dyDescent="0.2">
      <c r="B60" s="63" t="s">
        <v>57</v>
      </c>
      <c r="I60" s="63" t="s">
        <v>58</v>
      </c>
      <c r="Q60" s="56"/>
      <c r="R60" s="138" t="s">
        <v>63</v>
      </c>
      <c r="S60" s="138"/>
    </row>
    <row r="61" spans="1:32" x14ac:dyDescent="0.2">
      <c r="B61" s="44">
        <f>B53</f>
        <v>4</v>
      </c>
      <c r="C61" s="44">
        <v>0</v>
      </c>
      <c r="D61" s="44">
        <v>0</v>
      </c>
      <c r="E61" s="44">
        <v>0</v>
      </c>
      <c r="F61" s="44">
        <v>0</v>
      </c>
      <c r="G61" s="44">
        <v>0</v>
      </c>
      <c r="I61" s="44">
        <v>1</v>
      </c>
      <c r="J61" s="44">
        <f>C53/$B$61</f>
        <v>-0.25</v>
      </c>
      <c r="K61" s="44">
        <f>D53/$B$61</f>
        <v>0</v>
      </c>
      <c r="L61" s="44">
        <f>E53/$B$61</f>
        <v>-0.25</v>
      </c>
      <c r="M61" s="44">
        <f t="shared" ref="M61:N61" si="5">F53/$B$61</f>
        <v>0</v>
      </c>
      <c r="N61" s="44">
        <f t="shared" si="5"/>
        <v>0</v>
      </c>
      <c r="Q61" s="56"/>
      <c r="R61" s="44">
        <f t="array" ref="R61:W66">MMULT(B61:G66,I61:N66)</f>
        <v>4</v>
      </c>
      <c r="S61" s="44">
        <v>-1</v>
      </c>
      <c r="T61" s="44">
        <v>0</v>
      </c>
      <c r="U61" s="44">
        <v>-1</v>
      </c>
      <c r="V61" s="44">
        <v>0</v>
      </c>
      <c r="W61" s="44">
        <v>0</v>
      </c>
    </row>
    <row r="62" spans="1:32" x14ac:dyDescent="0.2">
      <c r="B62" s="44">
        <f t="shared" ref="B62:B66" si="6">B54</f>
        <v>-1</v>
      </c>
      <c r="C62" s="44">
        <f>C54-B62*$J$61</f>
        <v>3.75</v>
      </c>
      <c r="D62" s="44">
        <v>0</v>
      </c>
      <c r="E62" s="44">
        <v>0</v>
      </c>
      <c r="F62" s="44">
        <v>0</v>
      </c>
      <c r="G62" s="44">
        <v>0</v>
      </c>
      <c r="I62" s="44">
        <v>0</v>
      </c>
      <c r="J62" s="44">
        <v>1</v>
      </c>
      <c r="K62" s="44">
        <f>(D54-$B$62*K61)/$C$62</f>
        <v>-0.26666666666666666</v>
      </c>
      <c r="L62" s="44">
        <f>(E54-$B$62*L61)/$C$62</f>
        <v>-6.6666666666666666E-2</v>
      </c>
      <c r="M62" s="44">
        <f>(F54-$B$62*M61)/$C$62</f>
        <v>-0.26666666666666666</v>
      </c>
      <c r="N62" s="44">
        <f>(G54-$B$62*N61)/$C$62</f>
        <v>0</v>
      </c>
      <c r="Q62" s="56"/>
      <c r="R62" s="44">
        <v>-1</v>
      </c>
      <c r="S62" s="44">
        <v>4</v>
      </c>
      <c r="T62" s="44">
        <v>-1</v>
      </c>
      <c r="U62" s="44">
        <v>0</v>
      </c>
      <c r="V62" s="44">
        <v>-1</v>
      </c>
      <c r="W62" s="44">
        <v>0</v>
      </c>
    </row>
    <row r="63" spans="1:32" x14ac:dyDescent="0.2">
      <c r="B63" s="44">
        <f t="shared" si="6"/>
        <v>0</v>
      </c>
      <c r="C63" s="44">
        <f>C55-B63*$J$61</f>
        <v>-2</v>
      </c>
      <c r="D63" s="44">
        <f>D55-B63*K61-C63*K62</f>
        <v>3.4666666666666668</v>
      </c>
      <c r="E63" s="44">
        <v>0</v>
      </c>
      <c r="F63" s="44">
        <v>0</v>
      </c>
      <c r="G63" s="44">
        <v>0</v>
      </c>
      <c r="I63" s="44">
        <v>0</v>
      </c>
      <c r="J63" s="44">
        <v>0</v>
      </c>
      <c r="K63" s="44">
        <v>1</v>
      </c>
      <c r="L63" s="44">
        <f>(E55-$B$63*L61-$C$63*L62)/$D$63</f>
        <v>-3.8461538461538457E-2</v>
      </c>
      <c r="M63" s="44">
        <f>(F55-$B$63*M61-$C$63*M62)/$D$63</f>
        <v>-0.15384615384615383</v>
      </c>
      <c r="N63" s="44">
        <f>(G55-$B$63*N61-$C$63*N62)/$D$63</f>
        <v>-0.28846153846153844</v>
      </c>
      <c r="Q63" s="56"/>
      <c r="R63" s="44">
        <v>0</v>
      </c>
      <c r="S63" s="44">
        <v>-2</v>
      </c>
      <c r="T63" s="44">
        <v>4</v>
      </c>
      <c r="U63" s="44">
        <v>0</v>
      </c>
      <c r="V63" s="44">
        <v>0</v>
      </c>
      <c r="W63" s="44">
        <v>-1</v>
      </c>
    </row>
    <row r="64" spans="1:32" x14ac:dyDescent="0.2">
      <c r="B64" s="44">
        <f t="shared" si="6"/>
        <v>-1</v>
      </c>
      <c r="C64" s="44">
        <f>C56-B64*$J$61</f>
        <v>-0.25</v>
      </c>
      <c r="D64" s="44">
        <f>D56-B64*$K$61-C64*$K$62</f>
        <v>-6.6666666666666666E-2</v>
      </c>
      <c r="E64" s="44">
        <f>E56-B64*$L$61-C64*$L$62-D64*$L$63</f>
        <v>3.7307692307692308</v>
      </c>
      <c r="F64" s="44">
        <v>0</v>
      </c>
      <c r="G64" s="44">
        <v>0</v>
      </c>
      <c r="I64" s="44">
        <v>0</v>
      </c>
      <c r="J64" s="44">
        <v>0</v>
      </c>
      <c r="K64" s="44">
        <v>0</v>
      </c>
      <c r="L64" s="44">
        <v>1</v>
      </c>
      <c r="M64" s="44">
        <f>(F56-$B$64*M61-$C$64*M62-$D$64*M63)/$E$64</f>
        <v>-0.28865979381443296</v>
      </c>
      <c r="N64" s="44">
        <f>(G56-$B$64*N61-$C$64*N62-$D$64*N63)/$E$64</f>
        <v>-5.154639175257731E-3</v>
      </c>
      <c r="Q64" s="56"/>
      <c r="R64" s="44">
        <v>-1</v>
      </c>
      <c r="S64" s="44">
        <v>0</v>
      </c>
      <c r="T64" s="44">
        <v>0</v>
      </c>
      <c r="U64" s="44">
        <v>4</v>
      </c>
      <c r="V64" s="44">
        <v>-1</v>
      </c>
      <c r="W64" s="44">
        <v>0</v>
      </c>
    </row>
    <row r="65" spans="2:23" x14ac:dyDescent="0.2">
      <c r="B65" s="44">
        <f t="shared" si="6"/>
        <v>0</v>
      </c>
      <c r="C65" s="44">
        <f t="shared" ref="C65:C66" si="7">C57-B65*$J$61</f>
        <v>-1</v>
      </c>
      <c r="D65" s="44">
        <f>D57-B65*$K$61-C65*$K$62</f>
        <v>-0.26666666666666666</v>
      </c>
      <c r="E65" s="44">
        <f>E57-B65*$L$61-C65*$L$62-D65*$L$63</f>
        <v>-1.0769230769230769</v>
      </c>
      <c r="F65" s="44">
        <f>F57-B65*$M$61-C65*$M$62-D65*$M$63-E65*$M$64</f>
        <v>3.3814432989690726</v>
      </c>
      <c r="G65" s="44">
        <v>0</v>
      </c>
      <c r="I65" s="44">
        <v>0</v>
      </c>
      <c r="J65" s="44">
        <v>0</v>
      </c>
      <c r="K65" s="44">
        <v>0</v>
      </c>
      <c r="L65" s="44">
        <v>0</v>
      </c>
      <c r="M65" s="44">
        <v>1</v>
      </c>
      <c r="N65" s="44">
        <f>(G57-B65*N61-C65*N62-D65*N63-E65*N64)/F65</f>
        <v>-0.32012195121951215</v>
      </c>
      <c r="Q65" s="56"/>
      <c r="R65" s="44">
        <v>0</v>
      </c>
      <c r="S65" s="44">
        <v>-1</v>
      </c>
      <c r="T65" s="44">
        <v>0</v>
      </c>
      <c r="U65" s="44">
        <v>-1</v>
      </c>
      <c r="V65" s="44">
        <v>4</v>
      </c>
      <c r="W65" s="44">
        <v>-1</v>
      </c>
    </row>
    <row r="66" spans="2:23" x14ac:dyDescent="0.2">
      <c r="B66" s="44">
        <f t="shared" si="6"/>
        <v>0</v>
      </c>
      <c r="C66" s="44">
        <f t="shared" si="7"/>
        <v>0</v>
      </c>
      <c r="D66" s="44">
        <f>D58-B66*$K$61-C66*$K$62</f>
        <v>-1</v>
      </c>
      <c r="E66" s="44">
        <f>E58-B66*$L$61-C66*$L$62-D66*$L$63</f>
        <v>-3.8461538461538457E-2</v>
      </c>
      <c r="F66" s="44">
        <f>F58-B66*$M$61-C66*$M$62-D66*$M$63-E66*$M$64</f>
        <v>-1.1649484536082473</v>
      </c>
      <c r="G66" s="44">
        <f>G58-B66*N61-C66*N62-D66*N63-E66*N64-F66*N65</f>
        <v>3.3384146341463419</v>
      </c>
      <c r="I66" s="44">
        <v>0</v>
      </c>
      <c r="J66" s="44">
        <v>0</v>
      </c>
      <c r="K66" s="44">
        <v>0</v>
      </c>
      <c r="L66" s="44">
        <v>0</v>
      </c>
      <c r="M66" s="44">
        <v>0</v>
      </c>
      <c r="N66" s="44">
        <v>1</v>
      </c>
      <c r="Q66" s="56"/>
      <c r="R66" s="44">
        <v>0</v>
      </c>
      <c r="S66" s="44">
        <v>0</v>
      </c>
      <c r="T66" s="44">
        <v>-1</v>
      </c>
      <c r="U66" s="44">
        <v>0</v>
      </c>
      <c r="V66" s="44">
        <v>-0.99999999999999989</v>
      </c>
      <c r="W66" s="44">
        <v>4</v>
      </c>
    </row>
    <row r="67" spans="2:23" x14ac:dyDescent="0.2">
      <c r="Q67" s="56"/>
    </row>
    <row r="68" spans="2:23" x14ac:dyDescent="0.2">
      <c r="B68" s="134" t="s">
        <v>59</v>
      </c>
      <c r="C68" s="135"/>
      <c r="I68" s="134" t="s">
        <v>60</v>
      </c>
      <c r="J68" s="135"/>
      <c r="Q68" s="56"/>
    </row>
    <row r="69" spans="2:23" x14ac:dyDescent="0.2">
      <c r="B69" s="68">
        <f t="array" ref="B69:G74">MINVERSE(B61:G66)</f>
        <v>0.25</v>
      </c>
      <c r="C69" s="68">
        <v>0</v>
      </c>
      <c r="D69" s="68">
        <v>0</v>
      </c>
      <c r="E69" s="68">
        <v>0</v>
      </c>
      <c r="F69" s="44">
        <v>0</v>
      </c>
      <c r="G69" s="44">
        <v>0</v>
      </c>
      <c r="I69" s="44">
        <f t="array" ref="I69:N74">MINVERSE(I61:N66)</f>
        <v>1</v>
      </c>
      <c r="J69" s="44">
        <v>0.25</v>
      </c>
      <c r="K69" s="44">
        <v>6.6666666666666666E-2</v>
      </c>
      <c r="L69" s="44">
        <v>0.26923076923076922</v>
      </c>
      <c r="M69" s="44">
        <v>0.15463917525773196</v>
      </c>
      <c r="N69" s="44">
        <v>7.0121951219512188E-2</v>
      </c>
      <c r="Q69" s="56"/>
    </row>
    <row r="70" spans="2:23" x14ac:dyDescent="0.2">
      <c r="B70" s="68">
        <v>6.6666666666666666E-2</v>
      </c>
      <c r="C70" s="68">
        <v>0.26666666666666666</v>
      </c>
      <c r="D70" s="68">
        <v>0</v>
      </c>
      <c r="E70" s="68">
        <v>0</v>
      </c>
      <c r="F70" s="44">
        <v>0</v>
      </c>
      <c r="G70" s="44">
        <v>0</v>
      </c>
      <c r="I70" s="44">
        <v>0</v>
      </c>
      <c r="J70" s="44">
        <v>1</v>
      </c>
      <c r="K70" s="44">
        <v>0.26666666666666666</v>
      </c>
      <c r="L70" s="44">
        <v>7.6923076923076927E-2</v>
      </c>
      <c r="M70" s="44">
        <v>0.32989690721649484</v>
      </c>
      <c r="N70" s="44">
        <v>0.18292682926829268</v>
      </c>
      <c r="Q70" s="56"/>
    </row>
    <row r="71" spans="2:23" x14ac:dyDescent="0.2">
      <c r="B71" s="68">
        <v>3.8461538461538457E-2</v>
      </c>
      <c r="C71" s="68">
        <v>0.15384615384615383</v>
      </c>
      <c r="D71" s="68">
        <v>0.28846153846153844</v>
      </c>
      <c r="E71" s="68">
        <v>0</v>
      </c>
      <c r="F71" s="44">
        <v>0</v>
      </c>
      <c r="G71" s="44">
        <v>0</v>
      </c>
      <c r="I71" s="44">
        <v>0</v>
      </c>
      <c r="J71" s="44">
        <v>0</v>
      </c>
      <c r="K71" s="44">
        <v>1</v>
      </c>
      <c r="L71" s="44">
        <v>3.8461538461538457E-2</v>
      </c>
      <c r="M71" s="44">
        <v>0.16494845360824739</v>
      </c>
      <c r="N71" s="44">
        <v>0.34146341463414631</v>
      </c>
      <c r="Q71" s="56"/>
    </row>
    <row r="72" spans="2:23" x14ac:dyDescent="0.2">
      <c r="B72" s="68">
        <v>7.2164948453608241E-2</v>
      </c>
      <c r="C72" s="68">
        <v>2.0618556701030927E-2</v>
      </c>
      <c r="D72" s="68">
        <v>5.154639175257731E-3</v>
      </c>
      <c r="E72" s="68">
        <v>0.26804123711340205</v>
      </c>
      <c r="F72" s="44">
        <v>0</v>
      </c>
      <c r="G72" s="44">
        <v>0</v>
      </c>
      <c r="I72" s="44">
        <v>0</v>
      </c>
      <c r="J72" s="44">
        <v>0</v>
      </c>
      <c r="K72" s="44">
        <v>0</v>
      </c>
      <c r="L72" s="44">
        <v>1</v>
      </c>
      <c r="M72" s="44">
        <v>0.28865979381443296</v>
      </c>
      <c r="N72" s="44">
        <v>9.7560975609756073E-2</v>
      </c>
      <c r="Q72" s="56"/>
    </row>
    <row r="73" spans="2:23" x14ac:dyDescent="0.2">
      <c r="B73" s="44">
        <v>4.573170731707317E-2</v>
      </c>
      <c r="C73" s="44">
        <v>9.7560975609756087E-2</v>
      </c>
      <c r="D73" s="44">
        <v>2.4390243902439018E-2</v>
      </c>
      <c r="E73" s="44">
        <v>8.5365853658536564E-2</v>
      </c>
      <c r="F73" s="44">
        <v>0.29573170731707316</v>
      </c>
      <c r="G73" s="44">
        <v>0</v>
      </c>
      <c r="I73" s="44">
        <v>0</v>
      </c>
      <c r="J73" s="44">
        <v>0</v>
      </c>
      <c r="K73" s="44">
        <v>0</v>
      </c>
      <c r="L73" s="44">
        <v>0</v>
      </c>
      <c r="M73" s="44">
        <v>1</v>
      </c>
      <c r="N73" s="44">
        <v>0.32012195121951215</v>
      </c>
      <c r="Q73" s="56"/>
    </row>
    <row r="74" spans="2:23" x14ac:dyDescent="0.2">
      <c r="B74" s="44">
        <v>2.8310502283105013E-2</v>
      </c>
      <c r="C74" s="44">
        <v>8.0365296803652952E-2</v>
      </c>
      <c r="D74" s="44">
        <v>9.4977168949771665E-2</v>
      </c>
      <c r="E74" s="44">
        <v>3.2876712328767106E-2</v>
      </c>
      <c r="F74" s="44">
        <v>0.10319634703196344</v>
      </c>
      <c r="G74" s="44">
        <v>0.29954337899543376</v>
      </c>
      <c r="I74" s="44">
        <v>0</v>
      </c>
      <c r="J74" s="44">
        <v>0</v>
      </c>
      <c r="K74" s="44">
        <v>0</v>
      </c>
      <c r="L74" s="44">
        <v>0</v>
      </c>
      <c r="M74" s="44">
        <v>0</v>
      </c>
      <c r="N74" s="44">
        <v>1</v>
      </c>
      <c r="Q74" s="56"/>
    </row>
    <row r="75" spans="2:23" x14ac:dyDescent="0.2">
      <c r="Q75" s="56"/>
    </row>
    <row r="76" spans="2:23" x14ac:dyDescent="0.2">
      <c r="B76" s="66" t="s">
        <v>61</v>
      </c>
      <c r="D76" s="66" t="s">
        <v>62</v>
      </c>
      <c r="F76" s="66" t="s">
        <v>53</v>
      </c>
      <c r="Q76" s="56"/>
    </row>
    <row r="77" spans="2:23" x14ac:dyDescent="0.2">
      <c r="B77" s="44">
        <f t="array" ref="B77:B82">MMULT(B69:G74,I53:I58)</f>
        <v>14</v>
      </c>
      <c r="D77" s="44">
        <f t="array" ref="D77:D82">MMULT(I69:N74,B77:B82)</f>
        <v>26.288584474885848</v>
      </c>
      <c r="F77" s="44">
        <f t="array" ref="F77:F82">MMULT(B53:G58,D77:D82)</f>
        <v>56.000000000000014</v>
      </c>
      <c r="Q77" s="56"/>
    </row>
    <row r="78" spans="2:23" x14ac:dyDescent="0.2">
      <c r="B78" s="44">
        <v>10.4</v>
      </c>
      <c r="D78" s="44">
        <v>27.013698630136982</v>
      </c>
      <c r="F78" s="44">
        <v>24.999999999999979</v>
      </c>
      <c r="Q78" s="56"/>
    </row>
    <row r="79" spans="2:23" x14ac:dyDescent="0.2">
      <c r="B79" s="44">
        <v>23.884615384615383</v>
      </c>
      <c r="D79" s="44">
        <v>35.492237442922374</v>
      </c>
      <c r="F79" s="44">
        <v>62</v>
      </c>
      <c r="Q79" s="56"/>
    </row>
    <row r="80" spans="2:23" x14ac:dyDescent="0.2">
      <c r="B80" s="44">
        <v>15.865979381443299</v>
      </c>
      <c r="D80" s="44">
        <v>22.140639269406392</v>
      </c>
      <c r="F80" s="44">
        <v>40.999999999999993</v>
      </c>
      <c r="Q80" s="56"/>
    </row>
    <row r="81" spans="2:17" x14ac:dyDescent="0.2">
      <c r="B81" s="44">
        <v>12.969512195121951</v>
      </c>
      <c r="D81" s="44">
        <v>21.273972602739725</v>
      </c>
      <c r="F81" s="44">
        <v>10</v>
      </c>
      <c r="Q81" s="56"/>
    </row>
    <row r="82" spans="2:17" x14ac:dyDescent="0.2">
      <c r="B82" s="44">
        <v>25.941552511415523</v>
      </c>
      <c r="D82" s="44">
        <v>25.941552511415523</v>
      </c>
      <c r="F82" s="44">
        <v>46.999999999999993</v>
      </c>
      <c r="Q82" s="56"/>
    </row>
    <row r="83" spans="2:17" x14ac:dyDescent="0.2">
      <c r="Q83" s="56"/>
    </row>
    <row r="84" spans="2:17" x14ac:dyDescent="0.2">
      <c r="Q84" s="56"/>
    </row>
    <row r="85" spans="2:17" x14ac:dyDescent="0.2">
      <c r="Q85" s="56"/>
    </row>
    <row r="86" spans="2:17" x14ac:dyDescent="0.2">
      <c r="Q86" s="56"/>
    </row>
    <row r="87" spans="2:17" x14ac:dyDescent="0.2">
      <c r="Q87" s="56"/>
    </row>
    <row r="88" spans="2:17" x14ac:dyDescent="0.2">
      <c r="Q88" s="56"/>
    </row>
    <row r="89" spans="2:17" x14ac:dyDescent="0.2">
      <c r="Q89" s="56"/>
    </row>
    <row r="90" spans="2:17" x14ac:dyDescent="0.2">
      <c r="Q90" s="56"/>
    </row>
    <row r="91" spans="2:17" x14ac:dyDescent="0.2">
      <c r="Q91" s="56"/>
    </row>
    <row r="92" spans="2:17" x14ac:dyDescent="0.2">
      <c r="Q92" s="56"/>
    </row>
    <row r="93" spans="2:17" x14ac:dyDescent="0.2">
      <c r="Q93" s="56"/>
    </row>
    <row r="94" spans="2:17" x14ac:dyDescent="0.2">
      <c r="Q94" s="56"/>
    </row>
    <row r="95" spans="2:17" x14ac:dyDescent="0.2">
      <c r="Q95" s="56"/>
    </row>
    <row r="96" spans="2:17" x14ac:dyDescent="0.2">
      <c r="Q96" s="56"/>
    </row>
    <row r="97" spans="17:17" x14ac:dyDescent="0.2">
      <c r="Q97" s="56"/>
    </row>
    <row r="98" spans="17:17" x14ac:dyDescent="0.2">
      <c r="Q98" s="56"/>
    </row>
    <row r="99" spans="17:17" x14ac:dyDescent="0.2">
      <c r="Q99" s="56"/>
    </row>
    <row r="100" spans="17:17" x14ac:dyDescent="0.2">
      <c r="Q100" s="56"/>
    </row>
    <row r="101" spans="17:17" x14ac:dyDescent="0.2">
      <c r="Q101" s="56"/>
    </row>
    <row r="102" spans="17:17" x14ac:dyDescent="0.2">
      <c r="Q102" s="56"/>
    </row>
    <row r="103" spans="17:17" x14ac:dyDescent="0.2">
      <c r="Q103" s="56"/>
    </row>
    <row r="104" spans="17:17" x14ac:dyDescent="0.2">
      <c r="Q104" s="56"/>
    </row>
    <row r="105" spans="17:17" x14ac:dyDescent="0.2">
      <c r="Q105" s="56"/>
    </row>
    <row r="106" spans="17:17" x14ac:dyDescent="0.2">
      <c r="Q106" s="56"/>
    </row>
    <row r="107" spans="17:17" x14ac:dyDescent="0.2">
      <c r="Q107" s="56"/>
    </row>
    <row r="108" spans="17:17" x14ac:dyDescent="0.2">
      <c r="Q108" s="56"/>
    </row>
    <row r="109" spans="17:17" x14ac:dyDescent="0.2">
      <c r="Q109" s="56"/>
    </row>
    <row r="110" spans="17:17" x14ac:dyDescent="0.2">
      <c r="Q110" s="56"/>
    </row>
    <row r="111" spans="17:17" x14ac:dyDescent="0.2">
      <c r="Q111" s="56"/>
    </row>
    <row r="112" spans="17:17" x14ac:dyDescent="0.2">
      <c r="Q112" s="56"/>
    </row>
    <row r="113" spans="17:17" x14ac:dyDescent="0.2">
      <c r="Q113" s="56"/>
    </row>
    <row r="114" spans="17:17" x14ac:dyDescent="0.2">
      <c r="Q114" s="56"/>
    </row>
    <row r="115" spans="17:17" x14ac:dyDescent="0.2">
      <c r="Q115" s="56"/>
    </row>
    <row r="116" spans="17:17" x14ac:dyDescent="0.2">
      <c r="Q116" s="56"/>
    </row>
    <row r="117" spans="17:17" x14ac:dyDescent="0.2">
      <c r="Q117" s="56"/>
    </row>
    <row r="118" spans="17:17" x14ac:dyDescent="0.2">
      <c r="Q118" s="56"/>
    </row>
    <row r="119" spans="17:17" x14ac:dyDescent="0.2">
      <c r="Q119" s="56"/>
    </row>
    <row r="120" spans="17:17" x14ac:dyDescent="0.2">
      <c r="Q120" s="56"/>
    </row>
    <row r="121" spans="17:17" x14ac:dyDescent="0.2">
      <c r="Q121" s="56"/>
    </row>
    <row r="122" spans="17:17" x14ac:dyDescent="0.2">
      <c r="Q122" s="56"/>
    </row>
    <row r="123" spans="17:17" x14ac:dyDescent="0.2">
      <c r="Q123" s="56"/>
    </row>
    <row r="124" spans="17:17" x14ac:dyDescent="0.2">
      <c r="Q124" s="56"/>
    </row>
    <row r="125" spans="17:17" x14ac:dyDescent="0.2">
      <c r="Q125" s="56"/>
    </row>
    <row r="126" spans="17:17" x14ac:dyDescent="0.2">
      <c r="Q126" s="56"/>
    </row>
    <row r="127" spans="17:17" x14ac:dyDescent="0.2">
      <c r="Q127" s="56"/>
    </row>
    <row r="128" spans="17:17" x14ac:dyDescent="0.2">
      <c r="Q128" s="56"/>
    </row>
    <row r="129" spans="17:17" x14ac:dyDescent="0.2">
      <c r="Q129" s="56"/>
    </row>
    <row r="130" spans="17:17" x14ac:dyDescent="0.2">
      <c r="Q130" s="56"/>
    </row>
    <row r="131" spans="17:17" x14ac:dyDescent="0.2">
      <c r="Q131" s="56"/>
    </row>
    <row r="132" spans="17:17" x14ac:dyDescent="0.2">
      <c r="Q132" s="56"/>
    </row>
    <row r="133" spans="17:17" x14ac:dyDescent="0.2">
      <c r="Q133" s="56"/>
    </row>
    <row r="134" spans="17:17" x14ac:dyDescent="0.2">
      <c r="Q134" s="56"/>
    </row>
    <row r="135" spans="17:17" x14ac:dyDescent="0.2">
      <c r="Q135" s="56"/>
    </row>
    <row r="136" spans="17:17" x14ac:dyDescent="0.2">
      <c r="Q136" s="56"/>
    </row>
    <row r="137" spans="17:17" x14ac:dyDescent="0.2">
      <c r="Q137" s="56"/>
    </row>
    <row r="138" spans="17:17" x14ac:dyDescent="0.2">
      <c r="Q138" s="56"/>
    </row>
    <row r="139" spans="17:17" x14ac:dyDescent="0.2">
      <c r="Q139" s="56"/>
    </row>
    <row r="140" spans="17:17" x14ac:dyDescent="0.2">
      <c r="Q140" s="56"/>
    </row>
    <row r="141" spans="17:17" x14ac:dyDescent="0.2">
      <c r="Q141" s="56"/>
    </row>
    <row r="142" spans="17:17" x14ac:dyDescent="0.2">
      <c r="Q142" s="56"/>
    </row>
    <row r="143" spans="17:17" x14ac:dyDescent="0.2">
      <c r="Q143" s="56"/>
    </row>
    <row r="144" spans="17:17" x14ac:dyDescent="0.2">
      <c r="Q144" s="56"/>
    </row>
    <row r="145" spans="17:17" x14ac:dyDescent="0.2">
      <c r="Q145" s="56"/>
    </row>
    <row r="146" spans="17:17" x14ac:dyDescent="0.2">
      <c r="Q146" s="56"/>
    </row>
    <row r="147" spans="17:17" x14ac:dyDescent="0.2">
      <c r="Q147" s="56"/>
    </row>
    <row r="148" spans="17:17" x14ac:dyDescent="0.2">
      <c r="Q148" s="56"/>
    </row>
    <row r="149" spans="17:17" x14ac:dyDescent="0.2">
      <c r="Q149" s="56"/>
    </row>
    <row r="150" spans="17:17" x14ac:dyDescent="0.2">
      <c r="Q150" s="56"/>
    </row>
    <row r="151" spans="17:17" x14ac:dyDescent="0.2">
      <c r="Q151" s="56"/>
    </row>
    <row r="152" spans="17:17" x14ac:dyDescent="0.2">
      <c r="Q152" s="56"/>
    </row>
    <row r="153" spans="17:17" x14ac:dyDescent="0.2">
      <c r="Q153" s="56"/>
    </row>
    <row r="154" spans="17:17" x14ac:dyDescent="0.2">
      <c r="Q154" s="56"/>
    </row>
    <row r="155" spans="17:17" x14ac:dyDescent="0.2">
      <c r="Q155" s="56"/>
    </row>
    <row r="156" spans="17:17" x14ac:dyDescent="0.2">
      <c r="Q156" s="56"/>
    </row>
    <row r="157" spans="17:17" x14ac:dyDescent="0.2">
      <c r="Q157" s="56"/>
    </row>
    <row r="158" spans="17:17" x14ac:dyDescent="0.2">
      <c r="Q158" s="56"/>
    </row>
    <row r="159" spans="17:17" x14ac:dyDescent="0.2">
      <c r="Q159" s="56"/>
    </row>
    <row r="160" spans="17:17" x14ac:dyDescent="0.2">
      <c r="Q160" s="56"/>
    </row>
    <row r="161" spans="17:17" x14ac:dyDescent="0.2">
      <c r="Q161" s="56"/>
    </row>
    <row r="162" spans="17:17" x14ac:dyDescent="0.2">
      <c r="Q162" s="56"/>
    </row>
    <row r="163" spans="17:17" x14ac:dyDescent="0.2">
      <c r="Q163" s="56"/>
    </row>
    <row r="164" spans="17:17" x14ac:dyDescent="0.2">
      <c r="Q164" s="56"/>
    </row>
    <row r="165" spans="17:17" x14ac:dyDescent="0.2">
      <c r="Q165" s="56"/>
    </row>
    <row r="166" spans="17:17" x14ac:dyDescent="0.2">
      <c r="Q166" s="56"/>
    </row>
    <row r="167" spans="17:17" x14ac:dyDescent="0.2">
      <c r="Q167" s="56"/>
    </row>
    <row r="168" spans="17:17" x14ac:dyDescent="0.2">
      <c r="Q168" s="56"/>
    </row>
    <row r="169" spans="17:17" x14ac:dyDescent="0.2">
      <c r="Q169" s="56"/>
    </row>
    <row r="170" spans="17:17" x14ac:dyDescent="0.2">
      <c r="Q170" s="56"/>
    </row>
    <row r="171" spans="17:17" x14ac:dyDescent="0.2">
      <c r="Q171" s="56"/>
    </row>
    <row r="172" spans="17:17" x14ac:dyDescent="0.2">
      <c r="Q172" s="56"/>
    </row>
    <row r="173" spans="17:17" x14ac:dyDescent="0.2">
      <c r="Q173" s="56"/>
    </row>
    <row r="174" spans="17:17" x14ac:dyDescent="0.2">
      <c r="Q174" s="56"/>
    </row>
    <row r="175" spans="17:17" x14ac:dyDescent="0.2">
      <c r="Q175" s="56"/>
    </row>
    <row r="176" spans="17:17" x14ac:dyDescent="0.2">
      <c r="Q176" s="56"/>
    </row>
    <row r="177" spans="17:17" x14ac:dyDescent="0.2">
      <c r="Q177" s="56"/>
    </row>
    <row r="178" spans="17:17" x14ac:dyDescent="0.2">
      <c r="Q178" s="56"/>
    </row>
    <row r="179" spans="17:17" x14ac:dyDescent="0.2">
      <c r="Q179" s="56"/>
    </row>
    <row r="180" spans="17:17" x14ac:dyDescent="0.2">
      <c r="Q180" s="56"/>
    </row>
    <row r="181" spans="17:17" x14ac:dyDescent="0.2">
      <c r="Q181" s="56"/>
    </row>
    <row r="182" spans="17:17" x14ac:dyDescent="0.2">
      <c r="Q182" s="56"/>
    </row>
    <row r="183" spans="17:17" x14ac:dyDescent="0.2">
      <c r="Q183" s="56"/>
    </row>
    <row r="184" spans="17:17" x14ac:dyDescent="0.2">
      <c r="Q184" s="56"/>
    </row>
  </sheetData>
  <mergeCells count="13">
    <mergeCell ref="R60:S60"/>
    <mergeCell ref="B68:C68"/>
    <mergeCell ref="I68:J68"/>
    <mergeCell ref="W14:X14"/>
    <mergeCell ref="X38:Y38"/>
    <mergeCell ref="A1:C2"/>
    <mergeCell ref="B14:C14"/>
    <mergeCell ref="F14:G14"/>
    <mergeCell ref="R1:T2"/>
    <mergeCell ref="B38:C38"/>
    <mergeCell ref="G38:H38"/>
    <mergeCell ref="S38:T38"/>
    <mergeCell ref="S14:T14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EB80C-75E4-4EC2-9072-804CDCADAB18}">
  <sheetPr>
    <tabColor theme="5" tint="0.79998168889431442"/>
  </sheetPr>
  <dimension ref="A1:L37"/>
  <sheetViews>
    <sheetView topLeftCell="A5" workbookViewId="0">
      <selection activeCell="J34" sqref="J34"/>
    </sheetView>
  </sheetViews>
  <sheetFormatPr baseColWidth="10" defaultRowHeight="15" x14ac:dyDescent="0.2"/>
  <cols>
    <col min="1" max="1" width="6.5546875" style="56" customWidth="1"/>
    <col min="2" max="2" width="18.33203125" style="56" customWidth="1"/>
    <col min="3" max="3" width="11.77734375" style="56" bestFit="1" customWidth="1"/>
    <col min="4" max="5" width="11.5546875" style="56"/>
    <col min="6" max="6" width="12.109375" style="56" customWidth="1"/>
    <col min="7" max="7" width="11.5546875" style="56"/>
    <col min="8" max="8" width="12" style="56" customWidth="1"/>
    <col min="9" max="16384" width="11.5546875" style="56"/>
  </cols>
  <sheetData>
    <row r="1" spans="1:5" x14ac:dyDescent="0.2">
      <c r="A1" s="142" t="s">
        <v>65</v>
      </c>
      <c r="B1" s="142"/>
      <c r="C1" s="142"/>
      <c r="D1" s="142"/>
      <c r="E1" s="142"/>
    </row>
    <row r="2" spans="1:5" x14ac:dyDescent="0.2">
      <c r="A2" s="142"/>
      <c r="B2" s="142"/>
      <c r="C2" s="142"/>
      <c r="D2" s="142"/>
      <c r="E2" s="142"/>
    </row>
    <row r="19" spans="2:12" x14ac:dyDescent="0.2">
      <c r="B19" s="139" t="s">
        <v>45</v>
      </c>
      <c r="C19" s="140"/>
      <c r="D19" s="141"/>
      <c r="F19" s="69" t="s">
        <v>46</v>
      </c>
      <c r="H19" s="69" t="s">
        <v>66</v>
      </c>
    </row>
    <row r="20" spans="2:12" x14ac:dyDescent="0.2">
      <c r="B20" s="44">
        <v>6</v>
      </c>
      <c r="C20" s="44">
        <v>15</v>
      </c>
      <c r="D20" s="44">
        <v>55</v>
      </c>
      <c r="F20" s="44">
        <v>3</v>
      </c>
      <c r="H20" s="44">
        <f>MDETERM(B20)</f>
        <v>6</v>
      </c>
    </row>
    <row r="21" spans="2:12" x14ac:dyDescent="0.2">
      <c r="B21" s="44">
        <v>15</v>
      </c>
      <c r="C21" s="44">
        <v>55</v>
      </c>
      <c r="D21" s="44">
        <v>225</v>
      </c>
      <c r="F21" s="44">
        <v>2</v>
      </c>
      <c r="H21" s="44">
        <f>MDETERM(B20:C21)</f>
        <v>105</v>
      </c>
    </row>
    <row r="22" spans="2:12" x14ac:dyDescent="0.2">
      <c r="B22" s="44">
        <v>55</v>
      </c>
      <c r="C22" s="44">
        <v>225</v>
      </c>
      <c r="D22" s="44">
        <v>979</v>
      </c>
      <c r="F22" s="44">
        <v>1</v>
      </c>
      <c r="H22" s="44">
        <f>MDETERM(B20:D22)</f>
        <v>3920.0000000000077</v>
      </c>
    </row>
    <row r="24" spans="2:12" x14ac:dyDescent="0.2">
      <c r="B24" s="139" t="s">
        <v>67</v>
      </c>
      <c r="C24" s="140"/>
      <c r="D24" s="141"/>
      <c r="F24" s="139" t="s">
        <v>68</v>
      </c>
      <c r="G24" s="140"/>
      <c r="H24" s="141"/>
      <c r="J24" s="139" t="s">
        <v>53</v>
      </c>
      <c r="K24" s="140"/>
      <c r="L24" s="141"/>
    </row>
    <row r="25" spans="2:12" x14ac:dyDescent="0.2">
      <c r="B25" s="70">
        <f>SQRT(B20)</f>
        <v>2.4494897427831779</v>
      </c>
      <c r="C25" s="70">
        <v>0</v>
      </c>
      <c r="D25" s="70">
        <v>0</v>
      </c>
      <c r="E25" s="71"/>
      <c r="F25" s="70">
        <f t="array" ref="F25:H27">TRANSPOSE(B25:D27)</f>
        <v>2.4494897427831779</v>
      </c>
      <c r="G25" s="70">
        <v>6.123724356957946</v>
      </c>
      <c r="H25" s="70">
        <v>22.453655975512469</v>
      </c>
      <c r="J25" s="44">
        <f t="array" ref="J25:L27">MMULT(B25:D27,F25:H27)</f>
        <v>5.9999999999999991</v>
      </c>
      <c r="K25" s="44">
        <v>15</v>
      </c>
      <c r="L25" s="44">
        <v>55</v>
      </c>
    </row>
    <row r="26" spans="2:12" x14ac:dyDescent="0.2">
      <c r="B26" s="70">
        <f>C20/B25</f>
        <v>6.123724356957946</v>
      </c>
      <c r="C26" s="70">
        <f>SQRT(C21-(B26)^2)</f>
        <v>4.1833001326703769</v>
      </c>
      <c r="D26" s="70">
        <v>0</v>
      </c>
      <c r="E26" s="71"/>
      <c r="F26" s="70">
        <v>0</v>
      </c>
      <c r="G26" s="70">
        <v>4.1833001326703769</v>
      </c>
      <c r="H26" s="70">
        <v>20.916500663351886</v>
      </c>
      <c r="J26" s="44">
        <v>15</v>
      </c>
      <c r="K26" s="44">
        <v>55</v>
      </c>
      <c r="L26" s="44">
        <v>225</v>
      </c>
    </row>
    <row r="27" spans="2:12" x14ac:dyDescent="0.2">
      <c r="B27" s="70">
        <f>B22/B25</f>
        <v>22.453655975512469</v>
      </c>
      <c r="C27" s="70">
        <f>(D21-B26*B27)/C26</f>
        <v>20.916500663351886</v>
      </c>
      <c r="D27" s="70">
        <f>SQRT(D22-(B27)^2-(C27)^2)</f>
        <v>6.1101009266077853</v>
      </c>
      <c r="E27" s="71"/>
      <c r="F27" s="70">
        <v>0</v>
      </c>
      <c r="G27" s="70">
        <v>0</v>
      </c>
      <c r="H27" s="70">
        <v>6.1101009266077853</v>
      </c>
      <c r="J27" s="44">
        <v>55</v>
      </c>
      <c r="K27" s="44">
        <v>225</v>
      </c>
      <c r="L27" s="44">
        <v>979</v>
      </c>
    </row>
    <row r="29" spans="2:12" x14ac:dyDescent="0.2">
      <c r="B29" s="139" t="s">
        <v>69</v>
      </c>
      <c r="C29" s="140"/>
      <c r="D29" s="141"/>
      <c r="F29" s="139" t="s">
        <v>70</v>
      </c>
      <c r="G29" s="140"/>
      <c r="H29" s="141"/>
    </row>
    <row r="30" spans="2:12" x14ac:dyDescent="0.2">
      <c r="B30" s="44">
        <f t="array" ref="B30:D32">MINVERSE(B25:D27)</f>
        <v>0.40824829046386318</v>
      </c>
      <c r="C30" s="44">
        <v>0</v>
      </c>
      <c r="D30" s="44">
        <v>0</v>
      </c>
      <c r="F30" s="44">
        <f t="array" ref="F30:H32">MINVERSE(F25:H27)</f>
        <v>0.40824829046386307</v>
      </c>
      <c r="G30" s="44">
        <v>-0.59761430466719712</v>
      </c>
      <c r="H30" s="44">
        <v>0.54554472558998157</v>
      </c>
    </row>
    <row r="31" spans="2:12" x14ac:dyDescent="0.2">
      <c r="B31" s="44">
        <v>-0.59761430466719712</v>
      </c>
      <c r="C31" s="44">
        <v>0.23904572186687881</v>
      </c>
      <c r="D31" s="44">
        <v>6.0819473081296906E-18</v>
      </c>
      <c r="F31" s="44">
        <v>0</v>
      </c>
      <c r="G31" s="44">
        <v>0.23904572186687878</v>
      </c>
      <c r="H31" s="44">
        <v>-0.81831708838497175</v>
      </c>
    </row>
    <row r="32" spans="2:12" x14ac:dyDescent="0.2">
      <c r="B32" s="44">
        <v>0.54554472558998135</v>
      </c>
      <c r="C32" s="44">
        <v>-0.81831708838497175</v>
      </c>
      <c r="D32" s="44">
        <v>0.1636634176769943</v>
      </c>
      <c r="F32" s="44">
        <v>0</v>
      </c>
      <c r="G32" s="44">
        <v>0</v>
      </c>
      <c r="H32" s="44">
        <v>0.16366341767699433</v>
      </c>
      <c r="J32" s="56" t="s">
        <v>71</v>
      </c>
    </row>
    <row r="34" spans="2:6" x14ac:dyDescent="0.2">
      <c r="B34" s="69" t="s">
        <v>61</v>
      </c>
      <c r="D34" s="69" t="s">
        <v>62</v>
      </c>
      <c r="F34" s="69" t="s">
        <v>53</v>
      </c>
    </row>
    <row r="35" spans="2:6" x14ac:dyDescent="0.2">
      <c r="B35" s="70">
        <f t="array" ref="B35:B37">MMULT(B30:D32,F20:F22)</f>
        <v>1.2247448713915896</v>
      </c>
      <c r="C35" s="71"/>
      <c r="D35" s="70">
        <f t="array" ref="D35:D37" xml:space="preserve"> MMULT(F30:H32,B35:B37)</f>
        <v>1.3750000000000016</v>
      </c>
      <c r="F35" s="44">
        <f t="array" ref="F35:F37">MMULT(B20:D22,D35:D37)</f>
        <v>3.0000000000000018</v>
      </c>
    </row>
    <row r="36" spans="2:6" x14ac:dyDescent="0.2">
      <c r="B36" s="70">
        <v>-1.3147514702678338</v>
      </c>
      <c r="C36" s="71"/>
      <c r="D36" s="70">
        <v>-0.44821428571428645</v>
      </c>
      <c r="F36" s="44">
        <v>2.0000000000000036</v>
      </c>
    </row>
    <row r="37" spans="2:6" x14ac:dyDescent="0.2">
      <c r="B37" s="70">
        <v>0.16366341767699474</v>
      </c>
      <c r="C37" s="71"/>
      <c r="D37" s="70">
        <v>2.6785714285714367E-2</v>
      </c>
      <c r="F37" s="44">
        <v>1.0000000000000036</v>
      </c>
    </row>
  </sheetData>
  <mergeCells count="7">
    <mergeCell ref="J24:L24"/>
    <mergeCell ref="B29:D29"/>
    <mergeCell ref="F29:H29"/>
    <mergeCell ref="A1:E2"/>
    <mergeCell ref="B19:D19"/>
    <mergeCell ref="B24:D24"/>
    <mergeCell ref="F24:H24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5DF60-EE35-41B1-BB02-D047BBD8A262}">
  <sheetPr>
    <tabColor rgb="FF92D050"/>
  </sheetPr>
  <dimension ref="A1:X63"/>
  <sheetViews>
    <sheetView topLeftCell="A45" workbookViewId="0">
      <selection activeCell="F54" sqref="F54"/>
    </sheetView>
  </sheetViews>
  <sheetFormatPr baseColWidth="10" defaultRowHeight="15" x14ac:dyDescent="0.2"/>
  <cols>
    <col min="1" max="16384" width="11.5546875" style="95"/>
  </cols>
  <sheetData>
    <row r="1" spans="1:24" x14ac:dyDescent="0.2">
      <c r="A1" s="144" t="s">
        <v>131</v>
      </c>
      <c r="B1" s="144"/>
      <c r="C1" s="144"/>
      <c r="N1" s="95" t="s">
        <v>45</v>
      </c>
      <c r="T1" s="95" t="s">
        <v>119</v>
      </c>
    </row>
    <row r="2" spans="1:24" x14ac:dyDescent="0.2">
      <c r="A2" s="144"/>
      <c r="B2" s="144"/>
      <c r="C2" s="144"/>
      <c r="N2" s="44">
        <v>1</v>
      </c>
      <c r="O2" s="44">
        <v>0</v>
      </c>
      <c r="P2" s="44">
        <v>1</v>
      </c>
      <c r="Q2" s="44">
        <v>7</v>
      </c>
      <c r="R2" s="44">
        <v>3</v>
      </c>
      <c r="T2" s="44">
        <f t="array" ref="T2:X2">IF(N9=ABS(N2),N2:R2,(IF(N9=ABS(N3),N3:R3,(IF(N9=ABS(N4),N4:R4,(IF(N9=ABS(N5),N5:R5),IF(N9=ABS(N6),N6:R6)))))))</f>
        <v>-15</v>
      </c>
      <c r="U2" s="44">
        <v>7</v>
      </c>
      <c r="V2" s="44">
        <v>-9</v>
      </c>
      <c r="W2" s="44">
        <v>0</v>
      </c>
      <c r="X2" s="44">
        <v>9</v>
      </c>
    </row>
    <row r="3" spans="1:24" x14ac:dyDescent="0.2">
      <c r="C3" s="143" t="s">
        <v>121</v>
      </c>
      <c r="D3" s="143"/>
      <c r="E3" s="143"/>
      <c r="G3" s="104" t="s">
        <v>122</v>
      </c>
      <c r="I3" s="104" t="s">
        <v>123</v>
      </c>
      <c r="N3" s="44">
        <v>2</v>
      </c>
      <c r="O3" s="44">
        <v>2</v>
      </c>
      <c r="P3" s="44">
        <v>6</v>
      </c>
      <c r="Q3" s="44">
        <v>-4</v>
      </c>
      <c r="R3" s="44">
        <v>-11</v>
      </c>
      <c r="T3" s="44">
        <f t="array" ref="T3:X3">IF(O9=ABS(O2),N2:R2,(IF(O9=ABS(O3),N3:R3,(IF(O9=ABS(O4),N4:R4,(IF(O9=ABS(O5),N5:R5,IF(O9=ABS(O6),N6:R6))))))))</f>
        <v>6</v>
      </c>
      <c r="U3" s="44">
        <v>-9</v>
      </c>
      <c r="V3" s="44">
        <v>10</v>
      </c>
      <c r="W3" s="44">
        <v>3</v>
      </c>
      <c r="X3" s="44">
        <v>-4</v>
      </c>
    </row>
    <row r="4" spans="1:24" x14ac:dyDescent="0.2">
      <c r="C4" s="99">
        <v>5</v>
      </c>
      <c r="D4" s="99">
        <v>-1</v>
      </c>
      <c r="E4" s="99">
        <v>3</v>
      </c>
      <c r="G4" s="98">
        <v>-6</v>
      </c>
      <c r="I4" s="98">
        <v>0</v>
      </c>
      <c r="N4" s="44">
        <v>-15</v>
      </c>
      <c r="O4" s="44">
        <v>7</v>
      </c>
      <c r="P4" s="44">
        <v>-9</v>
      </c>
      <c r="Q4" s="44">
        <v>0</v>
      </c>
      <c r="R4" s="44">
        <v>9</v>
      </c>
      <c r="T4" s="44">
        <f t="array" ref="T4:X4">IF(P9=ABS(P2),N2:R2,(IF(P9=ABS(P3),N3:R3,(IF(P9=ABS(P4),N4:R4,(IF(P9=ABS(P5),N5:R5,IF(P9=ABS(P6),N6:R6))))))))</f>
        <v>-8</v>
      </c>
      <c r="U4" s="44">
        <v>8</v>
      </c>
      <c r="V4" s="44">
        <v>12</v>
      </c>
      <c r="W4" s="44">
        <v>6</v>
      </c>
      <c r="X4" s="44">
        <v>0</v>
      </c>
    </row>
    <row r="5" spans="1:24" x14ac:dyDescent="0.2">
      <c r="C5" s="98">
        <v>1</v>
      </c>
      <c r="D5" s="98">
        <v>3</v>
      </c>
      <c r="E5" s="98">
        <v>-1</v>
      </c>
      <c r="G5" s="98">
        <v>10</v>
      </c>
      <c r="I5" s="98">
        <v>0</v>
      </c>
      <c r="N5" s="44">
        <v>-8</v>
      </c>
      <c r="O5" s="44">
        <v>8</v>
      </c>
      <c r="P5" s="44">
        <v>12</v>
      </c>
      <c r="Q5" s="44">
        <v>6</v>
      </c>
      <c r="R5" s="44">
        <v>0</v>
      </c>
      <c r="T5" s="44">
        <f t="array" ref="T5:X5">IF(Q9=ABS(Q2),N2:R2,(IF(Q9=ABS(Q3),N3:R3,(IF(Q9=ABS(Q4),N4:R4,(IF(Q9=ABS(Q5),N5:R5,IF(Q9=ABS(Q6),N6:R6))))))))</f>
        <v>1</v>
      </c>
      <c r="U5" s="44">
        <v>0</v>
      </c>
      <c r="V5" s="44">
        <v>1</v>
      </c>
      <c r="W5" s="44">
        <v>7</v>
      </c>
      <c r="X5" s="44">
        <v>3</v>
      </c>
    </row>
    <row r="6" spans="1:24" x14ac:dyDescent="0.2">
      <c r="C6" s="98">
        <v>2</v>
      </c>
      <c r="D6" s="98">
        <v>-1</v>
      </c>
      <c r="E6" s="98">
        <v>4</v>
      </c>
      <c r="G6" s="98">
        <v>-2</v>
      </c>
      <c r="I6" s="98">
        <v>0</v>
      </c>
      <c r="N6" s="44">
        <v>6</v>
      </c>
      <c r="O6" s="44">
        <v>-9</v>
      </c>
      <c r="P6" s="44">
        <v>10</v>
      </c>
      <c r="Q6" s="44">
        <v>3</v>
      </c>
      <c r="R6" s="44">
        <v>-4</v>
      </c>
      <c r="T6" s="44">
        <f t="array" ref="T6:X6">IF(R9=ABS(R2),N2:R2,(IF(R9=ABS(R3),N3:R3,(IF(R9=ABS(R4),N4:R4,(IF(R9=ABS(R5),N5:R5,IF(R9=ABS(R6),N6:R6))))))))</f>
        <v>2</v>
      </c>
      <c r="U6" s="44">
        <v>2</v>
      </c>
      <c r="V6" s="44">
        <v>6</v>
      </c>
      <c r="W6" s="44">
        <v>-4</v>
      </c>
      <c r="X6" s="44">
        <v>-11</v>
      </c>
    </row>
    <row r="8" spans="1:24" x14ac:dyDescent="0.2">
      <c r="N8" s="95" t="s">
        <v>120</v>
      </c>
    </row>
    <row r="9" spans="1:24" x14ac:dyDescent="0.2">
      <c r="C9" s="104" t="s">
        <v>124</v>
      </c>
      <c r="D9" s="104" t="s">
        <v>125</v>
      </c>
      <c r="E9" s="104" t="s">
        <v>126</v>
      </c>
      <c r="F9" s="104" t="s">
        <v>127</v>
      </c>
      <c r="G9" s="104" t="s">
        <v>128</v>
      </c>
      <c r="H9" s="104" t="s">
        <v>129</v>
      </c>
      <c r="I9" s="104" t="s">
        <v>130</v>
      </c>
      <c r="N9" s="44">
        <f t="array" ref="N9">LARGE(ABS(N2:N6),1)</f>
        <v>15</v>
      </c>
      <c r="O9" s="44">
        <f t="array" ref="O9">LARGE(ABS(O2:O6),1)</f>
        <v>9</v>
      </c>
      <c r="P9" s="44">
        <f t="array" ref="P9">LARGE(ABS(P2:P6),1)</f>
        <v>12</v>
      </c>
      <c r="Q9" s="44">
        <f t="array" ref="Q9">LARGE(ABS(Q2:Q6),1)</f>
        <v>7</v>
      </c>
      <c r="R9" s="44">
        <f t="array" ref="R9">LARGE(ABS(R2:R6),1)</f>
        <v>11</v>
      </c>
    </row>
    <row r="10" spans="1:24" x14ac:dyDescent="0.2">
      <c r="C10" s="99">
        <v>0</v>
      </c>
      <c r="D10" s="100">
        <f>I4</f>
        <v>0</v>
      </c>
      <c r="E10" s="101">
        <f>I5</f>
        <v>0</v>
      </c>
      <c r="F10" s="101">
        <f>I6</f>
        <v>0</v>
      </c>
      <c r="G10" s="101"/>
      <c r="H10" s="101"/>
      <c r="I10" s="101"/>
    </row>
    <row r="11" spans="1:24" x14ac:dyDescent="0.2">
      <c r="C11" s="98">
        <v>1</v>
      </c>
      <c r="D11" s="102">
        <f>(1/$C$4)*($G$4-$D$4*E10-$E$4*F10)</f>
        <v>-1.2000000000000002</v>
      </c>
      <c r="E11" s="102">
        <f>(1/$D$5)*($G$5-$C$5*D10-$E$5*F10)</f>
        <v>3.333333333333333</v>
      </c>
      <c r="F11" s="102">
        <f>(1/$E$6)*($G$6-$C$6*D10-$D$6*E10)</f>
        <v>-0.5</v>
      </c>
      <c r="G11" s="102">
        <f>ABS(D11-D10)</f>
        <v>1.2000000000000002</v>
      </c>
      <c r="H11" s="102">
        <f>ABS(E11-E10)</f>
        <v>3.333333333333333</v>
      </c>
      <c r="I11" s="102">
        <f>ABS(F11-F10)</f>
        <v>0.5</v>
      </c>
    </row>
    <row r="12" spans="1:24" x14ac:dyDescent="0.2">
      <c r="C12" s="98">
        <v>2</v>
      </c>
      <c r="D12" s="102">
        <f>(1/$C$4)*($G$4-$D$4*E11-$E$4*F11)</f>
        <v>-0.23333333333333339</v>
      </c>
      <c r="E12" s="102">
        <f>(1/$D$5)*($G$5-$C$5*D11-$E$5*F11)</f>
        <v>3.5666666666666664</v>
      </c>
      <c r="F12" s="102">
        <f>(1/$E$6)*($G$6-$C$6*D11-$D$6*E11)</f>
        <v>0.93333333333333335</v>
      </c>
      <c r="G12" s="102">
        <f>ABS(D12-D11)</f>
        <v>0.96666666666666679</v>
      </c>
      <c r="H12" s="102">
        <f t="shared" ref="G12:I33" si="0">ABS(E12-E11)</f>
        <v>0.23333333333333339</v>
      </c>
      <c r="I12" s="102">
        <f t="shared" si="0"/>
        <v>1.4333333333333333</v>
      </c>
    </row>
    <row r="13" spans="1:24" x14ac:dyDescent="0.2">
      <c r="C13" s="98">
        <v>3</v>
      </c>
      <c r="D13" s="102">
        <f>(1/$C$4)*($G$4-$D$4*E12-$E$4*F12)</f>
        <v>-1.0466666666666666</v>
      </c>
      <c r="E13" s="102">
        <f t="shared" ref="E13:E38" si="1">(1/$D$5)*($G$5-$C$5*D12-$E$5*F12)</f>
        <v>3.7222222222222223</v>
      </c>
      <c r="F13" s="102">
        <f t="shared" ref="F13:F38" si="2">(1/$E$6)*($G$6-$C$6*D12-$D$6*E12)</f>
        <v>0.5083333333333333</v>
      </c>
      <c r="G13" s="102">
        <f t="shared" si="0"/>
        <v>0.81333333333333324</v>
      </c>
      <c r="H13" s="102">
        <f t="shared" si="0"/>
        <v>0.15555555555555589</v>
      </c>
      <c r="I13" s="102">
        <f t="shared" si="0"/>
        <v>0.42500000000000004</v>
      </c>
    </row>
    <row r="14" spans="1:24" x14ac:dyDescent="0.2">
      <c r="C14" s="98">
        <v>4</v>
      </c>
      <c r="D14" s="102">
        <f t="shared" ref="D14:D38" si="3">(1/$C$4)*($G$4-$D$4*E13-$E$4*F13)</f>
        <v>-0.76055555555555554</v>
      </c>
      <c r="E14" s="102">
        <f>(1/$D$5)*($G$5-$C$5*D13-$E$5*F13)</f>
        <v>3.8516666666666666</v>
      </c>
      <c r="F14" s="102">
        <f>(1/$E$6)*($G$6-$C$6*D13-$D$6*E13)</f>
        <v>0.9538888888888889</v>
      </c>
      <c r="G14" s="102">
        <f t="shared" si="0"/>
        <v>0.28611111111111109</v>
      </c>
      <c r="H14" s="102">
        <f t="shared" si="0"/>
        <v>0.12944444444444425</v>
      </c>
      <c r="I14" s="102">
        <f t="shared" si="0"/>
        <v>0.44555555555555559</v>
      </c>
    </row>
    <row r="15" spans="1:24" x14ac:dyDescent="0.2">
      <c r="C15" s="98">
        <v>5</v>
      </c>
      <c r="D15" s="102">
        <f t="shared" si="3"/>
        <v>-1.002</v>
      </c>
      <c r="E15" s="102">
        <f t="shared" si="1"/>
        <v>3.9048148148148147</v>
      </c>
      <c r="F15" s="102">
        <f t="shared" si="2"/>
        <v>0.84319444444444436</v>
      </c>
      <c r="G15" s="102">
        <f t="shared" si="0"/>
        <v>0.24144444444444446</v>
      </c>
      <c r="H15" s="102">
        <f t="shared" si="0"/>
        <v>5.3148148148148167E-2</v>
      </c>
      <c r="I15" s="102">
        <f t="shared" si="0"/>
        <v>0.11069444444444454</v>
      </c>
    </row>
    <row r="16" spans="1:24" x14ac:dyDescent="0.2">
      <c r="C16" s="98">
        <v>6</v>
      </c>
      <c r="D16" s="102">
        <f t="shared" si="3"/>
        <v>-0.92495370370370367</v>
      </c>
      <c r="E16" s="102">
        <f t="shared" si="1"/>
        <v>3.948398148148148</v>
      </c>
      <c r="F16" s="102">
        <f t="shared" si="2"/>
        <v>0.97720370370370369</v>
      </c>
      <c r="G16" s="102">
        <f t="shared" si="0"/>
        <v>7.7046296296296335E-2</v>
      </c>
      <c r="H16" s="102">
        <f t="shared" si="0"/>
        <v>4.3583333333333307E-2</v>
      </c>
      <c r="I16" s="102">
        <f t="shared" si="0"/>
        <v>0.13400925925925933</v>
      </c>
    </row>
    <row r="17" spans="3:9" x14ac:dyDescent="0.2">
      <c r="C17" s="98">
        <v>7</v>
      </c>
      <c r="D17" s="102">
        <f t="shared" si="3"/>
        <v>-0.99664259259259258</v>
      </c>
      <c r="E17" s="102">
        <f t="shared" si="1"/>
        <v>3.9673858024691357</v>
      </c>
      <c r="F17" s="102">
        <f t="shared" si="2"/>
        <v>0.94957638888888884</v>
      </c>
      <c r="G17" s="102">
        <f t="shared" si="0"/>
        <v>7.1688888888888913E-2</v>
      </c>
      <c r="H17" s="102">
        <f t="shared" si="0"/>
        <v>1.8987654320987701E-2</v>
      </c>
      <c r="I17" s="102">
        <f t="shared" si="0"/>
        <v>2.7627314814814841E-2</v>
      </c>
    </row>
    <row r="18" spans="3:9" x14ac:dyDescent="0.2">
      <c r="C18" s="98">
        <v>8</v>
      </c>
      <c r="D18" s="102">
        <f t="shared" si="3"/>
        <v>-0.97626867283950625</v>
      </c>
      <c r="E18" s="102">
        <f t="shared" si="1"/>
        <v>3.9820729938271606</v>
      </c>
      <c r="F18" s="102">
        <f t="shared" si="2"/>
        <v>0.99016774691358023</v>
      </c>
      <c r="G18" s="102">
        <f t="shared" si="0"/>
        <v>2.0373919753086334E-2</v>
      </c>
      <c r="H18" s="102">
        <f t="shared" si="0"/>
        <v>1.4687191358024876E-2</v>
      </c>
      <c r="I18" s="102">
        <f t="shared" si="0"/>
        <v>4.0591358024691382E-2</v>
      </c>
    </row>
    <row r="19" spans="3:9" x14ac:dyDescent="0.2">
      <c r="C19" s="98">
        <v>9</v>
      </c>
      <c r="D19" s="102">
        <f t="shared" si="3"/>
        <v>-0.9976860493827161</v>
      </c>
      <c r="E19" s="102">
        <f t="shared" si="1"/>
        <v>3.988812139917695</v>
      </c>
      <c r="F19" s="102">
        <f t="shared" si="2"/>
        <v>0.98365258487654328</v>
      </c>
      <c r="G19" s="102">
        <f t="shared" si="0"/>
        <v>2.1417376543209854E-2</v>
      </c>
      <c r="H19" s="102">
        <f t="shared" si="0"/>
        <v>6.739146090534387E-3</v>
      </c>
      <c r="I19" s="102">
        <f t="shared" si="0"/>
        <v>6.5151620370369479E-3</v>
      </c>
    </row>
    <row r="20" spans="3:9" x14ac:dyDescent="0.2">
      <c r="C20" s="98">
        <v>10</v>
      </c>
      <c r="D20" s="102">
        <f t="shared" si="3"/>
        <v>-0.99242912294238694</v>
      </c>
      <c r="E20" s="102">
        <f t="shared" si="1"/>
        <v>3.9937795447530862</v>
      </c>
      <c r="F20" s="102">
        <f t="shared" si="2"/>
        <v>0.99604605967078186</v>
      </c>
      <c r="G20" s="102">
        <f t="shared" si="0"/>
        <v>5.2569264403291571E-3</v>
      </c>
      <c r="H20" s="102">
        <f t="shared" si="0"/>
        <v>4.9674048353911537E-3</v>
      </c>
      <c r="I20" s="102">
        <f t="shared" si="0"/>
        <v>1.2393474794238579E-2</v>
      </c>
    </row>
    <row r="21" spans="3:9" x14ac:dyDescent="0.2">
      <c r="C21" s="98">
        <v>11</v>
      </c>
      <c r="D21" s="102">
        <f t="shared" si="3"/>
        <v>-0.99887172685185188</v>
      </c>
      <c r="E21" s="102">
        <f t="shared" si="1"/>
        <v>3.9961583942043895</v>
      </c>
      <c r="F21" s="102">
        <f t="shared" si="2"/>
        <v>0.99465944765946501</v>
      </c>
      <c r="G21" s="102">
        <f t="shared" si="0"/>
        <v>6.442603909464939E-3</v>
      </c>
      <c r="H21" s="102">
        <f t="shared" si="0"/>
        <v>2.3788494513032887E-3</v>
      </c>
      <c r="I21" s="102">
        <f t="shared" si="0"/>
        <v>1.3866120113168456E-3</v>
      </c>
    </row>
    <row r="22" spans="3:9" x14ac:dyDescent="0.2">
      <c r="C22" s="98">
        <v>12</v>
      </c>
      <c r="D22" s="102">
        <f t="shared" si="3"/>
        <v>-0.99756398975480109</v>
      </c>
      <c r="E22" s="102">
        <f t="shared" si="1"/>
        <v>3.9978437248371059</v>
      </c>
      <c r="F22" s="102">
        <f t="shared" si="2"/>
        <v>0.9984754619770233</v>
      </c>
      <c r="G22" s="102">
        <f t="shared" si="0"/>
        <v>1.3077370970507873E-3</v>
      </c>
      <c r="H22" s="102">
        <f t="shared" si="0"/>
        <v>1.6853306327164752E-3</v>
      </c>
      <c r="I22" s="102">
        <f t="shared" si="0"/>
        <v>3.8160143175582917E-3</v>
      </c>
    </row>
    <row r="23" spans="3:9" x14ac:dyDescent="0.2">
      <c r="C23" s="98">
        <v>13</v>
      </c>
      <c r="D23" s="102">
        <f t="shared" si="3"/>
        <v>-0.99951653221879289</v>
      </c>
      <c r="E23" s="102">
        <f t="shared" si="1"/>
        <v>3.9986798172439411</v>
      </c>
      <c r="F23" s="102">
        <f t="shared" si="2"/>
        <v>0.99824292608667697</v>
      </c>
      <c r="G23" s="102">
        <f t="shared" si="0"/>
        <v>1.952542463991791E-3</v>
      </c>
      <c r="H23" s="102">
        <f t="shared" si="0"/>
        <v>8.3609240683513164E-4</v>
      </c>
      <c r="I23" s="102">
        <f t="shared" si="0"/>
        <v>2.3253589034633038E-4</v>
      </c>
    </row>
    <row r="24" spans="3:9" x14ac:dyDescent="0.2">
      <c r="C24" s="98">
        <v>14</v>
      </c>
      <c r="D24" s="102">
        <f t="shared" si="3"/>
        <v>-0.99920979220321804</v>
      </c>
      <c r="E24" s="102">
        <f t="shared" si="1"/>
        <v>3.9992531527684898</v>
      </c>
      <c r="F24" s="102">
        <f t="shared" si="2"/>
        <v>0.99942822042038171</v>
      </c>
      <c r="G24" s="102">
        <f t="shared" si="0"/>
        <v>3.0674001557484676E-4</v>
      </c>
      <c r="H24" s="102">
        <f t="shared" si="0"/>
        <v>5.7333552454874592E-4</v>
      </c>
      <c r="I24" s="102">
        <f t="shared" si="0"/>
        <v>1.1852943337047339E-3</v>
      </c>
    </row>
    <row r="25" spans="3:9" x14ac:dyDescent="0.2">
      <c r="C25" s="98">
        <v>15</v>
      </c>
      <c r="D25" s="102">
        <f t="shared" si="3"/>
        <v>-0.99980630169853113</v>
      </c>
      <c r="E25" s="102">
        <f t="shared" si="1"/>
        <v>3.9995460042078665</v>
      </c>
      <c r="F25" s="102">
        <f t="shared" si="2"/>
        <v>0.99941818429373153</v>
      </c>
      <c r="G25" s="102">
        <f t="shared" si="0"/>
        <v>5.9650949531309116E-4</v>
      </c>
      <c r="H25" s="102">
        <f t="shared" si="0"/>
        <v>2.9285143937674007E-4</v>
      </c>
      <c r="I25" s="102">
        <f t="shared" si="0"/>
        <v>1.0036126650181387E-5</v>
      </c>
    </row>
    <row r="26" spans="3:9" x14ac:dyDescent="0.2">
      <c r="C26" s="98">
        <v>16</v>
      </c>
      <c r="D26" s="102">
        <f t="shared" si="3"/>
        <v>-0.99974170973466558</v>
      </c>
      <c r="E26" s="102">
        <f t="shared" si="1"/>
        <v>3.9997414953307535</v>
      </c>
      <c r="F26" s="102">
        <f t="shared" si="2"/>
        <v>0.99978965190123215</v>
      </c>
      <c r="G26" s="102">
        <f t="shared" si="0"/>
        <v>6.4591963865545665E-5</v>
      </c>
      <c r="H26" s="102">
        <f t="shared" si="0"/>
        <v>1.9549112288697046E-4</v>
      </c>
      <c r="I26" s="102">
        <f t="shared" si="0"/>
        <v>3.7146760750061958E-4</v>
      </c>
    </row>
    <row r="27" spans="3:9" x14ac:dyDescent="0.2">
      <c r="C27" s="98">
        <v>17</v>
      </c>
      <c r="D27" s="102">
        <f t="shared" si="3"/>
        <v>-0.99992549207458858</v>
      </c>
      <c r="E27" s="102">
        <f t="shared" si="1"/>
        <v>3.9998437872119657</v>
      </c>
      <c r="F27" s="102">
        <f t="shared" si="2"/>
        <v>0.99980622870002112</v>
      </c>
      <c r="G27" s="102">
        <f t="shared" si="0"/>
        <v>1.8378233992299986E-4</v>
      </c>
      <c r="H27" s="102">
        <f t="shared" si="0"/>
        <v>1.0229188121213539E-4</v>
      </c>
      <c r="I27" s="102">
        <f t="shared" si="0"/>
        <v>1.6576798788969782E-5</v>
      </c>
    </row>
    <row r="28" spans="3:9" x14ac:dyDescent="0.2">
      <c r="C28" s="98">
        <v>18</v>
      </c>
      <c r="D28" s="102">
        <f t="shared" si="3"/>
        <v>-0.99991497977761945</v>
      </c>
      <c r="E28" s="102">
        <f t="shared" si="1"/>
        <v>3.9999105735915359</v>
      </c>
      <c r="F28" s="102">
        <f t="shared" si="2"/>
        <v>0.9999236928402857</v>
      </c>
      <c r="G28" s="102">
        <f t="shared" si="0"/>
        <v>1.0512296969134027E-5</v>
      </c>
      <c r="H28" s="102">
        <f t="shared" si="0"/>
        <v>6.6786379570249466E-5</v>
      </c>
      <c r="I28" s="102">
        <f t="shared" si="0"/>
        <v>1.1746414026458929E-4</v>
      </c>
    </row>
    <row r="29" spans="3:9" x14ac:dyDescent="0.2">
      <c r="C29" s="98">
        <v>19</v>
      </c>
      <c r="D29" s="102">
        <f t="shared" si="3"/>
        <v>-0.99997210098586431</v>
      </c>
      <c r="E29" s="102">
        <f t="shared" si="1"/>
        <v>3.999946224205968</v>
      </c>
      <c r="F29" s="102">
        <f t="shared" si="2"/>
        <v>0.9999351332866937</v>
      </c>
      <c r="G29" s="102">
        <f t="shared" si="0"/>
        <v>5.7121208244859112E-5</v>
      </c>
      <c r="H29" s="102">
        <f t="shared" si="0"/>
        <v>3.565061443211448E-5</v>
      </c>
      <c r="I29" s="102">
        <f t="shared" si="0"/>
        <v>1.1440446407995353E-5</v>
      </c>
    </row>
    <row r="30" spans="3:9" x14ac:dyDescent="0.2">
      <c r="C30" s="98">
        <v>20</v>
      </c>
      <c r="D30" s="102">
        <f t="shared" si="3"/>
        <v>-0.99997183513082266</v>
      </c>
      <c r="E30" s="102">
        <f t="shared" si="1"/>
        <v>3.999969078090853</v>
      </c>
      <c r="F30" s="102">
        <f t="shared" si="2"/>
        <v>0.9999726065444241</v>
      </c>
      <c r="G30" s="102">
        <f t="shared" si="0"/>
        <v>2.6585504164788887E-7</v>
      </c>
      <c r="H30" s="102">
        <f t="shared" si="0"/>
        <v>2.2853884884987963E-5</v>
      </c>
      <c r="I30" s="102">
        <f t="shared" si="0"/>
        <v>3.7473257730402665E-5</v>
      </c>
    </row>
    <row r="31" spans="3:9" x14ac:dyDescent="0.2">
      <c r="C31" s="98">
        <v>21</v>
      </c>
      <c r="D31" s="102">
        <f t="shared" si="3"/>
        <v>-0.99998974830848386</v>
      </c>
      <c r="E31" s="102">
        <f t="shared" si="1"/>
        <v>3.9999814805584153</v>
      </c>
      <c r="F31" s="102">
        <f t="shared" si="2"/>
        <v>0.99997818708812458</v>
      </c>
      <c r="G31" s="102">
        <f t="shared" si="0"/>
        <v>1.7913177661199597E-5</v>
      </c>
      <c r="H31" s="102">
        <f t="shared" si="0"/>
        <v>1.2402467562289132E-5</v>
      </c>
      <c r="I31" s="102">
        <f t="shared" si="0"/>
        <v>5.5805437004785574E-6</v>
      </c>
    </row>
    <row r="32" spans="3:9" x14ac:dyDescent="0.2">
      <c r="C32" s="98">
        <v>22</v>
      </c>
      <c r="D32" s="102">
        <f t="shared" si="3"/>
        <v>-0.99999061614119178</v>
      </c>
      <c r="E32" s="102">
        <f t="shared" si="1"/>
        <v>3.9999893117988692</v>
      </c>
      <c r="F32" s="102">
        <f t="shared" si="2"/>
        <v>0.99999024429384575</v>
      </c>
      <c r="G32" s="102">
        <f t="shared" si="0"/>
        <v>8.6783270791812583E-7</v>
      </c>
      <c r="H32" s="102">
        <f t="shared" si="0"/>
        <v>7.8312404538927183E-6</v>
      </c>
      <c r="I32" s="102">
        <f t="shared" si="0"/>
        <v>1.2057205721172082E-5</v>
      </c>
    </row>
    <row r="33" spans="1:9" x14ac:dyDescent="0.2">
      <c r="C33" s="98">
        <v>23</v>
      </c>
      <c r="D33" s="102">
        <f t="shared" si="3"/>
        <v>-0.99999628421653353</v>
      </c>
      <c r="E33" s="102">
        <f t="shared" si="1"/>
        <v>3.9999936201450126</v>
      </c>
      <c r="F33" s="102">
        <f t="shared" si="2"/>
        <v>0.99999263602031319</v>
      </c>
      <c r="G33" s="102">
        <f t="shared" si="0"/>
        <v>5.6680753417470697E-6</v>
      </c>
      <c r="H33" s="102">
        <f t="shared" si="0"/>
        <v>4.3083461434001435E-6</v>
      </c>
      <c r="I33" s="102">
        <f t="shared" si="0"/>
        <v>2.3917264674322425E-6</v>
      </c>
    </row>
    <row r="34" spans="1:9" x14ac:dyDescent="0.2">
      <c r="C34" s="98">
        <v>24</v>
      </c>
      <c r="D34" s="102">
        <f t="shared" si="3"/>
        <v>-0.99999685758318546</v>
      </c>
      <c r="E34" s="102">
        <f t="shared" si="1"/>
        <v>3.9999963067456155</v>
      </c>
      <c r="F34" s="102">
        <f t="shared" si="2"/>
        <v>0.99999654714451991</v>
      </c>
      <c r="G34" s="102">
        <f t="shared" ref="G34:I38" si="4">ABS(D34-D33)</f>
        <v>5.7336665193474801E-7</v>
      </c>
      <c r="H34" s="102">
        <f t="shared" si="4"/>
        <v>2.6866006028747336E-6</v>
      </c>
      <c r="I34" s="102">
        <f t="shared" si="4"/>
        <v>3.9111242067235708E-6</v>
      </c>
    </row>
    <row r="35" spans="1:9" x14ac:dyDescent="0.2">
      <c r="C35" s="98">
        <v>25</v>
      </c>
      <c r="D35" s="102">
        <f t="shared" si="3"/>
        <v>-0.99999866693758899</v>
      </c>
      <c r="E35" s="102">
        <f t="shared" si="1"/>
        <v>3.9999978015759017</v>
      </c>
      <c r="F35" s="102">
        <f t="shared" si="2"/>
        <v>0.9999975054779966</v>
      </c>
      <c r="G35" s="102">
        <f t="shared" si="4"/>
        <v>1.8093544035258091E-6</v>
      </c>
      <c r="H35" s="102">
        <f t="shared" si="4"/>
        <v>1.4948302862194396E-6</v>
      </c>
      <c r="I35" s="102">
        <f t="shared" si="4"/>
        <v>9.5833347668605739E-7</v>
      </c>
    </row>
    <row r="36" spans="1:9" x14ac:dyDescent="0.2">
      <c r="C36" s="98">
        <v>26</v>
      </c>
      <c r="D36" s="102">
        <f t="shared" si="3"/>
        <v>-0.99999894297161773</v>
      </c>
      <c r="E36" s="102">
        <f t="shared" si="1"/>
        <v>3.9999987241385284</v>
      </c>
      <c r="F36" s="102">
        <f t="shared" si="2"/>
        <v>0.99999878386276997</v>
      </c>
      <c r="G36" s="102">
        <f t="shared" si="4"/>
        <v>2.7603402874554206E-7</v>
      </c>
      <c r="H36" s="102">
        <f t="shared" si="4"/>
        <v>9.2256262673728884E-7</v>
      </c>
      <c r="I36" s="102">
        <f t="shared" si="4"/>
        <v>1.2783847733732756E-6</v>
      </c>
    </row>
    <row r="37" spans="1:9" x14ac:dyDescent="0.2">
      <c r="C37" s="98">
        <v>27</v>
      </c>
      <c r="D37" s="102">
        <f t="shared" si="3"/>
        <v>-0.9999995254899563</v>
      </c>
      <c r="E37" s="102">
        <f t="shared" si="1"/>
        <v>3.999999242278129</v>
      </c>
      <c r="F37" s="102">
        <f t="shared" si="2"/>
        <v>0.99999915252044103</v>
      </c>
      <c r="G37" s="102">
        <f t="shared" si="4"/>
        <v>5.8251833856548529E-7</v>
      </c>
      <c r="H37" s="102">
        <f t="shared" si="4"/>
        <v>5.1813960055824282E-7</v>
      </c>
      <c r="I37" s="102">
        <f t="shared" si="4"/>
        <v>3.6865767105709324E-7</v>
      </c>
    </row>
    <row r="38" spans="1:9" x14ac:dyDescent="0.2">
      <c r="C38" s="98">
        <v>28</v>
      </c>
      <c r="D38" s="106">
        <f t="shared" si="3"/>
        <v>-0.9999996430566388</v>
      </c>
      <c r="E38" s="106">
        <f t="shared" si="1"/>
        <v>3.999999559336799</v>
      </c>
      <c r="F38" s="106">
        <f t="shared" si="2"/>
        <v>0.99999957331451039</v>
      </c>
      <c r="G38" s="102">
        <f t="shared" si="4"/>
        <v>1.1756668250040292E-7</v>
      </c>
      <c r="H38" s="102">
        <f t="shared" si="4"/>
        <v>3.1705866998521515E-7</v>
      </c>
      <c r="I38" s="102">
        <f t="shared" si="4"/>
        <v>4.207940693667922E-7</v>
      </c>
    </row>
    <row r="41" spans="1:9" s="105" customFormat="1" x14ac:dyDescent="0.2"/>
    <row r="42" spans="1:9" x14ac:dyDescent="0.2">
      <c r="A42" s="145" t="s">
        <v>132</v>
      </c>
      <c r="B42" s="145"/>
      <c r="C42" s="145"/>
    </row>
    <row r="43" spans="1:9" x14ac:dyDescent="0.2">
      <c r="A43" s="145"/>
      <c r="B43" s="145"/>
      <c r="C43" s="145"/>
    </row>
    <row r="44" spans="1:9" x14ac:dyDescent="0.2">
      <c r="C44" s="143" t="s">
        <v>121</v>
      </c>
      <c r="D44" s="143"/>
      <c r="E44" s="143"/>
      <c r="G44" s="104" t="s">
        <v>122</v>
      </c>
      <c r="I44" s="104" t="s">
        <v>123</v>
      </c>
    </row>
    <row r="45" spans="1:9" x14ac:dyDescent="0.2">
      <c r="C45" s="99">
        <v>5</v>
      </c>
      <c r="D45" s="99">
        <v>-1</v>
      </c>
      <c r="E45" s="99">
        <v>3</v>
      </c>
      <c r="G45" s="98">
        <v>-6</v>
      </c>
      <c r="I45" s="98">
        <v>0</v>
      </c>
    </row>
    <row r="46" spans="1:9" x14ac:dyDescent="0.2">
      <c r="C46" s="98">
        <v>1</v>
      </c>
      <c r="D46" s="98">
        <v>3</v>
      </c>
      <c r="E46" s="98">
        <v>-1</v>
      </c>
      <c r="G46" s="98">
        <v>10</v>
      </c>
      <c r="I46" s="98">
        <v>0</v>
      </c>
    </row>
    <row r="47" spans="1:9" x14ac:dyDescent="0.2">
      <c r="C47" s="98">
        <v>2</v>
      </c>
      <c r="D47" s="98">
        <v>-1</v>
      </c>
      <c r="E47" s="98">
        <v>4</v>
      </c>
      <c r="G47" s="98">
        <v>-2</v>
      </c>
      <c r="I47" s="98">
        <v>0</v>
      </c>
    </row>
    <row r="50" spans="3:9" x14ac:dyDescent="0.2">
      <c r="C50" s="104" t="s">
        <v>124</v>
      </c>
      <c r="D50" s="104" t="s">
        <v>125</v>
      </c>
      <c r="E50" s="104" t="s">
        <v>126</v>
      </c>
      <c r="F50" s="104" t="s">
        <v>127</v>
      </c>
      <c r="G50" s="104" t="s">
        <v>128</v>
      </c>
      <c r="H50" s="104" t="s">
        <v>129</v>
      </c>
      <c r="I50" s="104" t="s">
        <v>130</v>
      </c>
    </row>
    <row r="51" spans="3:9" x14ac:dyDescent="0.2">
      <c r="C51" s="99">
        <v>0</v>
      </c>
      <c r="D51" s="100">
        <v>0</v>
      </c>
      <c r="E51" s="101">
        <v>0</v>
      </c>
      <c r="F51" s="101">
        <v>0</v>
      </c>
      <c r="G51" s="101"/>
      <c r="H51" s="101"/>
      <c r="I51" s="101"/>
    </row>
    <row r="52" spans="3:9" x14ac:dyDescent="0.2">
      <c r="C52" s="98">
        <v>1</v>
      </c>
      <c r="D52" s="102">
        <f>(1/$C$4)*($G$4-$D$4*E51-$E$4*F51)</f>
        <v>-1.2000000000000002</v>
      </c>
      <c r="E52" s="102">
        <f>(1/$D$5)*($G$5-$C$5*D52-$E$5*F51)</f>
        <v>3.7333333333333329</v>
      </c>
      <c r="F52" s="102">
        <f>(1/$E$6)*($G$6-$C$6*D52-$D$6*E52)</f>
        <v>1.0333333333333332</v>
      </c>
      <c r="G52" s="102">
        <f>ABS(D52-D51)</f>
        <v>1.2000000000000002</v>
      </c>
      <c r="H52" s="102">
        <f>ABS(E52-E51)</f>
        <v>3.7333333333333329</v>
      </c>
      <c r="I52" s="102">
        <f>ABS(F52-F51)</f>
        <v>1.0333333333333332</v>
      </c>
    </row>
    <row r="53" spans="3:9" x14ac:dyDescent="0.2">
      <c r="C53" s="98">
        <v>2</v>
      </c>
      <c r="D53" s="102">
        <f>(1/$C$4)*($G$4-$D$4*E52-$E$4*F52)</f>
        <v>-1.0733333333333335</v>
      </c>
      <c r="E53" s="102">
        <f>(1/$D$5)*($G$5-$C$5*D53-$E$5*F52)</f>
        <v>4.0355555555555558</v>
      </c>
      <c r="F53" s="102">
        <f>(1/$E$6)*($G$6-$C$6*D53-$D$6*E53)</f>
        <v>1.0455555555555556</v>
      </c>
      <c r="G53" s="102">
        <f t="shared" ref="G53:I63" si="5">ABS(D53-D52)</f>
        <v>0.12666666666666671</v>
      </c>
      <c r="H53" s="102">
        <f t="shared" si="5"/>
        <v>0.30222222222222284</v>
      </c>
      <c r="I53" s="102">
        <f t="shared" si="5"/>
        <v>1.2222222222222356E-2</v>
      </c>
    </row>
    <row r="54" spans="3:9" x14ac:dyDescent="0.2">
      <c r="C54" s="98">
        <v>3</v>
      </c>
      <c r="D54" s="102">
        <f t="shared" ref="D54:D63" si="6">(1/$C$4)*($G$4-$D$4*E53-$E$4*F53)</f>
        <v>-1.0202222222222221</v>
      </c>
      <c r="E54" s="102">
        <f t="shared" ref="E54:E63" si="7">(1/$D$5)*($G$5-$C$5*D54-$E$5*F53)</f>
        <v>4.0219259259259257</v>
      </c>
      <c r="F54" s="102">
        <f t="shared" ref="F54:F63" si="8">(1/$E$6)*($G$6-$C$6*D54-$D$6*E54)</f>
        <v>1.0155925925925926</v>
      </c>
      <c r="G54" s="102">
        <f t="shared" si="5"/>
        <v>5.3111111111111331E-2</v>
      </c>
      <c r="H54" s="102">
        <f t="shared" si="5"/>
        <v>1.3629629629630102E-2</v>
      </c>
      <c r="I54" s="102">
        <f t="shared" si="5"/>
        <v>2.9962962962962969E-2</v>
      </c>
    </row>
    <row r="55" spans="3:9" x14ac:dyDescent="0.2">
      <c r="C55" s="98">
        <v>4</v>
      </c>
      <c r="D55" s="102">
        <f t="shared" si="6"/>
        <v>-1.0049703703703705</v>
      </c>
      <c r="E55" s="102">
        <f t="shared" si="7"/>
        <v>4.0068543209876539</v>
      </c>
      <c r="F55" s="102">
        <f t="shared" si="8"/>
        <v>1.0041987654320987</v>
      </c>
      <c r="G55" s="102">
        <f t="shared" si="5"/>
        <v>1.5251851851851628E-2</v>
      </c>
      <c r="H55" s="102">
        <f t="shared" si="5"/>
        <v>1.5071604938271754E-2</v>
      </c>
      <c r="I55" s="102">
        <f t="shared" si="5"/>
        <v>1.1393827160493863E-2</v>
      </c>
    </row>
    <row r="56" spans="3:9" x14ac:dyDescent="0.2">
      <c r="C56" s="98">
        <v>5</v>
      </c>
      <c r="D56" s="102">
        <f t="shared" si="6"/>
        <v>-1.0011483950617286</v>
      </c>
      <c r="E56" s="102">
        <f t="shared" si="7"/>
        <v>4.001782386831275</v>
      </c>
      <c r="F56" s="102">
        <f t="shared" si="8"/>
        <v>1.0010197942386831</v>
      </c>
      <c r="G56" s="102">
        <f t="shared" si="5"/>
        <v>3.8219753086419228E-3</v>
      </c>
      <c r="H56" s="102">
        <f t="shared" si="5"/>
        <v>5.0719341563789655E-3</v>
      </c>
      <c r="I56" s="102">
        <f t="shared" si="5"/>
        <v>3.1789711934155918E-3</v>
      </c>
    </row>
    <row r="57" spans="3:9" x14ac:dyDescent="0.2">
      <c r="C57" s="98">
        <v>6</v>
      </c>
      <c r="D57" s="102">
        <f t="shared" si="6"/>
        <v>-1.0002553991769549</v>
      </c>
      <c r="E57" s="102">
        <f t="shared" si="7"/>
        <v>4.0004250644718793</v>
      </c>
      <c r="F57" s="102">
        <f t="shared" si="8"/>
        <v>1.0002339657064474</v>
      </c>
      <c r="G57" s="102">
        <f t="shared" si="5"/>
        <v>8.9299588477365077E-4</v>
      </c>
      <c r="H57" s="102">
        <f t="shared" si="5"/>
        <v>1.357322359395674E-3</v>
      </c>
      <c r="I57" s="102">
        <f t="shared" si="5"/>
        <v>7.8582853223574389E-4</v>
      </c>
    </row>
    <row r="58" spans="3:9" x14ac:dyDescent="0.2">
      <c r="C58" s="98">
        <v>7</v>
      </c>
      <c r="D58" s="102">
        <f t="shared" si="6"/>
        <v>-1.0000553665294927</v>
      </c>
      <c r="E58" s="102">
        <f t="shared" si="7"/>
        <v>4.0000964440786468</v>
      </c>
      <c r="F58" s="102">
        <f t="shared" si="8"/>
        <v>1.000051794284408</v>
      </c>
      <c r="G58" s="102">
        <f t="shared" si="5"/>
        <v>2.0003264746226712E-4</v>
      </c>
      <c r="H58" s="102">
        <f t="shared" si="5"/>
        <v>3.2862039323244829E-4</v>
      </c>
      <c r="I58" s="102">
        <f t="shared" si="5"/>
        <v>1.8217142203935666E-4</v>
      </c>
    </row>
    <row r="59" spans="3:9" x14ac:dyDescent="0.2">
      <c r="C59" s="98">
        <v>8</v>
      </c>
      <c r="D59" s="102">
        <f t="shared" si="6"/>
        <v>-1.0000117877549155</v>
      </c>
      <c r="E59" s="102">
        <f t="shared" si="7"/>
        <v>4.0000211940131081</v>
      </c>
      <c r="F59" s="102">
        <f t="shared" si="8"/>
        <v>1.0000111923807347</v>
      </c>
      <c r="G59" s="102">
        <f t="shared" si="5"/>
        <v>4.3578774577168744E-5</v>
      </c>
      <c r="H59" s="102">
        <f t="shared" si="5"/>
        <v>7.5250065538767785E-5</v>
      </c>
      <c r="I59" s="102">
        <f t="shared" si="5"/>
        <v>4.0601903673387341E-5</v>
      </c>
    </row>
    <row r="60" spans="3:9" x14ac:dyDescent="0.2">
      <c r="C60" s="98">
        <v>9</v>
      </c>
      <c r="D60" s="102">
        <f t="shared" si="6"/>
        <v>-1.0000024766258193</v>
      </c>
      <c r="E60" s="102">
        <f t="shared" si="7"/>
        <v>4.0000045563355178</v>
      </c>
      <c r="F60" s="102">
        <f t="shared" si="8"/>
        <v>1.0000023773967892</v>
      </c>
      <c r="G60" s="102">
        <f t="shared" si="5"/>
        <v>9.3111290961900295E-6</v>
      </c>
      <c r="H60" s="102">
        <f t="shared" si="5"/>
        <v>1.6637677590303213E-5</v>
      </c>
      <c r="I60" s="102">
        <f t="shared" si="5"/>
        <v>8.8149839454487733E-6</v>
      </c>
    </row>
    <row r="61" spans="3:9" x14ac:dyDescent="0.2">
      <c r="C61" s="98">
        <v>10</v>
      </c>
      <c r="D61" s="102">
        <f t="shared" si="6"/>
        <v>-1.0000005151709701</v>
      </c>
      <c r="E61" s="102">
        <f t="shared" si="7"/>
        <v>4.0000009641892529</v>
      </c>
      <c r="F61" s="102">
        <f t="shared" si="8"/>
        <v>1.0000004986327982</v>
      </c>
      <c r="G61" s="102">
        <f t="shared" si="5"/>
        <v>1.9614548492086215E-6</v>
      </c>
      <c r="H61" s="102">
        <f t="shared" si="5"/>
        <v>3.5921462648857982E-6</v>
      </c>
      <c r="I61" s="102">
        <f t="shared" si="5"/>
        <v>1.8787639910478049E-6</v>
      </c>
    </row>
    <row r="62" spans="3:9" x14ac:dyDescent="0.2">
      <c r="C62" s="98">
        <v>11</v>
      </c>
      <c r="D62" s="102">
        <f t="shared" si="6"/>
        <v>-1.0000001063418285</v>
      </c>
      <c r="E62" s="102">
        <f t="shared" si="7"/>
        <v>4.0000002016582084</v>
      </c>
      <c r="F62" s="102">
        <f t="shared" si="8"/>
        <v>1.0000001035854664</v>
      </c>
      <c r="G62" s="102">
        <f t="shared" si="5"/>
        <v>4.0882914165152329E-7</v>
      </c>
      <c r="H62" s="102">
        <f t="shared" si="5"/>
        <v>7.6253104452916887E-7</v>
      </c>
      <c r="I62" s="102">
        <f t="shared" si="5"/>
        <v>3.9504733173600926E-7</v>
      </c>
    </row>
    <row r="63" spans="3:9" x14ac:dyDescent="0.2">
      <c r="C63" s="98">
        <v>12</v>
      </c>
      <c r="D63" s="106">
        <f t="shared" si="6"/>
        <v>-1.0000000218196383</v>
      </c>
      <c r="E63" s="106">
        <f t="shared" si="7"/>
        <v>4.0000000418017017</v>
      </c>
      <c r="F63" s="106">
        <f t="shared" si="8"/>
        <v>1.0000000213602447</v>
      </c>
      <c r="G63" s="102">
        <f t="shared" si="5"/>
        <v>8.452219013577178E-8</v>
      </c>
      <c r="H63" s="102">
        <f t="shared" si="5"/>
        <v>1.5985650669847473E-7</v>
      </c>
      <c r="I63" s="102">
        <f t="shared" si="5"/>
        <v>8.2225221742504573E-8</v>
      </c>
    </row>
  </sheetData>
  <mergeCells count="4">
    <mergeCell ref="C3:E3"/>
    <mergeCell ref="C44:E44"/>
    <mergeCell ref="A1:C2"/>
    <mergeCell ref="A42:C4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E75F9-216A-45A8-A403-B0761395C5BF}">
  <sheetPr>
    <tabColor rgb="FF00B0F0"/>
  </sheetPr>
  <dimension ref="B1:Z28"/>
  <sheetViews>
    <sheetView topLeftCell="G5" workbookViewId="0">
      <selection activeCell="H28" sqref="H28:I28"/>
    </sheetView>
  </sheetViews>
  <sheetFormatPr baseColWidth="10" defaultRowHeight="15" x14ac:dyDescent="0.2"/>
  <cols>
    <col min="10" max="10" width="13.33203125" customWidth="1"/>
    <col min="11" max="11" width="13.33203125" bestFit="1" customWidth="1"/>
    <col min="14" max="14" width="5" style="92" customWidth="1"/>
    <col min="24" max="26" width="14.109375" bestFit="1" customWidth="1"/>
  </cols>
  <sheetData>
    <row r="1" spans="2:26" x14ac:dyDescent="0.2">
      <c r="B1" s="146" t="s">
        <v>105</v>
      </c>
      <c r="C1" s="146"/>
      <c r="G1" s="146" t="s">
        <v>106</v>
      </c>
      <c r="H1" s="146"/>
      <c r="I1" s="146"/>
    </row>
    <row r="11" spans="2:26" ht="15.75" x14ac:dyDescent="0.25">
      <c r="G11" s="93" t="s">
        <v>16</v>
      </c>
      <c r="H11" s="93" t="s">
        <v>101</v>
      </c>
      <c r="I11" s="93" t="s">
        <v>102</v>
      </c>
      <c r="J11" s="93" t="s">
        <v>103</v>
      </c>
      <c r="K11" s="93" t="s">
        <v>104</v>
      </c>
    </row>
    <row r="12" spans="2:26" x14ac:dyDescent="0.2">
      <c r="G12" s="44">
        <v>0</v>
      </c>
      <c r="H12" s="94">
        <v>0</v>
      </c>
      <c r="I12" s="94">
        <v>0</v>
      </c>
      <c r="J12" s="94"/>
      <c r="K12" s="94"/>
    </row>
    <row r="13" spans="2:26" x14ac:dyDescent="0.2">
      <c r="G13" s="44">
        <v>1</v>
      </c>
      <c r="H13" s="94">
        <f>1/10*(H12^2+I12^2+8)</f>
        <v>0.8</v>
      </c>
      <c r="I13" s="94">
        <f>1/10*(H12*I12^2+H12+8)</f>
        <v>0.8</v>
      </c>
      <c r="J13" s="94">
        <f>ABS(H13-H12)</f>
        <v>0.8</v>
      </c>
      <c r="K13" s="94">
        <f>ABS(I13-I12)</f>
        <v>0.8</v>
      </c>
    </row>
    <row r="14" spans="2:26" ht="15.75" x14ac:dyDescent="0.25">
      <c r="G14" s="44">
        <v>2</v>
      </c>
      <c r="H14" s="94">
        <f t="shared" ref="H14:H27" si="0">1/10*(H13^2+I13^2+8)</f>
        <v>0.92800000000000016</v>
      </c>
      <c r="I14" s="94">
        <f t="shared" ref="I14:I27" si="1">1/10*(H13*I13^2+H13+8)</f>
        <v>0.93120000000000014</v>
      </c>
      <c r="J14" s="94">
        <f t="shared" ref="J14:J27" si="2">ABS(H14-H13)</f>
        <v>0.12800000000000011</v>
      </c>
      <c r="K14" s="94">
        <f t="shared" ref="K14:K27" si="3">ABS(I14-I13)</f>
        <v>0.13120000000000009</v>
      </c>
      <c r="T14" s="93" t="s">
        <v>16</v>
      </c>
      <c r="U14" s="93" t="s">
        <v>101</v>
      </c>
      <c r="V14" s="93" t="s">
        <v>102</v>
      </c>
      <c r="W14" s="93" t="s">
        <v>108</v>
      </c>
      <c r="X14" s="93" t="s">
        <v>103</v>
      </c>
      <c r="Y14" s="93" t="s">
        <v>104</v>
      </c>
      <c r="Z14" s="93" t="s">
        <v>107</v>
      </c>
    </row>
    <row r="15" spans="2:26" x14ac:dyDescent="0.2">
      <c r="G15" s="44">
        <v>3</v>
      </c>
      <c r="H15" s="94">
        <f t="shared" si="0"/>
        <v>0.97283174400000016</v>
      </c>
      <c r="I15" s="94">
        <f t="shared" si="1"/>
        <v>0.9732699832320002</v>
      </c>
      <c r="J15" s="94">
        <f t="shared" si="2"/>
        <v>4.4831744000000007E-2</v>
      </c>
      <c r="K15" s="94">
        <f t="shared" si="3"/>
        <v>4.2069983232000063E-2</v>
      </c>
      <c r="T15" s="44">
        <v>0</v>
      </c>
      <c r="U15" s="94">
        <v>0.1</v>
      </c>
      <c r="V15" s="94">
        <v>0.1</v>
      </c>
      <c r="W15" s="94">
        <v>-0.1</v>
      </c>
      <c r="X15" s="94"/>
      <c r="Y15" s="94"/>
      <c r="Z15" s="94"/>
    </row>
    <row r="16" spans="2:26" x14ac:dyDescent="0.2">
      <c r="G16" s="44">
        <v>4</v>
      </c>
      <c r="H16" s="94">
        <f t="shared" si="0"/>
        <v>0.98936560623945002</v>
      </c>
      <c r="I16" s="94">
        <f t="shared" si="1"/>
        <v>0.98943509525869233</v>
      </c>
      <c r="J16" s="94">
        <f t="shared" si="2"/>
        <v>1.6533862239449859E-2</v>
      </c>
      <c r="K16" s="94">
        <f t="shared" si="3"/>
        <v>1.616511202669213E-2</v>
      </c>
      <c r="T16" s="44">
        <v>1</v>
      </c>
      <c r="U16" s="94">
        <f>1/3*COS(V15*W15)+1/6</f>
        <v>0.49998333347222168</v>
      </c>
      <c r="V16" s="94">
        <f>1/9*SQRT(U15^2+SIN(W15)+1.06)-0.1</f>
        <v>9.4411496037133391E-3</v>
      </c>
      <c r="W16" s="94">
        <f>-1/20*EXP(-U15*V15)-(10*PI()-3)/60</f>
        <v>-0.52310126728575723</v>
      </c>
      <c r="X16" s="94">
        <f>ABS(U16-U15)</f>
        <v>0.3999833334722217</v>
      </c>
      <c r="Y16" s="94">
        <f>ABS(V16-V15)</f>
        <v>9.0558850396286666E-2</v>
      </c>
      <c r="Z16" s="94">
        <f>ABS(W16-W15)</f>
        <v>0.42310126728575725</v>
      </c>
    </row>
    <row r="17" spans="7:26" x14ac:dyDescent="0.2">
      <c r="G17" s="44">
        <v>5</v>
      </c>
      <c r="H17" s="94">
        <f t="shared" si="0"/>
        <v>0.9957826110539133</v>
      </c>
      <c r="I17" s="94">
        <f t="shared" si="1"/>
        <v>0.99579365359412175</v>
      </c>
      <c r="J17" s="94">
        <f t="shared" si="2"/>
        <v>6.4170048144632785E-3</v>
      </c>
      <c r="K17" s="94">
        <f t="shared" si="3"/>
        <v>6.3585583354294206E-3</v>
      </c>
      <c r="T17" s="44">
        <v>2</v>
      </c>
      <c r="U17" s="94">
        <f t="shared" ref="U17:U19" si="4">1/3*COS(V16*W16)+1/6</f>
        <v>0.49999593491931338</v>
      </c>
      <c r="V17" s="94">
        <f t="shared" ref="V17:V19" si="5">1/9*SQRT(U16^2+SIN(W16)+1.06)-0.1</f>
        <v>2.5567746766735899E-5</v>
      </c>
      <c r="W17" s="94">
        <f t="shared" ref="W17:W19" si="6">-1/20*EXP(-U16*V16)-(10*PI()-3)/60</f>
        <v>-0.52336331090880495</v>
      </c>
      <c r="X17" s="94">
        <f t="shared" ref="X17:X19" si="7">ABS(U17-U16)</f>
        <v>1.260144709169797E-5</v>
      </c>
      <c r="Y17" s="94">
        <f t="shared" ref="Y17:Y19" si="8">ABS(V17-V16)</f>
        <v>9.4155818569466032E-3</v>
      </c>
      <c r="Z17" s="94">
        <f t="shared" ref="Z17:Z19" si="9">ABS(W17-W16)</f>
        <v>2.6204362304771411E-4</v>
      </c>
    </row>
    <row r="18" spans="7:26" x14ac:dyDescent="0.2">
      <c r="G18" s="44">
        <v>6</v>
      </c>
      <c r="H18" s="94">
        <f t="shared" si="0"/>
        <v>0.99831880090156799</v>
      </c>
      <c r="I18" s="94">
        <f t="shared" si="1"/>
        <v>0.99832056276240877</v>
      </c>
      <c r="J18" s="94">
        <f t="shared" si="2"/>
        <v>2.5361898476546907E-3</v>
      </c>
      <c r="K18" s="94">
        <f t="shared" si="3"/>
        <v>2.5269091682870171E-3</v>
      </c>
      <c r="T18" s="44">
        <v>3</v>
      </c>
      <c r="U18" s="94">
        <f t="shared" si="4"/>
        <v>0.49999999997015709</v>
      </c>
      <c r="V18" s="94">
        <f t="shared" si="5"/>
        <v>1.2336720363353981E-5</v>
      </c>
      <c r="W18" s="94">
        <f t="shared" si="6"/>
        <v>-0.52359813641391195</v>
      </c>
      <c r="X18" s="94">
        <f t="shared" si="7"/>
        <v>4.0650508437156674E-6</v>
      </c>
      <c r="Y18" s="94">
        <f t="shared" si="8"/>
        <v>1.3231026403381918E-5</v>
      </c>
      <c r="Z18" s="94">
        <f t="shared" si="9"/>
        <v>2.3482550510700584E-4</v>
      </c>
    </row>
    <row r="19" spans="7:26" x14ac:dyDescent="0.2">
      <c r="G19" s="44">
        <v>7</v>
      </c>
      <c r="H19" s="94">
        <f t="shared" si="0"/>
        <v>0.9993284374267799</v>
      </c>
      <c r="I19" s="94">
        <f t="shared" si="1"/>
        <v>0.99932871900322917</v>
      </c>
      <c r="J19" s="94">
        <f t="shared" si="2"/>
        <v>1.0096365252119099E-3</v>
      </c>
      <c r="K19" s="94">
        <f t="shared" si="3"/>
        <v>1.0081562408204015E-3</v>
      </c>
      <c r="T19" s="44">
        <v>4</v>
      </c>
      <c r="U19" s="94">
        <f t="shared" si="4"/>
        <v>0.49999999999304579</v>
      </c>
      <c r="V19" s="94">
        <f t="shared" si="5"/>
        <v>3.4167906254323199E-8</v>
      </c>
      <c r="W19" s="94">
        <f t="shared" si="6"/>
        <v>-0.52359846718124103</v>
      </c>
      <c r="X19" s="94">
        <f t="shared" si="7"/>
        <v>2.2888690942579615E-11</v>
      </c>
      <c r="Y19" s="94">
        <f t="shared" si="8"/>
        <v>1.2302552457099658E-5</v>
      </c>
      <c r="Z19" s="94">
        <f t="shared" si="9"/>
        <v>3.3076732908199347E-7</v>
      </c>
    </row>
    <row r="20" spans="7:26" x14ac:dyDescent="0.2">
      <c r="G20" s="44">
        <v>8</v>
      </c>
      <c r="H20" s="94">
        <f t="shared" si="0"/>
        <v>0.99973152144744848</v>
      </c>
      <c r="I20" s="94">
        <f t="shared" si="1"/>
        <v>0.99973156647899641</v>
      </c>
      <c r="J20" s="94">
        <f t="shared" si="2"/>
        <v>4.0308402066857596E-4</v>
      </c>
      <c r="K20" s="94">
        <f t="shared" si="3"/>
        <v>4.0284747576724289E-4</v>
      </c>
      <c r="T20" s="44">
        <v>5</v>
      </c>
      <c r="U20" s="96">
        <f>1/3*COS(V19*W19)+1/6</f>
        <v>0.49999999999999989</v>
      </c>
      <c r="V20" s="96">
        <f>1/9*SQRT(U19^2+SIN(W19)+1.06)-0.1</f>
        <v>1.6487040399582042E-8</v>
      </c>
      <c r="W20" s="96">
        <f>-1/20*EXP(-U19*V19)-(10*PI()-3)/60</f>
        <v>-0.52359877474410121</v>
      </c>
      <c r="X20" s="94">
        <f>ABS(U20-U19)</f>
        <v>6.954103959344593E-12</v>
      </c>
      <c r="Y20" s="94">
        <f>ABS(V20-V19)</f>
        <v>1.7680865854741157E-8</v>
      </c>
      <c r="Z20" s="94">
        <f>ABS(W20-W19)</f>
        <v>3.0756286018007728E-7</v>
      </c>
    </row>
    <row r="21" spans="7:26" x14ac:dyDescent="0.2">
      <c r="G21" s="44">
        <v>9</v>
      </c>
      <c r="H21" s="94">
        <f t="shared" si="0"/>
        <v>0.99989263199901779</v>
      </c>
      <c r="I21" s="94">
        <f t="shared" si="1"/>
        <v>0.99989263920273863</v>
      </c>
      <c r="J21" s="94">
        <f t="shared" si="2"/>
        <v>1.6111055156931009E-4</v>
      </c>
      <c r="K21" s="94">
        <f t="shared" si="3"/>
        <v>1.6107272374221715E-4</v>
      </c>
    </row>
    <row r="22" spans="7:26" x14ac:dyDescent="0.2">
      <c r="G22" s="44">
        <v>10</v>
      </c>
      <c r="H22" s="94">
        <f t="shared" si="0"/>
        <v>0.99995705654577416</v>
      </c>
      <c r="I22" s="94">
        <f t="shared" si="1"/>
        <v>0.99995705769828447</v>
      </c>
      <c r="J22" s="94">
        <f t="shared" si="2"/>
        <v>6.4424546756369772E-5</v>
      </c>
      <c r="K22" s="94">
        <f t="shared" si="3"/>
        <v>6.4418495545837118E-5</v>
      </c>
    </row>
    <row r="23" spans="7:26" x14ac:dyDescent="0.2">
      <c r="G23" s="44">
        <v>11</v>
      </c>
      <c r="H23" s="94">
        <f t="shared" si="0"/>
        <v>0.99998282321762988</v>
      </c>
      <c r="I23" s="94">
        <f t="shared" si="1"/>
        <v>0.99998282340202604</v>
      </c>
      <c r="J23" s="94">
        <f t="shared" si="2"/>
        <v>2.5766671855720347E-5</v>
      </c>
      <c r="K23" s="94">
        <f t="shared" si="3"/>
        <v>2.576570374157594E-5</v>
      </c>
    </row>
    <row r="24" spans="7:26" x14ac:dyDescent="0.2">
      <c r="G24" s="44">
        <v>12</v>
      </c>
      <c r="H24" s="94">
        <f t="shared" si="0"/>
        <v>0.99999312938293894</v>
      </c>
      <c r="I24" s="94">
        <f t="shared" si="1"/>
        <v>0.99999312941244201</v>
      </c>
      <c r="J24" s="94">
        <f t="shared" si="2"/>
        <v>1.0306165309059701E-5</v>
      </c>
      <c r="K24" s="94">
        <f t="shared" si="3"/>
        <v>1.0306010415961353E-5</v>
      </c>
    </row>
    <row r="25" spans="7:26" x14ac:dyDescent="0.2">
      <c r="G25" s="44">
        <v>13</v>
      </c>
      <c r="H25" s="94">
        <f t="shared" si="0"/>
        <v>0.99999725176851728</v>
      </c>
      <c r="I25" s="94">
        <f t="shared" si="1"/>
        <v>0.99999725177323784</v>
      </c>
      <c r="J25" s="94">
        <f t="shared" si="2"/>
        <v>4.1223855783423247E-6</v>
      </c>
      <c r="K25" s="94">
        <f t="shared" si="3"/>
        <v>4.1223607958329467E-6</v>
      </c>
    </row>
    <row r="26" spans="7:26" x14ac:dyDescent="0.2">
      <c r="G26" s="44">
        <v>14</v>
      </c>
      <c r="H26" s="94">
        <f t="shared" si="0"/>
        <v>0.99999890070986164</v>
      </c>
      <c r="I26" s="94">
        <f t="shared" si="1"/>
        <v>0.99999890071061692</v>
      </c>
      <c r="J26" s="94">
        <f t="shared" si="2"/>
        <v>1.6489413443565581E-6</v>
      </c>
      <c r="K26" s="94">
        <f t="shared" si="3"/>
        <v>1.6489373790840034E-6</v>
      </c>
    </row>
    <row r="27" spans="7:26" x14ac:dyDescent="0.2">
      <c r="G27" s="44">
        <v>15</v>
      </c>
      <c r="H27" s="94">
        <f t="shared" si="0"/>
        <v>0.99999956028433745</v>
      </c>
      <c r="I27" s="94">
        <f t="shared" si="1"/>
        <v>0.99999956028445824</v>
      </c>
      <c r="J27" s="94">
        <f t="shared" si="2"/>
        <v>6.5957447581421746E-7</v>
      </c>
      <c r="K27" s="94">
        <f t="shared" si="3"/>
        <v>6.5957384132175889E-7</v>
      </c>
    </row>
    <row r="28" spans="7:26" x14ac:dyDescent="0.2">
      <c r="G28" s="44">
        <v>16</v>
      </c>
      <c r="H28" s="96">
        <f t="shared" ref="H28" si="10">1/10*(H27^2+I27^2+8)</f>
        <v>0.99999982411379795</v>
      </c>
      <c r="I28" s="96">
        <f t="shared" ref="I28" si="11">1/10*(H27*I27^2+H27+8)</f>
        <v>0.99999982411381727</v>
      </c>
      <c r="J28" s="94">
        <f t="shared" ref="J28" si="12">ABS(H28-H27)</f>
        <v>2.6382946050063083E-7</v>
      </c>
      <c r="K28" s="94">
        <f t="shared" ref="K28" si="13">ABS(I28-I27)</f>
        <v>2.6382935902624638E-7</v>
      </c>
    </row>
  </sheetData>
  <mergeCells count="2">
    <mergeCell ref="B1:C1"/>
    <mergeCell ref="G1:I1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0A98B-3A4E-49A8-AADF-9DE3D6DFCEA1}">
  <dimension ref="A2:M19"/>
  <sheetViews>
    <sheetView tabSelected="1" workbookViewId="0">
      <selection activeCell="F17" sqref="F17"/>
    </sheetView>
  </sheetViews>
  <sheetFormatPr baseColWidth="10" defaultRowHeight="15" x14ac:dyDescent="0.2"/>
  <cols>
    <col min="2" max="2" width="11.88671875" bestFit="1" customWidth="1"/>
  </cols>
  <sheetData>
    <row r="2" spans="1:13" ht="15.75" x14ac:dyDescent="0.25">
      <c r="A2" s="97" t="s">
        <v>133</v>
      </c>
      <c r="B2" s="97" t="s">
        <v>109</v>
      </c>
      <c r="C2" s="149" t="s">
        <v>110</v>
      </c>
      <c r="D2" s="150"/>
      <c r="E2" s="151"/>
      <c r="F2" s="107" t="s">
        <v>111</v>
      </c>
      <c r="G2" s="149" t="s">
        <v>112</v>
      </c>
      <c r="H2" s="151"/>
      <c r="I2" s="149" t="s">
        <v>113</v>
      </c>
      <c r="J2" s="151"/>
      <c r="K2" s="107" t="s">
        <v>118</v>
      </c>
      <c r="L2" s="107" t="s">
        <v>114</v>
      </c>
      <c r="M2" s="107" t="s">
        <v>115</v>
      </c>
    </row>
    <row r="3" spans="1:13" x14ac:dyDescent="0.2">
      <c r="A3" s="147">
        <v>1</v>
      </c>
      <c r="B3" s="60">
        <v>0</v>
      </c>
      <c r="C3" s="5">
        <f>2*B3-10</f>
        <v>-10</v>
      </c>
      <c r="D3" s="5">
        <f>2*B4</f>
        <v>0</v>
      </c>
      <c r="E3" s="5">
        <f>-(B3^2-10*B3+B4^2+8)</f>
        <v>-8</v>
      </c>
      <c r="F3" s="5">
        <f>MDETERM(C3:D4)</f>
        <v>100</v>
      </c>
      <c r="G3" s="94">
        <f t="array" ref="G3:H4">MINVERSE(C3:D4)</f>
        <v>-0.1</v>
      </c>
      <c r="H3" s="94">
        <v>0</v>
      </c>
      <c r="I3" s="108">
        <f t="array" ref="I3:I4">MMULT(G3:H4,E3:E4)</f>
        <v>0.8</v>
      </c>
      <c r="J3" s="108" t="s">
        <v>116</v>
      </c>
      <c r="K3" s="108">
        <f>B3+I3</f>
        <v>0.8</v>
      </c>
      <c r="L3" s="94">
        <f>ABS(K3-B3)</f>
        <v>0.8</v>
      </c>
      <c r="M3" s="94">
        <f>ABS(K4-B4)</f>
        <v>0.88</v>
      </c>
    </row>
    <row r="4" spans="1:13" x14ac:dyDescent="0.2">
      <c r="A4" s="148"/>
      <c r="B4" s="60">
        <v>0</v>
      </c>
      <c r="C4" s="5">
        <f>B4^2+1</f>
        <v>1</v>
      </c>
      <c r="D4" s="5">
        <f>2*B3*B4-10</f>
        <v>-10</v>
      </c>
      <c r="E4" s="5">
        <f>-(B3*B4^2+B3-10*B4+8)</f>
        <v>-8</v>
      </c>
      <c r="F4" s="110"/>
      <c r="G4" s="94">
        <v>-0.01</v>
      </c>
      <c r="H4" s="94">
        <v>-0.1</v>
      </c>
      <c r="I4" s="108">
        <v>0.88</v>
      </c>
      <c r="J4" s="108" t="s">
        <v>117</v>
      </c>
      <c r="K4" s="108">
        <f>B4+I4</f>
        <v>0.88</v>
      </c>
      <c r="L4" s="41"/>
      <c r="M4" s="41"/>
    </row>
    <row r="5" spans="1:13" x14ac:dyDescent="0.2">
      <c r="A5" s="103"/>
      <c r="B5" s="103"/>
      <c r="C5" s="109"/>
      <c r="D5" s="109"/>
      <c r="E5" s="109"/>
      <c r="F5" s="109"/>
      <c r="G5" s="109"/>
      <c r="H5" s="109"/>
      <c r="I5" s="109"/>
      <c r="J5" s="109"/>
      <c r="K5" s="109"/>
      <c r="L5" s="109"/>
      <c r="M5" s="109"/>
    </row>
    <row r="6" spans="1:13" x14ac:dyDescent="0.2">
      <c r="A6" s="147">
        <v>2</v>
      </c>
      <c r="B6" s="5">
        <f>K3</f>
        <v>0.8</v>
      </c>
      <c r="C6" s="5">
        <f>2*B6-10</f>
        <v>-8.4</v>
      </c>
      <c r="D6" s="5">
        <f>2*B7</f>
        <v>1.76</v>
      </c>
      <c r="E6" s="5">
        <f>-(B6^2-10*B6+B7^2+8)</f>
        <v>-1.4144000000000005</v>
      </c>
      <c r="F6" s="5">
        <f>MDETERM(C6:D7)</f>
        <v>69.049856000000005</v>
      </c>
      <c r="G6" s="94">
        <f t="array" ref="G6:H7">MINVERSE(C6:D7)</f>
        <v>-0.12443183082090713</v>
      </c>
      <c r="H6" s="94">
        <v>-2.5488829404655095E-2</v>
      </c>
      <c r="I6" s="108">
        <f t="array" ref="I6:I7">MMULT(G6:H7,E6:E7)</f>
        <v>0.19178722110586302</v>
      </c>
      <c r="J6" s="108" t="s">
        <v>116</v>
      </c>
      <c r="K6" s="108">
        <f>B6+I6</f>
        <v>0.99178722110586304</v>
      </c>
      <c r="L6" s="94">
        <f>ABS(K6-B6)</f>
        <v>0.19178722110586299</v>
      </c>
      <c r="M6" s="94">
        <f>ABS(K7-B7)</f>
        <v>0.11171173709616422</v>
      </c>
    </row>
    <row r="7" spans="1:13" x14ac:dyDescent="0.2">
      <c r="A7" s="148"/>
      <c r="B7" s="5">
        <f>K4</f>
        <v>0.88</v>
      </c>
      <c r="C7" s="5">
        <f>B7^2+1</f>
        <v>1.7744</v>
      </c>
      <c r="D7" s="5">
        <f>2*B6*B7-10</f>
        <v>-8.5920000000000005</v>
      </c>
      <c r="E7" s="5">
        <f>-(B6*B7^2+B6-10*B7+8)</f>
        <v>-0.61951999999999963</v>
      </c>
      <c r="F7" s="110"/>
      <c r="G7" s="94">
        <v>-2.5697374372511364E-2</v>
      </c>
      <c r="H7" s="94">
        <v>-0.12165123124949023</v>
      </c>
      <c r="I7" s="108">
        <v>0.11171173709616423</v>
      </c>
      <c r="J7" s="108" t="s">
        <v>117</v>
      </c>
      <c r="K7" s="108">
        <f>B7+I7</f>
        <v>0.99171173709616423</v>
      </c>
      <c r="L7" s="41"/>
      <c r="M7" s="41"/>
    </row>
    <row r="8" spans="1:13" x14ac:dyDescent="0.2">
      <c r="A8" s="103"/>
      <c r="B8" s="103"/>
      <c r="C8" s="109"/>
      <c r="D8" s="109"/>
      <c r="E8" s="109"/>
      <c r="F8" s="109"/>
      <c r="G8" s="109"/>
      <c r="H8" s="109"/>
      <c r="I8" s="109"/>
      <c r="J8" s="109"/>
      <c r="K8" s="109"/>
      <c r="L8" s="109"/>
      <c r="M8" s="109"/>
    </row>
    <row r="9" spans="1:13" x14ac:dyDescent="0.2">
      <c r="A9" s="147">
        <v>3</v>
      </c>
      <c r="B9" s="5">
        <f t="shared" ref="B9:B10" si="0">K6</f>
        <v>0.99178722110586304</v>
      </c>
      <c r="C9" s="5">
        <f t="shared" ref="C9" si="1">2*B9-10</f>
        <v>-8.0164255577882741</v>
      </c>
      <c r="D9" s="5">
        <f t="shared" ref="D9" si="2">2*B10</f>
        <v>1.9834234741923285</v>
      </c>
      <c r="E9" s="5">
        <f t="shared" ref="E9" si="3">-(B9^2-10*B9+B10^2+8)</f>
        <v>-4.9261850384550776E-2</v>
      </c>
      <c r="F9" s="5">
        <f t="shared" ref="F9" si="4">MDETERM(C9:D10)</f>
        <v>60.460766927958396</v>
      </c>
      <c r="G9" s="94">
        <f t="array" ref="G9:H10">MINVERSE(C9:D10)</f>
        <v>-0.13286080134951248</v>
      </c>
      <c r="H9" s="94">
        <v>-3.280513256730043E-2</v>
      </c>
      <c r="I9" s="108">
        <f t="array" ref="I9:I10">MMULT(G9:H10,E9:E10)</f>
        <v>8.1880079434675217E-3</v>
      </c>
      <c r="J9" s="108" t="s">
        <v>116</v>
      </c>
      <c r="K9" s="108">
        <f t="shared" ref="K9:K10" si="5">B9+I9</f>
        <v>0.99997522904933056</v>
      </c>
      <c r="L9" s="94">
        <f t="shared" ref="L9" si="6">ABS(K9-B9)</f>
        <v>8.1880079434675235E-3</v>
      </c>
      <c r="M9" s="94">
        <f t="shared" ref="M9" si="7">ABS(K10-B10)</f>
        <v>8.2567873043372098E-3</v>
      </c>
    </row>
    <row r="10" spans="1:13" x14ac:dyDescent="0.2">
      <c r="A10" s="148"/>
      <c r="B10" s="5">
        <f t="shared" si="0"/>
        <v>0.99171173709616423</v>
      </c>
      <c r="C10" s="5">
        <f t="shared" ref="C10" si="8">B10^2+1</f>
        <v>1.9834921694942915</v>
      </c>
      <c r="D10" s="5">
        <f t="shared" ref="D10" si="9">2*B9*B10-10</f>
        <v>-8.0328659442546542</v>
      </c>
      <c r="E10" s="5">
        <f t="shared" ref="E10" si="10">-(B9*B10^2+B9-10*B10+8)</f>
        <v>-5.0084815906339841E-2</v>
      </c>
      <c r="F10" s="110"/>
      <c r="G10" s="94">
        <v>-3.2806268763638208E-2</v>
      </c>
      <c r="H10" s="94">
        <v>-0.1325888830907519</v>
      </c>
      <c r="I10" s="108">
        <v>8.2567873043372306E-3</v>
      </c>
      <c r="J10" s="108" t="s">
        <v>117</v>
      </c>
      <c r="K10" s="108">
        <f t="shared" si="5"/>
        <v>0.99996852440050144</v>
      </c>
      <c r="L10" s="41"/>
      <c r="M10" s="41"/>
    </row>
    <row r="11" spans="1:13" x14ac:dyDescent="0.2">
      <c r="A11" s="103"/>
      <c r="B11" s="103"/>
      <c r="C11" s="109"/>
      <c r="D11" s="109"/>
      <c r="E11" s="109"/>
      <c r="F11" s="109"/>
      <c r="G11" s="109"/>
      <c r="H11" s="109"/>
      <c r="I11" s="109"/>
      <c r="J11" s="109"/>
      <c r="K11" s="109"/>
      <c r="L11" s="109"/>
      <c r="M11" s="109"/>
    </row>
    <row r="12" spans="1:13" x14ac:dyDescent="0.2">
      <c r="A12" s="147">
        <v>4</v>
      </c>
      <c r="B12" s="5">
        <f t="shared" ref="B12:B13" si="11">K9</f>
        <v>0.99997522904933056</v>
      </c>
      <c r="C12" s="5">
        <f t="shared" ref="C12" si="12">2*B12-10</f>
        <v>-8.0000495419013387</v>
      </c>
      <c r="D12" s="5">
        <f t="shared" ref="D12" si="13">2*B13</f>
        <v>1.9999370488010029</v>
      </c>
      <c r="E12" s="5">
        <f t="shared" ref="E12" si="14">-(B12^2-10*B12+B13^2+8)</f>
        <v>-1.35218010672844E-4</v>
      </c>
      <c r="F12" s="5">
        <f t="shared" ref="F12" si="15">MDETERM(C12:D13)</f>
        <v>60.00154807196332</v>
      </c>
      <c r="G12" s="94">
        <f t="array" ref="G12:H13">MINVERSE(C12:D13)</f>
        <v>-0.13333176807281669</v>
      </c>
      <c r="H12" s="94">
        <v>-3.3331424155962824E-2</v>
      </c>
      <c r="I12" s="108">
        <f t="array" ref="I12:I13">MMULT(G12:H13,E12:E13)</f>
        <v>2.4770651767653552E-5</v>
      </c>
      <c r="J12" s="108" t="s">
        <v>116</v>
      </c>
      <c r="K12" s="108">
        <f t="shared" ref="K12:K13" si="16">B12+I12</f>
        <v>0.99999999970109821</v>
      </c>
      <c r="L12" s="94">
        <f t="shared" ref="L12" si="17">ABS(K12-B12)</f>
        <v>2.4770651767647145E-5</v>
      </c>
      <c r="M12" s="94">
        <f t="shared" ref="M12" si="18">ABS(K13-B13)</f>
        <v>3.1475206027753444E-5</v>
      </c>
    </row>
    <row r="13" spans="1:13" x14ac:dyDescent="0.2">
      <c r="A13" s="148"/>
      <c r="B13" s="5">
        <f t="shared" si="11"/>
        <v>0.99996852440050144</v>
      </c>
      <c r="C13" s="5">
        <f t="shared" ref="C13" si="19">B13^2+1</f>
        <v>1.9999370497917162</v>
      </c>
      <c r="D13" s="5">
        <f t="shared" ref="D13" si="20">2*B12*B13-10</f>
        <v>-8.0001124915409747</v>
      </c>
      <c r="E13" s="5">
        <f t="shared" ref="E13" si="21">-(B12*B13^2+B12-10*B13+8)</f>
        <v>-2.022654446989236E-4</v>
      </c>
      <c r="F13" s="110"/>
      <c r="G13" s="94">
        <v>-3.333142417247429E-2</v>
      </c>
      <c r="H13" s="94">
        <v>-0.13333071893922499</v>
      </c>
      <c r="I13" s="108">
        <v>3.1475206027764259E-5</v>
      </c>
      <c r="J13" s="108" t="s">
        <v>117</v>
      </c>
      <c r="K13" s="108">
        <f t="shared" si="16"/>
        <v>0.99999999960652919</v>
      </c>
      <c r="L13" s="41"/>
      <c r="M13" s="41"/>
    </row>
    <row r="14" spans="1:13" x14ac:dyDescent="0.2">
      <c r="A14" s="103"/>
      <c r="B14" s="103"/>
      <c r="C14" s="109"/>
      <c r="D14" s="109"/>
      <c r="E14" s="109"/>
      <c r="F14" s="109"/>
      <c r="G14" s="109"/>
      <c r="H14" s="109"/>
      <c r="I14" s="109"/>
      <c r="J14" s="109"/>
      <c r="K14" s="109"/>
      <c r="L14" s="109"/>
      <c r="M14" s="109"/>
    </row>
    <row r="15" spans="1:13" x14ac:dyDescent="0.2">
      <c r="A15" s="147">
        <v>5</v>
      </c>
      <c r="B15" s="5">
        <f t="shared" ref="B15:B16" si="22">K12</f>
        <v>0.99999999970109821</v>
      </c>
      <c r="C15" s="5">
        <f t="shared" ref="C15" si="23">2*B15-10</f>
        <v>-8.0000000005978045</v>
      </c>
      <c r="D15" s="5">
        <f t="shared" ref="D15" si="24">2*B16</f>
        <v>1.9999999992130584</v>
      </c>
      <c r="E15" s="5">
        <f t="shared" ref="E15" si="25">-(B15^2-10*B15+B16^2+8)</f>
        <v>-1.6042722705833512E-9</v>
      </c>
      <c r="F15" s="5">
        <f t="shared" ref="F15" si="26">MDETERM(C15:D16)</f>
        <v>60.000000019008162</v>
      </c>
      <c r="G15" s="94">
        <f t="array" ref="G15:H16">MINVERSE(C15:D16)</f>
        <v>-0.13333333331417205</v>
      </c>
      <c r="H15" s="94">
        <v>-3.3333333309657542E-2</v>
      </c>
      <c r="I15" s="108">
        <f t="array" ref="I15:I16">MMULT(G15:H16,E15:E16)</f>
        <v>2.9890176250909244E-10</v>
      </c>
      <c r="J15" s="108" t="s">
        <v>116</v>
      </c>
      <c r="K15" s="108">
        <f t="shared" ref="K15:K16" si="27">B15+I15</f>
        <v>1</v>
      </c>
      <c r="L15" s="94">
        <f t="shared" ref="L15" si="28">ABS(K15-B15)</f>
        <v>2.9890179220615209E-10</v>
      </c>
      <c r="M15" s="94">
        <f t="shared" ref="M15" si="29">ABS(K16-B16)</f>
        <v>3.9347081148832785E-10</v>
      </c>
    </row>
    <row r="16" spans="1:13" x14ac:dyDescent="0.2">
      <c r="A16" s="148"/>
      <c r="B16" s="5">
        <f t="shared" si="22"/>
        <v>0.99999999960652919</v>
      </c>
      <c r="C16" s="5">
        <f t="shared" ref="C16" si="30">B16^2+1</f>
        <v>1.9999999992130584</v>
      </c>
      <c r="D16" s="5">
        <f t="shared" ref="D16" si="31">2*B15*B16-10</f>
        <v>-8.0000000013847448</v>
      </c>
      <c r="E16" s="5">
        <f t="shared" ref="E16" si="32">-(B15*B16^2+B15-10*B16+8)</f>
        <v>-2.5499637956727383E-9</v>
      </c>
      <c r="F16" s="110"/>
      <c r="G16" s="94">
        <v>-3.3333333309657549E-2</v>
      </c>
      <c r="H16" s="94">
        <v>-0.13333333330105637</v>
      </c>
      <c r="I16" s="108">
        <v>3.9347091498885599E-10</v>
      </c>
      <c r="J16" s="108" t="s">
        <v>117</v>
      </c>
      <c r="K16" s="108">
        <f t="shared" si="27"/>
        <v>1</v>
      </c>
      <c r="L16" s="41"/>
      <c r="M16" s="41"/>
    </row>
    <row r="17" spans="1:13" x14ac:dyDescent="0.2">
      <c r="A17" s="103"/>
      <c r="B17" s="103"/>
      <c r="C17" s="109"/>
      <c r="D17" s="109"/>
      <c r="E17" s="109"/>
      <c r="F17" s="109"/>
      <c r="G17" s="109"/>
      <c r="H17" s="109"/>
      <c r="I17" s="109"/>
      <c r="J17" s="109"/>
      <c r="K17" s="109"/>
      <c r="L17" s="109"/>
      <c r="M17" s="109"/>
    </row>
    <row r="18" spans="1:13" x14ac:dyDescent="0.2">
      <c r="C18" s="110"/>
      <c r="D18" s="110"/>
      <c r="E18" s="110"/>
      <c r="F18" s="110"/>
      <c r="G18" s="110"/>
      <c r="H18" s="110"/>
      <c r="I18" s="110"/>
      <c r="J18" s="110"/>
      <c r="K18" s="110"/>
      <c r="L18" s="110"/>
      <c r="M18" s="110"/>
    </row>
    <row r="19" spans="1:13" x14ac:dyDescent="0.2">
      <c r="C19" s="110"/>
      <c r="D19" s="110"/>
      <c r="E19" s="110"/>
      <c r="F19" s="110"/>
      <c r="G19" s="110"/>
      <c r="H19" s="110"/>
      <c r="I19" s="110"/>
      <c r="J19" s="110"/>
      <c r="K19" s="110"/>
      <c r="L19" s="110"/>
      <c r="M19" s="110"/>
    </row>
  </sheetData>
  <mergeCells count="8">
    <mergeCell ref="A3:A4"/>
    <mergeCell ref="C2:E2"/>
    <mergeCell ref="G2:H2"/>
    <mergeCell ref="I2:J2"/>
    <mergeCell ref="A6:A7"/>
    <mergeCell ref="A9:A10"/>
    <mergeCell ref="A12:A13"/>
    <mergeCell ref="A15:A16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180EB-3A47-421F-84A2-6746E150B666}">
  <sheetPr>
    <tabColor theme="4" tint="0.39997558519241921"/>
  </sheetPr>
  <dimension ref="B2:I36"/>
  <sheetViews>
    <sheetView topLeftCell="A5" workbookViewId="0">
      <selection activeCell="C19" sqref="C19"/>
    </sheetView>
  </sheetViews>
  <sheetFormatPr baseColWidth="10" defaultRowHeight="15" x14ac:dyDescent="0.2"/>
  <sheetData>
    <row r="2" spans="2:9" x14ac:dyDescent="0.2">
      <c r="B2" s="72" t="s">
        <v>13</v>
      </c>
      <c r="C2" s="44">
        <v>150</v>
      </c>
      <c r="D2" s="44">
        <v>160</v>
      </c>
      <c r="E2" s="44">
        <v>170</v>
      </c>
      <c r="F2" s="44">
        <v>180</v>
      </c>
      <c r="G2" s="44">
        <v>190</v>
      </c>
      <c r="H2" s="44">
        <v>200</v>
      </c>
      <c r="I2" s="44">
        <v>210</v>
      </c>
    </row>
    <row r="3" spans="2:9" x14ac:dyDescent="0.2">
      <c r="B3" s="72" t="s">
        <v>15</v>
      </c>
      <c r="C3" s="44">
        <v>35.5</v>
      </c>
      <c r="D3" s="44">
        <v>37.799999999999997</v>
      </c>
      <c r="E3" s="44">
        <v>43.6</v>
      </c>
      <c r="F3" s="44">
        <v>45.7</v>
      </c>
      <c r="G3" s="44">
        <v>47.3</v>
      </c>
      <c r="H3" s="44">
        <v>50.1</v>
      </c>
      <c r="I3" s="44">
        <v>51.2</v>
      </c>
    </row>
    <row r="12" spans="2:9" x14ac:dyDescent="0.2">
      <c r="B12" s="72" t="s">
        <v>13</v>
      </c>
      <c r="C12" s="44">
        <v>160</v>
      </c>
      <c r="D12" s="44">
        <v>170</v>
      </c>
      <c r="E12" s="44">
        <v>180</v>
      </c>
    </row>
    <row r="13" spans="2:9" x14ac:dyDescent="0.2">
      <c r="B13" s="72" t="s">
        <v>15</v>
      </c>
      <c r="C13" s="44">
        <v>37.799999999999997</v>
      </c>
      <c r="D13" s="44">
        <v>43.6</v>
      </c>
      <c r="E13" s="44">
        <v>45.7</v>
      </c>
    </row>
    <row r="17" spans="2:8" x14ac:dyDescent="0.2">
      <c r="B17" s="72" t="s">
        <v>13</v>
      </c>
      <c r="C17" s="44">
        <v>162</v>
      </c>
    </row>
    <row r="18" spans="2:8" x14ac:dyDescent="0.2">
      <c r="B18" s="72" t="s">
        <v>15</v>
      </c>
      <c r="C18" s="73">
        <f>C13*(((C17-D12)*(C17-E12))/((C12-D12)*(C12-E12)))+D13*(((C17-C12)*(C17-E12))/((D12-C12)*(D12-E12)))+E13*(((C17-C12)*(C17-D12))/((E12-C12)*(E12-D12)))</f>
        <v>39.256</v>
      </c>
    </row>
    <row r="25" spans="2:8" x14ac:dyDescent="0.2">
      <c r="B25" s="72" t="s">
        <v>72</v>
      </c>
      <c r="C25" s="44">
        <v>33.799999999999997</v>
      </c>
      <c r="D25" s="44">
        <v>52.7</v>
      </c>
      <c r="E25" s="44">
        <v>36.4</v>
      </c>
      <c r="H25" s="74"/>
    </row>
    <row r="26" spans="2:8" x14ac:dyDescent="0.2">
      <c r="B26" s="72" t="s">
        <v>73</v>
      </c>
      <c r="C26" s="44">
        <v>45</v>
      </c>
      <c r="D26" s="44">
        <v>33</v>
      </c>
      <c r="E26" s="44">
        <v>46</v>
      </c>
      <c r="H26" s="74"/>
    </row>
    <row r="30" spans="2:8" x14ac:dyDescent="0.2">
      <c r="B30" s="72" t="s">
        <v>72</v>
      </c>
      <c r="C30" s="44">
        <v>43</v>
      </c>
      <c r="D30" s="74"/>
      <c r="E30" s="75"/>
      <c r="F30" s="74"/>
      <c r="G30" s="74"/>
      <c r="H30" s="74"/>
    </row>
    <row r="31" spans="2:8" x14ac:dyDescent="0.2">
      <c r="B31" s="72" t="s">
        <v>73</v>
      </c>
      <c r="C31" s="73">
        <f>C26*(((C30-D25)*(C30-E25))/((C25-D25)*(C25-E25)))+D26*(((C30-C25)*(C30-E25))/((D25-C25)*(D25-E25)))+E26*(((C30-C25)*(C30-D25))/((E25-C25)*(E25-D25)))</f>
        <v>44.740533495134727</v>
      </c>
      <c r="D31" s="76"/>
      <c r="E31" s="75"/>
      <c r="F31" s="76"/>
      <c r="G31" s="76"/>
      <c r="H31" s="76"/>
    </row>
    <row r="35" spans="2:9" x14ac:dyDescent="0.2">
      <c r="B35" s="72" t="s">
        <v>72</v>
      </c>
      <c r="C35" s="44">
        <v>52.7</v>
      </c>
      <c r="D35" s="44">
        <v>90.9</v>
      </c>
      <c r="E35" s="44">
        <v>33.799999999999997</v>
      </c>
      <c r="F35" s="44">
        <v>56.8</v>
      </c>
      <c r="G35" s="44">
        <v>36.4</v>
      </c>
      <c r="H35" s="44">
        <v>54.8</v>
      </c>
      <c r="I35" s="44">
        <f t="array" ref="I35:I36">C30:C31</f>
        <v>43</v>
      </c>
    </row>
    <row r="36" spans="2:9" x14ac:dyDescent="0.2">
      <c r="B36" s="72" t="s">
        <v>73</v>
      </c>
      <c r="C36" s="44">
        <v>33</v>
      </c>
      <c r="D36" s="44">
        <v>27</v>
      </c>
      <c r="E36" s="44">
        <v>45</v>
      </c>
      <c r="F36" s="44">
        <v>44</v>
      </c>
      <c r="G36" s="44">
        <v>46</v>
      </c>
      <c r="H36" s="44">
        <v>41</v>
      </c>
      <c r="I36" s="73">
        <v>44.740533495134727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8EC19-ED33-4611-84DD-DE86BFF92EFD}">
  <sheetPr>
    <tabColor theme="9" tint="0.39997558519241921"/>
  </sheetPr>
  <dimension ref="B2:I13"/>
  <sheetViews>
    <sheetView workbookViewId="0">
      <selection activeCell="C14" sqref="C14"/>
    </sheetView>
  </sheetViews>
  <sheetFormatPr baseColWidth="10" defaultRowHeight="15" x14ac:dyDescent="0.2"/>
  <cols>
    <col min="2" max="2" width="13" bestFit="1" customWidth="1"/>
  </cols>
  <sheetData>
    <row r="2" spans="2:9" x14ac:dyDescent="0.2">
      <c r="B2" s="79" t="s">
        <v>74</v>
      </c>
      <c r="C2" s="79" t="s">
        <v>75</v>
      </c>
    </row>
    <row r="3" spans="2:9" x14ac:dyDescent="0.2">
      <c r="B3" s="44">
        <v>40</v>
      </c>
      <c r="C3" s="44">
        <v>0.63</v>
      </c>
    </row>
    <row r="4" spans="2:9" x14ac:dyDescent="0.2">
      <c r="B4" s="44">
        <v>60</v>
      </c>
      <c r="C4" s="44">
        <v>1.36</v>
      </c>
      <c r="D4" s="68">
        <f>(C4-C3)/(B4-B3)</f>
        <v>3.6500000000000005E-2</v>
      </c>
      <c r="E4" s="80"/>
      <c r="F4" s="80"/>
      <c r="G4" s="80"/>
      <c r="H4" s="80"/>
      <c r="I4" s="80"/>
    </row>
    <row r="5" spans="2:9" x14ac:dyDescent="0.2">
      <c r="B5" s="44">
        <v>80</v>
      </c>
      <c r="C5" s="44">
        <v>2.1800000000000002</v>
      </c>
      <c r="D5" s="68">
        <f>(C5-C4)/(B5-B4)</f>
        <v>4.1000000000000002E-2</v>
      </c>
      <c r="E5" s="68">
        <f>(D5-D4)/(B5-B3)</f>
        <v>1.1249999999999993E-4</v>
      </c>
      <c r="F5" s="81"/>
      <c r="G5" s="81"/>
      <c r="H5" s="81"/>
      <c r="I5" s="81"/>
    </row>
    <row r="6" spans="2:9" x14ac:dyDescent="0.2">
      <c r="B6" s="44">
        <v>100</v>
      </c>
      <c r="C6" s="82">
        <v>3</v>
      </c>
      <c r="D6" s="68">
        <f>(C6-C5)/(B6-B5)</f>
        <v>4.0999999999999995E-2</v>
      </c>
      <c r="E6" s="68">
        <f>(D6-D5)/(B6-B4)</f>
        <v>-1.7347234759768072E-19</v>
      </c>
      <c r="F6" s="68">
        <f>(E6-E5)/(B6-B3)</f>
        <v>-1.8750000000000017E-6</v>
      </c>
      <c r="G6" s="81"/>
      <c r="H6" s="81"/>
      <c r="I6" s="81"/>
    </row>
    <row r="7" spans="2:9" x14ac:dyDescent="0.2">
      <c r="B7" s="44">
        <v>120</v>
      </c>
      <c r="C7" s="44">
        <v>3.93</v>
      </c>
      <c r="D7" s="68">
        <f t="shared" ref="D7:D9" si="0">(C7-C6)/(B7-B6)</f>
        <v>4.6500000000000007E-2</v>
      </c>
      <c r="E7" s="68">
        <f t="shared" ref="E7:E9" si="1">(D7-D6)/(B7-B5)</f>
        <v>1.3750000000000031E-4</v>
      </c>
      <c r="F7" s="68">
        <f>(E7-E6)/(B7-B4)</f>
        <v>2.2916666666666747E-6</v>
      </c>
      <c r="G7" s="68">
        <f>(F7-F6)/(B7-B3)</f>
        <v>5.2083333333333452E-8</v>
      </c>
      <c r="H7" s="81"/>
      <c r="I7" s="81"/>
    </row>
    <row r="8" spans="2:9" x14ac:dyDescent="0.2">
      <c r="B8" s="44">
        <v>140</v>
      </c>
      <c r="C8" s="44">
        <v>6.22</v>
      </c>
      <c r="D8" s="68">
        <f t="shared" si="0"/>
        <v>0.11449999999999998</v>
      </c>
      <c r="E8" s="68">
        <f t="shared" si="1"/>
        <v>1.6999999999999995E-3</v>
      </c>
      <c r="F8" s="68">
        <f t="shared" ref="F8:F9" si="2">(E8-E7)/(B8-B5)</f>
        <v>2.6041666666666655E-5</v>
      </c>
      <c r="G8" s="68">
        <f>(F8-F7)/(B8-B4)</f>
        <v>2.9687499999999975E-7</v>
      </c>
      <c r="H8" s="68">
        <f>(G8-G7)/(B8-B3)</f>
        <v>2.4479166666666629E-9</v>
      </c>
      <c r="I8" s="81"/>
    </row>
    <row r="9" spans="2:9" x14ac:dyDescent="0.2">
      <c r="B9" s="44">
        <v>160</v>
      </c>
      <c r="C9" s="44">
        <v>8.59</v>
      </c>
      <c r="D9" s="68">
        <f t="shared" si="0"/>
        <v>0.11850000000000001</v>
      </c>
      <c r="E9" s="68">
        <f t="shared" si="1"/>
        <v>1.0000000000000078E-4</v>
      </c>
      <c r="F9" s="68">
        <f t="shared" si="2"/>
        <v>-2.6666666666666646E-5</v>
      </c>
      <c r="G9" s="68">
        <f>(F9-F8)/(B9-B5)</f>
        <v>-6.5885416666666631E-7</v>
      </c>
      <c r="H9" s="68">
        <f>(G9-G8)/(B9-B4)</f>
        <v>-9.5572916666666606E-9</v>
      </c>
      <c r="I9" s="68">
        <f>(H9-H8)/(B9-B3)</f>
        <v>-1.0004340277777769E-10</v>
      </c>
    </row>
    <row r="11" spans="2:9" x14ac:dyDescent="0.2">
      <c r="B11" s="41"/>
      <c r="C11" s="41"/>
    </row>
    <row r="12" spans="2:9" x14ac:dyDescent="0.2">
      <c r="B12" s="79" t="s">
        <v>82</v>
      </c>
      <c r="C12" s="79" t="s">
        <v>83</v>
      </c>
    </row>
    <row r="13" spans="2:9" x14ac:dyDescent="0.2">
      <c r="B13" s="44">
        <v>90</v>
      </c>
      <c r="C13" s="44">
        <f>C3+D4*(B13-B3)+E5*(B13-B3)*(B13-B4)+F6*(B13-B3)*(B13-B4)*(B13-B5)+G7*(B13-B3)*(B13-B4)*(B13-B5)*(B13-B6)+H8*(B13-B3)*(B13-B4)*(B13-B5)*(B13-B6)*(B13-B7)+I9*(B13-B3)*(B13-B4)*(B13-B5)*(B13-B6)*(B13-B7)*(B13-B8)</f>
        <v>2.621337890625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CAEFD-88CD-4C7D-8692-B0F1A1A21A3F}">
  <sheetPr>
    <tabColor theme="7" tint="0.59999389629810485"/>
  </sheetPr>
  <dimension ref="B2:I44"/>
  <sheetViews>
    <sheetView topLeftCell="A17" workbookViewId="0">
      <selection activeCell="F42" sqref="F42"/>
    </sheetView>
  </sheetViews>
  <sheetFormatPr baseColWidth="10" defaultRowHeight="15" x14ac:dyDescent="0.2"/>
  <sheetData>
    <row r="2" spans="2:9" x14ac:dyDescent="0.2">
      <c r="B2" s="77" t="s">
        <v>74</v>
      </c>
      <c r="C2" s="77" t="s">
        <v>75</v>
      </c>
    </row>
    <row r="3" spans="2:9" x14ac:dyDescent="0.2">
      <c r="B3" s="44">
        <v>40</v>
      </c>
      <c r="C3" s="44">
        <v>0.63</v>
      </c>
    </row>
    <row r="4" spans="2:9" x14ac:dyDescent="0.2">
      <c r="B4" s="44">
        <v>60</v>
      </c>
      <c r="C4" s="44">
        <v>1.36</v>
      </c>
      <c r="D4" s="42">
        <f>C4-C3</f>
        <v>0.73000000000000009</v>
      </c>
    </row>
    <row r="5" spans="2:9" x14ac:dyDescent="0.2">
      <c r="B5" s="44">
        <v>80</v>
      </c>
      <c r="C5" s="44">
        <v>2.1800000000000002</v>
      </c>
      <c r="D5" s="42">
        <f t="shared" ref="D5:D9" si="0">C5-C4</f>
        <v>0.82000000000000006</v>
      </c>
      <c r="E5" s="42">
        <f t="shared" ref="E5" si="1">D5-D4</f>
        <v>8.9999999999999969E-2</v>
      </c>
    </row>
    <row r="6" spans="2:9" x14ac:dyDescent="0.2">
      <c r="B6" s="44">
        <v>100</v>
      </c>
      <c r="C6" s="44">
        <v>3</v>
      </c>
      <c r="D6" s="42">
        <f>C6-C5</f>
        <v>0.81999999999999984</v>
      </c>
      <c r="E6" s="42">
        <f>D6-D5</f>
        <v>0</v>
      </c>
      <c r="F6" s="42">
        <f>E6-E5</f>
        <v>-8.9999999999999969E-2</v>
      </c>
    </row>
    <row r="7" spans="2:9" x14ac:dyDescent="0.2">
      <c r="B7" s="44">
        <v>120</v>
      </c>
      <c r="C7" s="44">
        <v>3.93</v>
      </c>
      <c r="D7" s="42">
        <f t="shared" si="0"/>
        <v>0.93000000000000016</v>
      </c>
      <c r="E7" s="42">
        <f t="shared" ref="E7:F7" si="2">D7-D6</f>
        <v>0.11000000000000032</v>
      </c>
      <c r="F7" s="42">
        <f t="shared" si="2"/>
        <v>0.11000000000000032</v>
      </c>
      <c r="G7" s="42">
        <f t="shared" ref="G7" si="3">F7-F6</f>
        <v>0.20000000000000029</v>
      </c>
    </row>
    <row r="8" spans="2:9" x14ac:dyDescent="0.2">
      <c r="B8" s="44">
        <v>140</v>
      </c>
      <c r="C8" s="44">
        <v>6.22</v>
      </c>
      <c r="D8" s="42">
        <f t="shared" si="0"/>
        <v>2.2899999999999996</v>
      </c>
      <c r="E8" s="42">
        <f>D8-D7</f>
        <v>1.3599999999999994</v>
      </c>
      <c r="F8" s="42">
        <f t="shared" ref="F8" si="4">E8-E7</f>
        <v>1.2499999999999991</v>
      </c>
      <c r="G8" s="42">
        <f t="shared" ref="G8" si="5">F8-F7</f>
        <v>1.1399999999999988</v>
      </c>
      <c r="H8" s="42">
        <f>G8-G7</f>
        <v>0.9399999999999985</v>
      </c>
    </row>
    <row r="9" spans="2:9" x14ac:dyDescent="0.2">
      <c r="B9" s="44">
        <v>160</v>
      </c>
      <c r="C9" s="44">
        <v>8.59</v>
      </c>
      <c r="D9" s="42">
        <f t="shared" si="0"/>
        <v>2.37</v>
      </c>
      <c r="E9" s="42">
        <f t="shared" ref="E9:F9" si="6">D9-D8</f>
        <v>8.0000000000000515E-2</v>
      </c>
      <c r="F9" s="42">
        <f t="shared" si="6"/>
        <v>-1.2799999999999989</v>
      </c>
      <c r="G9" s="42">
        <f>F9-F8</f>
        <v>-2.529999999999998</v>
      </c>
      <c r="H9" s="42">
        <f t="shared" ref="H9" si="7">G9-G8</f>
        <v>-3.6699999999999968</v>
      </c>
      <c r="I9" s="42">
        <f>H9-H8</f>
        <v>-4.609999999999995</v>
      </c>
    </row>
    <row r="12" spans="2:9" x14ac:dyDescent="0.2">
      <c r="B12" s="152" t="s">
        <v>76</v>
      </c>
      <c r="C12" s="153"/>
    </row>
    <row r="13" spans="2:9" ht="15.75" x14ac:dyDescent="0.25">
      <c r="B13" s="154" t="s">
        <v>77</v>
      </c>
      <c r="C13" s="155"/>
    </row>
    <row r="14" spans="2:9" ht="15.75" x14ac:dyDescent="0.25">
      <c r="B14" s="78" t="s">
        <v>15</v>
      </c>
      <c r="C14" s="44">
        <v>90</v>
      </c>
      <c r="E14" s="77" t="s">
        <v>81</v>
      </c>
      <c r="F14" s="44">
        <f>C3+D4*C16+(E5/FACT(2))*C16*(C16-1)+(F6/FACT(3))*C16*(C16-1)*(C16-2)+(G7/FACT(4))*C16*(C16-1)*(C16-2)*(C16-3)+(H8/FACT(5))*C16*(C16-1)*(C16-2)*(C16-3)*(C16-4)+(I9/FACT(6))*C16*(C16-1)*(C16-2)*(C16-3)*(C16-4)*(C16-5)</f>
        <v>2.6213378906250004</v>
      </c>
    </row>
    <row r="15" spans="2:9" ht="15.75" x14ac:dyDescent="0.25">
      <c r="B15" s="78" t="s">
        <v>78</v>
      </c>
      <c r="C15" s="44">
        <f>(B9-B3)/6</f>
        <v>20</v>
      </c>
    </row>
    <row r="16" spans="2:9" ht="15.75" x14ac:dyDescent="0.25">
      <c r="B16" s="78" t="s">
        <v>79</v>
      </c>
      <c r="C16" s="44">
        <f>(C14-B3)/C15</f>
        <v>2.5</v>
      </c>
    </row>
    <row r="19" spans="2:7" x14ac:dyDescent="0.2">
      <c r="B19" s="152" t="s">
        <v>80</v>
      </c>
      <c r="C19" s="153"/>
    </row>
    <row r="20" spans="2:7" ht="15.75" x14ac:dyDescent="0.25">
      <c r="B20" s="154" t="s">
        <v>77</v>
      </c>
      <c r="C20" s="155"/>
    </row>
    <row r="21" spans="2:7" ht="15.75" x14ac:dyDescent="0.25">
      <c r="B21" s="78" t="s">
        <v>15</v>
      </c>
      <c r="C21" s="44">
        <v>90</v>
      </c>
      <c r="E21" s="77" t="s">
        <v>81</v>
      </c>
      <c r="F21" s="44">
        <f>C9+D9*C23+(E9/FACT(2))*C23*(C23+1)+(F9/FACT(3))*C23*(C23+1)*(C23+2)+(G9/FACT(4))*C23*(C23+1)*(C23+2)*(C23+3)+(H9/FACT(5))*C23*(C23+1)*(C23+2)*(C23+3)*(C23+4)+(I9/FACT(6))*C23*(C23+1)*(C23+2)*(C23+3)*(C23+4)*(C23+5)</f>
        <v>2.6213378906250009</v>
      </c>
    </row>
    <row r="22" spans="2:7" ht="15.75" x14ac:dyDescent="0.25">
      <c r="B22" s="78" t="s">
        <v>78</v>
      </c>
      <c r="C22" s="44">
        <f>(B9-B3)/6</f>
        <v>20</v>
      </c>
    </row>
    <row r="23" spans="2:7" ht="15.75" x14ac:dyDescent="0.25">
      <c r="B23" s="78" t="s">
        <v>79</v>
      </c>
      <c r="C23" s="44">
        <f>(C21-B9)/C22</f>
        <v>-3.5</v>
      </c>
    </row>
    <row r="26" spans="2:7" x14ac:dyDescent="0.2">
      <c r="B26" s="77" t="s">
        <v>74</v>
      </c>
      <c r="C26" s="77" t="s">
        <v>75</v>
      </c>
      <c r="D26" s="41"/>
      <c r="E26" s="41"/>
      <c r="F26" s="41"/>
      <c r="G26" s="41"/>
    </row>
    <row r="27" spans="2:7" x14ac:dyDescent="0.2">
      <c r="B27" s="44">
        <v>-5</v>
      </c>
      <c r="C27" s="44">
        <v>0</v>
      </c>
      <c r="D27" s="41"/>
      <c r="E27" s="41"/>
      <c r="F27" s="41"/>
      <c r="G27" s="41"/>
    </row>
    <row r="28" spans="2:7" x14ac:dyDescent="0.2">
      <c r="B28" s="44">
        <v>1</v>
      </c>
      <c r="C28" s="44">
        <v>1</v>
      </c>
      <c r="D28" s="42">
        <f>C28-C27</f>
        <v>1</v>
      </c>
      <c r="E28" s="41"/>
      <c r="F28" s="41"/>
      <c r="G28" s="41"/>
    </row>
    <row r="29" spans="2:7" x14ac:dyDescent="0.2">
      <c r="B29" s="44">
        <v>25</v>
      </c>
      <c r="C29" s="44">
        <v>3</v>
      </c>
      <c r="D29" s="42">
        <f t="shared" ref="D29:E29" si="8">C29-C28</f>
        <v>2</v>
      </c>
      <c r="E29" s="42">
        <f t="shared" si="8"/>
        <v>1</v>
      </c>
      <c r="F29" s="41"/>
      <c r="G29" s="41"/>
    </row>
    <row r="30" spans="2:7" x14ac:dyDescent="0.2">
      <c r="B30" s="44">
        <v>55</v>
      </c>
      <c r="C30" s="44">
        <v>4</v>
      </c>
      <c r="D30" s="42">
        <f>C30-C29</f>
        <v>1</v>
      </c>
      <c r="E30" s="42">
        <f>D30-D29</f>
        <v>-1</v>
      </c>
      <c r="F30" s="42">
        <f>E30-E29</f>
        <v>-2</v>
      </c>
      <c r="G30" s="41"/>
    </row>
    <row r="33" spans="2:6" x14ac:dyDescent="0.2">
      <c r="B33" s="152" t="s">
        <v>76</v>
      </c>
      <c r="C33" s="153"/>
      <c r="D33" s="41"/>
      <c r="E33" s="41"/>
      <c r="F33" s="41"/>
    </row>
    <row r="34" spans="2:6" ht="15.75" x14ac:dyDescent="0.25">
      <c r="B34" s="154" t="s">
        <v>77</v>
      </c>
      <c r="C34" s="155"/>
      <c r="D34" s="41"/>
      <c r="E34" s="41"/>
      <c r="F34" s="41"/>
    </row>
    <row r="35" spans="2:6" ht="15.75" x14ac:dyDescent="0.25">
      <c r="B35" s="78" t="s">
        <v>15</v>
      </c>
      <c r="C35" s="44">
        <v>12</v>
      </c>
      <c r="D35" s="41"/>
      <c r="E35" s="77" t="s">
        <v>81</v>
      </c>
      <c r="F35" s="44">
        <f>C27+D28*C37+(E29/FACT(2))*C37*(C37-1)+(F30/FACT(3))*C37*(C37-1)*(C37-2)</f>
        <v>0.737375</v>
      </c>
    </row>
    <row r="36" spans="2:6" ht="15.75" x14ac:dyDescent="0.25">
      <c r="B36" s="78" t="s">
        <v>78</v>
      </c>
      <c r="C36" s="44">
        <f>(B30-B27)/3</f>
        <v>20</v>
      </c>
      <c r="D36" s="41"/>
      <c r="E36" s="41"/>
      <c r="F36" s="41"/>
    </row>
    <row r="37" spans="2:6" ht="15.75" x14ac:dyDescent="0.25">
      <c r="B37" s="78" t="s">
        <v>79</v>
      </c>
      <c r="C37" s="44">
        <f>(C35-B27)/C36</f>
        <v>0.85</v>
      </c>
      <c r="D37" s="41"/>
      <c r="E37" s="41"/>
      <c r="F37" s="41"/>
    </row>
    <row r="38" spans="2:6" x14ac:dyDescent="0.2">
      <c r="B38" s="41"/>
      <c r="C38" s="41"/>
      <c r="D38" s="41"/>
      <c r="E38" s="41"/>
      <c r="F38" s="41"/>
    </row>
    <row r="39" spans="2:6" x14ac:dyDescent="0.2">
      <c r="B39" s="41"/>
      <c r="C39" s="41"/>
      <c r="D39" s="41"/>
      <c r="E39" s="41"/>
      <c r="F39" s="41"/>
    </row>
    <row r="40" spans="2:6" x14ac:dyDescent="0.2">
      <c r="B40" s="152" t="s">
        <v>80</v>
      </c>
      <c r="C40" s="153"/>
      <c r="D40" s="41"/>
      <c r="E40" s="41"/>
      <c r="F40" s="41"/>
    </row>
    <row r="41" spans="2:6" ht="15.75" x14ac:dyDescent="0.25">
      <c r="B41" s="154" t="s">
        <v>77</v>
      </c>
      <c r="C41" s="155"/>
      <c r="D41" s="41"/>
      <c r="E41" s="41"/>
      <c r="F41" s="41"/>
    </row>
    <row r="42" spans="2:6" ht="15.75" x14ac:dyDescent="0.25">
      <c r="B42" s="78" t="s">
        <v>15</v>
      </c>
      <c r="C42" s="44">
        <v>12</v>
      </c>
      <c r="D42" s="41"/>
      <c r="E42" s="77" t="s">
        <v>81</v>
      </c>
      <c r="F42" s="44">
        <f>C30+D30*C44+(E30/FACT(2))*C44*(C44+1)+(F30/FACT(3))*C44*(C44+1)*(C44+2)</f>
        <v>0.73737500000000011</v>
      </c>
    </row>
    <row r="43" spans="2:6" ht="15.75" x14ac:dyDescent="0.25">
      <c r="B43" s="78" t="s">
        <v>78</v>
      </c>
      <c r="C43" s="44">
        <f>(B30-B27)/3</f>
        <v>20</v>
      </c>
      <c r="D43" s="41"/>
      <c r="E43" s="41"/>
      <c r="F43" s="41"/>
    </row>
    <row r="44" spans="2:6" ht="15.75" x14ac:dyDescent="0.25">
      <c r="B44" s="78" t="s">
        <v>79</v>
      </c>
      <c r="C44" s="44">
        <f>(C42-B30)/C43</f>
        <v>-2.15</v>
      </c>
      <c r="D44" s="41"/>
      <c r="E44" s="41"/>
      <c r="F44" s="41"/>
    </row>
  </sheetData>
  <mergeCells count="8">
    <mergeCell ref="B40:C40"/>
    <mergeCell ref="B41:C41"/>
    <mergeCell ref="B12:C12"/>
    <mergeCell ref="B13:C13"/>
    <mergeCell ref="B19:C19"/>
    <mergeCell ref="B20:C20"/>
    <mergeCell ref="B33:C33"/>
    <mergeCell ref="B34:C3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24C54-73D7-43CE-9F5F-77A482FC4B7F}">
  <sheetPr>
    <tabColor theme="7" tint="-0.249977111117893"/>
  </sheetPr>
  <dimension ref="B2:M37"/>
  <sheetViews>
    <sheetView workbookViewId="0">
      <selection activeCell="J35" sqref="J35"/>
    </sheetView>
  </sheetViews>
  <sheetFormatPr baseColWidth="10" defaultRowHeight="15" x14ac:dyDescent="0.2"/>
  <cols>
    <col min="1" max="9" width="11.5546875" style="56"/>
    <col min="10" max="10" width="12.44140625" style="56" bestFit="1" customWidth="1"/>
    <col min="11" max="11" width="11.5546875" style="56"/>
    <col min="12" max="12" width="28" style="56" bestFit="1" customWidth="1"/>
    <col min="13" max="16384" width="11.5546875" style="56"/>
  </cols>
  <sheetData>
    <row r="2" spans="2:13" s="83" customFormat="1" ht="30" x14ac:dyDescent="0.2">
      <c r="B2" s="84" t="s">
        <v>84</v>
      </c>
      <c r="C2" s="84" t="s">
        <v>85</v>
      </c>
      <c r="D2" s="84" t="s">
        <v>86</v>
      </c>
      <c r="E2" s="84" t="s">
        <v>87</v>
      </c>
      <c r="F2" s="84" t="s">
        <v>92</v>
      </c>
      <c r="G2" s="84" t="s">
        <v>88</v>
      </c>
      <c r="H2" s="84" t="s">
        <v>89</v>
      </c>
      <c r="I2" s="84" t="s">
        <v>90</v>
      </c>
      <c r="J2" s="84" t="s">
        <v>91</v>
      </c>
    </row>
    <row r="3" spans="2:13" x14ac:dyDescent="0.2">
      <c r="B3" s="44">
        <v>1</v>
      </c>
      <c r="C3" s="44" t="s">
        <v>93</v>
      </c>
      <c r="D3" s="44">
        <v>158</v>
      </c>
      <c r="E3" s="44">
        <v>39</v>
      </c>
      <c r="F3" s="44">
        <v>36</v>
      </c>
      <c r="G3" s="44">
        <v>68</v>
      </c>
      <c r="H3" s="44">
        <v>43</v>
      </c>
      <c r="I3" s="44">
        <v>55</v>
      </c>
      <c r="J3" s="44">
        <v>43</v>
      </c>
      <c r="L3" s="87" t="s">
        <v>94</v>
      </c>
      <c r="M3" s="85"/>
    </row>
    <row r="4" spans="2:13" x14ac:dyDescent="0.2">
      <c r="B4" s="44">
        <v>2</v>
      </c>
      <c r="C4" s="44" t="s">
        <v>93</v>
      </c>
      <c r="D4" s="44">
        <v>152</v>
      </c>
      <c r="E4" s="44">
        <v>38</v>
      </c>
      <c r="F4" s="44">
        <v>34</v>
      </c>
      <c r="G4" s="44">
        <v>66</v>
      </c>
      <c r="H4" s="44">
        <v>40</v>
      </c>
      <c r="I4" s="44">
        <v>55</v>
      </c>
      <c r="J4" s="44">
        <v>45</v>
      </c>
      <c r="L4" s="87" t="s">
        <v>95</v>
      </c>
      <c r="M4" s="88">
        <v>0.93029140061479776</v>
      </c>
    </row>
    <row r="5" spans="2:13" x14ac:dyDescent="0.2">
      <c r="B5" s="44">
        <v>3</v>
      </c>
      <c r="C5" s="44" t="s">
        <v>93</v>
      </c>
      <c r="D5" s="44">
        <v>168</v>
      </c>
      <c r="E5" s="44">
        <v>43</v>
      </c>
      <c r="F5" s="44">
        <v>39</v>
      </c>
      <c r="G5" s="44">
        <v>72.5</v>
      </c>
      <c r="H5" s="44">
        <v>41</v>
      </c>
      <c r="I5" s="44">
        <v>54.5</v>
      </c>
      <c r="J5" s="44">
        <v>48</v>
      </c>
      <c r="L5" s="87" t="s">
        <v>96</v>
      </c>
      <c r="M5" s="88">
        <v>0.86544209005784223</v>
      </c>
    </row>
    <row r="6" spans="2:13" x14ac:dyDescent="0.2">
      <c r="B6" s="44">
        <v>4</v>
      </c>
      <c r="C6" s="44" t="s">
        <v>93</v>
      </c>
      <c r="D6" s="44">
        <v>159</v>
      </c>
      <c r="E6" s="44">
        <v>40</v>
      </c>
      <c r="F6" s="44">
        <v>36</v>
      </c>
      <c r="G6" s="44">
        <v>68.5</v>
      </c>
      <c r="H6" s="44">
        <v>42</v>
      </c>
      <c r="I6" s="44">
        <v>57</v>
      </c>
      <c r="J6" s="44">
        <v>49</v>
      </c>
    </row>
    <row r="7" spans="2:13" x14ac:dyDescent="0.2">
      <c r="B7" s="44">
        <v>5</v>
      </c>
      <c r="C7" s="44" t="s">
        <v>93</v>
      </c>
      <c r="D7" s="44">
        <v>158</v>
      </c>
      <c r="E7" s="44">
        <v>41</v>
      </c>
      <c r="F7" s="44">
        <v>36</v>
      </c>
      <c r="G7" s="44">
        <v>68.5</v>
      </c>
      <c r="H7" s="44">
        <v>44</v>
      </c>
      <c r="I7" s="44">
        <v>57</v>
      </c>
      <c r="J7" s="44">
        <v>50</v>
      </c>
    </row>
    <row r="8" spans="2:13" x14ac:dyDescent="0.2">
      <c r="B8" s="44">
        <v>6</v>
      </c>
      <c r="C8" s="44" t="s">
        <v>93</v>
      </c>
      <c r="D8" s="44">
        <v>164</v>
      </c>
      <c r="E8" s="44">
        <v>40</v>
      </c>
      <c r="F8" s="44">
        <v>36</v>
      </c>
      <c r="G8" s="44">
        <v>71</v>
      </c>
      <c r="H8" s="44">
        <v>44.5</v>
      </c>
      <c r="I8" s="44">
        <v>54</v>
      </c>
      <c r="J8" s="44">
        <v>51</v>
      </c>
    </row>
    <row r="9" spans="2:13" x14ac:dyDescent="0.2">
      <c r="B9" s="44">
        <v>7</v>
      </c>
      <c r="C9" s="44" t="s">
        <v>93</v>
      </c>
      <c r="D9" s="44">
        <v>156</v>
      </c>
      <c r="E9" s="44">
        <v>41</v>
      </c>
      <c r="F9" s="44">
        <v>36</v>
      </c>
      <c r="G9" s="44">
        <v>67</v>
      </c>
      <c r="H9" s="44">
        <v>36</v>
      </c>
      <c r="I9" s="44">
        <v>56</v>
      </c>
      <c r="J9" s="44">
        <v>52</v>
      </c>
    </row>
    <row r="10" spans="2:13" x14ac:dyDescent="0.2">
      <c r="B10" s="44">
        <v>8</v>
      </c>
      <c r="C10" s="44" t="s">
        <v>93</v>
      </c>
      <c r="D10" s="44">
        <v>167</v>
      </c>
      <c r="E10" s="44">
        <v>44</v>
      </c>
      <c r="F10" s="44">
        <v>37</v>
      </c>
      <c r="G10" s="44">
        <v>73</v>
      </c>
      <c r="H10" s="44">
        <v>41.5</v>
      </c>
      <c r="I10" s="44">
        <v>58</v>
      </c>
      <c r="J10" s="44">
        <v>52</v>
      </c>
    </row>
    <row r="12" spans="2:13" ht="30" x14ac:dyDescent="0.2">
      <c r="B12" s="87" t="s">
        <v>97</v>
      </c>
      <c r="D12" s="84" t="s">
        <v>86</v>
      </c>
      <c r="E12" s="84" t="s">
        <v>87</v>
      </c>
      <c r="F12" s="84" t="s">
        <v>92</v>
      </c>
      <c r="G12" s="84" t="s">
        <v>88</v>
      </c>
      <c r="H12" s="84" t="s">
        <v>89</v>
      </c>
      <c r="I12" s="84" t="s">
        <v>90</v>
      </c>
      <c r="J12" s="84" t="s">
        <v>91</v>
      </c>
    </row>
    <row r="13" spans="2:13" x14ac:dyDescent="0.2">
      <c r="B13" s="86">
        <v>72.997468546516586</v>
      </c>
      <c r="D13" s="44">
        <v>157</v>
      </c>
      <c r="E13" s="44">
        <v>39</v>
      </c>
      <c r="F13" s="44">
        <v>35</v>
      </c>
      <c r="G13" s="44">
        <v>70</v>
      </c>
      <c r="H13" s="44">
        <v>43</v>
      </c>
      <c r="I13" s="44">
        <v>54</v>
      </c>
      <c r="J13" s="89">
        <f>$B$13+$B$14*D13+$B$15*E13+$B$16*F13+$B$17*G13+$B$18*H13+$B$19*I13</f>
        <v>29.01662374456415</v>
      </c>
    </row>
    <row r="14" spans="2:13" x14ac:dyDescent="0.2">
      <c r="B14" s="86">
        <v>4.571336715314569</v>
      </c>
    </row>
    <row r="15" spans="2:13" x14ac:dyDescent="0.2">
      <c r="B15" s="86">
        <v>5.3830166027114785</v>
      </c>
    </row>
    <row r="16" spans="2:13" x14ac:dyDescent="0.2">
      <c r="B16" s="86">
        <v>-6.7757057113709376</v>
      </c>
    </row>
    <row r="17" spans="2:13" x14ac:dyDescent="0.2">
      <c r="B17" s="86">
        <v>-9.9094795693973818</v>
      </c>
    </row>
    <row r="18" spans="2:13" x14ac:dyDescent="0.2">
      <c r="B18" s="86">
        <v>0.51550086209810808</v>
      </c>
    </row>
    <row r="19" spans="2:13" x14ac:dyDescent="0.2">
      <c r="B19" s="86">
        <v>-1.1661411838241953</v>
      </c>
    </row>
    <row r="22" spans="2:13" x14ac:dyDescent="0.2">
      <c r="B22" s="87" t="s">
        <v>99</v>
      </c>
      <c r="C22" s="87" t="s">
        <v>100</v>
      </c>
      <c r="D22" s="87" t="s">
        <v>98</v>
      </c>
      <c r="F22" s="90" t="s">
        <v>97</v>
      </c>
      <c r="L22" s="90" t="s">
        <v>94</v>
      </c>
      <c r="M22" s="85"/>
    </row>
    <row r="23" spans="2:13" x14ac:dyDescent="0.2">
      <c r="B23" s="44">
        <v>15</v>
      </c>
      <c r="C23" s="44">
        <v>156</v>
      </c>
      <c r="D23" s="44">
        <v>70</v>
      </c>
      <c r="F23" s="86">
        <v>-2.9478457368512068</v>
      </c>
      <c r="L23" s="91" t="s">
        <v>95</v>
      </c>
      <c r="M23" s="86">
        <v>0.92411482635825182</v>
      </c>
    </row>
    <row r="24" spans="2:13" x14ac:dyDescent="0.2">
      <c r="B24" s="44">
        <v>16</v>
      </c>
      <c r="C24" s="44">
        <v>157</v>
      </c>
      <c r="D24" s="44">
        <v>65</v>
      </c>
      <c r="F24" s="86">
        <v>-0.75854487498350343</v>
      </c>
      <c r="L24" s="91" t="s">
        <v>96</v>
      </c>
      <c r="M24" s="86">
        <v>0.85398821229514188</v>
      </c>
    </row>
    <row r="25" spans="2:13" x14ac:dyDescent="0.2">
      <c r="B25" s="44">
        <v>24</v>
      </c>
      <c r="C25" s="44">
        <v>177</v>
      </c>
      <c r="D25" s="44">
        <v>71</v>
      </c>
      <c r="F25" s="86">
        <v>0.53992751784137172</v>
      </c>
    </row>
    <row r="26" spans="2:13" x14ac:dyDescent="0.2">
      <c r="B26" s="44">
        <v>13</v>
      </c>
      <c r="C26" s="44">
        <v>145</v>
      </c>
      <c r="D26" s="44">
        <v>64</v>
      </c>
    </row>
    <row r="27" spans="2:13" x14ac:dyDescent="0.2">
      <c r="B27" s="44">
        <v>21</v>
      </c>
      <c r="C27" s="44">
        <v>197</v>
      </c>
      <c r="D27" s="44">
        <v>84</v>
      </c>
    </row>
    <row r="28" spans="2:13" x14ac:dyDescent="0.2">
      <c r="B28" s="44">
        <v>16</v>
      </c>
      <c r="C28" s="44">
        <v>184</v>
      </c>
      <c r="D28" s="44">
        <v>86</v>
      </c>
    </row>
    <row r="29" spans="2:13" x14ac:dyDescent="0.2">
      <c r="B29" s="44">
        <v>22</v>
      </c>
      <c r="C29" s="44">
        <v>172</v>
      </c>
      <c r="D29" s="44">
        <v>72</v>
      </c>
    </row>
    <row r="30" spans="2:13" x14ac:dyDescent="0.2">
      <c r="B30" s="44">
        <v>18</v>
      </c>
      <c r="C30" s="44">
        <v>187</v>
      </c>
      <c r="D30" s="44">
        <v>84</v>
      </c>
    </row>
    <row r="31" spans="2:13" x14ac:dyDescent="0.2">
      <c r="B31" s="44">
        <v>20</v>
      </c>
      <c r="C31" s="44">
        <v>157</v>
      </c>
      <c r="D31" s="44">
        <v>71</v>
      </c>
    </row>
    <row r="32" spans="2:13" x14ac:dyDescent="0.2">
      <c r="B32" s="44">
        <v>16</v>
      </c>
      <c r="C32" s="44">
        <v>169</v>
      </c>
      <c r="D32" s="44">
        <v>75</v>
      </c>
    </row>
    <row r="33" spans="2:8" x14ac:dyDescent="0.2">
      <c r="B33" s="44">
        <v>28</v>
      </c>
      <c r="C33" s="44">
        <v>200</v>
      </c>
      <c r="D33" s="44">
        <v>84</v>
      </c>
    </row>
    <row r="34" spans="2:8" x14ac:dyDescent="0.2">
      <c r="B34" s="44">
        <v>27</v>
      </c>
      <c r="C34" s="44">
        <v>193</v>
      </c>
      <c r="D34" s="44">
        <v>79</v>
      </c>
      <c r="F34" s="87" t="s">
        <v>99</v>
      </c>
      <c r="G34" s="87" t="s">
        <v>100</v>
      </c>
      <c r="H34" s="87" t="s">
        <v>98</v>
      </c>
    </row>
    <row r="35" spans="2:8" x14ac:dyDescent="0.2">
      <c r="B35" s="44">
        <v>13</v>
      </c>
      <c r="C35" s="44">
        <v>167</v>
      </c>
      <c r="D35" s="44">
        <v>80</v>
      </c>
      <c r="F35" s="44">
        <v>22</v>
      </c>
      <c r="G35" s="44">
        <v>165</v>
      </c>
      <c r="H35" s="88">
        <f>F23+F24*F35+F25*G35</f>
        <v>69.452207457338048</v>
      </c>
    </row>
    <row r="36" spans="2:8" x14ac:dyDescent="0.2">
      <c r="B36" s="44">
        <v>22</v>
      </c>
      <c r="C36" s="44">
        <v>170</v>
      </c>
      <c r="D36" s="44">
        <v>76</v>
      </c>
    </row>
    <row r="37" spans="2:8" x14ac:dyDescent="0.2">
      <c r="B37" s="44">
        <v>23</v>
      </c>
      <c r="C37" s="44">
        <v>192</v>
      </c>
      <c r="D37" s="44">
        <v>88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DFE23-85DC-4F89-8E2A-E761519E30D9}">
  <sheetPr>
    <tabColor theme="5" tint="-0.249977111117893"/>
  </sheetPr>
  <dimension ref="B2:E85"/>
  <sheetViews>
    <sheetView workbookViewId="0">
      <selection activeCell="C10" sqref="C10"/>
    </sheetView>
  </sheetViews>
  <sheetFormatPr baseColWidth="10" defaultRowHeight="15" x14ac:dyDescent="0.2"/>
  <cols>
    <col min="1" max="16384" width="11.5546875" style="111"/>
  </cols>
  <sheetData>
    <row r="2" spans="2:5" x14ac:dyDescent="0.2">
      <c r="B2" s="44" t="s">
        <v>134</v>
      </c>
      <c r="C2" s="44">
        <v>14.989979999999999</v>
      </c>
      <c r="D2" s="156" t="s">
        <v>138</v>
      </c>
      <c r="E2" s="156"/>
    </row>
    <row r="3" spans="2:5" x14ac:dyDescent="0.2">
      <c r="B3" s="44" t="s">
        <v>135</v>
      </c>
      <c r="C3" s="44">
        <v>1</v>
      </c>
      <c r="D3" s="44" t="s">
        <v>26</v>
      </c>
      <c r="E3" s="44">
        <f>(C6/2)*(D9+D10)</f>
        <v>28.658215930801642</v>
      </c>
    </row>
    <row r="4" spans="2:5" x14ac:dyDescent="0.2">
      <c r="B4" s="44" t="s">
        <v>136</v>
      </c>
      <c r="C4" s="44">
        <v>2</v>
      </c>
      <c r="D4" s="44" t="s">
        <v>139</v>
      </c>
      <c r="E4" s="113">
        <f>ABS((C2-E3)/C2)</f>
        <v>0.91182482770501649</v>
      </c>
    </row>
    <row r="5" spans="2:5" x14ac:dyDescent="0.2">
      <c r="B5" s="44" t="s">
        <v>137</v>
      </c>
      <c r="C5" s="44">
        <v>1</v>
      </c>
    </row>
    <row r="6" spans="2:5" x14ac:dyDescent="0.2">
      <c r="B6" s="44" t="s">
        <v>78</v>
      </c>
      <c r="C6" s="44">
        <f>(C4-C3)/C5</f>
        <v>1</v>
      </c>
    </row>
    <row r="8" spans="2:5" x14ac:dyDescent="0.2">
      <c r="B8" s="44" t="s">
        <v>116</v>
      </c>
      <c r="C8" s="44" t="s">
        <v>18</v>
      </c>
      <c r="D8" s="44" t="s">
        <v>19</v>
      </c>
    </row>
    <row r="9" spans="2:5" x14ac:dyDescent="0.2">
      <c r="B9" s="44">
        <v>0</v>
      </c>
      <c r="C9" s="44">
        <f>$C$3+B9*$C$6</f>
        <v>1</v>
      </c>
      <c r="D9" s="94">
        <f>EXP(C9^2)</f>
        <v>2.7182818284590451</v>
      </c>
    </row>
    <row r="10" spans="2:5" x14ac:dyDescent="0.2">
      <c r="B10" s="44">
        <v>1</v>
      </c>
      <c r="C10" s="44">
        <f>$C$3+B10*$C$6</f>
        <v>2</v>
      </c>
      <c r="D10" s="94">
        <f>EXP(C10^2)</f>
        <v>54.598150033144236</v>
      </c>
    </row>
    <row r="14" spans="2:5" x14ac:dyDescent="0.2">
      <c r="B14" s="44" t="s">
        <v>134</v>
      </c>
      <c r="C14" s="44">
        <v>14.989979999999999</v>
      </c>
      <c r="D14" s="156" t="s">
        <v>140</v>
      </c>
      <c r="E14" s="156"/>
    </row>
    <row r="15" spans="2:5" x14ac:dyDescent="0.2">
      <c r="B15" s="44" t="s">
        <v>135</v>
      </c>
      <c r="C15" s="44">
        <v>1</v>
      </c>
      <c r="D15" s="44" t="s">
        <v>26</v>
      </c>
      <c r="E15" s="44">
        <f>(C18/3)*(D21+4*D22+D23)</f>
        <v>15.877895867839564</v>
      </c>
    </row>
    <row r="16" spans="2:5" x14ac:dyDescent="0.2">
      <c r="B16" s="44" t="s">
        <v>136</v>
      </c>
      <c r="C16" s="44">
        <v>2</v>
      </c>
      <c r="D16" s="44" t="s">
        <v>139</v>
      </c>
      <c r="E16" s="113">
        <f>ABS((C14-E15)/C14)</f>
        <v>5.9233959474233135E-2</v>
      </c>
    </row>
    <row r="17" spans="2:5" x14ac:dyDescent="0.2">
      <c r="B17" s="44" t="s">
        <v>137</v>
      </c>
      <c r="C17" s="44">
        <v>2</v>
      </c>
    </row>
    <row r="18" spans="2:5" x14ac:dyDescent="0.2">
      <c r="B18" s="44" t="s">
        <v>78</v>
      </c>
      <c r="C18" s="44">
        <f>(C16-C15)/C17</f>
        <v>0.5</v>
      </c>
    </row>
    <row r="20" spans="2:5" x14ac:dyDescent="0.2">
      <c r="B20" s="44" t="s">
        <v>116</v>
      </c>
      <c r="C20" s="44" t="s">
        <v>18</v>
      </c>
      <c r="D20" s="44" t="s">
        <v>19</v>
      </c>
    </row>
    <row r="21" spans="2:5" x14ac:dyDescent="0.2">
      <c r="B21" s="44">
        <v>0</v>
      </c>
      <c r="C21" s="44">
        <f>$C$15+B21*$C$18</f>
        <v>1</v>
      </c>
      <c r="D21" s="94">
        <f>EXP(C21^2)</f>
        <v>2.7182818284590451</v>
      </c>
    </row>
    <row r="22" spans="2:5" x14ac:dyDescent="0.2">
      <c r="B22" s="44">
        <v>1</v>
      </c>
      <c r="C22" s="44">
        <f>$C$15+B22*$C$18</f>
        <v>1.5</v>
      </c>
      <c r="D22" s="94">
        <f>EXP(C22^2)</f>
        <v>9.4877358363585262</v>
      </c>
    </row>
    <row r="23" spans="2:5" x14ac:dyDescent="0.2">
      <c r="B23" s="44">
        <v>2</v>
      </c>
      <c r="C23" s="44">
        <f>$C$15+B23*$C$18</f>
        <v>2</v>
      </c>
      <c r="D23" s="94">
        <f>EXP(C23^2)</f>
        <v>54.598150033144236</v>
      </c>
    </row>
    <row r="27" spans="2:5" x14ac:dyDescent="0.2">
      <c r="B27" s="44" t="s">
        <v>134</v>
      </c>
      <c r="C27" s="44">
        <v>14.989979999999999</v>
      </c>
      <c r="D27" s="156" t="s">
        <v>141</v>
      </c>
      <c r="E27" s="156"/>
    </row>
    <row r="28" spans="2:5" x14ac:dyDescent="0.2">
      <c r="B28" s="44" t="s">
        <v>135</v>
      </c>
      <c r="C28" s="44">
        <v>1</v>
      </c>
      <c r="D28" s="44" t="s">
        <v>26</v>
      </c>
      <c r="E28" s="44">
        <f>(3*C31/8)*(D34+3*D35+3*D36+D37)</f>
        <v>15.414529331223136</v>
      </c>
    </row>
    <row r="29" spans="2:5" x14ac:dyDescent="0.2">
      <c r="B29" s="44" t="s">
        <v>136</v>
      </c>
      <c r="C29" s="44">
        <v>2</v>
      </c>
      <c r="D29" s="44" t="s">
        <v>139</v>
      </c>
      <c r="E29" s="113">
        <f>ABS((C27-E28)/C27)</f>
        <v>2.8322207983141858E-2</v>
      </c>
    </row>
    <row r="30" spans="2:5" x14ac:dyDescent="0.2">
      <c r="B30" s="44" t="s">
        <v>137</v>
      </c>
      <c r="C30" s="44">
        <v>3</v>
      </c>
    </row>
    <row r="31" spans="2:5" x14ac:dyDescent="0.2">
      <c r="B31" s="44" t="s">
        <v>78</v>
      </c>
      <c r="C31" s="44">
        <f>(C29-C28)/C30</f>
        <v>0.33333333333333331</v>
      </c>
    </row>
    <row r="33" spans="2:5" x14ac:dyDescent="0.2">
      <c r="B33" s="44" t="s">
        <v>116</v>
      </c>
      <c r="C33" s="44" t="s">
        <v>18</v>
      </c>
      <c r="D33" s="44" t="s">
        <v>19</v>
      </c>
    </row>
    <row r="34" spans="2:5" x14ac:dyDescent="0.2">
      <c r="B34" s="44">
        <v>0</v>
      </c>
      <c r="C34" s="44">
        <f>$C$28+B34*$C$31</f>
        <v>1</v>
      </c>
      <c r="D34" s="94">
        <f>EXP(C34^2)</f>
        <v>2.7182818284590451</v>
      </c>
    </row>
    <row r="35" spans="2:5" x14ac:dyDescent="0.2">
      <c r="B35" s="44">
        <v>1</v>
      </c>
      <c r="C35" s="44">
        <f>$C$28+B35*$C$31</f>
        <v>1.3333333333333333</v>
      </c>
      <c r="D35" s="94">
        <f>EXP(C35^2)</f>
        <v>5.9166935906643294</v>
      </c>
    </row>
    <row r="36" spans="2:5" x14ac:dyDescent="0.2">
      <c r="B36" s="44">
        <v>2</v>
      </c>
      <c r="C36" s="44">
        <f>$C$28+B36*$C$31</f>
        <v>1.6666666666666665</v>
      </c>
      <c r="D36" s="94">
        <f>EXP(C36^2)</f>
        <v>16.083240672062939</v>
      </c>
    </row>
    <row r="37" spans="2:5" x14ac:dyDescent="0.2">
      <c r="B37" s="44">
        <v>3</v>
      </c>
      <c r="C37" s="44">
        <f>$C$28+B37*$C$31</f>
        <v>2</v>
      </c>
      <c r="D37" s="94">
        <f>EXP(C37^2)</f>
        <v>54.598150033144236</v>
      </c>
    </row>
    <row r="41" spans="2:5" x14ac:dyDescent="0.2">
      <c r="B41" s="44" t="s">
        <v>134</v>
      </c>
      <c r="C41" s="44">
        <v>14.989979999999999</v>
      </c>
      <c r="D41" s="156" t="s">
        <v>142</v>
      </c>
      <c r="E41" s="156"/>
    </row>
    <row r="42" spans="2:5" x14ac:dyDescent="0.2">
      <c r="B42" s="44" t="s">
        <v>135</v>
      </c>
      <c r="C42" s="44">
        <v>1</v>
      </c>
      <c r="D42" s="44" t="s">
        <v>26</v>
      </c>
      <c r="E42" s="44">
        <f>(2*C45/45)*(7*D48+32*D49+12*D50+32*D51+7*D52)</f>
        <v>15.021349813138174</v>
      </c>
    </row>
    <row r="43" spans="2:5" x14ac:dyDescent="0.2">
      <c r="B43" s="44" t="s">
        <v>136</v>
      </c>
      <c r="C43" s="44">
        <v>2</v>
      </c>
      <c r="D43" s="44" t="s">
        <v>139</v>
      </c>
      <c r="E43" s="113">
        <f>ABS((C41-E42)/C41)</f>
        <v>2.0927188120447937E-3</v>
      </c>
    </row>
    <row r="44" spans="2:5" x14ac:dyDescent="0.2">
      <c r="B44" s="44" t="s">
        <v>137</v>
      </c>
      <c r="C44" s="44">
        <v>4</v>
      </c>
    </row>
    <row r="45" spans="2:5" x14ac:dyDescent="0.2">
      <c r="B45" s="44" t="s">
        <v>78</v>
      </c>
      <c r="C45" s="44">
        <f>(C43-C42)/C44</f>
        <v>0.25</v>
      </c>
    </row>
    <row r="47" spans="2:5" x14ac:dyDescent="0.2">
      <c r="B47" s="44" t="s">
        <v>116</v>
      </c>
      <c r="C47" s="44" t="s">
        <v>18</v>
      </c>
      <c r="D47" s="44" t="s">
        <v>19</v>
      </c>
    </row>
    <row r="48" spans="2:5" x14ac:dyDescent="0.2">
      <c r="B48" s="44">
        <v>0</v>
      </c>
      <c r="C48" s="44">
        <f>$C$42+B48*$C$45</f>
        <v>1</v>
      </c>
      <c r="D48" s="94">
        <f>EXP(C48^2)</f>
        <v>2.7182818284590451</v>
      </c>
    </row>
    <row r="49" spans="2:5" x14ac:dyDescent="0.2">
      <c r="B49" s="44">
        <v>1</v>
      </c>
      <c r="C49" s="44">
        <f t="shared" ref="C49:C52" si="0">$C$42+B49*$C$45</f>
        <v>1.25</v>
      </c>
      <c r="D49" s="94">
        <f>EXP(C49^2)</f>
        <v>4.7707331819676027</v>
      </c>
    </row>
    <row r="50" spans="2:5" x14ac:dyDescent="0.2">
      <c r="B50" s="44">
        <v>2</v>
      </c>
      <c r="C50" s="44">
        <f t="shared" si="0"/>
        <v>1.5</v>
      </c>
      <c r="D50" s="94">
        <f>EXP(C50^2)</f>
        <v>9.4877358363585262</v>
      </c>
    </row>
    <row r="51" spans="2:5" x14ac:dyDescent="0.2">
      <c r="B51" s="44">
        <v>3</v>
      </c>
      <c r="C51" s="44">
        <f t="shared" si="0"/>
        <v>1.75</v>
      </c>
      <c r="D51" s="94">
        <f>EXP(C51^2)</f>
        <v>21.380942759123343</v>
      </c>
    </row>
    <row r="52" spans="2:5" x14ac:dyDescent="0.2">
      <c r="B52" s="44">
        <v>4</v>
      </c>
      <c r="C52" s="44">
        <f t="shared" si="0"/>
        <v>2</v>
      </c>
      <c r="D52" s="94">
        <f>EXP(C52^2)</f>
        <v>54.598150033144236</v>
      </c>
    </row>
    <row r="56" spans="2:5" x14ac:dyDescent="0.2">
      <c r="B56" s="44" t="s">
        <v>134</v>
      </c>
      <c r="C56" s="44">
        <v>14.989979999999999</v>
      </c>
      <c r="D56" s="156" t="s">
        <v>143</v>
      </c>
      <c r="E56" s="156"/>
    </row>
    <row r="57" spans="2:5" x14ac:dyDescent="0.2">
      <c r="B57" s="44" t="s">
        <v>135</v>
      </c>
      <c r="C57" s="44">
        <v>1</v>
      </c>
      <c r="D57" s="44" t="s">
        <v>26</v>
      </c>
      <c r="E57" s="44">
        <f>(5*C60/288)*(19*D63+75*D64+50*D65+50*D66+75*D67+19*D68)</f>
        <v>15.008162297679007</v>
      </c>
    </row>
    <row r="58" spans="2:5" x14ac:dyDescent="0.2">
      <c r="B58" s="44" t="s">
        <v>136</v>
      </c>
      <c r="C58" s="44">
        <v>2</v>
      </c>
      <c r="D58" s="44" t="s">
        <v>139</v>
      </c>
      <c r="E58" s="113">
        <f>ABS((C56-E57)/C56)</f>
        <v>1.2129634381772378E-3</v>
      </c>
    </row>
    <row r="59" spans="2:5" x14ac:dyDescent="0.2">
      <c r="B59" s="44" t="s">
        <v>137</v>
      </c>
      <c r="C59" s="44">
        <v>5</v>
      </c>
    </row>
    <row r="60" spans="2:5" x14ac:dyDescent="0.2">
      <c r="B60" s="44" t="s">
        <v>78</v>
      </c>
      <c r="C60" s="44">
        <f>(C58-C57)/C59</f>
        <v>0.2</v>
      </c>
    </row>
    <row r="62" spans="2:5" x14ac:dyDescent="0.2">
      <c r="B62" s="44" t="s">
        <v>116</v>
      </c>
      <c r="C62" s="44" t="s">
        <v>18</v>
      </c>
      <c r="D62" s="44" t="s">
        <v>19</v>
      </c>
    </row>
    <row r="63" spans="2:5" x14ac:dyDescent="0.2">
      <c r="B63" s="44">
        <v>0</v>
      </c>
      <c r="C63" s="44">
        <f>$C$57+B63*$C$60</f>
        <v>1</v>
      </c>
      <c r="D63" s="94">
        <f t="shared" ref="D63:D68" si="1">EXP(C63^2)</f>
        <v>2.7182818284590451</v>
      </c>
    </row>
    <row r="64" spans="2:5" x14ac:dyDescent="0.2">
      <c r="B64" s="44">
        <v>1</v>
      </c>
      <c r="C64" s="44">
        <f t="shared" ref="C64:C68" si="2">$C$57+B64*$C$60</f>
        <v>1.2</v>
      </c>
      <c r="D64" s="94">
        <f t="shared" si="1"/>
        <v>4.2206958169965523</v>
      </c>
    </row>
    <row r="65" spans="2:5" x14ac:dyDescent="0.2">
      <c r="B65" s="44">
        <v>2</v>
      </c>
      <c r="C65" s="44">
        <f t="shared" si="2"/>
        <v>1.4</v>
      </c>
      <c r="D65" s="94">
        <f t="shared" si="1"/>
        <v>7.0993270651566309</v>
      </c>
    </row>
    <row r="66" spans="2:5" x14ac:dyDescent="0.2">
      <c r="B66" s="44">
        <v>3</v>
      </c>
      <c r="C66" s="44">
        <f t="shared" si="2"/>
        <v>1.6</v>
      </c>
      <c r="D66" s="94">
        <f t="shared" si="1"/>
        <v>12.935817315543083</v>
      </c>
    </row>
    <row r="67" spans="2:5" x14ac:dyDescent="0.2">
      <c r="B67" s="44">
        <v>4</v>
      </c>
      <c r="C67" s="44">
        <f t="shared" si="2"/>
        <v>1.8</v>
      </c>
      <c r="D67" s="94">
        <f t="shared" si="1"/>
        <v>25.533721747351528</v>
      </c>
    </row>
    <row r="68" spans="2:5" x14ac:dyDescent="0.2">
      <c r="B68" s="44">
        <v>5</v>
      </c>
      <c r="C68" s="44">
        <f t="shared" si="2"/>
        <v>2</v>
      </c>
      <c r="D68" s="94">
        <f t="shared" si="1"/>
        <v>54.598150033144236</v>
      </c>
    </row>
    <row r="72" spans="2:5" x14ac:dyDescent="0.2">
      <c r="B72" s="44" t="s">
        <v>134</v>
      </c>
      <c r="C72" s="44">
        <v>14.989979999999999</v>
      </c>
      <c r="D72" s="156" t="s">
        <v>144</v>
      </c>
      <c r="E72" s="156"/>
    </row>
    <row r="73" spans="2:5" x14ac:dyDescent="0.2">
      <c r="B73" s="44" t="s">
        <v>135</v>
      </c>
      <c r="C73" s="44">
        <v>1</v>
      </c>
      <c r="D73" s="44" t="s">
        <v>26</v>
      </c>
      <c r="E73" s="44">
        <f>(C76/140)*(41*D79+216*D80+27*D81+272*D82+27*D83+216*D84+41*D85)</f>
        <v>14.991104659383673</v>
      </c>
    </row>
    <row r="74" spans="2:5" x14ac:dyDescent="0.2">
      <c r="B74" s="44" t="s">
        <v>136</v>
      </c>
      <c r="C74" s="44">
        <v>2</v>
      </c>
      <c r="D74" s="44" t="s">
        <v>139</v>
      </c>
      <c r="E74" s="113">
        <f>ABS((C72-E73)/C72)</f>
        <v>7.5027410555170005E-5</v>
      </c>
    </row>
    <row r="75" spans="2:5" x14ac:dyDescent="0.2">
      <c r="B75" s="44" t="s">
        <v>137</v>
      </c>
      <c r="C75" s="44">
        <v>6</v>
      </c>
    </row>
    <row r="76" spans="2:5" x14ac:dyDescent="0.2">
      <c r="B76" s="44" t="s">
        <v>78</v>
      </c>
      <c r="C76" s="44">
        <f>(C74-C73)/C75</f>
        <v>0.16666666666666666</v>
      </c>
    </row>
    <row r="78" spans="2:5" x14ac:dyDescent="0.2">
      <c r="B78" s="44" t="s">
        <v>116</v>
      </c>
      <c r="C78" s="44" t="s">
        <v>18</v>
      </c>
      <c r="D78" s="44" t="s">
        <v>19</v>
      </c>
    </row>
    <row r="79" spans="2:5" x14ac:dyDescent="0.2">
      <c r="B79" s="44">
        <v>0</v>
      </c>
      <c r="C79" s="44">
        <f>$C$73+B79*$C$76</f>
        <v>1</v>
      </c>
      <c r="D79" s="94">
        <f t="shared" ref="D79:D85" si="3">EXP(C79^2)</f>
        <v>2.7182818284590451</v>
      </c>
    </row>
    <row r="80" spans="2:5" x14ac:dyDescent="0.2">
      <c r="B80" s="44">
        <v>1</v>
      </c>
      <c r="C80" s="44">
        <f t="shared" ref="C80:C85" si="4">$C$73+B80*$C$76</f>
        <v>1.1666666666666667</v>
      </c>
      <c r="D80" s="94">
        <f t="shared" si="3"/>
        <v>3.9005248114124802</v>
      </c>
    </row>
    <row r="81" spans="2:4" x14ac:dyDescent="0.2">
      <c r="B81" s="44">
        <v>2</v>
      </c>
      <c r="C81" s="44">
        <f t="shared" si="4"/>
        <v>1.3333333333333333</v>
      </c>
      <c r="D81" s="94">
        <f t="shared" si="3"/>
        <v>5.9166935906643294</v>
      </c>
    </row>
    <row r="82" spans="2:4" x14ac:dyDescent="0.2">
      <c r="B82" s="44">
        <v>3</v>
      </c>
      <c r="C82" s="44">
        <f t="shared" si="4"/>
        <v>1.5</v>
      </c>
      <c r="D82" s="94">
        <f t="shared" si="3"/>
        <v>9.4877358363585262</v>
      </c>
    </row>
    <row r="83" spans="2:4" x14ac:dyDescent="0.2">
      <c r="B83" s="44">
        <v>4</v>
      </c>
      <c r="C83" s="44">
        <f t="shared" si="4"/>
        <v>1.6666666666666665</v>
      </c>
      <c r="D83" s="94">
        <f t="shared" si="3"/>
        <v>16.083240672062939</v>
      </c>
    </row>
    <row r="84" spans="2:4" x14ac:dyDescent="0.2">
      <c r="B84" s="44">
        <v>5</v>
      </c>
      <c r="C84" s="44">
        <f t="shared" si="4"/>
        <v>1.8333333333333333</v>
      </c>
      <c r="D84" s="94">
        <f t="shared" si="3"/>
        <v>28.821196646797691</v>
      </c>
    </row>
    <row r="85" spans="2:4" x14ac:dyDescent="0.2">
      <c r="B85" s="44">
        <v>6</v>
      </c>
      <c r="C85" s="44">
        <f t="shared" si="4"/>
        <v>2</v>
      </c>
      <c r="D85" s="94">
        <f t="shared" si="3"/>
        <v>54.598150033144236</v>
      </c>
    </row>
  </sheetData>
  <mergeCells count="6">
    <mergeCell ref="D72:E72"/>
    <mergeCell ref="D2:E2"/>
    <mergeCell ref="D14:E14"/>
    <mergeCell ref="D27:E27"/>
    <mergeCell ref="D41:E41"/>
    <mergeCell ref="D56:E56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F4BEB-A4F7-46FF-B42F-D62724F23D15}">
  <sheetPr>
    <tabColor theme="1" tint="0.499984740745262"/>
  </sheetPr>
  <dimension ref="B2:O39"/>
  <sheetViews>
    <sheetView topLeftCell="A17" zoomScaleNormal="100" workbookViewId="0">
      <selection activeCell="G2" sqref="G2:J19"/>
    </sheetView>
  </sheetViews>
  <sheetFormatPr baseColWidth="10" defaultRowHeight="15" x14ac:dyDescent="0.2"/>
  <sheetData>
    <row r="2" spans="2:15" x14ac:dyDescent="0.2">
      <c r="B2" s="44" t="s">
        <v>134</v>
      </c>
      <c r="C2" s="44">
        <v>14.989979999999999</v>
      </c>
      <c r="D2" s="156" t="s">
        <v>145</v>
      </c>
      <c r="E2" s="156"/>
      <c r="G2" s="44" t="s">
        <v>134</v>
      </c>
      <c r="H2" s="44">
        <v>14.989979999999999</v>
      </c>
      <c r="I2" s="156" t="s">
        <v>146</v>
      </c>
      <c r="J2" s="156"/>
      <c r="L2" s="44" t="s">
        <v>134</v>
      </c>
      <c r="M2" s="44">
        <v>14.989979999999999</v>
      </c>
      <c r="N2" s="156" t="s">
        <v>147</v>
      </c>
      <c r="O2" s="156"/>
    </row>
    <row r="3" spans="2:15" x14ac:dyDescent="0.2">
      <c r="B3" s="44" t="s">
        <v>135</v>
      </c>
      <c r="C3" s="44">
        <v>1</v>
      </c>
      <c r="D3" s="44" t="s">
        <v>26</v>
      </c>
      <c r="E3" s="44">
        <f>(C6/2)*(D9+2*SUM(D10:D38)+D39)</f>
        <v>15.00968603219718</v>
      </c>
      <c r="G3" s="44" t="s">
        <v>135</v>
      </c>
      <c r="H3" s="44">
        <v>1</v>
      </c>
      <c r="I3" s="44" t="s">
        <v>26</v>
      </c>
      <c r="J3" s="44">
        <f>(H6/3)*(I9+4*SUM(I10,I12,I14,I16,I18,I20,I22,I24,I26,I28,I30,I32,I34,I36,I38)+2*SUM(I11,I13,I15,I17,I19,I21,I23,I25,I27,I29,I31,I33,I35,I37)+I39)</f>
        <v>14.990008475607837</v>
      </c>
      <c r="L3" s="44" t="s">
        <v>135</v>
      </c>
      <c r="M3" s="44">
        <v>1</v>
      </c>
      <c r="N3" s="44" t="s">
        <v>26</v>
      </c>
      <c r="O3" s="44" t="e">
        <f>(3*M6/8)*(N9+2*SUM(N12,N15,N18,N21,N24,N27,N30,N33,N36,#REF!)+3*SUM(N10,N11,N13,N14,N16,N17,N19,N20,N22,N23,N25,N26,N28,N29,N31,N32,N34,N35,N37)+N38)</f>
        <v>#REF!</v>
      </c>
    </row>
    <row r="4" spans="2:15" x14ac:dyDescent="0.2">
      <c r="B4" s="44" t="s">
        <v>136</v>
      </c>
      <c r="C4" s="44">
        <v>2</v>
      </c>
      <c r="D4" s="44" t="s">
        <v>139</v>
      </c>
      <c r="E4" s="113">
        <f>ABS((C2-E3)/C2)</f>
        <v>1.3146136417247485E-3</v>
      </c>
      <c r="G4" s="44" t="s">
        <v>136</v>
      </c>
      <c r="H4" s="44">
        <v>2</v>
      </c>
      <c r="I4" s="44" t="s">
        <v>139</v>
      </c>
      <c r="J4" s="113">
        <f>ABS((H2-J3)/H2)</f>
        <v>1.8996428172631928E-6</v>
      </c>
      <c r="L4" s="44" t="s">
        <v>136</v>
      </c>
      <c r="M4" s="44">
        <v>2</v>
      </c>
      <c r="N4" s="44" t="s">
        <v>139</v>
      </c>
      <c r="O4" s="113" t="e">
        <f>ABS((M2-O3)/M2)</f>
        <v>#REF!</v>
      </c>
    </row>
    <row r="5" spans="2:15" x14ac:dyDescent="0.2">
      <c r="B5" s="44" t="s">
        <v>137</v>
      </c>
      <c r="C5" s="44">
        <v>30</v>
      </c>
      <c r="D5" s="111"/>
      <c r="E5" s="111"/>
      <c r="G5" s="44" t="s">
        <v>137</v>
      </c>
      <c r="H5" s="44">
        <v>30</v>
      </c>
      <c r="I5" s="111"/>
      <c r="J5" s="111"/>
      <c r="L5" s="44" t="s">
        <v>137</v>
      </c>
      <c r="M5" s="44">
        <v>29</v>
      </c>
      <c r="N5" s="111"/>
      <c r="O5" s="111"/>
    </row>
    <row r="6" spans="2:15" x14ac:dyDescent="0.2">
      <c r="B6" s="44" t="s">
        <v>78</v>
      </c>
      <c r="C6" s="44">
        <f>(C4-C3)/C5</f>
        <v>3.3333333333333333E-2</v>
      </c>
      <c r="D6" s="111"/>
      <c r="E6" s="111"/>
      <c r="G6" s="44" t="s">
        <v>78</v>
      </c>
      <c r="H6" s="44">
        <f>(H4-H3)/H5</f>
        <v>3.3333333333333333E-2</v>
      </c>
      <c r="I6" s="111"/>
      <c r="J6" s="111"/>
      <c r="L6" s="44" t="s">
        <v>78</v>
      </c>
      <c r="M6" s="44">
        <f>(M4-M3)/M5</f>
        <v>3.4482758620689655E-2</v>
      </c>
      <c r="N6" s="111"/>
      <c r="O6" s="111"/>
    </row>
    <row r="7" spans="2:15" x14ac:dyDescent="0.2">
      <c r="B7" s="111"/>
      <c r="C7" s="111"/>
      <c r="D7" s="111"/>
      <c r="E7" s="111"/>
      <c r="G7" s="111"/>
      <c r="H7" s="111"/>
      <c r="I7" s="111"/>
      <c r="J7" s="111"/>
      <c r="L7" s="111"/>
      <c r="M7" s="111"/>
      <c r="N7" s="111"/>
      <c r="O7" s="111"/>
    </row>
    <row r="8" spans="2:15" x14ac:dyDescent="0.2">
      <c r="B8" s="44" t="s">
        <v>116</v>
      </c>
      <c r="C8" s="44" t="s">
        <v>18</v>
      </c>
      <c r="D8" s="44" t="s">
        <v>19</v>
      </c>
      <c r="E8" s="111"/>
      <c r="G8" s="44" t="s">
        <v>116</v>
      </c>
      <c r="H8" s="44" t="s">
        <v>18</v>
      </c>
      <c r="I8" s="44" t="s">
        <v>19</v>
      </c>
      <c r="J8" s="111"/>
      <c r="L8" s="44" t="s">
        <v>116</v>
      </c>
      <c r="M8" s="44" t="s">
        <v>18</v>
      </c>
      <c r="N8" s="44" t="s">
        <v>19</v>
      </c>
      <c r="O8" s="111"/>
    </row>
    <row r="9" spans="2:15" x14ac:dyDescent="0.2">
      <c r="B9" s="44">
        <v>0</v>
      </c>
      <c r="C9" s="44">
        <f>$C$3+B9*$C$6</f>
        <v>1</v>
      </c>
      <c r="D9" s="94">
        <f t="shared" ref="D9:D15" si="0">EXP(C9^2)</f>
        <v>2.7182818284590451</v>
      </c>
      <c r="E9" s="111"/>
      <c r="G9" s="44">
        <v>0</v>
      </c>
      <c r="H9" s="44">
        <f>$H$3+G9*$H$6</f>
        <v>1</v>
      </c>
      <c r="I9" s="94">
        <f t="shared" ref="I9:I15" si="1">EXP(H9^2)</f>
        <v>2.7182818284590451</v>
      </c>
      <c r="J9" s="111"/>
      <c r="L9" s="44">
        <v>0</v>
      </c>
      <c r="M9" s="44">
        <f>$M$3+L9*$M$6</f>
        <v>1</v>
      </c>
      <c r="N9" s="94">
        <f t="shared" ref="N9:N15" si="2">EXP(M9^2)</f>
        <v>2.7182818284590451</v>
      </c>
      <c r="O9" s="111"/>
    </row>
    <row r="10" spans="2:15" x14ac:dyDescent="0.2">
      <c r="B10" s="44">
        <v>1</v>
      </c>
      <c r="C10" s="44">
        <f t="shared" ref="C10:C39" si="3">$C$3+B10*$C$6</f>
        <v>1.0333333333333334</v>
      </c>
      <c r="D10" s="94">
        <f t="shared" si="0"/>
        <v>2.9089080720046008</v>
      </c>
      <c r="E10" s="111"/>
      <c r="G10" s="44">
        <v>1</v>
      </c>
      <c r="H10" s="44">
        <f t="shared" ref="H10:H39" si="4">$H$3+G10*$H$6</f>
        <v>1.0333333333333334</v>
      </c>
      <c r="I10" s="94">
        <f t="shared" si="1"/>
        <v>2.9089080720046008</v>
      </c>
      <c r="J10" s="111"/>
      <c r="L10" s="44">
        <v>1</v>
      </c>
      <c r="M10" s="44">
        <f t="shared" ref="M10:M38" si="5">$M$3+L10*$M$6</f>
        <v>1.0344827586206897</v>
      </c>
      <c r="N10" s="94">
        <f t="shared" si="2"/>
        <v>2.9158301880019244</v>
      </c>
      <c r="O10" s="111"/>
    </row>
    <row r="11" spans="2:15" x14ac:dyDescent="0.2">
      <c r="B11" s="44">
        <v>2</v>
      </c>
      <c r="C11" s="44">
        <f t="shared" si="3"/>
        <v>1.0666666666666667</v>
      </c>
      <c r="D11" s="94">
        <f t="shared" si="0"/>
        <v>3.1198277057413635</v>
      </c>
      <c r="E11" s="111"/>
      <c r="G11" s="44">
        <v>2</v>
      </c>
      <c r="H11" s="44">
        <f t="shared" si="4"/>
        <v>1.0666666666666667</v>
      </c>
      <c r="I11" s="94">
        <f t="shared" si="1"/>
        <v>3.1198277057413635</v>
      </c>
      <c r="J11" s="111"/>
      <c r="L11" s="44">
        <v>2</v>
      </c>
      <c r="M11" s="44">
        <f t="shared" si="5"/>
        <v>1.0689655172413792</v>
      </c>
      <c r="N11" s="94">
        <f t="shared" si="2"/>
        <v>3.1351821580910908</v>
      </c>
      <c r="O11" s="111"/>
    </row>
    <row r="12" spans="2:15" x14ac:dyDescent="0.2">
      <c r="B12" s="44">
        <v>3</v>
      </c>
      <c r="C12" s="44">
        <f t="shared" si="3"/>
        <v>1.1000000000000001</v>
      </c>
      <c r="D12" s="94">
        <f t="shared" si="0"/>
        <v>3.3534846525490245</v>
      </c>
      <c r="E12" s="111"/>
      <c r="G12" s="44">
        <v>3</v>
      </c>
      <c r="H12" s="44">
        <f t="shared" si="4"/>
        <v>1.1000000000000001</v>
      </c>
      <c r="I12" s="94">
        <f t="shared" si="1"/>
        <v>3.3534846525490245</v>
      </c>
      <c r="J12" s="111"/>
      <c r="L12" s="44">
        <v>3</v>
      </c>
      <c r="M12" s="44">
        <f t="shared" si="5"/>
        <v>1.103448275862069</v>
      </c>
      <c r="N12" s="94">
        <f t="shared" si="2"/>
        <v>3.3790618017007672</v>
      </c>
      <c r="O12" s="111"/>
    </row>
    <row r="13" spans="2:15" x14ac:dyDescent="0.2">
      <c r="B13" s="44">
        <v>4</v>
      </c>
      <c r="C13" s="44">
        <f t="shared" si="3"/>
        <v>1.1333333333333333</v>
      </c>
      <c r="D13" s="94">
        <f t="shared" si="0"/>
        <v>3.6126603660681704</v>
      </c>
      <c r="E13" s="111"/>
      <c r="G13" s="44">
        <v>4</v>
      </c>
      <c r="H13" s="44">
        <f t="shared" si="4"/>
        <v>1.1333333333333333</v>
      </c>
      <c r="I13" s="94">
        <f t="shared" si="1"/>
        <v>3.6126603660681704</v>
      </c>
      <c r="J13" s="111"/>
      <c r="L13" s="44">
        <v>4</v>
      </c>
      <c r="M13" s="44">
        <f t="shared" si="5"/>
        <v>1.1379310344827587</v>
      </c>
      <c r="N13" s="94">
        <f t="shared" si="2"/>
        <v>3.6505835781503504</v>
      </c>
      <c r="O13" s="111"/>
    </row>
    <row r="14" spans="2:15" x14ac:dyDescent="0.2">
      <c r="B14" s="44">
        <v>5</v>
      </c>
      <c r="C14" s="44">
        <f t="shared" si="3"/>
        <v>1.1666666666666667</v>
      </c>
      <c r="D14" s="94">
        <f t="shared" si="0"/>
        <v>3.9005248114124802</v>
      </c>
      <c r="E14" s="111"/>
      <c r="G14" s="44">
        <v>5</v>
      </c>
      <c r="H14" s="44">
        <f t="shared" si="4"/>
        <v>1.1666666666666667</v>
      </c>
      <c r="I14" s="94">
        <f t="shared" si="1"/>
        <v>3.9005248114124802</v>
      </c>
      <c r="J14" s="111"/>
      <c r="L14" s="44">
        <v>5</v>
      </c>
      <c r="M14" s="44">
        <f t="shared" si="5"/>
        <v>1.1724137931034484</v>
      </c>
      <c r="N14" s="94">
        <f t="shared" si="2"/>
        <v>3.9533135562704245</v>
      </c>
      <c r="O14" s="111"/>
    </row>
    <row r="15" spans="2:15" x14ac:dyDescent="0.2">
      <c r="B15" s="44">
        <v>6</v>
      </c>
      <c r="C15" s="44">
        <f t="shared" si="3"/>
        <v>1.2</v>
      </c>
      <c r="D15" s="94">
        <f t="shared" si="0"/>
        <v>4.2206958169965523</v>
      </c>
      <c r="E15" s="111"/>
      <c r="G15" s="44">
        <v>6</v>
      </c>
      <c r="H15" s="44">
        <f t="shared" si="4"/>
        <v>1.2</v>
      </c>
      <c r="I15" s="94">
        <f t="shared" si="1"/>
        <v>4.2206958169965523</v>
      </c>
      <c r="J15" s="111"/>
      <c r="L15" s="44">
        <v>6</v>
      </c>
      <c r="M15" s="44">
        <f t="shared" si="5"/>
        <v>1.2068965517241379</v>
      </c>
      <c r="N15" s="94">
        <f t="shared" si="2"/>
        <v>4.29134106461201</v>
      </c>
      <c r="O15" s="111"/>
    </row>
    <row r="16" spans="2:15" x14ac:dyDescent="0.2">
      <c r="B16" s="44">
        <v>7</v>
      </c>
      <c r="C16" s="44">
        <f t="shared" si="3"/>
        <v>1.2333333333333334</v>
      </c>
      <c r="D16" s="94">
        <f t="shared" ref="D16:D39" si="6">EXP(C16^2)</f>
        <v>4.577308268765826</v>
      </c>
      <c r="G16" s="44">
        <v>7</v>
      </c>
      <c r="H16" s="44">
        <f t="shared" si="4"/>
        <v>1.2333333333333334</v>
      </c>
      <c r="I16" s="94">
        <f t="shared" ref="I16:I39" si="7">EXP(H16^2)</f>
        <v>4.577308268765826</v>
      </c>
      <c r="J16" s="41"/>
      <c r="L16" s="44">
        <v>7</v>
      </c>
      <c r="M16" s="44">
        <f t="shared" si="5"/>
        <v>1.2413793103448276</v>
      </c>
      <c r="N16" s="94">
        <f t="shared" ref="N16:N38" si="8">EXP(M16^2)</f>
        <v>4.6693626840926861</v>
      </c>
      <c r="O16" s="41"/>
    </row>
    <row r="17" spans="2:15" x14ac:dyDescent="0.2">
      <c r="B17" s="44">
        <v>8</v>
      </c>
      <c r="C17" s="44">
        <f t="shared" si="3"/>
        <v>1.2666666666666666</v>
      </c>
      <c r="D17" s="94">
        <f t="shared" si="6"/>
        <v>4.9750948932285803</v>
      </c>
      <c r="G17" s="44">
        <v>8</v>
      </c>
      <c r="H17" s="44">
        <f t="shared" si="4"/>
        <v>1.2666666666666666</v>
      </c>
      <c r="I17" s="94">
        <f t="shared" si="7"/>
        <v>4.9750948932285803</v>
      </c>
      <c r="J17" s="41"/>
      <c r="L17" s="44">
        <v>8</v>
      </c>
      <c r="M17" s="44">
        <f t="shared" si="5"/>
        <v>1.2758620689655173</v>
      </c>
      <c r="N17" s="94">
        <f t="shared" si="8"/>
        <v>5.0927808586416452</v>
      </c>
      <c r="O17" s="41"/>
    </row>
    <row r="18" spans="2:15" x14ac:dyDescent="0.2">
      <c r="B18" s="44">
        <v>9</v>
      </c>
      <c r="C18" s="44">
        <f t="shared" si="3"/>
        <v>1.3</v>
      </c>
      <c r="D18" s="94">
        <f t="shared" si="6"/>
        <v>5.4194807051312068</v>
      </c>
      <c r="G18" s="44">
        <v>9</v>
      </c>
      <c r="H18" s="44">
        <f t="shared" si="4"/>
        <v>1.3</v>
      </c>
      <c r="I18" s="94">
        <f t="shared" si="7"/>
        <v>5.4194807051312068</v>
      </c>
      <c r="J18" s="41"/>
      <c r="L18" s="44">
        <v>9</v>
      </c>
      <c r="M18" s="44">
        <f t="shared" si="5"/>
        <v>1.3103448275862069</v>
      </c>
      <c r="N18" s="94">
        <f t="shared" si="8"/>
        <v>5.5678198455406696</v>
      </c>
      <c r="O18" s="41"/>
    </row>
    <row r="19" spans="2:15" x14ac:dyDescent="0.2">
      <c r="B19" s="44">
        <v>10</v>
      </c>
      <c r="C19" s="44">
        <f t="shared" si="3"/>
        <v>1.3333333333333333</v>
      </c>
      <c r="D19" s="94">
        <f t="shared" si="6"/>
        <v>5.9166935906643294</v>
      </c>
      <c r="G19" s="44">
        <v>10</v>
      </c>
      <c r="H19" s="44">
        <f t="shared" si="4"/>
        <v>1.3333333333333333</v>
      </c>
      <c r="I19" s="94">
        <f t="shared" si="7"/>
        <v>5.9166935906643294</v>
      </c>
      <c r="J19" s="41"/>
      <c r="L19" s="44">
        <v>10</v>
      </c>
      <c r="M19" s="44">
        <f t="shared" si="5"/>
        <v>1.3448275862068966</v>
      </c>
      <c r="N19" s="94">
        <f t="shared" si="8"/>
        <v>6.1016622656518846</v>
      </c>
      <c r="O19" s="41"/>
    </row>
    <row r="20" spans="2:15" x14ac:dyDescent="0.2">
      <c r="B20" s="44">
        <v>11</v>
      </c>
      <c r="C20" s="44">
        <f t="shared" si="3"/>
        <v>1.3666666666666667</v>
      </c>
      <c r="D20" s="94">
        <f t="shared" si="6"/>
        <v>6.4738939714683523</v>
      </c>
      <c r="G20" s="44">
        <v>11</v>
      </c>
      <c r="H20" s="44">
        <f t="shared" si="4"/>
        <v>1.3666666666666667</v>
      </c>
      <c r="I20" s="94">
        <f t="shared" si="7"/>
        <v>6.4738939714683523</v>
      </c>
      <c r="J20" s="41"/>
      <c r="L20" s="44">
        <v>11</v>
      </c>
      <c r="M20" s="44">
        <f>$M$3+L20*$M$6</f>
        <v>1.3793103448275863</v>
      </c>
      <c r="N20" s="94">
        <f t="shared" si="8"/>
        <v>6.7026101646726923</v>
      </c>
      <c r="O20" s="41"/>
    </row>
    <row r="21" spans="2:15" x14ac:dyDescent="0.2">
      <c r="B21" s="44">
        <v>12</v>
      </c>
      <c r="C21" s="44">
        <f t="shared" si="3"/>
        <v>1.4</v>
      </c>
      <c r="D21" s="94">
        <f t="shared" si="6"/>
        <v>7.0993270651566309</v>
      </c>
      <c r="G21" s="44">
        <v>12</v>
      </c>
      <c r="H21" s="44">
        <f t="shared" si="4"/>
        <v>1.4</v>
      </c>
      <c r="I21" s="94">
        <f t="shared" si="7"/>
        <v>7.0993270651566309</v>
      </c>
      <c r="J21" s="41"/>
      <c r="L21" s="44">
        <v>12</v>
      </c>
      <c r="M21" s="44">
        <f t="shared" si="5"/>
        <v>1.4137931034482758</v>
      </c>
      <c r="N21" s="94">
        <f t="shared" si="8"/>
        <v>7.3802752846361104</v>
      </c>
      <c r="O21" s="41"/>
    </row>
    <row r="22" spans="2:15" x14ac:dyDescent="0.2">
      <c r="B22" s="44">
        <v>13</v>
      </c>
      <c r="C22" s="44">
        <f t="shared" si="3"/>
        <v>1.4333333333333333</v>
      </c>
      <c r="D22" s="94">
        <f t="shared" si="6"/>
        <v>7.8025019450202935</v>
      </c>
      <c r="G22" s="44">
        <v>13</v>
      </c>
      <c r="H22" s="44">
        <f t="shared" si="4"/>
        <v>1.4333333333333333</v>
      </c>
      <c r="I22" s="94">
        <f t="shared" si="7"/>
        <v>7.8025019450202935</v>
      </c>
      <c r="J22" s="41"/>
      <c r="L22" s="44">
        <v>13</v>
      </c>
      <c r="M22" s="44">
        <f t="shared" si="5"/>
        <v>1.4482758620689655</v>
      </c>
      <c r="N22" s="94">
        <f t="shared" si="8"/>
        <v>8.145804200416368</v>
      </c>
      <c r="O22" s="41"/>
    </row>
    <row r="23" spans="2:15" x14ac:dyDescent="0.2">
      <c r="B23" s="44">
        <v>14</v>
      </c>
      <c r="C23" s="44">
        <f t="shared" si="3"/>
        <v>1.4666666666666668</v>
      </c>
      <c r="D23" s="94">
        <f t="shared" si="6"/>
        <v>8.5944024299888717</v>
      </c>
      <c r="G23" s="44">
        <v>14</v>
      </c>
      <c r="H23" s="44">
        <f t="shared" si="4"/>
        <v>1.4666666666666668</v>
      </c>
      <c r="I23" s="94">
        <f t="shared" si="7"/>
        <v>8.5944024299888717</v>
      </c>
      <c r="J23" s="41"/>
      <c r="L23" s="44">
        <v>14</v>
      </c>
      <c r="M23" s="44">
        <f t="shared" si="5"/>
        <v>1.4827586206896552</v>
      </c>
      <c r="N23" s="94">
        <f t="shared" si="8"/>
        <v>9.0121451363600134</v>
      </c>
      <c r="O23" s="41"/>
    </row>
    <row r="24" spans="2:15" x14ac:dyDescent="0.2">
      <c r="B24" s="44">
        <v>15</v>
      </c>
      <c r="C24" s="44">
        <f t="shared" si="3"/>
        <v>1.5</v>
      </c>
      <c r="D24" s="94">
        <f t="shared" si="6"/>
        <v>9.4877358363585262</v>
      </c>
      <c r="G24" s="44">
        <v>15</v>
      </c>
      <c r="H24" s="44">
        <f t="shared" si="4"/>
        <v>1.5</v>
      </c>
      <c r="I24" s="94">
        <f t="shared" si="7"/>
        <v>9.4877358363585262</v>
      </c>
      <c r="J24" s="41"/>
      <c r="L24" s="44">
        <v>15</v>
      </c>
      <c r="M24" s="44">
        <f t="shared" si="5"/>
        <v>1.5172413793103448</v>
      </c>
      <c r="N24" s="94">
        <f t="shared" si="8"/>
        <v>9.9943646894081724</v>
      </c>
      <c r="O24" s="41"/>
    </row>
    <row r="25" spans="2:15" x14ac:dyDescent="0.2">
      <c r="B25" s="44">
        <v>16</v>
      </c>
      <c r="C25" s="44">
        <f t="shared" si="3"/>
        <v>1.5333333333333332</v>
      </c>
      <c r="D25" s="94">
        <f t="shared" si="6"/>
        <v>10.497226832726867</v>
      </c>
      <c r="G25" s="44">
        <v>16</v>
      </c>
      <c r="H25" s="44">
        <f t="shared" si="4"/>
        <v>1.5333333333333332</v>
      </c>
      <c r="I25" s="94">
        <f t="shared" si="7"/>
        <v>10.497226832726867</v>
      </c>
      <c r="J25" s="41"/>
      <c r="L25" s="44">
        <v>16</v>
      </c>
      <c r="M25" s="44">
        <f t="shared" si="5"/>
        <v>1.5517241379310345</v>
      </c>
      <c r="N25" s="94">
        <f t="shared" si="8"/>
        <v>11.110024404100303</v>
      </c>
      <c r="O25" s="41"/>
    </row>
    <row r="26" spans="2:15" x14ac:dyDescent="0.2">
      <c r="B26" s="44">
        <v>17</v>
      </c>
      <c r="C26" s="44">
        <f t="shared" si="3"/>
        <v>1.5666666666666667</v>
      </c>
      <c r="D26" s="94">
        <f t="shared" si="6"/>
        <v>11.639965104975323</v>
      </c>
      <c r="G26" s="44">
        <v>17</v>
      </c>
      <c r="H26" s="44">
        <f t="shared" si="4"/>
        <v>1.5666666666666667</v>
      </c>
      <c r="I26" s="94">
        <f t="shared" si="7"/>
        <v>11.639965104975323</v>
      </c>
      <c r="J26" s="41"/>
      <c r="L26" s="44">
        <v>17</v>
      </c>
      <c r="M26" s="44">
        <f t="shared" si="5"/>
        <v>1.5862068965517242</v>
      </c>
      <c r="N26" s="94">
        <f t="shared" si="8"/>
        <v>12.37962924202998</v>
      </c>
      <c r="O26" s="41"/>
    </row>
    <row r="27" spans="2:15" x14ac:dyDescent="0.2">
      <c r="B27" s="44">
        <v>18</v>
      </c>
      <c r="C27" s="44">
        <f t="shared" si="3"/>
        <v>1.6</v>
      </c>
      <c r="D27" s="94">
        <f t="shared" si="6"/>
        <v>12.935817315543083</v>
      </c>
      <c r="G27" s="44">
        <v>18</v>
      </c>
      <c r="H27" s="44">
        <f t="shared" si="4"/>
        <v>1.6</v>
      </c>
      <c r="I27" s="94">
        <f t="shared" si="7"/>
        <v>12.935817315543083</v>
      </c>
      <c r="J27" s="41"/>
      <c r="L27" s="44">
        <v>18</v>
      </c>
      <c r="M27" s="44">
        <f t="shared" si="5"/>
        <v>1.6206896551724137</v>
      </c>
      <c r="N27" s="94">
        <f t="shared" si="8"/>
        <v>13.827162550841102</v>
      </c>
      <c r="O27" s="41"/>
    </row>
    <row r="28" spans="2:15" x14ac:dyDescent="0.2">
      <c r="B28" s="44">
        <v>19</v>
      </c>
      <c r="C28" s="44">
        <f t="shared" si="3"/>
        <v>1.6333333333333333</v>
      </c>
      <c r="D28" s="94">
        <f t="shared" si="6"/>
        <v>14.407916000223466</v>
      </c>
      <c r="G28" s="44">
        <v>19</v>
      </c>
      <c r="H28" s="44">
        <f t="shared" si="4"/>
        <v>1.6333333333333333</v>
      </c>
      <c r="I28" s="94">
        <f t="shared" si="7"/>
        <v>14.407916000223466</v>
      </c>
      <c r="J28" s="41"/>
      <c r="L28" s="44">
        <v>19</v>
      </c>
      <c r="M28" s="44">
        <f t="shared" si="5"/>
        <v>1.6551724137931034</v>
      </c>
      <c r="N28" s="94">
        <f t="shared" si="8"/>
        <v>15.480725273877113</v>
      </c>
      <c r="O28" s="41"/>
    </row>
    <row r="29" spans="2:15" x14ac:dyDescent="0.2">
      <c r="B29" s="44">
        <v>20</v>
      </c>
      <c r="C29" s="44">
        <f t="shared" si="3"/>
        <v>1.6666666666666665</v>
      </c>
      <c r="D29" s="94">
        <f t="shared" si="6"/>
        <v>16.083240672062939</v>
      </c>
      <c r="G29" s="44">
        <v>20</v>
      </c>
      <c r="H29" s="44">
        <f t="shared" si="4"/>
        <v>1.6666666666666665</v>
      </c>
      <c r="I29" s="94">
        <f t="shared" si="7"/>
        <v>16.083240672062939</v>
      </c>
      <c r="J29" s="41"/>
      <c r="L29" s="44">
        <v>20</v>
      </c>
      <c r="M29" s="44">
        <f t="shared" si="5"/>
        <v>1.6896551724137931</v>
      </c>
      <c r="N29" s="94">
        <f t="shared" si="8"/>
        <v>17.373300985539771</v>
      </c>
      <c r="O29" s="41"/>
    </row>
    <row r="30" spans="2:15" x14ac:dyDescent="0.2">
      <c r="B30" s="44">
        <v>21</v>
      </c>
      <c r="C30" s="44">
        <f t="shared" si="3"/>
        <v>1.7</v>
      </c>
      <c r="D30" s="94">
        <f t="shared" si="6"/>
        <v>17.993309601550308</v>
      </c>
      <c r="G30" s="44">
        <v>21</v>
      </c>
      <c r="H30" s="44">
        <f t="shared" si="4"/>
        <v>1.7</v>
      </c>
      <c r="I30" s="94">
        <f t="shared" si="7"/>
        <v>17.993309601550308</v>
      </c>
      <c r="J30" s="41"/>
      <c r="L30" s="44">
        <v>21</v>
      </c>
      <c r="M30" s="44">
        <f t="shared" si="5"/>
        <v>1.7241379310344827</v>
      </c>
      <c r="N30" s="94">
        <f t="shared" si="8"/>
        <v>19.543673056561168</v>
      </c>
      <c r="O30" s="41"/>
    </row>
    <row r="31" spans="2:15" x14ac:dyDescent="0.2">
      <c r="B31" s="44">
        <v>22</v>
      </c>
      <c r="C31" s="44">
        <f t="shared" si="3"/>
        <v>1.7333333333333334</v>
      </c>
      <c r="D31" s="94">
        <f t="shared" si="6"/>
        <v>20.175004646069656</v>
      </c>
      <c r="G31" s="44">
        <v>22</v>
      </c>
      <c r="H31" s="44">
        <f t="shared" si="4"/>
        <v>1.7333333333333334</v>
      </c>
      <c r="I31" s="94">
        <f t="shared" si="7"/>
        <v>20.175004646069656</v>
      </c>
      <c r="J31" s="41"/>
      <c r="L31" s="44">
        <v>22</v>
      </c>
      <c r="M31" s="44">
        <f t="shared" si="5"/>
        <v>1.7586206896551724</v>
      </c>
      <c r="N31" s="94">
        <f t="shared" si="8"/>
        <v>22.037526056257281</v>
      </c>
      <c r="O31" s="41"/>
    </row>
    <row r="32" spans="2:15" x14ac:dyDescent="0.2">
      <c r="B32" s="44">
        <v>23</v>
      </c>
      <c r="C32" s="44">
        <f t="shared" si="3"/>
        <v>1.7666666666666666</v>
      </c>
      <c r="D32" s="94">
        <f t="shared" si="6"/>
        <v>22.671556271648996</v>
      </c>
      <c r="G32" s="44">
        <v>23</v>
      </c>
      <c r="H32" s="44">
        <f t="shared" si="4"/>
        <v>1.7666666666666666</v>
      </c>
      <c r="I32" s="94">
        <f t="shared" si="7"/>
        <v>22.671556271648996</v>
      </c>
      <c r="J32" s="41"/>
      <c r="L32" s="44">
        <v>23</v>
      </c>
      <c r="M32" s="44">
        <f t="shared" si="5"/>
        <v>1.7931034482758621</v>
      </c>
      <c r="N32" s="94">
        <f t="shared" si="8"/>
        <v>24.908770645728879</v>
      </c>
      <c r="O32" s="41"/>
    </row>
    <row r="33" spans="2:15" x14ac:dyDescent="0.2">
      <c r="B33" s="44">
        <v>24</v>
      </c>
      <c r="C33" s="44">
        <f t="shared" si="3"/>
        <v>1.8</v>
      </c>
      <c r="D33" s="94">
        <f t="shared" si="6"/>
        <v>25.533721747351528</v>
      </c>
      <c r="G33" s="44">
        <v>24</v>
      </c>
      <c r="H33" s="44">
        <f t="shared" si="4"/>
        <v>1.8</v>
      </c>
      <c r="I33" s="94">
        <f t="shared" si="7"/>
        <v>25.533721747351528</v>
      </c>
      <c r="J33" s="41"/>
      <c r="L33" s="44">
        <v>24</v>
      </c>
      <c r="M33" s="44">
        <f t="shared" si="5"/>
        <v>1.8275862068965516</v>
      </c>
      <c r="N33" s="94">
        <f t="shared" si="8"/>
        <v>28.221140032401962</v>
      </c>
      <c r="O33" s="41"/>
    </row>
    <row r="34" spans="2:15" x14ac:dyDescent="0.2">
      <c r="B34" s="44">
        <v>25</v>
      </c>
      <c r="C34" s="44">
        <f t="shared" si="3"/>
        <v>1.8333333333333335</v>
      </c>
      <c r="D34" s="94">
        <f t="shared" si="6"/>
        <v>28.821196646797716</v>
      </c>
      <c r="G34" s="44">
        <v>25</v>
      </c>
      <c r="H34" s="44">
        <f t="shared" si="4"/>
        <v>1.8333333333333335</v>
      </c>
      <c r="I34" s="94">
        <f t="shared" si="7"/>
        <v>28.821196646797716</v>
      </c>
      <c r="J34" s="41"/>
      <c r="L34" s="44">
        <v>25</v>
      </c>
      <c r="M34" s="44">
        <f t="shared" si="5"/>
        <v>1.8620689655172413</v>
      </c>
      <c r="N34" s="94">
        <f t="shared" si="8"/>
        <v>32.050116949886814</v>
      </c>
      <c r="O34" s="41"/>
    </row>
    <row r="35" spans="2:15" x14ac:dyDescent="0.2">
      <c r="B35" s="44">
        <v>26</v>
      </c>
      <c r="C35" s="44">
        <f t="shared" si="3"/>
        <v>1.8666666666666667</v>
      </c>
      <c r="D35" s="94">
        <f t="shared" si="6"/>
        <v>32.604308572635865</v>
      </c>
      <c r="G35" s="44">
        <v>26</v>
      </c>
      <c r="H35" s="44">
        <f t="shared" si="4"/>
        <v>1.8666666666666667</v>
      </c>
      <c r="I35" s="94">
        <f t="shared" si="7"/>
        <v>32.604308572635865</v>
      </c>
      <c r="J35" s="41"/>
      <c r="L35" s="44">
        <v>26</v>
      </c>
      <c r="M35" s="44">
        <f t="shared" si="5"/>
        <v>1.896551724137931</v>
      </c>
      <c r="N35" s="94">
        <f t="shared" si="8"/>
        <v>36.485263609199208</v>
      </c>
      <c r="O35" s="41"/>
    </row>
    <row r="36" spans="2:15" x14ac:dyDescent="0.2">
      <c r="B36" s="44">
        <v>27</v>
      </c>
      <c r="C36" s="44">
        <f t="shared" si="3"/>
        <v>1.9</v>
      </c>
      <c r="D36" s="94">
        <f t="shared" si="6"/>
        <v>36.966052814822504</v>
      </c>
      <c r="G36" s="44">
        <v>27</v>
      </c>
      <c r="H36" s="44">
        <f t="shared" si="4"/>
        <v>1.9</v>
      </c>
      <c r="I36" s="94">
        <f t="shared" si="7"/>
        <v>36.966052814822504</v>
      </c>
      <c r="J36" s="41"/>
      <c r="L36" s="44">
        <v>27</v>
      </c>
      <c r="M36" s="44">
        <f t="shared" si="5"/>
        <v>1.9310344827586206</v>
      </c>
      <c r="N36" s="94">
        <f t="shared" si="8"/>
        <v>41.63304378031188</v>
      </c>
      <c r="O36" s="41"/>
    </row>
    <row r="37" spans="2:15" x14ac:dyDescent="0.2">
      <c r="B37" s="44">
        <v>28</v>
      </c>
      <c r="C37" s="44">
        <f t="shared" si="3"/>
        <v>1.9333333333333333</v>
      </c>
      <c r="D37" s="94">
        <f t="shared" si="6"/>
        <v>42.004542944442051</v>
      </c>
      <c r="G37" s="44">
        <v>28</v>
      </c>
      <c r="H37" s="44">
        <f t="shared" si="4"/>
        <v>1.9333333333333333</v>
      </c>
      <c r="I37" s="94">
        <f t="shared" si="7"/>
        <v>42.004542944442051</v>
      </c>
      <c r="J37" s="41"/>
      <c r="L37" s="44">
        <v>28</v>
      </c>
      <c r="M37" s="44">
        <f t="shared" si="5"/>
        <v>1.9655172413793103</v>
      </c>
      <c r="N37" s="94">
        <f t="shared" si="8"/>
        <v>47.620246915131531</v>
      </c>
      <c r="O37" s="41"/>
    </row>
    <row r="38" spans="2:15" x14ac:dyDescent="0.2">
      <c r="B38" s="44">
        <v>29</v>
      </c>
      <c r="C38" s="44">
        <f t="shared" si="3"/>
        <v>1.9666666666666668</v>
      </c>
      <c r="D38" s="94">
        <f t="shared" si="6"/>
        <v>47.835965733708626</v>
      </c>
      <c r="G38" s="44">
        <v>29</v>
      </c>
      <c r="H38" s="44">
        <f t="shared" si="4"/>
        <v>1.9666666666666668</v>
      </c>
      <c r="I38" s="94">
        <f t="shared" si="7"/>
        <v>47.835965733708626</v>
      </c>
      <c r="J38" s="41"/>
      <c r="L38" s="44">
        <v>29</v>
      </c>
      <c r="M38" s="44">
        <f t="shared" si="5"/>
        <v>2</v>
      </c>
      <c r="N38" s="94">
        <f t="shared" si="8"/>
        <v>54.598150033144236</v>
      </c>
      <c r="O38" s="41"/>
    </row>
    <row r="39" spans="2:15" x14ac:dyDescent="0.2">
      <c r="B39" s="44">
        <v>30</v>
      </c>
      <c r="C39" s="44">
        <f t="shared" si="3"/>
        <v>2</v>
      </c>
      <c r="D39" s="94">
        <f t="shared" si="6"/>
        <v>54.598150033144236</v>
      </c>
      <c r="G39" s="44">
        <v>30</v>
      </c>
      <c r="H39" s="44">
        <f t="shared" si="4"/>
        <v>2</v>
      </c>
      <c r="I39" s="94">
        <f t="shared" si="7"/>
        <v>54.598150033144236</v>
      </c>
      <c r="J39" s="41"/>
      <c r="L39" s="41"/>
    </row>
  </sheetData>
  <mergeCells count="3">
    <mergeCell ref="D2:E2"/>
    <mergeCell ref="I2:J2"/>
    <mergeCell ref="N2:O2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6C0AD-45B9-4B7D-A810-BC93D0359363}">
  <sheetPr>
    <tabColor theme="7"/>
  </sheetPr>
  <dimension ref="B2:N56"/>
  <sheetViews>
    <sheetView workbookViewId="0">
      <selection activeCell="G34" sqref="G34:G54"/>
    </sheetView>
  </sheetViews>
  <sheetFormatPr baseColWidth="10" defaultRowHeight="15" x14ac:dyDescent="0.2"/>
  <cols>
    <col min="1" max="4" width="11.5546875" style="112"/>
    <col min="5" max="5" width="11.77734375" style="112" bestFit="1" customWidth="1"/>
    <col min="6" max="16384" width="11.5546875" style="112"/>
  </cols>
  <sheetData>
    <row r="2" spans="2:14" x14ac:dyDescent="0.2">
      <c r="B2" s="44" t="s">
        <v>150</v>
      </c>
      <c r="C2" s="44"/>
      <c r="I2" s="44" t="s">
        <v>150</v>
      </c>
      <c r="J2" s="44"/>
    </row>
    <row r="3" spans="2:14" x14ac:dyDescent="0.2">
      <c r="B3" s="44" t="s">
        <v>151</v>
      </c>
      <c r="C3" s="44">
        <v>0</v>
      </c>
      <c r="I3" s="44" t="s">
        <v>151</v>
      </c>
      <c r="J3" s="44">
        <v>0</v>
      </c>
    </row>
    <row r="4" spans="2:14" x14ac:dyDescent="0.2">
      <c r="B4" s="44" t="s">
        <v>152</v>
      </c>
      <c r="C4" s="44">
        <v>1</v>
      </c>
      <c r="I4" s="44" t="s">
        <v>152</v>
      </c>
      <c r="J4" s="44">
        <v>1</v>
      </c>
    </row>
    <row r="5" spans="2:14" x14ac:dyDescent="0.2">
      <c r="B5" s="44" t="s">
        <v>153</v>
      </c>
      <c r="C5" s="44">
        <v>1</v>
      </c>
      <c r="I5" s="44" t="s">
        <v>153</v>
      </c>
      <c r="J5" s="44">
        <v>2</v>
      </c>
    </row>
    <row r="6" spans="2:14" x14ac:dyDescent="0.2">
      <c r="B6" s="44" t="s">
        <v>154</v>
      </c>
      <c r="C6" s="44">
        <v>10</v>
      </c>
      <c r="I6" s="44" t="s">
        <v>154</v>
      </c>
      <c r="J6" s="44">
        <v>4</v>
      </c>
    </row>
    <row r="7" spans="2:14" x14ac:dyDescent="0.2">
      <c r="B7" s="44" t="s">
        <v>155</v>
      </c>
      <c r="C7" s="44">
        <f>(C5-C3)/C6</f>
        <v>0.1</v>
      </c>
      <c r="I7" s="44" t="s">
        <v>155</v>
      </c>
      <c r="J7" s="44">
        <f>(J5-J3)/J6</f>
        <v>0.5</v>
      </c>
    </row>
    <row r="10" spans="2:14" x14ac:dyDescent="0.2">
      <c r="B10" s="44" t="s">
        <v>156</v>
      </c>
      <c r="C10" s="44" t="s">
        <v>18</v>
      </c>
      <c r="D10" s="44" t="s">
        <v>157</v>
      </c>
      <c r="E10" s="44" t="s">
        <v>158</v>
      </c>
      <c r="F10" s="44" t="s">
        <v>148</v>
      </c>
      <c r="G10" s="44" t="s">
        <v>159</v>
      </c>
      <c r="I10" s="44" t="s">
        <v>156</v>
      </c>
      <c r="J10" s="44" t="s">
        <v>18</v>
      </c>
      <c r="K10" s="44" t="s">
        <v>157</v>
      </c>
      <c r="L10" s="44" t="s">
        <v>158</v>
      </c>
      <c r="M10" s="44" t="s">
        <v>148</v>
      </c>
      <c r="N10" s="44" t="s">
        <v>159</v>
      </c>
    </row>
    <row r="11" spans="2:14" x14ac:dyDescent="0.2">
      <c r="B11" s="44">
        <v>0</v>
      </c>
      <c r="C11" s="94">
        <f>$C$3+B11*$C$7</f>
        <v>0</v>
      </c>
      <c r="D11" s="94">
        <f>C4</f>
        <v>1</v>
      </c>
      <c r="E11" s="94">
        <f>C11*D11</f>
        <v>0</v>
      </c>
      <c r="F11" s="94">
        <f>D11+$C$7*E11</f>
        <v>1</v>
      </c>
      <c r="G11" s="94">
        <f>EXP(1/2*C11^2)</f>
        <v>1</v>
      </c>
      <c r="I11" s="44">
        <v>0</v>
      </c>
      <c r="J11" s="44">
        <f>$J$3+I11*$J$7</f>
        <v>0</v>
      </c>
      <c r="K11" s="44">
        <f>J4</f>
        <v>1</v>
      </c>
      <c r="L11" s="44">
        <f>J11^2*K11</f>
        <v>0</v>
      </c>
      <c r="M11" s="70">
        <f>K11+$J$7*L11</f>
        <v>1</v>
      </c>
      <c r="N11" s="44">
        <f>EXP(1/3*J11^3)</f>
        <v>1</v>
      </c>
    </row>
    <row r="12" spans="2:14" x14ac:dyDescent="0.2">
      <c r="B12" s="44">
        <v>1</v>
      </c>
      <c r="C12" s="94">
        <f>$C$3+B12*$C$7</f>
        <v>0.1</v>
      </c>
      <c r="D12" s="94">
        <f>F11</f>
        <v>1</v>
      </c>
      <c r="E12" s="94">
        <f>C12*D12</f>
        <v>0.1</v>
      </c>
      <c r="F12" s="94">
        <f t="shared" ref="F12:F21" si="0">D12+$C$7*E12</f>
        <v>1.01</v>
      </c>
      <c r="G12" s="94">
        <f t="shared" ref="G12:G21" si="1">EXP(1/2*C12^2)</f>
        <v>1.005012520859401</v>
      </c>
      <c r="I12" s="44">
        <v>1</v>
      </c>
      <c r="J12" s="44">
        <f t="shared" ref="J12:J15" si="2">$J$3+I12*$J$7</f>
        <v>0.5</v>
      </c>
      <c r="K12" s="70">
        <f>M11</f>
        <v>1</v>
      </c>
      <c r="L12" s="44">
        <f t="shared" ref="L12:L15" si="3">J12^2*K12</f>
        <v>0.25</v>
      </c>
      <c r="M12" s="70">
        <f t="shared" ref="M12:M15" si="4">K12+$J$7*L12</f>
        <v>1.125</v>
      </c>
      <c r="N12" s="44">
        <f t="shared" ref="N12:N15" si="5">EXP(1/3*J12^3)</f>
        <v>1.0425469051899914</v>
      </c>
    </row>
    <row r="13" spans="2:14" x14ac:dyDescent="0.2">
      <c r="B13" s="44">
        <v>2</v>
      </c>
      <c r="C13" s="94">
        <f>$C$3+B13*$C$7</f>
        <v>0.2</v>
      </c>
      <c r="D13" s="94">
        <f>F12</f>
        <v>1.01</v>
      </c>
      <c r="E13" s="94">
        <f>C13*D13</f>
        <v>0.20200000000000001</v>
      </c>
      <c r="F13" s="94">
        <f t="shared" si="0"/>
        <v>1.0302</v>
      </c>
      <c r="G13" s="94">
        <f t="shared" si="1"/>
        <v>1.0202013400267558</v>
      </c>
      <c r="I13" s="44">
        <v>2</v>
      </c>
      <c r="J13" s="44">
        <f t="shared" si="2"/>
        <v>1</v>
      </c>
      <c r="K13" s="70">
        <f>M12</f>
        <v>1.125</v>
      </c>
      <c r="L13" s="44">
        <f t="shared" si="3"/>
        <v>1.125</v>
      </c>
      <c r="M13" s="70">
        <f t="shared" si="4"/>
        <v>1.6875</v>
      </c>
      <c r="N13" s="44">
        <f t="shared" si="5"/>
        <v>1.3956124250860895</v>
      </c>
    </row>
    <row r="14" spans="2:14" x14ac:dyDescent="0.2">
      <c r="B14" s="44">
        <v>3</v>
      </c>
      <c r="C14" s="94">
        <f>$C$3+B14*$C$7</f>
        <v>0.30000000000000004</v>
      </c>
      <c r="D14" s="94">
        <f t="shared" ref="D14:D20" si="6">F13</f>
        <v>1.0302</v>
      </c>
      <c r="E14" s="94">
        <f t="shared" ref="E14:E21" si="7">C14*D14</f>
        <v>0.30906000000000006</v>
      </c>
      <c r="F14" s="94">
        <f t="shared" si="0"/>
        <v>1.0611060000000001</v>
      </c>
      <c r="G14" s="94">
        <f>EXP(1/2*C14^2)</f>
        <v>1.0460278599087169</v>
      </c>
      <c r="I14" s="44">
        <v>3</v>
      </c>
      <c r="J14" s="44">
        <f t="shared" si="2"/>
        <v>1.5</v>
      </c>
      <c r="K14" s="70">
        <f t="shared" ref="K14:K15" si="8">M13</f>
        <v>1.6875</v>
      </c>
      <c r="L14" s="44">
        <f t="shared" si="3"/>
        <v>3.796875</v>
      </c>
      <c r="M14" s="70">
        <f t="shared" si="4"/>
        <v>3.5859375</v>
      </c>
      <c r="N14" s="44">
        <f t="shared" si="5"/>
        <v>3.080216848918031</v>
      </c>
    </row>
    <row r="15" spans="2:14" x14ac:dyDescent="0.2">
      <c r="B15" s="44">
        <v>4</v>
      </c>
      <c r="C15" s="94">
        <f t="shared" ref="C15:C20" si="9">$C$3+B15*$C$7</f>
        <v>0.4</v>
      </c>
      <c r="D15" s="94">
        <f t="shared" si="6"/>
        <v>1.0611060000000001</v>
      </c>
      <c r="E15" s="94">
        <f t="shared" si="7"/>
        <v>0.42444240000000005</v>
      </c>
      <c r="F15" s="94">
        <f t="shared" si="0"/>
        <v>1.1035502400000001</v>
      </c>
      <c r="G15" s="94">
        <f t="shared" si="1"/>
        <v>1.0832870676749586</v>
      </c>
      <c r="I15" s="44">
        <v>4</v>
      </c>
      <c r="J15" s="44">
        <f t="shared" si="2"/>
        <v>2</v>
      </c>
      <c r="K15" s="70">
        <f t="shared" si="8"/>
        <v>3.5859375</v>
      </c>
      <c r="L15" s="44">
        <f t="shared" si="3"/>
        <v>14.34375</v>
      </c>
      <c r="M15" s="70">
        <f t="shared" si="4"/>
        <v>10.7578125</v>
      </c>
      <c r="N15" s="44">
        <f t="shared" si="5"/>
        <v>14.391916095149892</v>
      </c>
    </row>
    <row r="16" spans="2:14" x14ac:dyDescent="0.2">
      <c r="B16" s="44">
        <v>5</v>
      </c>
      <c r="C16" s="94">
        <f t="shared" si="9"/>
        <v>0.5</v>
      </c>
      <c r="D16" s="94">
        <f t="shared" si="6"/>
        <v>1.1035502400000001</v>
      </c>
      <c r="E16" s="94">
        <f t="shared" si="7"/>
        <v>0.55177512000000006</v>
      </c>
      <c r="F16" s="94">
        <f t="shared" si="0"/>
        <v>1.1587277520000001</v>
      </c>
      <c r="G16" s="94">
        <f t="shared" si="1"/>
        <v>1.1331484530668263</v>
      </c>
    </row>
    <row r="17" spans="2:13" x14ac:dyDescent="0.2">
      <c r="B17" s="44">
        <v>6</v>
      </c>
      <c r="C17" s="94">
        <f t="shared" si="9"/>
        <v>0.60000000000000009</v>
      </c>
      <c r="D17" s="94">
        <f t="shared" si="6"/>
        <v>1.1587277520000001</v>
      </c>
      <c r="E17" s="94">
        <f t="shared" si="7"/>
        <v>0.69523665120000022</v>
      </c>
      <c r="F17" s="94">
        <f t="shared" si="0"/>
        <v>1.2282514171200001</v>
      </c>
      <c r="G17" s="94">
        <f t="shared" si="1"/>
        <v>1.1972173631218102</v>
      </c>
      <c r="L17" s="42" t="s">
        <v>149</v>
      </c>
      <c r="M17" s="114">
        <f>ABS(N15-M15)/N15</f>
        <v>0.25251005989220526</v>
      </c>
    </row>
    <row r="18" spans="2:13" x14ac:dyDescent="0.2">
      <c r="B18" s="44">
        <v>7</v>
      </c>
      <c r="C18" s="94">
        <f>$C$3+B18*$C$7</f>
        <v>0.70000000000000007</v>
      </c>
      <c r="D18" s="94">
        <f t="shared" si="6"/>
        <v>1.2282514171200001</v>
      </c>
      <c r="E18" s="94">
        <f>C18*D18</f>
        <v>0.85977599198400012</v>
      </c>
      <c r="F18" s="94">
        <f t="shared" si="0"/>
        <v>1.3142290163184001</v>
      </c>
      <c r="G18" s="94">
        <f t="shared" si="1"/>
        <v>1.2776213132048866</v>
      </c>
    </row>
    <row r="19" spans="2:13" x14ac:dyDescent="0.2">
      <c r="B19" s="44">
        <v>8</v>
      </c>
      <c r="C19" s="94">
        <f t="shared" si="9"/>
        <v>0.8</v>
      </c>
      <c r="D19" s="94">
        <f t="shared" si="6"/>
        <v>1.3142290163184001</v>
      </c>
      <c r="E19" s="94">
        <f t="shared" si="7"/>
        <v>1.05138321305472</v>
      </c>
      <c r="F19" s="94">
        <f t="shared" si="0"/>
        <v>1.419367337623872</v>
      </c>
      <c r="G19" s="94">
        <f t="shared" si="1"/>
        <v>1.3771277643359572</v>
      </c>
    </row>
    <row r="20" spans="2:13" x14ac:dyDescent="0.2">
      <c r="B20" s="44">
        <v>9</v>
      </c>
      <c r="C20" s="94">
        <f t="shared" si="9"/>
        <v>0.9</v>
      </c>
      <c r="D20" s="94">
        <f t="shared" si="6"/>
        <v>1.419367337623872</v>
      </c>
      <c r="E20" s="94">
        <f>C20*D20</f>
        <v>1.2774306038614849</v>
      </c>
      <c r="F20" s="94">
        <f t="shared" si="0"/>
        <v>1.5471103980100205</v>
      </c>
      <c r="G20" s="94">
        <f t="shared" si="1"/>
        <v>1.499302500056767</v>
      </c>
    </row>
    <row r="21" spans="2:13" x14ac:dyDescent="0.2">
      <c r="B21" s="44">
        <v>10</v>
      </c>
      <c r="C21" s="94">
        <f t="shared" ref="C21" si="10">$C$5+B21*$C$9</f>
        <v>1</v>
      </c>
      <c r="D21" s="94">
        <f>F20</f>
        <v>1.5471103980100205</v>
      </c>
      <c r="E21" s="94">
        <f t="shared" si="7"/>
        <v>1.5471103980100205</v>
      </c>
      <c r="F21" s="94">
        <f t="shared" si="0"/>
        <v>1.7018214378110226</v>
      </c>
      <c r="G21" s="94">
        <f t="shared" si="1"/>
        <v>1.6487212707001282</v>
      </c>
    </row>
    <row r="23" spans="2:13" x14ac:dyDescent="0.2">
      <c r="E23" s="42" t="s">
        <v>149</v>
      </c>
      <c r="F23" s="114">
        <f>ABS(G21-F21)/G21</f>
        <v>3.2206879388621851E-2</v>
      </c>
    </row>
    <row r="25" spans="2:13" x14ac:dyDescent="0.2">
      <c r="B25" s="44" t="s">
        <v>150</v>
      </c>
      <c r="C25" s="44"/>
    </row>
    <row r="26" spans="2:13" x14ac:dyDescent="0.2">
      <c r="B26" s="44" t="s">
        <v>151</v>
      </c>
      <c r="C26" s="44">
        <v>0</v>
      </c>
    </row>
    <row r="27" spans="2:13" x14ac:dyDescent="0.2">
      <c r="B27" s="44" t="s">
        <v>152</v>
      </c>
      <c r="C27" s="44">
        <v>0.5</v>
      </c>
    </row>
    <row r="28" spans="2:13" x14ac:dyDescent="0.2">
      <c r="B28" s="44" t="s">
        <v>153</v>
      </c>
      <c r="C28" s="44">
        <v>2</v>
      </c>
    </row>
    <row r="29" spans="2:13" x14ac:dyDescent="0.2">
      <c r="B29" s="44" t="s">
        <v>154</v>
      </c>
      <c r="C29" s="44">
        <v>20</v>
      </c>
    </row>
    <row r="30" spans="2:13" x14ac:dyDescent="0.2">
      <c r="B30" s="44" t="s">
        <v>155</v>
      </c>
      <c r="C30" s="44">
        <f>(C28-C26)/C29</f>
        <v>0.1</v>
      </c>
    </row>
    <row r="33" spans="2:7" x14ac:dyDescent="0.2">
      <c r="B33" s="44" t="s">
        <v>156</v>
      </c>
      <c r="C33" s="44" t="s">
        <v>18</v>
      </c>
      <c r="D33" s="44" t="s">
        <v>157</v>
      </c>
      <c r="E33" s="44" t="s">
        <v>158</v>
      </c>
      <c r="F33" s="44" t="s">
        <v>148</v>
      </c>
      <c r="G33" s="44" t="s">
        <v>159</v>
      </c>
    </row>
    <row r="34" spans="2:7" x14ac:dyDescent="0.2">
      <c r="B34" s="44">
        <v>0</v>
      </c>
      <c r="C34" s="94">
        <f>$C$26+B34*$C$30</f>
        <v>0</v>
      </c>
      <c r="D34" s="94">
        <f>C27</f>
        <v>0.5</v>
      </c>
      <c r="E34" s="94">
        <f>-D34-SIN(C34)</f>
        <v>-0.5</v>
      </c>
      <c r="F34" s="94">
        <f>D34+$C$30*E34</f>
        <v>0.45</v>
      </c>
      <c r="G34" s="94">
        <f>((SIN(C34)+COS(C34))/2)+0*EXP(-C34)</f>
        <v>0.5</v>
      </c>
    </row>
    <row r="35" spans="2:7" x14ac:dyDescent="0.2">
      <c r="B35" s="44">
        <v>1</v>
      </c>
      <c r="C35" s="94">
        <f t="shared" ref="C35:C53" si="11">$C$26+B35*$C$30</f>
        <v>0.1</v>
      </c>
      <c r="D35" s="94">
        <f>F34</f>
        <v>0.45</v>
      </c>
      <c r="E35" s="94">
        <f>-D35-SIN(C35)</f>
        <v>-0.54983341664682817</v>
      </c>
      <c r="F35" s="94">
        <f t="shared" ref="F35" si="12">D35+$C$7*E35</f>
        <v>0.39501665833531718</v>
      </c>
      <c r="G35" s="94">
        <f t="shared" ref="G35:G54" si="13">((SIN(C35)+COS(C35))/2)+0*EXP(-C35)</f>
        <v>0.54741879096242696</v>
      </c>
    </row>
    <row r="36" spans="2:7" x14ac:dyDescent="0.2">
      <c r="B36" s="44">
        <v>2</v>
      </c>
      <c r="C36" s="94">
        <f t="shared" si="11"/>
        <v>0.2</v>
      </c>
      <c r="D36" s="94">
        <f t="shared" ref="D36:D44" si="14">F35</f>
        <v>0.39501665833531718</v>
      </c>
      <c r="E36" s="94">
        <f t="shared" ref="E36:E54" si="15">-D36-SIN(C36)</f>
        <v>-0.5936859891303784</v>
      </c>
      <c r="F36" s="94">
        <f t="shared" ref="F36:F44" si="16">D36+$C$7*E36</f>
        <v>0.33564805942227932</v>
      </c>
      <c r="G36" s="94">
        <f t="shared" si="13"/>
        <v>0.58936795431815137</v>
      </c>
    </row>
    <row r="37" spans="2:7" x14ac:dyDescent="0.2">
      <c r="B37" s="44">
        <v>3</v>
      </c>
      <c r="C37" s="94">
        <f t="shared" si="11"/>
        <v>0.30000000000000004</v>
      </c>
      <c r="D37" s="94">
        <f t="shared" si="14"/>
        <v>0.33564805942227932</v>
      </c>
      <c r="E37" s="94">
        <f t="shared" si="15"/>
        <v>-0.63116826608361887</v>
      </c>
      <c r="F37" s="94">
        <f t="shared" si="16"/>
        <v>0.27253123281391745</v>
      </c>
      <c r="G37" s="94">
        <f t="shared" si="13"/>
        <v>0.62542834789347279</v>
      </c>
    </row>
    <row r="38" spans="2:7" x14ac:dyDescent="0.2">
      <c r="B38" s="44">
        <v>4</v>
      </c>
      <c r="C38" s="94">
        <f t="shared" si="11"/>
        <v>0.4</v>
      </c>
      <c r="D38" s="94">
        <f t="shared" si="14"/>
        <v>0.27253123281391745</v>
      </c>
      <c r="E38" s="94">
        <f t="shared" si="15"/>
        <v>-0.66194957512256791</v>
      </c>
      <c r="F38" s="94">
        <f t="shared" si="16"/>
        <v>0.20633627530166065</v>
      </c>
      <c r="G38" s="94">
        <f t="shared" si="13"/>
        <v>0.65523966815576784</v>
      </c>
    </row>
    <row r="39" spans="2:7" x14ac:dyDescent="0.2">
      <c r="B39" s="44">
        <v>5</v>
      </c>
      <c r="C39" s="94">
        <f t="shared" si="11"/>
        <v>0.5</v>
      </c>
      <c r="D39" s="94">
        <f t="shared" si="14"/>
        <v>0.20633627530166065</v>
      </c>
      <c r="E39" s="94">
        <f t="shared" si="15"/>
        <v>-0.68576181390586366</v>
      </c>
      <c r="F39" s="94">
        <f t="shared" si="16"/>
        <v>0.1377600939110743</v>
      </c>
      <c r="G39" s="94">
        <f t="shared" si="13"/>
        <v>0.67850405024728788</v>
      </c>
    </row>
    <row r="40" spans="2:7" x14ac:dyDescent="0.2">
      <c r="B40" s="44">
        <v>6</v>
      </c>
      <c r="C40" s="94">
        <f t="shared" si="11"/>
        <v>0.60000000000000009</v>
      </c>
      <c r="D40" s="94">
        <f t="shared" si="14"/>
        <v>0.1377600939110743</v>
      </c>
      <c r="E40" s="94">
        <f t="shared" si="15"/>
        <v>-0.70240256730610984</v>
      </c>
      <c r="F40" s="94">
        <f t="shared" si="16"/>
        <v>6.751983718046331E-2</v>
      </c>
      <c r="G40" s="94">
        <f t="shared" si="13"/>
        <v>0.69498904415235685</v>
      </c>
    </row>
    <row r="41" spans="2:7" x14ac:dyDescent="0.2">
      <c r="B41" s="44">
        <v>7</v>
      </c>
      <c r="C41" s="94">
        <f t="shared" si="11"/>
        <v>0.70000000000000007</v>
      </c>
      <c r="D41" s="94">
        <f t="shared" si="14"/>
        <v>6.751983718046331E-2</v>
      </c>
      <c r="E41" s="94">
        <f t="shared" si="15"/>
        <v>-0.71173752441815441</v>
      </c>
      <c r="F41" s="94">
        <f t="shared" si="16"/>
        <v>-3.6539152613521281E-3</v>
      </c>
      <c r="G41" s="94">
        <f t="shared" si="13"/>
        <v>0.70452993726108981</v>
      </c>
    </row>
    <row r="42" spans="2:7" x14ac:dyDescent="0.2">
      <c r="B42" s="44">
        <v>8</v>
      </c>
      <c r="C42" s="94">
        <f t="shared" si="11"/>
        <v>0.8</v>
      </c>
      <c r="D42" s="94">
        <f t="shared" si="14"/>
        <v>-3.6539152613521281E-3</v>
      </c>
      <c r="E42" s="94">
        <f t="shared" si="15"/>
        <v>-0.71370217563817062</v>
      </c>
      <c r="F42" s="94">
        <f t="shared" si="16"/>
        <v>-7.502413282516919E-2</v>
      </c>
      <c r="G42" s="94">
        <f t="shared" si="13"/>
        <v>0.70703140012334409</v>
      </c>
    </row>
    <row r="43" spans="2:7" x14ac:dyDescent="0.2">
      <c r="B43" s="44">
        <v>9</v>
      </c>
      <c r="C43" s="94">
        <f t="shared" si="11"/>
        <v>0.9</v>
      </c>
      <c r="D43" s="94">
        <f t="shared" si="14"/>
        <v>-7.502413282516919E-2</v>
      </c>
      <c r="E43" s="94">
        <f t="shared" si="15"/>
        <v>-0.70830277680231424</v>
      </c>
      <c r="F43" s="94">
        <f t="shared" si="16"/>
        <v>-0.1458544105054006</v>
      </c>
      <c r="G43" s="94">
        <f t="shared" si="13"/>
        <v>0.70246843894907385</v>
      </c>
    </row>
    <row r="44" spans="2:7" x14ac:dyDescent="0.2">
      <c r="B44" s="44">
        <v>10</v>
      </c>
      <c r="C44" s="94">
        <f t="shared" si="11"/>
        <v>1</v>
      </c>
      <c r="D44" s="94">
        <f t="shared" si="14"/>
        <v>-0.1458544105054006</v>
      </c>
      <c r="E44" s="94">
        <f t="shared" si="15"/>
        <v>-0.6956165743024959</v>
      </c>
      <c r="F44" s="94">
        <f t="shared" si="16"/>
        <v>-0.21541606793565021</v>
      </c>
      <c r="G44" s="94">
        <f t="shared" si="13"/>
        <v>0.69088664533801813</v>
      </c>
    </row>
    <row r="45" spans="2:7" x14ac:dyDescent="0.2">
      <c r="B45" s="44">
        <v>11</v>
      </c>
      <c r="C45" s="94">
        <f t="shared" si="11"/>
        <v>1.1000000000000001</v>
      </c>
      <c r="D45" s="94">
        <f t="shared" ref="D45:D53" si="17">F44</f>
        <v>-0.21541606793565021</v>
      </c>
      <c r="E45" s="94">
        <f t="shared" si="15"/>
        <v>-0.67579129212578515</v>
      </c>
      <c r="F45" s="94">
        <f t="shared" ref="F45:F53" si="18">D45+$C$7*E45</f>
        <v>-0.28299519714822874</v>
      </c>
      <c r="G45" s="94">
        <f t="shared" si="13"/>
        <v>0.67240174074350634</v>
      </c>
    </row>
    <row r="46" spans="2:7" x14ac:dyDescent="0.2">
      <c r="B46" s="44">
        <v>12</v>
      </c>
      <c r="C46" s="94">
        <f t="shared" si="11"/>
        <v>1.2000000000000002</v>
      </c>
      <c r="D46" s="94">
        <f t="shared" si="17"/>
        <v>-0.28299519714822874</v>
      </c>
      <c r="E46" s="94">
        <f t="shared" si="15"/>
        <v>-0.64904388881899766</v>
      </c>
      <c r="F46" s="94">
        <f t="shared" si="18"/>
        <v>-0.34789958603012849</v>
      </c>
      <c r="G46" s="94">
        <f t="shared" si="13"/>
        <v>0.64719842022194984</v>
      </c>
    </row>
    <row r="47" spans="2:7" x14ac:dyDescent="0.2">
      <c r="B47" s="44">
        <v>13</v>
      </c>
      <c r="C47" s="94">
        <f t="shared" si="11"/>
        <v>1.3</v>
      </c>
      <c r="D47" s="94">
        <f t="shared" si="17"/>
        <v>-0.34789958603012849</v>
      </c>
      <c r="E47" s="94">
        <f t="shared" si="15"/>
        <v>-0.61565859938706446</v>
      </c>
      <c r="F47" s="94">
        <f t="shared" si="18"/>
        <v>-0.40946544596883494</v>
      </c>
      <c r="G47" s="94">
        <f t="shared" si="13"/>
        <v>0.61552850702089013</v>
      </c>
    </row>
    <row r="48" spans="2:7" x14ac:dyDescent="0.2">
      <c r="B48" s="44">
        <v>14</v>
      </c>
      <c r="C48" s="94">
        <f t="shared" si="11"/>
        <v>1.4000000000000001</v>
      </c>
      <c r="D48" s="94">
        <f t="shared" si="17"/>
        <v>-0.40946544596883494</v>
      </c>
      <c r="E48" s="94">
        <f t="shared" si="15"/>
        <v>-0.57598428401962531</v>
      </c>
      <c r="F48" s="94">
        <f t="shared" si="18"/>
        <v>-0.46706387437079749</v>
      </c>
      <c r="G48" s="94">
        <f t="shared" si="13"/>
        <v>0.57770843644435055</v>
      </c>
    </row>
    <row r="49" spans="2:7" x14ac:dyDescent="0.2">
      <c r="B49" s="44">
        <v>15</v>
      </c>
      <c r="C49" s="94">
        <f t="shared" si="11"/>
        <v>1.5</v>
      </c>
      <c r="D49" s="94">
        <f t="shared" si="17"/>
        <v>-0.46706387437079749</v>
      </c>
      <c r="E49" s="94">
        <f t="shared" si="15"/>
        <v>-0.53043111223325701</v>
      </c>
      <c r="F49" s="94">
        <f t="shared" si="18"/>
        <v>-0.52010698559412316</v>
      </c>
      <c r="G49" s="94">
        <f t="shared" si="13"/>
        <v>0.53411609413587868</v>
      </c>
    </row>
    <row r="50" spans="2:7" x14ac:dyDescent="0.2">
      <c r="B50" s="44">
        <v>16</v>
      </c>
      <c r="C50" s="94">
        <f t="shared" si="11"/>
        <v>1.6</v>
      </c>
      <c r="D50" s="94">
        <f t="shared" si="17"/>
        <v>-0.52010698559412316</v>
      </c>
      <c r="E50" s="94">
        <f t="shared" si="15"/>
        <v>-0.47946661744738195</v>
      </c>
      <c r="F50" s="94">
        <f t="shared" si="18"/>
        <v>-0.56805364733886132</v>
      </c>
      <c r="G50" s="94">
        <f t="shared" si="13"/>
        <v>0.48518704037010812</v>
      </c>
    </row>
    <row r="51" spans="2:7" x14ac:dyDescent="0.2">
      <c r="B51" s="44">
        <v>17</v>
      </c>
      <c r="C51" s="94">
        <f t="shared" si="11"/>
        <v>1.7000000000000002</v>
      </c>
      <c r="D51" s="94">
        <f t="shared" si="17"/>
        <v>-0.56805364733886132</v>
      </c>
      <c r="E51" s="94">
        <f t="shared" si="15"/>
        <v>-0.42361116311360725</v>
      </c>
      <c r="F51" s="94">
        <f t="shared" si="18"/>
        <v>-0.61041476365022207</v>
      </c>
      <c r="G51" s="94">
        <f t="shared" si="13"/>
        <v>0.43141015807847183</v>
      </c>
    </row>
    <row r="52" spans="2:7" x14ac:dyDescent="0.2">
      <c r="B52" s="44">
        <v>18</v>
      </c>
      <c r="C52" s="94">
        <f t="shared" si="11"/>
        <v>1.8</v>
      </c>
      <c r="D52" s="94">
        <f t="shared" si="17"/>
        <v>-0.61041476365022207</v>
      </c>
      <c r="E52" s="94">
        <f t="shared" si="15"/>
        <v>-0.36343286722797308</v>
      </c>
      <c r="F52" s="94">
        <f t="shared" si="18"/>
        <v>-0.64675805037301937</v>
      </c>
      <c r="G52" s="94">
        <f t="shared" si="13"/>
        <v>0.37332276809255405</v>
      </c>
    </row>
    <row r="53" spans="2:7" x14ac:dyDescent="0.2">
      <c r="B53" s="44">
        <v>19</v>
      </c>
      <c r="C53" s="94">
        <f t="shared" si="11"/>
        <v>1.9000000000000001</v>
      </c>
      <c r="D53" s="94">
        <f t="shared" si="17"/>
        <v>-0.64675805037301937</v>
      </c>
      <c r="E53" s="94">
        <f t="shared" si="15"/>
        <v>-0.2995420373143951</v>
      </c>
      <c r="F53" s="94">
        <f t="shared" si="18"/>
        <v>-0.6767122541044589</v>
      </c>
      <c r="G53" s="94">
        <f t="shared" si="13"/>
        <v>0.31150526041195548</v>
      </c>
    </row>
    <row r="54" spans="2:7" x14ac:dyDescent="0.2">
      <c r="B54" s="44">
        <v>20</v>
      </c>
      <c r="C54" s="94">
        <f>$C$26+B54*$C$30</f>
        <v>2</v>
      </c>
      <c r="D54" s="94">
        <f>F53</f>
        <v>-0.6767122541044589</v>
      </c>
      <c r="E54" s="94">
        <f t="shared" si="15"/>
        <v>-0.23258517272122281</v>
      </c>
      <c r="F54" s="94">
        <f>D54+$C$7*E54</f>
        <v>-0.69997077137658115</v>
      </c>
      <c r="G54" s="94">
        <f t="shared" si="13"/>
        <v>0.24657529513926965</v>
      </c>
    </row>
    <row r="56" spans="2:7" x14ac:dyDescent="0.2">
      <c r="E56" s="42" t="s">
        <v>149</v>
      </c>
      <c r="F56" s="114">
        <f>ABS(G54-F54)/G54</f>
        <v>3.8387708954428161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3959C-B25A-425E-BAA5-E1577783AE6E}">
  <sheetPr>
    <tabColor theme="5"/>
  </sheetPr>
  <dimension ref="B2:I51"/>
  <sheetViews>
    <sheetView topLeftCell="A29" workbookViewId="0">
      <selection activeCell="H7" sqref="H7"/>
    </sheetView>
  </sheetViews>
  <sheetFormatPr baseColWidth="10" defaultRowHeight="15" x14ac:dyDescent="0.2"/>
  <sheetData>
    <row r="2" spans="2:9" x14ac:dyDescent="0.2">
      <c r="B2" s="44" t="s">
        <v>150</v>
      </c>
      <c r="C2" s="44"/>
      <c r="D2" s="112"/>
      <c r="E2" s="112"/>
      <c r="F2" s="112"/>
      <c r="G2" s="112"/>
    </row>
    <row r="3" spans="2:9" x14ac:dyDescent="0.2">
      <c r="B3" s="44" t="s">
        <v>151</v>
      </c>
      <c r="C3" s="44">
        <v>0</v>
      </c>
      <c r="D3" s="112"/>
      <c r="E3" s="112"/>
      <c r="F3" s="112"/>
      <c r="G3" s="112"/>
    </row>
    <row r="4" spans="2:9" x14ac:dyDescent="0.2">
      <c r="B4" s="44" t="s">
        <v>152</v>
      </c>
      <c r="C4" s="44">
        <v>1</v>
      </c>
      <c r="D4" s="112"/>
      <c r="E4" s="112"/>
      <c r="F4" s="112"/>
      <c r="G4" s="112"/>
    </row>
    <row r="5" spans="2:9" x14ac:dyDescent="0.2">
      <c r="B5" s="44" t="s">
        <v>153</v>
      </c>
      <c r="C5" s="44">
        <v>1</v>
      </c>
      <c r="D5" s="112"/>
      <c r="E5" s="112"/>
      <c r="F5" s="112"/>
      <c r="G5" s="112"/>
    </row>
    <row r="6" spans="2:9" x14ac:dyDescent="0.2">
      <c r="B6" s="44" t="s">
        <v>154</v>
      </c>
      <c r="C6" s="44">
        <v>10</v>
      </c>
      <c r="D6" s="112"/>
      <c r="E6" s="112"/>
      <c r="F6" s="112"/>
      <c r="G6" s="112"/>
    </row>
    <row r="7" spans="2:9" x14ac:dyDescent="0.2">
      <c r="B7" s="44" t="s">
        <v>155</v>
      </c>
      <c r="C7" s="44">
        <f>(C5-C3)/C6</f>
        <v>0.1</v>
      </c>
      <c r="D7" s="112"/>
      <c r="E7" s="112"/>
      <c r="F7" s="112"/>
      <c r="G7" s="112"/>
    </row>
    <row r="8" spans="2:9" x14ac:dyDescent="0.2">
      <c r="B8" s="112"/>
      <c r="C8" s="112"/>
      <c r="D8" s="112"/>
      <c r="E8" s="112"/>
      <c r="F8" s="112"/>
      <c r="G8" s="112"/>
    </row>
    <row r="9" spans="2:9" x14ac:dyDescent="0.2">
      <c r="B9" s="112"/>
      <c r="C9" s="112"/>
      <c r="D9" s="112"/>
      <c r="E9" s="112"/>
      <c r="F9" s="112"/>
      <c r="G9" s="112"/>
    </row>
    <row r="10" spans="2:9" x14ac:dyDescent="0.2">
      <c r="B10" s="44" t="s">
        <v>156</v>
      </c>
      <c r="C10" s="44" t="s">
        <v>18</v>
      </c>
      <c r="D10" s="44" t="s">
        <v>157</v>
      </c>
      <c r="E10" s="44" t="s">
        <v>158</v>
      </c>
      <c r="F10" s="44" t="s">
        <v>160</v>
      </c>
      <c r="G10" s="44" t="s">
        <v>161</v>
      </c>
      <c r="H10" s="44" t="s">
        <v>148</v>
      </c>
      <c r="I10" s="44" t="s">
        <v>159</v>
      </c>
    </row>
    <row r="11" spans="2:9" x14ac:dyDescent="0.2">
      <c r="B11" s="44">
        <v>0</v>
      </c>
      <c r="C11" s="94">
        <f>$C$3+B11*$C$7</f>
        <v>0</v>
      </c>
      <c r="D11" s="94">
        <f>C4</f>
        <v>1</v>
      </c>
      <c r="E11" s="94">
        <f>C11*D11</f>
        <v>0</v>
      </c>
      <c r="F11" s="94">
        <f t="shared" ref="F11:F21" si="0">D11+$C$7*E11</f>
        <v>1</v>
      </c>
      <c r="G11" s="110"/>
      <c r="I11" s="94">
        <f t="shared" ref="I11:I21" si="1">EXP(1/2*C11^2)</f>
        <v>1</v>
      </c>
    </row>
    <row r="12" spans="2:9" x14ac:dyDescent="0.2">
      <c r="B12" s="44">
        <v>1</v>
      </c>
      <c r="C12" s="94">
        <f>$C$3+B12*$C$7</f>
        <v>0.1</v>
      </c>
      <c r="D12" s="94">
        <f t="shared" ref="D12:D21" si="2">F11</f>
        <v>1</v>
      </c>
      <c r="E12" s="94">
        <f>C12*D12</f>
        <v>0.1</v>
      </c>
      <c r="F12" s="94">
        <f t="shared" si="0"/>
        <v>1.01</v>
      </c>
      <c r="G12" s="94">
        <f>C12*F11</f>
        <v>0.1</v>
      </c>
      <c r="H12" s="94">
        <f t="shared" ref="H12:H21" si="3">D11+($C$7/2)*(E11+G12)</f>
        <v>1.0049999999999999</v>
      </c>
      <c r="I12" s="94">
        <f t="shared" si="1"/>
        <v>1.005012520859401</v>
      </c>
    </row>
    <row r="13" spans="2:9" x14ac:dyDescent="0.2">
      <c r="B13" s="44">
        <v>2</v>
      </c>
      <c r="C13" s="94">
        <f>$C$3+B13*$C$7</f>
        <v>0.2</v>
      </c>
      <c r="D13" s="94">
        <f t="shared" si="2"/>
        <v>1.01</v>
      </c>
      <c r="E13" s="94">
        <f>C13*D13</f>
        <v>0.20200000000000001</v>
      </c>
      <c r="F13" s="94">
        <f t="shared" si="0"/>
        <v>1.0302</v>
      </c>
      <c r="G13" s="94">
        <f t="shared" ref="G13:G21" si="4">C13*F12</f>
        <v>0.20200000000000001</v>
      </c>
      <c r="H13" s="94">
        <f t="shared" si="3"/>
        <v>1.0150999999999999</v>
      </c>
      <c r="I13" s="94">
        <f t="shared" si="1"/>
        <v>1.0202013400267558</v>
      </c>
    </row>
    <row r="14" spans="2:9" x14ac:dyDescent="0.2">
      <c r="B14" s="44">
        <v>3</v>
      </c>
      <c r="C14" s="94">
        <f>$C$3+B14*$C$7</f>
        <v>0.30000000000000004</v>
      </c>
      <c r="D14" s="94">
        <f t="shared" si="2"/>
        <v>1.0302</v>
      </c>
      <c r="E14" s="94">
        <f t="shared" ref="E14:E21" si="5">C14*D14</f>
        <v>0.30906000000000006</v>
      </c>
      <c r="F14" s="94">
        <f t="shared" si="0"/>
        <v>1.0611060000000001</v>
      </c>
      <c r="G14" s="94">
        <f t="shared" si="4"/>
        <v>0.30906000000000006</v>
      </c>
      <c r="H14" s="94">
        <f t="shared" si="3"/>
        <v>1.0355529999999999</v>
      </c>
      <c r="I14" s="94">
        <f t="shared" si="1"/>
        <v>1.0460278599087169</v>
      </c>
    </row>
    <row r="15" spans="2:9" x14ac:dyDescent="0.2">
      <c r="B15" s="44">
        <v>4</v>
      </c>
      <c r="C15" s="94">
        <f t="shared" ref="C15:C20" si="6">$C$3+B15*$C$7</f>
        <v>0.4</v>
      </c>
      <c r="D15" s="94">
        <f t="shared" si="2"/>
        <v>1.0611060000000001</v>
      </c>
      <c r="E15" s="94">
        <f t="shared" si="5"/>
        <v>0.42444240000000005</v>
      </c>
      <c r="F15" s="94">
        <f t="shared" si="0"/>
        <v>1.1035502400000001</v>
      </c>
      <c r="G15" s="94">
        <f t="shared" si="4"/>
        <v>0.42444240000000005</v>
      </c>
      <c r="H15" s="94">
        <f t="shared" si="3"/>
        <v>1.06687512</v>
      </c>
      <c r="I15" s="94">
        <f t="shared" si="1"/>
        <v>1.0832870676749586</v>
      </c>
    </row>
    <row r="16" spans="2:9" x14ac:dyDescent="0.2">
      <c r="B16" s="44">
        <v>5</v>
      </c>
      <c r="C16" s="94">
        <f t="shared" si="6"/>
        <v>0.5</v>
      </c>
      <c r="D16" s="94">
        <f t="shared" si="2"/>
        <v>1.1035502400000001</v>
      </c>
      <c r="E16" s="94">
        <f t="shared" si="5"/>
        <v>0.55177512000000006</v>
      </c>
      <c r="F16" s="94">
        <f t="shared" si="0"/>
        <v>1.1587277520000001</v>
      </c>
      <c r="G16" s="94">
        <f t="shared" si="4"/>
        <v>0.55177512000000006</v>
      </c>
      <c r="H16" s="94">
        <f t="shared" si="3"/>
        <v>1.1099168760000002</v>
      </c>
      <c r="I16" s="94">
        <f t="shared" si="1"/>
        <v>1.1331484530668263</v>
      </c>
    </row>
    <row r="17" spans="2:9" x14ac:dyDescent="0.2">
      <c r="B17" s="44">
        <v>6</v>
      </c>
      <c r="C17" s="94">
        <f t="shared" si="6"/>
        <v>0.60000000000000009</v>
      </c>
      <c r="D17" s="94">
        <f t="shared" si="2"/>
        <v>1.1587277520000001</v>
      </c>
      <c r="E17" s="94">
        <f t="shared" si="5"/>
        <v>0.69523665120000022</v>
      </c>
      <c r="F17" s="94">
        <f t="shared" si="0"/>
        <v>1.2282514171200001</v>
      </c>
      <c r="G17" s="94">
        <f t="shared" si="4"/>
        <v>0.69523665120000022</v>
      </c>
      <c r="H17" s="94">
        <f t="shared" si="3"/>
        <v>1.1659008285600001</v>
      </c>
      <c r="I17" s="94">
        <f t="shared" si="1"/>
        <v>1.1972173631218102</v>
      </c>
    </row>
    <row r="18" spans="2:9" x14ac:dyDescent="0.2">
      <c r="B18" s="44">
        <v>7</v>
      </c>
      <c r="C18" s="94">
        <f>$C$3+B18*$C$7</f>
        <v>0.70000000000000007</v>
      </c>
      <c r="D18" s="94">
        <f t="shared" si="2"/>
        <v>1.2282514171200001</v>
      </c>
      <c r="E18" s="94">
        <f>C18*D18</f>
        <v>0.85977599198400012</v>
      </c>
      <c r="F18" s="94">
        <f t="shared" si="0"/>
        <v>1.3142290163184001</v>
      </c>
      <c r="G18" s="94">
        <f t="shared" si="4"/>
        <v>0.85977599198400012</v>
      </c>
      <c r="H18" s="94">
        <f t="shared" si="3"/>
        <v>1.2364783841592002</v>
      </c>
      <c r="I18" s="94">
        <f t="shared" si="1"/>
        <v>1.2776213132048866</v>
      </c>
    </row>
    <row r="19" spans="2:9" x14ac:dyDescent="0.2">
      <c r="B19" s="44">
        <v>8</v>
      </c>
      <c r="C19" s="94">
        <f t="shared" si="6"/>
        <v>0.8</v>
      </c>
      <c r="D19" s="94">
        <f t="shared" si="2"/>
        <v>1.3142290163184001</v>
      </c>
      <c r="E19" s="94">
        <f t="shared" si="5"/>
        <v>1.05138321305472</v>
      </c>
      <c r="F19" s="94">
        <f t="shared" si="0"/>
        <v>1.419367337623872</v>
      </c>
      <c r="G19" s="94">
        <f t="shared" si="4"/>
        <v>1.05138321305472</v>
      </c>
      <c r="H19" s="94">
        <f t="shared" si="3"/>
        <v>1.3238093773719362</v>
      </c>
      <c r="I19" s="94">
        <f t="shared" si="1"/>
        <v>1.3771277643359572</v>
      </c>
    </row>
    <row r="20" spans="2:9" x14ac:dyDescent="0.2">
      <c r="B20" s="44">
        <v>9</v>
      </c>
      <c r="C20" s="94">
        <f t="shared" si="6"/>
        <v>0.9</v>
      </c>
      <c r="D20" s="94">
        <f t="shared" si="2"/>
        <v>1.419367337623872</v>
      </c>
      <c r="E20" s="94">
        <f>C20*D20</f>
        <v>1.2774306038614849</v>
      </c>
      <c r="F20" s="94">
        <f t="shared" si="0"/>
        <v>1.5471103980100205</v>
      </c>
      <c r="G20" s="94">
        <f t="shared" si="4"/>
        <v>1.2774306038614849</v>
      </c>
      <c r="H20" s="94">
        <f t="shared" si="3"/>
        <v>1.4306697071642103</v>
      </c>
      <c r="I20" s="94">
        <f t="shared" si="1"/>
        <v>1.499302500056767</v>
      </c>
    </row>
    <row r="21" spans="2:9" x14ac:dyDescent="0.2">
      <c r="B21" s="44">
        <v>10</v>
      </c>
      <c r="C21" s="94">
        <f t="shared" ref="C21" si="7">$C$5+B21*$C$9</f>
        <v>1</v>
      </c>
      <c r="D21" s="94">
        <f t="shared" si="2"/>
        <v>1.5471103980100205</v>
      </c>
      <c r="E21" s="94">
        <f t="shared" si="5"/>
        <v>1.5471103980100205</v>
      </c>
      <c r="F21" s="94">
        <f t="shared" si="0"/>
        <v>1.7018214378110226</v>
      </c>
      <c r="G21" s="94">
        <f t="shared" si="4"/>
        <v>1.5471103980100205</v>
      </c>
      <c r="H21" s="94">
        <f t="shared" si="3"/>
        <v>1.5605943877174473</v>
      </c>
      <c r="I21" s="94">
        <f t="shared" si="1"/>
        <v>1.6487212707001282</v>
      </c>
    </row>
    <row r="23" spans="2:9" x14ac:dyDescent="0.2">
      <c r="G23" s="42" t="s">
        <v>149</v>
      </c>
      <c r="H23" s="114">
        <f>ABS(I21-H21)/I21</f>
        <v>5.3451656473903493E-2</v>
      </c>
    </row>
    <row r="27" spans="2:9" x14ac:dyDescent="0.2">
      <c r="B27" s="44" t="s">
        <v>150</v>
      </c>
      <c r="C27" s="44"/>
      <c r="D27" s="112"/>
      <c r="E27" s="112"/>
      <c r="F27" s="112"/>
      <c r="G27" s="112"/>
      <c r="H27" s="41"/>
      <c r="I27" s="41"/>
    </row>
    <row r="28" spans="2:9" x14ac:dyDescent="0.2">
      <c r="B28" s="44" t="s">
        <v>151</v>
      </c>
      <c r="C28" s="44">
        <v>0</v>
      </c>
      <c r="D28" s="112"/>
      <c r="E28" s="112"/>
      <c r="F28" s="112"/>
      <c r="G28" s="112"/>
      <c r="H28" s="41"/>
      <c r="I28" s="41"/>
    </row>
    <row r="29" spans="2:9" x14ac:dyDescent="0.2">
      <c r="B29" s="44" t="s">
        <v>152</v>
      </c>
      <c r="C29" s="44">
        <v>25</v>
      </c>
      <c r="D29" s="112"/>
      <c r="E29" s="112"/>
      <c r="F29" s="112"/>
      <c r="G29" s="112"/>
      <c r="H29" s="41"/>
      <c r="I29" s="41"/>
    </row>
    <row r="30" spans="2:9" x14ac:dyDescent="0.2">
      <c r="B30" s="44" t="s">
        <v>153</v>
      </c>
      <c r="C30" s="44">
        <v>62</v>
      </c>
      <c r="D30" s="112"/>
      <c r="E30" s="112"/>
      <c r="F30" s="112"/>
      <c r="G30" s="112"/>
      <c r="H30" s="41"/>
      <c r="I30" s="41"/>
    </row>
    <row r="31" spans="2:9" x14ac:dyDescent="0.2">
      <c r="B31" s="44" t="s">
        <v>154</v>
      </c>
      <c r="C31" s="44">
        <v>15</v>
      </c>
      <c r="D31" s="112"/>
      <c r="E31" s="112"/>
      <c r="F31" s="112"/>
      <c r="G31" s="112"/>
      <c r="H31" s="41"/>
      <c r="I31" s="41"/>
    </row>
    <row r="32" spans="2:9" x14ac:dyDescent="0.2">
      <c r="B32" s="44" t="s">
        <v>155</v>
      </c>
      <c r="C32" s="44">
        <f>(C30-C28)/C31</f>
        <v>4.1333333333333337</v>
      </c>
      <c r="D32" s="112"/>
      <c r="E32" s="112"/>
      <c r="F32" s="112"/>
      <c r="G32" s="112"/>
      <c r="H32" s="41"/>
      <c r="I32" s="41"/>
    </row>
    <row r="33" spans="2:9" x14ac:dyDescent="0.2">
      <c r="B33" s="112"/>
      <c r="C33" s="112"/>
      <c r="D33" s="112"/>
      <c r="E33" s="112"/>
      <c r="F33" s="112"/>
      <c r="G33" s="112"/>
      <c r="H33" s="41"/>
      <c r="I33" s="41"/>
    </row>
    <row r="34" spans="2:9" x14ac:dyDescent="0.2">
      <c r="B34" s="112"/>
      <c r="C34" s="112"/>
      <c r="D34" s="112"/>
      <c r="E34" s="112"/>
      <c r="F34" s="112"/>
      <c r="G34" s="112"/>
      <c r="H34" s="41"/>
      <c r="I34" s="41"/>
    </row>
    <row r="35" spans="2:9" x14ac:dyDescent="0.2">
      <c r="B35" s="44" t="s">
        <v>156</v>
      </c>
      <c r="C35" s="44" t="s">
        <v>18</v>
      </c>
      <c r="D35" s="44" t="s">
        <v>157</v>
      </c>
      <c r="E35" s="44" t="s">
        <v>158</v>
      </c>
      <c r="F35" s="44" t="s">
        <v>160</v>
      </c>
      <c r="G35" s="44" t="s">
        <v>161</v>
      </c>
      <c r="H35" s="44" t="s">
        <v>148</v>
      </c>
    </row>
    <row r="36" spans="2:9" x14ac:dyDescent="0.2">
      <c r="B36" s="44">
        <v>0</v>
      </c>
      <c r="C36" s="94">
        <f>$C$28+B36*$C$32</f>
        <v>0</v>
      </c>
      <c r="D36" s="94">
        <f>C29</f>
        <v>25</v>
      </c>
      <c r="E36" s="94">
        <f>0.0225*D36-0.0003*D36^2</f>
        <v>0.375</v>
      </c>
      <c r="F36" s="94">
        <f>D36+$C$32*E36</f>
        <v>26.55</v>
      </c>
      <c r="G36" s="110"/>
      <c r="H36" s="41"/>
    </row>
    <row r="37" spans="2:9" x14ac:dyDescent="0.2">
      <c r="B37" s="44">
        <v>1</v>
      </c>
      <c r="C37" s="94">
        <f t="shared" ref="C37:C51" si="8">$C$28+B37*$C$32</f>
        <v>4.1333333333333337</v>
      </c>
      <c r="D37" s="94">
        <f t="shared" ref="D37:D46" si="9">F36</f>
        <v>26.55</v>
      </c>
      <c r="E37" s="94">
        <f>0.0225*D37-0.0003*D37^2</f>
        <v>0.38590425</v>
      </c>
      <c r="F37" s="94">
        <f t="shared" ref="F37:F46" si="10">D37+$C$32*E37</f>
        <v>28.1450709</v>
      </c>
      <c r="G37" s="94">
        <f>0.0225*F36-0.0003*F36^2</f>
        <v>0.38590425</v>
      </c>
      <c r="H37" s="94">
        <f>D36+($C$32/2)*(E36+G37)</f>
        <v>26.57253545</v>
      </c>
    </row>
    <row r="38" spans="2:9" x14ac:dyDescent="0.2">
      <c r="B38" s="44">
        <v>2</v>
      </c>
      <c r="C38" s="94">
        <f t="shared" si="8"/>
        <v>8.2666666666666675</v>
      </c>
      <c r="D38" s="94">
        <f t="shared" si="9"/>
        <v>28.1450709</v>
      </c>
      <c r="E38" s="94">
        <f t="shared" ref="E38:E51" si="11">0.0225*D38-0.0003*D38^2</f>
        <v>0.39562059046019193</v>
      </c>
      <c r="F38" s="94">
        <f t="shared" si="10"/>
        <v>29.780302673902128</v>
      </c>
      <c r="G38" s="94">
        <f t="shared" ref="G38:G51" si="12">0.0225*F37-0.0003*F37^2</f>
        <v>0.39562059046019193</v>
      </c>
      <c r="H38" s="94">
        <f t="shared" ref="H38:H46" si="13">D37+($C$32/2)*(E37+G38)</f>
        <v>28.165151336951066</v>
      </c>
    </row>
    <row r="39" spans="2:9" x14ac:dyDescent="0.2">
      <c r="B39" s="44">
        <v>3</v>
      </c>
      <c r="C39" s="94">
        <f t="shared" si="8"/>
        <v>12.400000000000002</v>
      </c>
      <c r="D39" s="94">
        <f t="shared" si="9"/>
        <v>29.780302673902128</v>
      </c>
      <c r="E39" s="94">
        <f t="shared" si="11"/>
        <v>0.40399688195803118</v>
      </c>
      <c r="F39" s="94">
        <f t="shared" si="10"/>
        <v>31.450156452661989</v>
      </c>
      <c r="G39" s="94">
        <f t="shared" si="12"/>
        <v>0.40399688195803118</v>
      </c>
      <c r="H39" s="94">
        <f t="shared" si="13"/>
        <v>29.797613676330997</v>
      </c>
    </row>
    <row r="40" spans="2:9" x14ac:dyDescent="0.2">
      <c r="B40" s="44">
        <v>4</v>
      </c>
      <c r="C40" s="94">
        <f t="shared" si="8"/>
        <v>16.533333333333335</v>
      </c>
      <c r="D40" s="94">
        <f t="shared" si="9"/>
        <v>31.450156452661989</v>
      </c>
      <c r="E40" s="94">
        <f t="shared" si="11"/>
        <v>0.41089481791581983</v>
      </c>
      <c r="F40" s="94">
        <f t="shared" si="10"/>
        <v>33.148521700047375</v>
      </c>
      <c r="G40" s="94">
        <f t="shared" si="12"/>
        <v>0.41089481791581983</v>
      </c>
      <c r="H40" s="94">
        <f t="shared" si="13"/>
        <v>31.464412186974755</v>
      </c>
    </row>
    <row r="41" spans="2:9" x14ac:dyDescent="0.2">
      <c r="B41" s="44">
        <v>5</v>
      </c>
      <c r="C41" s="94">
        <f t="shared" si="8"/>
        <v>20.666666666666668</v>
      </c>
      <c r="D41" s="94">
        <f t="shared" si="9"/>
        <v>33.148521700047375</v>
      </c>
      <c r="E41" s="94">
        <f t="shared" si="11"/>
        <v>0.4161943909815124</v>
      </c>
      <c r="F41" s="94">
        <f t="shared" si="10"/>
        <v>34.868791849437628</v>
      </c>
      <c r="G41" s="94">
        <f t="shared" si="12"/>
        <v>0.4161943909815124</v>
      </c>
      <c r="H41" s="94">
        <f t="shared" si="13"/>
        <v>33.159474151049807</v>
      </c>
    </row>
    <row r="42" spans="2:9" x14ac:dyDescent="0.2">
      <c r="B42" s="44">
        <v>6</v>
      </c>
      <c r="C42" s="94">
        <f t="shared" si="8"/>
        <v>24.800000000000004</v>
      </c>
      <c r="D42" s="94">
        <f t="shared" si="9"/>
        <v>34.868791849437628</v>
      </c>
      <c r="E42" s="94">
        <f t="shared" si="11"/>
        <v>0.41979802310052428</v>
      </c>
      <c r="F42" s="94">
        <f t="shared" si="10"/>
        <v>36.603957011586459</v>
      </c>
      <c r="G42" s="94">
        <f t="shared" si="12"/>
        <v>0.41979802310052428</v>
      </c>
      <c r="H42" s="94">
        <f t="shared" si="13"/>
        <v>34.876239355816921</v>
      </c>
    </row>
    <row r="43" spans="2:9" x14ac:dyDescent="0.2">
      <c r="B43" s="44">
        <v>7</v>
      </c>
      <c r="C43" s="94">
        <f t="shared" si="8"/>
        <v>28.933333333333337</v>
      </c>
      <c r="D43" s="94">
        <f t="shared" si="9"/>
        <v>36.603957011586459</v>
      </c>
      <c r="E43" s="94">
        <f t="shared" si="11"/>
        <v>0.42163413208887446</v>
      </c>
      <c r="F43" s="94">
        <f t="shared" si="10"/>
        <v>38.346711424220473</v>
      </c>
      <c r="G43" s="94">
        <f t="shared" si="12"/>
        <v>0.42163413208887446</v>
      </c>
      <c r="H43" s="94">
        <f t="shared" si="13"/>
        <v>36.60775163682905</v>
      </c>
    </row>
    <row r="44" spans="2:9" x14ac:dyDescent="0.2">
      <c r="B44" s="44">
        <v>8</v>
      </c>
      <c r="C44" s="94">
        <f t="shared" si="8"/>
        <v>33.06666666666667</v>
      </c>
      <c r="D44" s="94">
        <f t="shared" si="9"/>
        <v>38.346711424220473</v>
      </c>
      <c r="E44" s="94">
        <f t="shared" si="11"/>
        <v>0.42165992392922841</v>
      </c>
      <c r="F44" s="94">
        <f t="shared" si="10"/>
        <v>40.089572443127949</v>
      </c>
      <c r="G44" s="94">
        <f t="shared" si="12"/>
        <v>0.42165992392922841</v>
      </c>
      <c r="H44" s="94">
        <f t="shared" si="13"/>
        <v>38.346764727357204</v>
      </c>
    </row>
    <row r="45" spans="2:9" x14ac:dyDescent="0.2">
      <c r="B45" s="44">
        <v>9</v>
      </c>
      <c r="C45" s="94">
        <f t="shared" si="8"/>
        <v>37.200000000000003</v>
      </c>
      <c r="D45" s="94">
        <f t="shared" si="9"/>
        <v>40.089572443127949</v>
      </c>
      <c r="E45" s="94">
        <f t="shared" si="11"/>
        <v>0.41986323436853773</v>
      </c>
      <c r="F45" s="94">
        <f t="shared" si="10"/>
        <v>41.825007145184571</v>
      </c>
      <c r="G45" s="94">
        <f t="shared" si="12"/>
        <v>0.41986323436853773</v>
      </c>
      <c r="H45" s="94">
        <f t="shared" si="13"/>
        <v>40.085859284702522</v>
      </c>
    </row>
    <row r="46" spans="2:9" x14ac:dyDescent="0.2">
      <c r="B46" s="44">
        <v>10</v>
      </c>
      <c r="C46" s="94">
        <f t="shared" si="8"/>
        <v>41.333333333333336</v>
      </c>
      <c r="D46" s="94">
        <f t="shared" si="9"/>
        <v>41.825007145184571</v>
      </c>
      <c r="E46" s="94">
        <f t="shared" si="11"/>
        <v>0.4162632939582307</v>
      </c>
      <c r="F46" s="94">
        <f t="shared" si="10"/>
        <v>43.545562093545257</v>
      </c>
      <c r="G46" s="94">
        <f t="shared" si="12"/>
        <v>0.4162632939582307</v>
      </c>
      <c r="H46" s="94">
        <f t="shared" si="13"/>
        <v>41.817567268336603</v>
      </c>
    </row>
    <row r="47" spans="2:9" x14ac:dyDescent="0.2">
      <c r="B47" s="44">
        <v>11</v>
      </c>
      <c r="C47" s="94">
        <f t="shared" si="8"/>
        <v>45.466666666666669</v>
      </c>
      <c r="D47" s="94">
        <f t="shared" ref="D47:D51" si="14">F46</f>
        <v>43.545562093545257</v>
      </c>
      <c r="E47" s="94">
        <f t="shared" si="11"/>
        <v>0.41091035369192663</v>
      </c>
      <c r="F47" s="94">
        <f t="shared" ref="F47:F51" si="15">D47+$C$32*E47</f>
        <v>45.243991555471887</v>
      </c>
      <c r="G47" s="94">
        <f t="shared" si="12"/>
        <v>0.41091035369192663</v>
      </c>
      <c r="H47" s="94">
        <f t="shared" ref="H47:H51" si="16">D46+($C$32/2)*(E46+G47)</f>
        <v>43.534499350328232</v>
      </c>
      <c r="I47" s="41"/>
    </row>
    <row r="48" spans="2:9" x14ac:dyDescent="0.2">
      <c r="B48" s="44">
        <v>12</v>
      </c>
      <c r="C48" s="94">
        <f t="shared" si="8"/>
        <v>49.600000000000009</v>
      </c>
      <c r="D48" s="94">
        <f t="shared" si="14"/>
        <v>45.243991555471887</v>
      </c>
      <c r="E48" s="94">
        <f t="shared" si="11"/>
        <v>0.40388417843663416</v>
      </c>
      <c r="F48" s="94">
        <f t="shared" si="15"/>
        <v>46.913379493009977</v>
      </c>
      <c r="G48" s="94">
        <f t="shared" si="12"/>
        <v>0.40388417843663416</v>
      </c>
      <c r="H48" s="94">
        <f t="shared" si="16"/>
        <v>45.229470793277613</v>
      </c>
    </row>
    <row r="49" spans="2:8" x14ac:dyDescent="0.2">
      <c r="B49" s="44">
        <v>13</v>
      </c>
      <c r="C49" s="94">
        <f t="shared" si="8"/>
        <v>53.733333333333341</v>
      </c>
      <c r="D49" s="94">
        <f t="shared" si="14"/>
        <v>46.913379493009977</v>
      </c>
      <c r="E49" s="94">
        <f t="shared" si="11"/>
        <v>0.39529148595617392</v>
      </c>
      <c r="F49" s="94">
        <f t="shared" si="15"/>
        <v>48.547250968295494</v>
      </c>
      <c r="G49" s="94">
        <f t="shared" si="12"/>
        <v>0.39529148595617392</v>
      </c>
      <c r="H49" s="94">
        <f t="shared" si="16"/>
        <v>46.89562126188369</v>
      </c>
    </row>
    <row r="50" spans="2:8" x14ac:dyDescent="0.2">
      <c r="B50" s="44">
        <v>14</v>
      </c>
      <c r="C50" s="94">
        <f t="shared" si="8"/>
        <v>57.866666666666674</v>
      </c>
      <c r="D50" s="94">
        <f t="shared" si="14"/>
        <v>48.547250968295494</v>
      </c>
      <c r="E50" s="94">
        <f t="shared" si="11"/>
        <v>0.38526247381304823</v>
      </c>
      <c r="F50" s="94">
        <f t="shared" si="15"/>
        <v>50.139669193389423</v>
      </c>
      <c r="G50" s="94">
        <f t="shared" si="12"/>
        <v>0.38526247381304823</v>
      </c>
      <c r="H50" s="94">
        <f t="shared" si="16"/>
        <v>48.526524343199704</v>
      </c>
    </row>
    <row r="51" spans="2:8" x14ac:dyDescent="0.2">
      <c r="B51" s="44">
        <v>15</v>
      </c>
      <c r="C51" s="94">
        <f t="shared" si="8"/>
        <v>62.000000000000007</v>
      </c>
      <c r="D51" s="94">
        <f t="shared" si="14"/>
        <v>50.139669193389423</v>
      </c>
      <c r="E51" s="94">
        <f t="shared" si="11"/>
        <v>0.3739466288045048</v>
      </c>
      <c r="F51" s="94">
        <f t="shared" si="15"/>
        <v>51.685315259114709</v>
      </c>
      <c r="G51" s="94">
        <f t="shared" si="12"/>
        <v>0.3739466288045048</v>
      </c>
      <c r="H51" s="94">
        <f t="shared" si="16"/>
        <v>50.116283113705101</v>
      </c>
    </row>
  </sheetData>
  <phoneticPr fontId="14" type="noConversion"/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F0EE0-5320-4D30-9425-1F68A6B02546}">
  <sheetPr>
    <tabColor theme="4" tint="0.39997558519241921"/>
  </sheetPr>
  <dimension ref="B2:N16"/>
  <sheetViews>
    <sheetView workbookViewId="0">
      <selection activeCell="F3" sqref="F3:G3"/>
    </sheetView>
  </sheetViews>
  <sheetFormatPr baseColWidth="10" defaultRowHeight="15" x14ac:dyDescent="0.2"/>
  <cols>
    <col min="1" max="16384" width="11.5546875" style="116"/>
  </cols>
  <sheetData>
    <row r="2" spans="2:14" x14ac:dyDescent="0.2">
      <c r="C2" s="157" t="s">
        <v>150</v>
      </c>
      <c r="D2" s="158"/>
    </row>
    <row r="3" spans="2:14" x14ac:dyDescent="0.2">
      <c r="C3" s="115" t="s">
        <v>162</v>
      </c>
      <c r="D3" s="115">
        <v>0</v>
      </c>
      <c r="F3" s="115" t="s">
        <v>163</v>
      </c>
      <c r="G3" s="118">
        <v>1.3956123330332999</v>
      </c>
      <c r="K3" s="117"/>
      <c r="L3" s="117"/>
    </row>
    <row r="4" spans="2:14" x14ac:dyDescent="0.2">
      <c r="C4" s="115" t="s">
        <v>152</v>
      </c>
      <c r="D4" s="115">
        <v>1</v>
      </c>
    </row>
    <row r="5" spans="2:14" x14ac:dyDescent="0.2">
      <c r="C5" s="115" t="s">
        <v>153</v>
      </c>
      <c r="D5" s="115">
        <v>1</v>
      </c>
    </row>
    <row r="6" spans="2:14" x14ac:dyDescent="0.2">
      <c r="C6" s="115" t="s">
        <v>154</v>
      </c>
      <c r="D6" s="115">
        <v>6</v>
      </c>
    </row>
    <row r="7" spans="2:14" x14ac:dyDescent="0.2">
      <c r="C7" s="115" t="s">
        <v>155</v>
      </c>
      <c r="D7" s="115">
        <f>(D5-D3)/D6</f>
        <v>0.16666666666666666</v>
      </c>
    </row>
    <row r="9" spans="2:14" x14ac:dyDescent="0.2">
      <c r="B9" s="120" t="s">
        <v>156</v>
      </c>
      <c r="C9" s="120" t="s">
        <v>18</v>
      </c>
      <c r="D9" s="120" t="s">
        <v>157</v>
      </c>
      <c r="E9" s="121" t="s">
        <v>164</v>
      </c>
      <c r="F9" s="120" t="s">
        <v>165</v>
      </c>
      <c r="G9" s="120" t="s">
        <v>166</v>
      </c>
      <c r="H9" s="121" t="s">
        <v>167</v>
      </c>
      <c r="I9" s="120" t="s">
        <v>168</v>
      </c>
      <c r="J9" s="121" t="s">
        <v>169</v>
      </c>
      <c r="K9" s="120" t="s">
        <v>170</v>
      </c>
      <c r="L9" s="120" t="s">
        <v>171</v>
      </c>
      <c r="M9" s="121" t="s">
        <v>172</v>
      </c>
      <c r="N9" s="121" t="s">
        <v>148</v>
      </c>
    </row>
    <row r="10" spans="2:14" x14ac:dyDescent="0.2">
      <c r="B10" s="115">
        <v>0</v>
      </c>
      <c r="C10" s="118">
        <f t="shared" ref="C10:C16" si="0">$D$3+B10*$D$7</f>
        <v>0</v>
      </c>
      <c r="D10" s="118">
        <f>D4</f>
        <v>1</v>
      </c>
      <c r="E10" s="118">
        <f>(C10^2)*D10</f>
        <v>0</v>
      </c>
      <c r="F10" s="118">
        <f t="shared" ref="F10:F16" si="1">C10+$D$7/2</f>
        <v>8.3333333333333329E-2</v>
      </c>
      <c r="G10" s="118">
        <f t="shared" ref="G10:G16" si="2">D10+($D$7*E10)/2</f>
        <v>1</v>
      </c>
      <c r="H10" s="118">
        <f>F10^2*G10</f>
        <v>6.9444444444444441E-3</v>
      </c>
      <c r="I10" s="118">
        <f t="shared" ref="I10:I16" si="3">D10+($D$7*H10)/2</f>
        <v>1.0005787037037037</v>
      </c>
      <c r="J10" s="118">
        <f>F10^2*I10</f>
        <v>6.948463220164609E-3</v>
      </c>
      <c r="K10" s="118">
        <f t="shared" ref="K10:K16" si="4">C10+$D$7</f>
        <v>0.16666666666666666</v>
      </c>
      <c r="L10" s="118">
        <f t="shared" ref="L10:L16" si="5">D10+($D$7*J10)</f>
        <v>1.0011580772033608</v>
      </c>
      <c r="M10" s="118">
        <f>K10^2*L10</f>
        <v>2.7809946588982244E-2</v>
      </c>
      <c r="N10" s="118">
        <f t="shared" ref="N10:N15" si="6">D10+($D$7/6)*(E10+2*H10+2*J10+M10)</f>
        <v>1.00154432671995</v>
      </c>
    </row>
    <row r="11" spans="2:14" x14ac:dyDescent="0.2">
      <c r="B11" s="115">
        <v>1</v>
      </c>
      <c r="C11" s="118">
        <f t="shared" si="0"/>
        <v>0.16666666666666666</v>
      </c>
      <c r="D11" s="118">
        <f>N10</f>
        <v>1.00154432671995</v>
      </c>
      <c r="E11" s="118">
        <f>(C11^2)*D11</f>
        <v>2.782067574222083E-2</v>
      </c>
      <c r="F11" s="118">
        <f t="shared" si="1"/>
        <v>0.25</v>
      </c>
      <c r="G11" s="118">
        <f t="shared" si="2"/>
        <v>1.003862716365135</v>
      </c>
      <c r="H11" s="118">
        <f t="shared" ref="H11:H16" si="7">F11^2*G11</f>
        <v>6.2741419772820939E-2</v>
      </c>
      <c r="I11" s="118">
        <f t="shared" si="3"/>
        <v>1.006772778367685</v>
      </c>
      <c r="J11" s="118">
        <f t="shared" ref="J11:J16" si="8">F11^2*I11</f>
        <v>6.2923298647980311E-2</v>
      </c>
      <c r="K11" s="118">
        <f t="shared" si="4"/>
        <v>0.33333333333333331</v>
      </c>
      <c r="L11" s="118">
        <f t="shared" si="5"/>
        <v>1.0120315431612801</v>
      </c>
      <c r="M11" s="118">
        <f t="shared" ref="M11:M16" si="9">K11^2*L11</f>
        <v>0.11244794924014223</v>
      </c>
      <c r="N11" s="118">
        <f t="shared" si="6"/>
        <v>1.0124220506595045</v>
      </c>
    </row>
    <row r="12" spans="2:14" x14ac:dyDescent="0.2">
      <c r="B12" s="115">
        <v>2</v>
      </c>
      <c r="C12" s="118">
        <f t="shared" si="0"/>
        <v>0.33333333333333331</v>
      </c>
      <c r="D12" s="118">
        <f t="shared" ref="D12:D16" si="10">N11</f>
        <v>1.0124220506595045</v>
      </c>
      <c r="E12" s="118">
        <f t="shared" ref="E12:E16" si="11">(C12^2)*D12</f>
        <v>0.11249133896216716</v>
      </c>
      <c r="F12" s="118">
        <f t="shared" si="1"/>
        <v>0.41666666666666663</v>
      </c>
      <c r="G12" s="118">
        <f t="shared" si="2"/>
        <v>1.0217963289063519</v>
      </c>
      <c r="H12" s="118">
        <f t="shared" si="7"/>
        <v>0.17739519599068604</v>
      </c>
      <c r="I12" s="118">
        <f t="shared" si="3"/>
        <v>1.0272049836587283</v>
      </c>
      <c r="J12" s="118">
        <f t="shared" si="8"/>
        <v>0.1783341985518625</v>
      </c>
      <c r="K12" s="118">
        <f t="shared" si="4"/>
        <v>0.5</v>
      </c>
      <c r="L12" s="118">
        <f t="shared" si="5"/>
        <v>1.0421444170848149</v>
      </c>
      <c r="M12" s="118">
        <f t="shared" si="9"/>
        <v>0.26053610427120372</v>
      </c>
      <c r="N12" s="118">
        <f t="shared" si="6"/>
        <v>1.0425466682239064</v>
      </c>
    </row>
    <row r="13" spans="2:14" x14ac:dyDescent="0.2">
      <c r="B13" s="115">
        <v>3</v>
      </c>
      <c r="C13" s="118">
        <f t="shared" si="0"/>
        <v>0.5</v>
      </c>
      <c r="D13" s="118">
        <f t="shared" si="10"/>
        <v>1.0425466682239064</v>
      </c>
      <c r="E13" s="118">
        <f t="shared" si="11"/>
        <v>0.2606366670559766</v>
      </c>
      <c r="F13" s="118">
        <f t="shared" si="1"/>
        <v>0.58333333333333337</v>
      </c>
      <c r="G13" s="118">
        <f t="shared" si="2"/>
        <v>1.0642663904785712</v>
      </c>
      <c r="H13" s="118">
        <f t="shared" si="7"/>
        <v>0.362146202315625</v>
      </c>
      <c r="I13" s="118">
        <f t="shared" si="3"/>
        <v>1.0727255184168751</v>
      </c>
      <c r="J13" s="118">
        <f t="shared" si="8"/>
        <v>0.36502465557240898</v>
      </c>
      <c r="K13" s="118">
        <f t="shared" si="4"/>
        <v>0.66666666666666663</v>
      </c>
      <c r="L13" s="118">
        <f t="shared" si="5"/>
        <v>1.1033841108193079</v>
      </c>
      <c r="M13" s="118">
        <f t="shared" si="9"/>
        <v>0.49039293814191459</v>
      </c>
      <c r="N13" s="118">
        <f t="shared" si="6"/>
        <v>1.1038069826954053</v>
      </c>
    </row>
    <row r="14" spans="2:14" x14ac:dyDescent="0.2">
      <c r="B14" s="115">
        <v>4</v>
      </c>
      <c r="C14" s="118">
        <f t="shared" si="0"/>
        <v>0.66666666666666663</v>
      </c>
      <c r="D14" s="118">
        <f t="shared" si="10"/>
        <v>1.1038069826954053</v>
      </c>
      <c r="E14" s="118">
        <f t="shared" si="11"/>
        <v>0.4905808811979579</v>
      </c>
      <c r="F14" s="118">
        <f t="shared" si="1"/>
        <v>0.75</v>
      </c>
      <c r="G14" s="118">
        <f t="shared" si="2"/>
        <v>1.1446887227952351</v>
      </c>
      <c r="H14" s="118">
        <f t="shared" si="7"/>
        <v>0.6438874065723198</v>
      </c>
      <c r="I14" s="118">
        <f t="shared" si="3"/>
        <v>1.1574642665764321</v>
      </c>
      <c r="J14" s="118">
        <f t="shared" si="8"/>
        <v>0.65107364994924311</v>
      </c>
      <c r="K14" s="118">
        <f t="shared" si="4"/>
        <v>0.83333333333333326</v>
      </c>
      <c r="L14" s="118">
        <f t="shared" si="5"/>
        <v>1.2123192576869459</v>
      </c>
      <c r="M14" s="118">
        <f t="shared" si="9"/>
        <v>0.84188837339371225</v>
      </c>
      <c r="N14" s="118">
        <f t="shared" si="6"/>
        <v>1.2127622984630386</v>
      </c>
    </row>
    <row r="15" spans="2:14" x14ac:dyDescent="0.2">
      <c r="B15" s="115">
        <v>5</v>
      </c>
      <c r="C15" s="118">
        <f t="shared" si="0"/>
        <v>0.83333333333333326</v>
      </c>
      <c r="D15" s="118">
        <f t="shared" si="10"/>
        <v>1.2127622984630386</v>
      </c>
      <c r="E15" s="118">
        <f t="shared" si="11"/>
        <v>0.84219604059933217</v>
      </c>
      <c r="F15" s="118">
        <f t="shared" si="1"/>
        <v>0.91666666666666663</v>
      </c>
      <c r="G15" s="118">
        <f t="shared" si="2"/>
        <v>1.2829453018463164</v>
      </c>
      <c r="H15" s="118">
        <f t="shared" si="7"/>
        <v>1.078030427245863</v>
      </c>
      <c r="I15" s="118">
        <f t="shared" si="3"/>
        <v>1.3025981674001939</v>
      </c>
      <c r="J15" s="118">
        <f t="shared" si="8"/>
        <v>1.0945442934404406</v>
      </c>
      <c r="K15" s="118">
        <f t="shared" si="4"/>
        <v>0.99999999999999989</v>
      </c>
      <c r="L15" s="118">
        <f t="shared" si="5"/>
        <v>1.3951863473697788</v>
      </c>
      <c r="M15" s="118">
        <f t="shared" si="9"/>
        <v>1.3951863473697785</v>
      </c>
      <c r="N15" s="119">
        <f t="shared" si="6"/>
        <v>1.395610404833642</v>
      </c>
    </row>
    <row r="16" spans="2:14" x14ac:dyDescent="0.2">
      <c r="B16" s="115">
        <v>6</v>
      </c>
      <c r="C16" s="118">
        <f t="shared" si="0"/>
        <v>1</v>
      </c>
      <c r="D16" s="118">
        <f t="shared" si="10"/>
        <v>1.395610404833642</v>
      </c>
      <c r="E16" s="118">
        <f t="shared" si="11"/>
        <v>1.395610404833642</v>
      </c>
      <c r="F16" s="118">
        <f t="shared" si="1"/>
        <v>1.0833333333333333</v>
      </c>
      <c r="G16" s="118">
        <f t="shared" si="2"/>
        <v>1.511911271903112</v>
      </c>
      <c r="H16" s="118">
        <f t="shared" si="7"/>
        <v>1.7743958677196243</v>
      </c>
      <c r="I16" s="118">
        <f t="shared" si="3"/>
        <v>1.5434767271436107</v>
      </c>
      <c r="J16" s="118">
        <f t="shared" si="8"/>
        <v>1.8114414367171541</v>
      </c>
      <c r="K16" s="118">
        <f t="shared" si="4"/>
        <v>1.1666666666666667</v>
      </c>
      <c r="L16" s="118">
        <f t="shared" si="5"/>
        <v>1.6975173109531676</v>
      </c>
      <c r="M16" s="118">
        <f t="shared" si="9"/>
        <v>2.3105096732418118</v>
      </c>
      <c r="N16" s="118"/>
    </row>
  </sheetData>
  <mergeCells count="1">
    <mergeCell ref="C2:D2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5370FA-36B8-4304-876C-E06583D813C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Conceptos</vt:lpstr>
      <vt:lpstr>Biseccion</vt:lpstr>
      <vt:lpstr>Punto-Fijo</vt:lpstr>
      <vt:lpstr>Newton-Raphson</vt:lpstr>
      <vt:lpstr>Secante</vt:lpstr>
      <vt:lpstr>Regla Falsa</vt:lpstr>
      <vt:lpstr>Muller</vt:lpstr>
      <vt:lpstr>Gauss Simple</vt:lpstr>
      <vt:lpstr>Doolitle Y Crout</vt:lpstr>
      <vt:lpstr>Choleski</vt:lpstr>
      <vt:lpstr>JACOBI Y GAUSS-SEIDEL</vt:lpstr>
      <vt:lpstr>Punto-Fijo MV</vt:lpstr>
      <vt:lpstr>Newton-Raphson MV</vt:lpstr>
      <vt:lpstr>LAGRANGE</vt:lpstr>
      <vt:lpstr>Diferencias Divididas</vt:lpstr>
      <vt:lpstr>Diferencias Finitas</vt:lpstr>
      <vt:lpstr>Minimos Cuadrados</vt:lpstr>
      <vt:lpstr>Integracion Numerica</vt:lpstr>
      <vt:lpstr>Integracion Compuesta</vt:lpstr>
      <vt:lpstr>EULER</vt:lpstr>
      <vt:lpstr>EULER MEJORADO</vt:lpstr>
      <vt:lpstr>RUNGE-KUTTA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2022-02-20T19:50:37Z</dcterms:created>
  <dcterms:modified xsi:type="dcterms:W3CDTF">2022-05-15T21:21:59Z</dcterms:modified>
</cp:coreProperties>
</file>