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kr\Desktop\Projects\hackaton-ing\"/>
    </mc:Choice>
  </mc:AlternateContent>
  <xr:revisionPtr revIDLastSave="0" documentId="13_ncr:1_{1ADDC570-7B13-46E8-98D9-8E12E52916AC}" xr6:coauthVersionLast="46" xr6:coauthVersionMax="46" xr10:uidLastSave="{00000000-0000-0000-0000-000000000000}"/>
  <workbookProtection workbookAlgorithmName="SHA-512" workbookHashValue="9z+NAEUgJz7m3SUil4qGnhAcuoNa6wKSbF5EXxQlvzZg4bpXhk40nVqBUkUk8L2kh3j3hAkKByb+89gF4CEEkQ==" workbookSaltValue="aAicAALHzdOjbKtA6ZAdLQ==" workbookSpinCount="100000" lockStructure="1"/>
  <bookViews>
    <workbookView xWindow="-110" yWindow="-110" windowWidth="19420" windowHeight="10420" xr2:uid="{E324C77E-7AB3-49EC-A302-41D2BA9EB94E}"/>
  </bookViews>
  <sheets>
    <sheet name="Use case" sheetId="7" r:id="rId1"/>
    <sheet name="RMSE" sheetId="6" state="hidden" r:id="rId2"/>
    <sheet name="GAP analysis" sheetId="5" state="hidden" r:id="rId3"/>
  </sheets>
  <definedNames>
    <definedName name="cpr_100bps">'GAP analysis'!$J$21</definedName>
    <definedName name="cpr_200bps">'GAP analysis'!$J$22</definedName>
    <definedName name="none_100bps">'GAP analysis'!$J$23</definedName>
    <definedName name="none_200bps">'GAP analysis'!$J$24</definedName>
    <definedName name="rmse_in_cpr">RMSE!$P$3</definedName>
    <definedName name="rmse_in_none">RMSE!$P$4</definedName>
    <definedName name="rmse_in_your">RMSE!$P$2</definedName>
    <definedName name="rmse_out_cpr">RMSE!$AH$3</definedName>
    <definedName name="rmse_out_none">RMSE!$AH$4</definedName>
    <definedName name="rmse_out_your">RMSE!$AH$2</definedName>
    <definedName name="your_100bps">'GAP analysis'!$J$19</definedName>
    <definedName name="your_200bps">'GAP analysis'!$J$20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6" l="1"/>
  <c r="X4" i="6"/>
  <c r="X6" i="6" s="1"/>
  <c r="X5" i="6"/>
  <c r="X3" i="6"/>
  <c r="X2" i="6"/>
  <c r="X7" i="6" l="1"/>
  <c r="V14" i="6"/>
  <c r="T14" i="6"/>
  <c r="X8" i="6" l="1"/>
  <c r="W3" i="6"/>
  <c r="W4" i="6"/>
  <c r="W5" i="6"/>
  <c r="W6" i="6"/>
  <c r="W7" i="6"/>
  <c r="W8" i="6"/>
  <c r="W9" i="6"/>
  <c r="W10" i="6"/>
  <c r="W11" i="6"/>
  <c r="W12" i="6"/>
  <c r="W13" i="6"/>
  <c r="W2" i="6"/>
  <c r="X11" i="6" l="1"/>
  <c r="X10" i="6"/>
  <c r="X9" i="6"/>
  <c r="X12" i="6" s="1"/>
  <c r="X13" i="6" s="1"/>
  <c r="W14" i="6"/>
  <c r="B14" i="5" s="1"/>
  <c r="B13" i="5" l="1"/>
  <c r="B3" i="5"/>
  <c r="M14" i="5"/>
  <c r="L14" i="5"/>
  <c r="J14" i="5"/>
  <c r="K14" i="5"/>
  <c r="B7" i="5"/>
  <c r="B2" i="5"/>
  <c r="B4" i="5"/>
  <c r="B8" i="5"/>
  <c r="B6" i="5"/>
  <c r="B11" i="5"/>
  <c r="B9" i="5"/>
  <c r="B12" i="5"/>
  <c r="B5" i="5"/>
  <c r="B10" i="5"/>
  <c r="K5" i="5" l="1"/>
  <c r="L5" i="5"/>
  <c r="M5" i="5"/>
  <c r="J5" i="5"/>
  <c r="L10" i="5"/>
  <c r="K10" i="5"/>
  <c r="J10" i="5"/>
  <c r="M10" i="5"/>
  <c r="M7" i="5"/>
  <c r="K7" i="5"/>
  <c r="L7" i="5"/>
  <c r="J7" i="5"/>
  <c r="K12" i="5"/>
  <c r="L12" i="5"/>
  <c r="J12" i="5"/>
  <c r="M12" i="5"/>
  <c r="J11" i="5"/>
  <c r="L11" i="5"/>
  <c r="K11" i="5"/>
  <c r="M11" i="5"/>
  <c r="M6" i="5"/>
  <c r="J6" i="5"/>
  <c r="L6" i="5"/>
  <c r="K6" i="5"/>
  <c r="J3" i="5"/>
  <c r="L3" i="5"/>
  <c r="M3" i="5"/>
  <c r="K3" i="5"/>
  <c r="L9" i="5"/>
  <c r="M9" i="5"/>
  <c r="J9" i="5"/>
  <c r="K9" i="5"/>
  <c r="K8" i="5"/>
  <c r="L8" i="5"/>
  <c r="M8" i="5"/>
  <c r="J8" i="5"/>
  <c r="K4" i="5"/>
  <c r="L4" i="5"/>
  <c r="J4" i="5"/>
  <c r="M4" i="5"/>
  <c r="K13" i="5"/>
  <c r="J13" i="5"/>
  <c r="L13" i="5"/>
  <c r="M13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I50" i="6" s="1"/>
  <c r="E51" i="6"/>
  <c r="I51" i="6" s="1"/>
  <c r="E2" i="6"/>
  <c r="AC5" i="6"/>
  <c r="AC13" i="6"/>
  <c r="AA2" i="6"/>
  <c r="Y3" i="6"/>
  <c r="AC3" i="6" s="1"/>
  <c r="Y4" i="6"/>
  <c r="AC4" i="6" s="1"/>
  <c r="Y5" i="6"/>
  <c r="Y6" i="6"/>
  <c r="AC6" i="6" s="1"/>
  <c r="Y7" i="6"/>
  <c r="Y8" i="6"/>
  <c r="Y9" i="6"/>
  <c r="Y10" i="6"/>
  <c r="AC10" i="6" s="1"/>
  <c r="Y11" i="6"/>
  <c r="AC11" i="6" s="1"/>
  <c r="Y12" i="6"/>
  <c r="AC12" i="6" s="1"/>
  <c r="Y13" i="6"/>
  <c r="Y2" i="6"/>
  <c r="AC2" i="6" s="1"/>
  <c r="N3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H3" i="6"/>
  <c r="N3" i="6" s="1"/>
  <c r="H4" i="6"/>
  <c r="N4" i="6" s="1"/>
  <c r="H5" i="6"/>
  <c r="N5" i="6" s="1"/>
  <c r="H6" i="6"/>
  <c r="H7" i="6"/>
  <c r="H8" i="6"/>
  <c r="N8" i="6" s="1"/>
  <c r="H9" i="6"/>
  <c r="H10" i="6"/>
  <c r="H11" i="6"/>
  <c r="N11" i="6" s="1"/>
  <c r="H12" i="6"/>
  <c r="N12" i="6" s="1"/>
  <c r="H13" i="6"/>
  <c r="N13" i="6" s="1"/>
  <c r="H14" i="6"/>
  <c r="H15" i="6"/>
  <c r="H16" i="6"/>
  <c r="N16" i="6" s="1"/>
  <c r="H17" i="6"/>
  <c r="H18" i="6"/>
  <c r="H19" i="6"/>
  <c r="N19" i="6" s="1"/>
  <c r="H20" i="6"/>
  <c r="N20" i="6" s="1"/>
  <c r="H21" i="6"/>
  <c r="N21" i="6" s="1"/>
  <c r="H22" i="6"/>
  <c r="H23" i="6"/>
  <c r="H24" i="6"/>
  <c r="N24" i="6" s="1"/>
  <c r="H25" i="6"/>
  <c r="H26" i="6"/>
  <c r="H27" i="6"/>
  <c r="N27" i="6" s="1"/>
  <c r="H28" i="6"/>
  <c r="N28" i="6" s="1"/>
  <c r="H29" i="6"/>
  <c r="N29" i="6" s="1"/>
  <c r="H30" i="6"/>
  <c r="H31" i="6"/>
  <c r="H32" i="6"/>
  <c r="H33" i="6"/>
  <c r="H34" i="6"/>
  <c r="H35" i="6"/>
  <c r="N35" i="6" s="1"/>
  <c r="H36" i="6"/>
  <c r="N36" i="6" s="1"/>
  <c r="H37" i="6"/>
  <c r="N37" i="6" s="1"/>
  <c r="H38" i="6"/>
  <c r="H39" i="6"/>
  <c r="H40" i="6"/>
  <c r="N40" i="6" s="1"/>
  <c r="H41" i="6"/>
  <c r="H42" i="6"/>
  <c r="H43" i="6"/>
  <c r="N43" i="6" s="1"/>
  <c r="H44" i="6"/>
  <c r="N44" i="6" s="1"/>
  <c r="H45" i="6"/>
  <c r="N45" i="6" s="1"/>
  <c r="H46" i="6"/>
  <c r="H47" i="6"/>
  <c r="H48" i="6"/>
  <c r="N48" i="6" s="1"/>
  <c r="H49" i="6"/>
  <c r="H50" i="6"/>
  <c r="H51" i="6"/>
  <c r="N51" i="6" s="1"/>
  <c r="N49" i="6" l="1"/>
  <c r="Y14" i="6"/>
  <c r="D14" i="5" s="1"/>
  <c r="D2" i="5"/>
  <c r="D6" i="5"/>
  <c r="D13" i="5"/>
  <c r="D12" i="5"/>
  <c r="D4" i="5"/>
  <c r="AC9" i="6"/>
  <c r="D11" i="5"/>
  <c r="D3" i="5"/>
  <c r="AC8" i="6"/>
  <c r="L50" i="6"/>
  <c r="N41" i="6"/>
  <c r="N33" i="6"/>
  <c r="N25" i="6"/>
  <c r="N17" i="6"/>
  <c r="N9" i="6"/>
  <c r="D10" i="5"/>
  <c r="AC7" i="6"/>
  <c r="N46" i="6"/>
  <c r="N38" i="6"/>
  <c r="N30" i="6"/>
  <c r="N22" i="6"/>
  <c r="N14" i="6"/>
  <c r="N6" i="6"/>
  <c r="N50" i="6"/>
  <c r="N42" i="6"/>
  <c r="N34" i="6"/>
  <c r="N26" i="6"/>
  <c r="N18" i="6"/>
  <c r="N10" i="6"/>
  <c r="L51" i="6"/>
  <c r="N47" i="6"/>
  <c r="N39" i="6"/>
  <c r="N31" i="6"/>
  <c r="N23" i="6"/>
  <c r="N15" i="6"/>
  <c r="N7" i="6"/>
  <c r="R13" i="5" l="1"/>
  <c r="T13" i="5"/>
  <c r="S13" i="5"/>
  <c r="U13" i="5"/>
  <c r="S10" i="5"/>
  <c r="T10" i="5"/>
  <c r="R10" i="5"/>
  <c r="U10" i="5"/>
  <c r="S3" i="5"/>
  <c r="T3" i="5"/>
  <c r="U3" i="5"/>
  <c r="R3" i="5"/>
  <c r="R11" i="5"/>
  <c r="S11" i="5"/>
  <c r="U11" i="5"/>
  <c r="T11" i="5"/>
  <c r="S14" i="5"/>
  <c r="T14" i="5"/>
  <c r="U14" i="5"/>
  <c r="R14" i="5"/>
  <c r="D8" i="5"/>
  <c r="S6" i="5"/>
  <c r="T6" i="5"/>
  <c r="R6" i="5"/>
  <c r="U6" i="5"/>
  <c r="S4" i="5"/>
  <c r="R4" i="5"/>
  <c r="T4" i="5"/>
  <c r="U4" i="5"/>
  <c r="D7" i="5"/>
  <c r="S12" i="5"/>
  <c r="T12" i="5"/>
  <c r="R12" i="5"/>
  <c r="U12" i="5"/>
  <c r="D9" i="5"/>
  <c r="D5" i="5"/>
  <c r="I3" i="6"/>
  <c r="L3" i="6" s="1"/>
  <c r="I2" i="6"/>
  <c r="S8" i="5" l="1"/>
  <c r="T8" i="5"/>
  <c r="U8" i="5"/>
  <c r="R8" i="5"/>
  <c r="R5" i="5"/>
  <c r="T5" i="5"/>
  <c r="T16" i="5" s="1"/>
  <c r="S5" i="5"/>
  <c r="S16" i="5" s="1"/>
  <c r="J24" i="5" s="1"/>
  <c r="M4" i="7" s="1"/>
  <c r="U5" i="5"/>
  <c r="U16" i="5" s="1"/>
  <c r="R16" i="5"/>
  <c r="J23" i="5" s="1"/>
  <c r="M3" i="7" s="1"/>
  <c r="R7" i="5"/>
  <c r="U7" i="5"/>
  <c r="S7" i="5"/>
  <c r="T7" i="5"/>
  <c r="R9" i="5"/>
  <c r="U9" i="5"/>
  <c r="S9" i="5"/>
  <c r="T9" i="5"/>
  <c r="Z6" i="6"/>
  <c r="AF6" i="6" s="1"/>
  <c r="Z7" i="6"/>
  <c r="AF7" i="6" s="1"/>
  <c r="Z3" i="6"/>
  <c r="AF3" i="6" s="1"/>
  <c r="Z9" i="6"/>
  <c r="AF9" i="6" s="1"/>
  <c r="Z10" i="6"/>
  <c r="AF10" i="6" s="1"/>
  <c r="Z4" i="6"/>
  <c r="AF4" i="6" s="1"/>
  <c r="Z8" i="6"/>
  <c r="AF8" i="6" s="1"/>
  <c r="Z12" i="6"/>
  <c r="AF12" i="6" s="1"/>
  <c r="Z13" i="6"/>
  <c r="AF13" i="6" s="1"/>
  <c r="Z5" i="6"/>
  <c r="AF5" i="6" s="1"/>
  <c r="Z2" i="6"/>
  <c r="AF2" i="6" s="1"/>
  <c r="H2" i="6"/>
  <c r="L2" i="6" s="1"/>
  <c r="Z11" i="6"/>
  <c r="AF11" i="6" s="1"/>
  <c r="AH4" i="6" l="1"/>
  <c r="H4" i="7" s="1"/>
  <c r="F7" i="6"/>
  <c r="F15" i="6"/>
  <c r="F23" i="6"/>
  <c r="F31" i="6"/>
  <c r="F39" i="6"/>
  <c r="F47" i="6"/>
  <c r="F32" i="6"/>
  <c r="F9" i="6"/>
  <c r="F49" i="6"/>
  <c r="F10" i="6"/>
  <c r="F18" i="6"/>
  <c r="F26" i="6"/>
  <c r="F34" i="6"/>
  <c r="F42" i="6"/>
  <c r="F50" i="6"/>
  <c r="F40" i="6"/>
  <c r="F25" i="6"/>
  <c r="F3" i="6"/>
  <c r="J3" i="6" s="1"/>
  <c r="M3" i="6" s="1"/>
  <c r="F11" i="6"/>
  <c r="F19" i="6"/>
  <c r="F27" i="6"/>
  <c r="F35" i="6"/>
  <c r="F43" i="6"/>
  <c r="F51" i="6"/>
  <c r="F13" i="6"/>
  <c r="F16" i="6"/>
  <c r="F41" i="6"/>
  <c r="F4" i="6"/>
  <c r="J4" i="6" s="1"/>
  <c r="M4" i="6" s="1"/>
  <c r="F12" i="6"/>
  <c r="F20" i="6"/>
  <c r="F28" i="6"/>
  <c r="F36" i="6"/>
  <c r="F44" i="6"/>
  <c r="F2" i="6"/>
  <c r="F5" i="6"/>
  <c r="J5" i="6" s="1"/>
  <c r="M5" i="6" s="1"/>
  <c r="F21" i="6"/>
  <c r="F29" i="6"/>
  <c r="F37" i="6"/>
  <c r="F45" i="6"/>
  <c r="F8" i="6"/>
  <c r="F48" i="6"/>
  <c r="F33" i="6"/>
  <c r="F6" i="6"/>
  <c r="J6" i="6" s="1"/>
  <c r="M6" i="6" s="1"/>
  <c r="F14" i="6"/>
  <c r="F22" i="6"/>
  <c r="F30" i="6"/>
  <c r="F38" i="6"/>
  <c r="F46" i="6"/>
  <c r="F24" i="6"/>
  <c r="F17" i="6"/>
  <c r="N2" i="6"/>
  <c r="P4" i="6" s="1"/>
  <c r="H3" i="7" s="1"/>
  <c r="M2" i="6"/>
  <c r="J7" i="6"/>
  <c r="M7" i="6" s="1"/>
  <c r="I4" i="6"/>
  <c r="L4" i="6" s="1"/>
  <c r="AB7" i="6" l="1"/>
  <c r="AE7" i="6" s="1"/>
  <c r="AB10" i="6"/>
  <c r="AE10" i="6" s="1"/>
  <c r="AB6" i="6"/>
  <c r="AE6" i="6" s="1"/>
  <c r="AB4" i="6"/>
  <c r="AE4" i="6" s="1"/>
  <c r="AB2" i="6"/>
  <c r="AE2" i="6" s="1"/>
  <c r="X14" i="6"/>
  <c r="C14" i="5" s="1"/>
  <c r="AB5" i="6"/>
  <c r="AE5" i="6" s="1"/>
  <c r="AB9" i="6"/>
  <c r="AE9" i="6" s="1"/>
  <c r="AB8" i="6"/>
  <c r="AE8" i="6" s="1"/>
  <c r="AB11" i="6"/>
  <c r="AE11" i="6" s="1"/>
  <c r="AB13" i="6"/>
  <c r="AE13" i="6" s="1"/>
  <c r="AB12" i="6"/>
  <c r="AE12" i="6" s="1"/>
  <c r="AB3" i="6"/>
  <c r="AE3" i="6" s="1"/>
  <c r="J8" i="6"/>
  <c r="M8" i="6" s="1"/>
  <c r="M16" i="5"/>
  <c r="L16" i="5"/>
  <c r="K16" i="5"/>
  <c r="J20" i="5" s="1"/>
  <c r="K4" i="7" s="1"/>
  <c r="J16" i="5"/>
  <c r="J19" i="5" s="1"/>
  <c r="K3" i="7" s="1"/>
  <c r="I5" i="6"/>
  <c r="L5" i="6" s="1"/>
  <c r="C13" i="5" l="1"/>
  <c r="P13" i="5" s="1"/>
  <c r="C11" i="5"/>
  <c r="Q11" i="5" s="1"/>
  <c r="C4" i="5"/>
  <c r="O4" i="5" s="1"/>
  <c r="C6" i="5"/>
  <c r="N6" i="5" s="1"/>
  <c r="C2" i="5"/>
  <c r="C12" i="5"/>
  <c r="C9" i="5"/>
  <c r="O13" i="5"/>
  <c r="N13" i="5"/>
  <c r="Q13" i="5"/>
  <c r="C5" i="5"/>
  <c r="C10" i="5"/>
  <c r="Q14" i="5"/>
  <c r="P14" i="5"/>
  <c r="N14" i="5"/>
  <c r="O14" i="5"/>
  <c r="C3" i="5"/>
  <c r="C8" i="5"/>
  <c r="AH3" i="6"/>
  <c r="G4" i="7" s="1"/>
  <c r="C7" i="5"/>
  <c r="J9" i="6"/>
  <c r="M9" i="6" s="1"/>
  <c r="I6" i="6"/>
  <c r="L6" i="6" s="1"/>
  <c r="O6" i="5" l="1"/>
  <c r="O11" i="5"/>
  <c r="N11" i="5"/>
  <c r="P11" i="5"/>
  <c r="N4" i="5"/>
  <c r="Q6" i="5"/>
  <c r="P4" i="5"/>
  <c r="P6" i="5"/>
  <c r="Q4" i="5"/>
  <c r="Q7" i="5"/>
  <c r="O7" i="5"/>
  <c r="P7" i="5"/>
  <c r="N7" i="5"/>
  <c r="P10" i="5"/>
  <c r="O10" i="5"/>
  <c r="N10" i="5"/>
  <c r="Q10" i="5"/>
  <c r="O5" i="5"/>
  <c r="Q5" i="5"/>
  <c r="N5" i="5"/>
  <c r="P5" i="5"/>
  <c r="P9" i="5"/>
  <c r="Q9" i="5"/>
  <c r="N9" i="5"/>
  <c r="O9" i="5"/>
  <c r="O8" i="5"/>
  <c r="Q8" i="5"/>
  <c r="N8" i="5"/>
  <c r="P8" i="5"/>
  <c r="O12" i="5"/>
  <c r="P12" i="5"/>
  <c r="Q12" i="5"/>
  <c r="N12" i="5"/>
  <c r="N3" i="5"/>
  <c r="Q3" i="5"/>
  <c r="P3" i="5"/>
  <c r="O3" i="5"/>
  <c r="J10" i="6"/>
  <c r="M10" i="6" s="1"/>
  <c r="I7" i="6"/>
  <c r="L7" i="6" s="1"/>
  <c r="O16" i="5" l="1"/>
  <c r="J22" i="5" s="1"/>
  <c r="L4" i="7" s="1"/>
  <c r="N16" i="5"/>
  <c r="J21" i="5" s="1"/>
  <c r="L3" i="7" s="1"/>
  <c r="P16" i="5"/>
  <c r="Q16" i="5"/>
  <c r="J11" i="6"/>
  <c r="M11" i="6" s="1"/>
  <c r="I8" i="6"/>
  <c r="L8" i="6" s="1"/>
  <c r="J12" i="6" l="1"/>
  <c r="M12" i="6" s="1"/>
  <c r="I9" i="6"/>
  <c r="L9" i="6" s="1"/>
  <c r="J13" i="6" l="1"/>
  <c r="M13" i="6" s="1"/>
  <c r="I10" i="6"/>
  <c r="L10" i="6" s="1"/>
  <c r="J14" i="6" l="1"/>
  <c r="M14" i="6" s="1"/>
  <c r="I11" i="6"/>
  <c r="L11" i="6" s="1"/>
  <c r="J15" i="6" l="1"/>
  <c r="M15" i="6" s="1"/>
  <c r="I12" i="6"/>
  <c r="L12" i="6" s="1"/>
  <c r="J16" i="6" l="1"/>
  <c r="M16" i="6" s="1"/>
  <c r="I13" i="6"/>
  <c r="L13" i="6" s="1"/>
  <c r="J17" i="6" l="1"/>
  <c r="M17" i="6" s="1"/>
  <c r="I14" i="6"/>
  <c r="L14" i="6" s="1"/>
  <c r="J18" i="6" l="1"/>
  <c r="M18" i="6" s="1"/>
  <c r="I15" i="6"/>
  <c r="L15" i="6" s="1"/>
  <c r="J19" i="6" l="1"/>
  <c r="M19" i="6" s="1"/>
  <c r="I16" i="6"/>
  <c r="L16" i="6" s="1"/>
  <c r="J20" i="6" l="1"/>
  <c r="M20" i="6" s="1"/>
  <c r="I17" i="6"/>
  <c r="L17" i="6" s="1"/>
  <c r="J21" i="6" l="1"/>
  <c r="M21" i="6" s="1"/>
  <c r="I18" i="6"/>
  <c r="L18" i="6" s="1"/>
  <c r="J22" i="6" l="1"/>
  <c r="M22" i="6" s="1"/>
  <c r="I19" i="6"/>
  <c r="L19" i="6" s="1"/>
  <c r="J23" i="6" l="1"/>
  <c r="M23" i="6" s="1"/>
  <c r="I20" i="6"/>
  <c r="L20" i="6" s="1"/>
  <c r="J24" i="6" l="1"/>
  <c r="M24" i="6" s="1"/>
  <c r="I21" i="6"/>
  <c r="L21" i="6" s="1"/>
  <c r="J25" i="6" l="1"/>
  <c r="M25" i="6" s="1"/>
  <c r="I22" i="6"/>
  <c r="L22" i="6" s="1"/>
  <c r="J26" i="6" l="1"/>
  <c r="M26" i="6" s="1"/>
  <c r="I23" i="6"/>
  <c r="L23" i="6" s="1"/>
  <c r="J27" i="6" l="1"/>
  <c r="M27" i="6" s="1"/>
  <c r="I24" i="6"/>
  <c r="L24" i="6" s="1"/>
  <c r="J28" i="6" l="1"/>
  <c r="M28" i="6" s="1"/>
  <c r="I25" i="6"/>
  <c r="L25" i="6" s="1"/>
  <c r="J29" i="6" l="1"/>
  <c r="M29" i="6" s="1"/>
  <c r="I26" i="6"/>
  <c r="L26" i="6" s="1"/>
  <c r="J30" i="6" l="1"/>
  <c r="M30" i="6" s="1"/>
  <c r="I27" i="6"/>
  <c r="L27" i="6" s="1"/>
  <c r="J31" i="6" l="1"/>
  <c r="M31" i="6" s="1"/>
  <c r="I28" i="6"/>
  <c r="L28" i="6" s="1"/>
  <c r="J32" i="6" l="1"/>
  <c r="M32" i="6" s="1"/>
  <c r="I29" i="6"/>
  <c r="L29" i="6" s="1"/>
  <c r="J33" i="6" l="1"/>
  <c r="M33" i="6" s="1"/>
  <c r="I30" i="6"/>
  <c r="L30" i="6" s="1"/>
  <c r="J34" i="6" l="1"/>
  <c r="M34" i="6" s="1"/>
  <c r="I31" i="6"/>
  <c r="L31" i="6" s="1"/>
  <c r="J35" i="6" l="1"/>
  <c r="M35" i="6" s="1"/>
  <c r="I32" i="6"/>
  <c r="L32" i="6" s="1"/>
  <c r="J36" i="6" l="1"/>
  <c r="M36" i="6" s="1"/>
  <c r="I33" i="6"/>
  <c r="L33" i="6" s="1"/>
  <c r="J37" i="6" l="1"/>
  <c r="M37" i="6" s="1"/>
  <c r="I34" i="6"/>
  <c r="L34" i="6" s="1"/>
  <c r="J38" i="6" l="1"/>
  <c r="M38" i="6" s="1"/>
  <c r="I35" i="6"/>
  <c r="L35" i="6" s="1"/>
  <c r="J39" i="6" l="1"/>
  <c r="M39" i="6" s="1"/>
  <c r="I36" i="6"/>
  <c r="L36" i="6" s="1"/>
  <c r="J40" i="6" l="1"/>
  <c r="M40" i="6" s="1"/>
  <c r="I37" i="6"/>
  <c r="L37" i="6" s="1"/>
  <c r="J41" i="6" l="1"/>
  <c r="M41" i="6" s="1"/>
  <c r="I38" i="6"/>
  <c r="L38" i="6" s="1"/>
  <c r="J42" i="6" l="1"/>
  <c r="M42" i="6" s="1"/>
  <c r="I39" i="6"/>
  <c r="L39" i="6" s="1"/>
  <c r="J43" i="6" l="1"/>
  <c r="M43" i="6" s="1"/>
  <c r="I40" i="6"/>
  <c r="L40" i="6" s="1"/>
  <c r="J44" i="6" l="1"/>
  <c r="M44" i="6" s="1"/>
  <c r="I41" i="6"/>
  <c r="L41" i="6" s="1"/>
  <c r="J45" i="6" l="1"/>
  <c r="M45" i="6" s="1"/>
  <c r="I42" i="6"/>
  <c r="L42" i="6" s="1"/>
  <c r="J46" i="6" l="1"/>
  <c r="M46" i="6" s="1"/>
  <c r="I43" i="6"/>
  <c r="L43" i="6" s="1"/>
  <c r="J47" i="6" l="1"/>
  <c r="M47" i="6" s="1"/>
  <c r="I44" i="6"/>
  <c r="L44" i="6" s="1"/>
  <c r="J48" i="6" l="1"/>
  <c r="M48" i="6" s="1"/>
  <c r="I45" i="6"/>
  <c r="L45" i="6" s="1"/>
  <c r="J49" i="6" l="1"/>
  <c r="M49" i="6" s="1"/>
  <c r="I46" i="6"/>
  <c r="L46" i="6" s="1"/>
  <c r="J51" i="6" l="1"/>
  <c r="M51" i="6" s="1"/>
  <c r="P3" i="6" s="1"/>
  <c r="G3" i="7" s="1"/>
  <c r="J50" i="6"/>
  <c r="M50" i="6" s="1"/>
  <c r="I47" i="6"/>
  <c r="L47" i="6" s="1"/>
  <c r="I48" i="6" l="1"/>
  <c r="L48" i="6" s="1"/>
  <c r="I49" i="6" l="1"/>
  <c r="L49" i="6" s="1"/>
  <c r="P2" i="6" l="1"/>
  <c r="F3" i="7" s="1"/>
  <c r="AD2" i="6"/>
  <c r="AA3" i="6" l="1"/>
  <c r="AD3" i="6" s="1"/>
  <c r="AA4" i="6" l="1"/>
  <c r="AD4" i="6" s="1"/>
  <c r="AA5" i="6" l="1"/>
  <c r="AD5" i="6" s="1"/>
  <c r="AA6" i="6" l="1"/>
  <c r="AD6" i="6" s="1"/>
  <c r="AA7" i="6" l="1"/>
  <c r="AD7" i="6" s="1"/>
  <c r="AA8" i="6" l="1"/>
  <c r="AD8" i="6" s="1"/>
  <c r="AA9" i="6" l="1"/>
  <c r="AD9" i="6" s="1"/>
  <c r="AA10" i="6" l="1"/>
  <c r="AD10" i="6" s="1"/>
  <c r="AA11" i="6" l="1"/>
  <c r="AD11" i="6" s="1"/>
  <c r="AA12" i="6" l="1"/>
  <c r="AD12" i="6" s="1"/>
  <c r="AA13" i="6" l="1"/>
  <c r="AD13" i="6" s="1"/>
  <c r="AH2" i="6" l="1"/>
  <c r="F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BROŻEK, M. (MARCIN)</author>
  </authors>
  <commentList>
    <comment ref="C2" authorId="0" shapeId="0" xr:uid="{588A2D92-6F85-42E2-BD12-43C717033B54}">
      <text>
        <r>
          <rPr>
            <b/>
            <sz val="9"/>
            <color indexed="81"/>
            <rFont val="Tahoma"/>
            <family val="2"/>
          </rPr>
          <t>Please fill in with your model results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<sst xmlns="http://schemas.openxmlformats.org/spreadsheetml/2006/main" count="67" uniqueCount="38">
  <si>
    <t>real prepayment</t>
  </si>
  <si>
    <t>modelled prepayment</t>
  </si>
  <si>
    <t>outstanding volume</t>
  </si>
  <si>
    <t>RPR</t>
  </si>
  <si>
    <t>MPR</t>
  </si>
  <si>
    <t>vol * squared difference</t>
  </si>
  <si>
    <t>RMSE (in sample)</t>
  </si>
  <si>
    <t>RMSE (out of sample)</t>
  </si>
  <si>
    <t>No Model</t>
  </si>
  <si>
    <t>Type of sample</t>
  </si>
  <si>
    <t>Out-of-sample</t>
  </si>
  <si>
    <t>In-sample</t>
  </si>
  <si>
    <t>Your Model</t>
  </si>
  <si>
    <t>Modelled prepayment</t>
  </si>
  <si>
    <t>modelled prepayment CPR</t>
  </si>
  <si>
    <t>modelled prepayment none</t>
  </si>
  <si>
    <t>MPR CPR</t>
  </si>
  <si>
    <t>MPR none</t>
  </si>
  <si>
    <t>CPR</t>
  </si>
  <si>
    <t>none</t>
  </si>
  <si>
    <t>vol * squared difference CPR</t>
  </si>
  <si>
    <t>vol * squared difference None</t>
  </si>
  <si>
    <t>outstanding volume scheduled</t>
  </si>
  <si>
    <t>+- 100 bps</t>
  </si>
  <si>
    <t>+- 200 bps</t>
  </si>
  <si>
    <t>GAP analysis - impact on P&amp;L</t>
  </si>
  <si>
    <t>real installment</t>
  </si>
  <si>
    <t>original installment</t>
  </si>
  <si>
    <t>inverse_cum_model</t>
  </si>
  <si>
    <t>inverse_cum_cpr</t>
  </si>
  <si>
    <t>inverse_cum_none</t>
  </si>
  <si>
    <t>Your</t>
  </si>
  <si>
    <t>NONE</t>
  </si>
  <si>
    <t>None</t>
  </si>
  <si>
    <t>+-1%</t>
  </si>
  <si>
    <t>+-2%</t>
  </si>
  <si>
    <t>Date</t>
  </si>
  <si>
    <t>Adjusted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</si>
</sst>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[$-409]yyyy\-mm\-dd"/>
    <numFmt numFmtId="165" formatCode="_-* #,##0_-;\-* #,##0_-;_-* &quot;-&quot;??_-;_-@_-"/>
  </numFmts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sz val="11"/>
      <color theme="1"/>
      <name val="ING Me"/>
    </font>
    <font>
      <b/>
      <sz val="9"/>
      <color indexed="81"/>
      <name val="Tahoma"/>
      <family val="2"/>
    </font>
    <font>
      <b/>
      <sz val="10"/>
      <color theme="0"/>
      <name val="ING Me"/>
    </font>
    <font>
      <sz val="10"/>
      <color theme="1"/>
      <name val="ING Me"/>
    </font>
    <font>
      <sz val="10"/>
      <color theme="0"/>
      <name val="ING Me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A8A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5" fontId="0" fillId="0" borderId="0" xfId="1" applyNumberFormat="1" applyFont="1" applyFill="1"/>
    <xf numFmtId="10" fontId="0" fillId="0" borderId="0" xfId="2" applyNumberFormat="1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44" fontId="0" fillId="0" borderId="0" xfId="3" applyFont="1"/>
    <xf numFmtId="0" fontId="0" fillId="0" borderId="0" xfId="0" quotePrefix="1"/>
    <xf numFmtId="0" fontId="3" fillId="3" borderId="0" xfId="0" applyFont="1" applyFill="1"/>
    <xf numFmtId="165" fontId="3" fillId="3" borderId="0" xfId="0" applyNumberFormat="1" applyFont="1" applyFill="1"/>
    <xf numFmtId="165" fontId="3" fillId="3" borderId="0" xfId="1" applyNumberFormat="1" applyFont="1" applyFill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164" fontId="7" fillId="5" borderId="10" xfId="0" applyNumberFormat="1" applyFont="1" applyFill="1" applyBorder="1"/>
    <xf numFmtId="165" fontId="6" fillId="6" borderId="6" xfId="0" applyNumberFormat="1" applyFont="1" applyFill="1" applyBorder="1" applyProtection="1">
      <protection locked="0"/>
    </xf>
    <xf numFmtId="165" fontId="6" fillId="3" borderId="0" xfId="0" applyNumberFormat="1" applyFont="1" applyFill="1"/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 wrapText="1"/>
    </xf>
    <xf numFmtId="164" fontId="7" fillId="5" borderId="11" xfId="0" applyNumberFormat="1" applyFont="1" applyFill="1" applyBorder="1"/>
    <xf numFmtId="165" fontId="5" fillId="5" borderId="11" xfId="0" applyNumberFormat="1" applyFont="1" applyFill="1" applyBorder="1" applyAlignment="1">
      <alignment horizontal="center" vertical="center"/>
    </xf>
    <xf numFmtId="10" fontId="6" fillId="3" borderId="0" xfId="2" applyNumberFormat="1" applyFont="1" applyFill="1" applyBorder="1" applyAlignment="1">
      <alignment horizontal="center" vertical="center"/>
    </xf>
    <xf numFmtId="10" fontId="6" fillId="3" borderId="6" xfId="2" applyNumberFormat="1" applyFont="1" applyFill="1" applyBorder="1" applyAlignment="1">
      <alignment horizontal="center" vertical="center"/>
    </xf>
    <xf numFmtId="10" fontId="6" fillId="3" borderId="0" xfId="2" applyNumberFormat="1" applyFont="1" applyFill="1"/>
    <xf numFmtId="165" fontId="5" fillId="5" borderId="10" xfId="0" quotePrefix="1" applyNumberFormat="1" applyFont="1" applyFill="1" applyBorder="1" applyAlignment="1">
      <alignment horizontal="center" vertical="center"/>
    </xf>
    <xf numFmtId="44" fontId="6" fillId="3" borderId="3" xfId="3" applyFont="1" applyFill="1" applyBorder="1" applyAlignment="1">
      <alignment horizontal="center" vertical="center"/>
    </xf>
    <xf numFmtId="44" fontId="6" fillId="3" borderId="4" xfId="3" applyFont="1" applyFill="1" applyBorder="1" applyAlignment="1">
      <alignment horizontal="center" vertical="center"/>
    </xf>
    <xf numFmtId="165" fontId="5" fillId="5" borderId="12" xfId="0" applyNumberFormat="1" applyFont="1" applyFill="1" applyBorder="1" applyAlignment="1">
      <alignment horizontal="center" vertical="center"/>
    </xf>
    <xf numFmtId="10" fontId="6" fillId="3" borderId="8" xfId="2" applyNumberFormat="1" applyFont="1" applyFill="1" applyBorder="1" applyAlignment="1">
      <alignment horizontal="center" vertical="center"/>
    </xf>
    <xf numFmtId="10" fontId="6" fillId="3" borderId="9" xfId="2" applyNumberFormat="1" applyFont="1" applyFill="1" applyBorder="1" applyAlignment="1">
      <alignment horizontal="center" vertical="center"/>
    </xf>
    <xf numFmtId="165" fontId="5" fillId="5" borderId="12" xfId="0" quotePrefix="1" applyNumberFormat="1" applyFont="1" applyFill="1" applyBorder="1" applyAlignment="1">
      <alignment horizontal="center" vertical="center"/>
    </xf>
    <xf numFmtId="44" fontId="6" fillId="3" borderId="8" xfId="3" applyFont="1" applyFill="1" applyBorder="1" applyAlignment="1">
      <alignment horizontal="center" vertical="center"/>
    </xf>
    <xf numFmtId="44" fontId="6" fillId="3" borderId="9" xfId="3" applyFont="1" applyFill="1" applyBorder="1" applyAlignment="1">
      <alignment horizontal="center" vertical="center"/>
    </xf>
    <xf numFmtId="165" fontId="6" fillId="3" borderId="0" xfId="1" applyNumberFormat="1" applyFont="1" applyFill="1"/>
    <xf numFmtId="10" fontId="6" fillId="3" borderId="0" xfId="0" applyNumberFormat="1" applyFont="1" applyFill="1"/>
    <xf numFmtId="165" fontId="6" fillId="3" borderId="0" xfId="0" quotePrefix="1" applyNumberFormat="1" applyFont="1" applyFill="1"/>
    <xf numFmtId="164" fontId="7" fillId="5" borderId="12" xfId="0" applyNumberFormat="1" applyFont="1" applyFill="1" applyBorder="1"/>
    <xf numFmtId="165" fontId="6" fillId="6" borderId="4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65" fontId="5" fillId="4" borderId="13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Dziesiętny" xfId="1" builtinId="3"/>
    <cellStyle name="Normalny" xfId="0" builtinId="0"/>
    <cellStyle name="Procentowy" xfId="2" builtinId="5"/>
    <cellStyle name="Walutowy" xfId="3" builtinId="4"/>
  </cellStyles>
  <dxfs count="0"/>
  <tableStyles count="0" defaultTableStyle="TableStyleMedium2" defaultPivotStyle="PivotStyleLight16"/>
  <colors>
    <mruColors>
      <color rgb="FFA8A8A8"/>
      <color rgb="FF002060"/>
      <color rgb="FFFF6200"/>
      <color rgb="FF696969"/>
      <color rgb="FF525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CFC8-8D0F-4D60-A459-DAD74811E6E7}">
  <dimension ref="A1:N64"/>
  <sheetViews>
    <sheetView tabSelected="1" workbookViewId="0">
      <selection activeCell="G10" sqref="G10"/>
    </sheetView>
  </sheetViews>
  <sheetFormatPr defaultColWidth="8.90625" defaultRowHeight="14"/>
  <cols>
    <col min="1" max="1" width="15.1796875" style="17" bestFit="1" customWidth="1"/>
    <col min="2" max="2" width="20.453125" style="17" customWidth="1"/>
    <col min="3" max="3" width="17.6328125" style="17" customWidth="1"/>
    <col min="4" max="4" width="1.6328125" style="17" customWidth="1"/>
    <col min="5" max="5" width="14.81640625" style="17" bestFit="1" customWidth="1"/>
    <col min="6" max="6" width="12.36328125" style="17" bestFit="1" customWidth="1"/>
    <col min="7" max="7" width="12.90625" style="17" bestFit="1" customWidth="1"/>
    <col min="8" max="8" width="14.36328125" style="17" bestFit="1" customWidth="1"/>
    <col min="9" max="9" width="1.6328125" style="17" customWidth="1"/>
    <col min="10" max="10" width="11.54296875" style="17" bestFit="1" customWidth="1"/>
    <col min="11" max="13" width="14.54296875" style="17" bestFit="1" customWidth="1"/>
    <col min="14" max="14" width="10.1796875" style="17" bestFit="1" customWidth="1"/>
    <col min="15" max="16384" width="8.90625" style="17"/>
  </cols>
  <sheetData>
    <row r="1" spans="1:14" ht="26.5" thickBot="1">
      <c r="A1" s="20" t="s">
        <v>9</v>
      </c>
      <c r="B1" s="20" t="s">
        <v>36</v>
      </c>
      <c r="C1" s="21" t="s">
        <v>13</v>
      </c>
      <c r="D1" s="22"/>
      <c r="E1" s="65" t="s">
        <v>37</v>
      </c>
      <c r="F1" s="66"/>
      <c r="G1" s="66"/>
      <c r="H1" s="67"/>
      <c r="I1" s="23"/>
      <c r="J1" s="62" t="s">
        <v>25</v>
      </c>
      <c r="K1" s="63"/>
      <c r="L1" s="63"/>
      <c r="M1" s="64"/>
    </row>
    <row r="2" spans="1:14" ht="14.5" thickBot="1">
      <c r="A2" s="56" t="s">
        <v>11</v>
      </c>
      <c r="B2" s="24">
        <v>42400</v>
      </c>
      <c r="C2" s="25">
        <v>4828194.6739310101</v>
      </c>
      <c r="D2" s="26"/>
      <c r="E2" s="27"/>
      <c r="F2" s="28" t="s">
        <v>12</v>
      </c>
      <c r="G2" s="29" t="s">
        <v>18</v>
      </c>
      <c r="H2" s="30" t="s">
        <v>8</v>
      </c>
      <c r="I2" s="31"/>
      <c r="J2" s="32"/>
      <c r="K2" s="33" t="s">
        <v>12</v>
      </c>
      <c r="L2" s="34" t="s">
        <v>18</v>
      </c>
      <c r="M2" s="35" t="s">
        <v>8</v>
      </c>
      <c r="N2" s="18"/>
    </row>
    <row r="3" spans="1:14" ht="14.5">
      <c r="A3" s="57"/>
      <c r="B3" s="36">
        <v>42429</v>
      </c>
      <c r="C3" s="55">
        <v>4828194.6739310101</v>
      </c>
      <c r="D3" s="26"/>
      <c r="E3" s="37" t="s">
        <v>11</v>
      </c>
      <c r="F3" s="38">
        <f>rmse_in_your</f>
        <v>6.6618317535309026E-3</v>
      </c>
      <c r="G3" s="38">
        <f>rmse_in_cpr</f>
        <v>1.0064448208263141E-2</v>
      </c>
      <c r="H3" s="39">
        <f>rmse_in_none</f>
        <v>2.0190056323349116E-2</v>
      </c>
      <c r="I3" s="40"/>
      <c r="J3" s="41" t="s">
        <v>23</v>
      </c>
      <c r="K3" s="42">
        <f>your_100bps</f>
        <v>27161.725932164318</v>
      </c>
      <c r="L3" s="42">
        <f>cpr_100bps</f>
        <v>120694.47594930054</v>
      </c>
      <c r="M3" s="43">
        <f>none_100bps</f>
        <v>369154.01700000011</v>
      </c>
    </row>
    <row r="4" spans="1:14" ht="15" thickBot="1">
      <c r="A4" s="57"/>
      <c r="B4" s="36">
        <v>42460</v>
      </c>
      <c r="C4" s="55">
        <v>5052647.8083776496</v>
      </c>
      <c r="D4" s="26"/>
      <c r="E4" s="44" t="s">
        <v>10</v>
      </c>
      <c r="F4" s="45">
        <f>rmse_out_your</f>
        <v>9.635468341365654E-3</v>
      </c>
      <c r="G4" s="45">
        <f>rmse_out_cpr</f>
        <v>1.1599622058564621E-2</v>
      </c>
      <c r="H4" s="46">
        <f>rmse_out_none</f>
        <v>3.1055360032756735E-2</v>
      </c>
      <c r="I4" s="40"/>
      <c r="J4" s="47" t="s">
        <v>24</v>
      </c>
      <c r="K4" s="48">
        <f>your_200bps</f>
        <v>54323.451864328636</v>
      </c>
      <c r="L4" s="48">
        <f>cpr_200bps</f>
        <v>241388.95189860108</v>
      </c>
      <c r="M4" s="49">
        <f>none_200bps</f>
        <v>738308.03400000022</v>
      </c>
    </row>
    <row r="5" spans="1:14" ht="14.5">
      <c r="A5" s="57"/>
      <c r="B5" s="36">
        <v>42490</v>
      </c>
      <c r="C5" s="55">
        <v>5122495.1666763024</v>
      </c>
      <c r="D5" s="26"/>
      <c r="E5" s="22"/>
      <c r="F5" s="22"/>
      <c r="G5" s="22"/>
      <c r="H5" s="22"/>
      <c r="I5" s="22"/>
      <c r="J5" s="22"/>
      <c r="K5" s="22"/>
      <c r="L5" s="50"/>
      <c r="M5" s="50"/>
    </row>
    <row r="6" spans="1:14" ht="14.5">
      <c r="A6" s="57"/>
      <c r="B6" s="36">
        <v>42521</v>
      </c>
      <c r="C6" s="55">
        <v>5427671.5552676329</v>
      </c>
      <c r="D6" s="26"/>
      <c r="E6" s="22"/>
      <c r="F6" s="22"/>
      <c r="G6" s="22"/>
      <c r="H6" s="22"/>
      <c r="I6" s="22"/>
      <c r="J6" s="22"/>
      <c r="K6" s="22"/>
      <c r="L6" s="50"/>
      <c r="M6" s="50"/>
    </row>
    <row r="7" spans="1:14" ht="14.5">
      <c r="A7" s="57"/>
      <c r="B7" s="36">
        <v>42551</v>
      </c>
      <c r="C7" s="55">
        <v>5495199.5203329194</v>
      </c>
      <c r="D7" s="26"/>
      <c r="E7" s="22"/>
      <c r="F7" s="22"/>
      <c r="G7" s="22"/>
      <c r="H7" s="22"/>
      <c r="I7" s="22"/>
      <c r="J7" s="22"/>
      <c r="K7" s="22"/>
      <c r="L7" s="50"/>
      <c r="M7" s="50"/>
    </row>
    <row r="8" spans="1:14" ht="14.5">
      <c r="A8" s="57"/>
      <c r="B8" s="36">
        <v>42582</v>
      </c>
      <c r="C8" s="55">
        <v>5758508.0694728661</v>
      </c>
      <c r="D8" s="26"/>
      <c r="E8" s="22"/>
      <c r="F8" s="22"/>
      <c r="G8" s="51"/>
      <c r="H8" s="22"/>
      <c r="I8" s="22"/>
      <c r="J8" s="22"/>
      <c r="K8" s="22"/>
      <c r="L8" s="50"/>
      <c r="M8" s="50"/>
    </row>
    <row r="9" spans="1:14" ht="14.5">
      <c r="A9" s="57"/>
      <c r="B9" s="36">
        <v>42613</v>
      </c>
      <c r="C9" s="55">
        <v>5941057.7797562601</v>
      </c>
      <c r="D9" s="26"/>
      <c r="E9" s="22"/>
      <c r="F9" s="22"/>
      <c r="G9" s="22"/>
      <c r="H9" s="22"/>
      <c r="I9" s="22"/>
      <c r="J9" s="22"/>
      <c r="K9" s="22"/>
      <c r="L9" s="50"/>
      <c r="M9" s="50"/>
    </row>
    <row r="10" spans="1:14" ht="14.5">
      <c r="A10" s="57"/>
      <c r="B10" s="36">
        <v>42643</v>
      </c>
      <c r="C10" s="55">
        <v>5879068.907870071</v>
      </c>
      <c r="D10" s="26"/>
      <c r="E10" s="22"/>
      <c r="F10" s="22"/>
      <c r="G10" s="22"/>
      <c r="H10" s="22"/>
      <c r="I10" s="22"/>
      <c r="J10" s="22"/>
      <c r="K10" s="22"/>
      <c r="L10" s="50"/>
      <c r="M10" s="50"/>
    </row>
    <row r="11" spans="1:14" ht="14.5">
      <c r="A11" s="57"/>
      <c r="B11" s="36">
        <v>42674</v>
      </c>
      <c r="C11" s="55">
        <v>6229508.8029578859</v>
      </c>
      <c r="D11" s="26"/>
      <c r="E11" s="22"/>
      <c r="F11" s="22"/>
      <c r="G11" s="22"/>
      <c r="H11" s="22"/>
      <c r="I11" s="22"/>
      <c r="J11" s="22"/>
      <c r="K11" s="22"/>
      <c r="L11" s="50"/>
      <c r="M11" s="50"/>
    </row>
    <row r="12" spans="1:14" ht="14.5">
      <c r="A12" s="57"/>
      <c r="B12" s="36">
        <v>42704</v>
      </c>
      <c r="C12" s="55">
        <v>6539214.0374816526</v>
      </c>
      <c r="D12" s="26"/>
      <c r="E12" s="22"/>
      <c r="F12" s="22"/>
      <c r="G12" s="22"/>
      <c r="H12" s="22"/>
      <c r="I12" s="22"/>
      <c r="J12" s="22"/>
      <c r="K12" s="22"/>
      <c r="L12" s="50"/>
      <c r="M12" s="50"/>
    </row>
    <row r="13" spans="1:14" ht="14.5">
      <c r="A13" s="57"/>
      <c r="B13" s="36">
        <v>42735</v>
      </c>
      <c r="C13" s="55">
        <v>6716926.4255761933</v>
      </c>
      <c r="D13" s="26"/>
      <c r="E13" s="22"/>
      <c r="F13" s="22"/>
      <c r="G13" s="22"/>
      <c r="H13" s="22"/>
      <c r="I13" s="22"/>
      <c r="J13" s="22"/>
      <c r="K13" s="22"/>
      <c r="L13" s="50"/>
      <c r="M13" s="50"/>
    </row>
    <row r="14" spans="1:14" ht="14.5">
      <c r="A14" s="57"/>
      <c r="B14" s="36">
        <v>42766</v>
      </c>
      <c r="C14" s="55">
        <v>6810202.3209751956</v>
      </c>
      <c r="D14" s="26"/>
      <c r="E14" s="52"/>
      <c r="F14" s="26"/>
      <c r="G14" s="26"/>
      <c r="H14" s="26"/>
      <c r="I14" s="26"/>
      <c r="J14" s="22"/>
      <c r="K14" s="22"/>
      <c r="L14" s="22"/>
      <c r="M14" s="22"/>
    </row>
    <row r="15" spans="1:14" ht="14.5">
      <c r="A15" s="57"/>
      <c r="B15" s="36">
        <v>42794</v>
      </c>
      <c r="C15" s="55">
        <v>6895147.7321491772</v>
      </c>
      <c r="D15" s="26"/>
      <c r="E15" s="52"/>
      <c r="F15" s="26"/>
      <c r="G15" s="26"/>
      <c r="H15" s="26"/>
      <c r="I15" s="26"/>
      <c r="J15" s="22"/>
      <c r="K15" s="22"/>
      <c r="L15" s="22"/>
      <c r="M15" s="22"/>
    </row>
    <row r="16" spans="1:14" ht="14.5">
      <c r="A16" s="57"/>
      <c r="B16" s="36">
        <v>42825</v>
      </c>
      <c r="C16" s="55">
        <v>7027845.500527977</v>
      </c>
      <c r="D16" s="26"/>
      <c r="E16" s="26"/>
      <c r="F16" s="26"/>
      <c r="G16" s="26"/>
      <c r="H16" s="26"/>
      <c r="I16" s="26"/>
      <c r="J16" s="22"/>
      <c r="K16" s="22"/>
      <c r="L16" s="22"/>
      <c r="M16" s="22"/>
    </row>
    <row r="17" spans="1:13" ht="14.5">
      <c r="A17" s="57"/>
      <c r="B17" s="36">
        <v>42855</v>
      </c>
      <c r="C17" s="55">
        <v>7087180.1080429871</v>
      </c>
      <c r="D17" s="26"/>
      <c r="E17" s="26"/>
      <c r="F17" s="26"/>
      <c r="G17" s="26"/>
      <c r="H17" s="26"/>
      <c r="I17" s="26"/>
      <c r="J17" s="22"/>
      <c r="K17" s="22"/>
      <c r="L17" s="22"/>
      <c r="M17" s="22"/>
    </row>
    <row r="18" spans="1:13" ht="14.5">
      <c r="A18" s="57"/>
      <c r="B18" s="36">
        <v>42886</v>
      </c>
      <c r="C18" s="55">
        <v>7157963.7757219719</v>
      </c>
      <c r="D18" s="26"/>
      <c r="E18" s="26"/>
      <c r="F18" s="26"/>
      <c r="G18" s="26"/>
      <c r="H18" s="26"/>
      <c r="I18" s="26"/>
      <c r="J18" s="22"/>
      <c r="K18" s="22"/>
      <c r="L18" s="22"/>
      <c r="M18" s="22"/>
    </row>
    <row r="19" spans="1:13" ht="14.5">
      <c r="A19" s="57"/>
      <c r="B19" s="36">
        <v>42916</v>
      </c>
      <c r="C19" s="55">
        <v>7180310.048161584</v>
      </c>
      <c r="D19" s="26"/>
      <c r="E19" s="26"/>
      <c r="F19" s="26"/>
      <c r="G19" s="26"/>
      <c r="H19" s="26"/>
      <c r="I19" s="26"/>
      <c r="J19" s="22"/>
      <c r="K19" s="22"/>
      <c r="L19" s="22"/>
      <c r="M19" s="22"/>
    </row>
    <row r="20" spans="1:13" ht="14.5">
      <c r="A20" s="57"/>
      <c r="B20" s="36">
        <v>42947</v>
      </c>
      <c r="C20" s="55">
        <v>7178498.1114168214</v>
      </c>
      <c r="D20" s="26"/>
      <c r="E20" s="26"/>
      <c r="F20" s="26"/>
      <c r="G20" s="26"/>
      <c r="H20" s="26"/>
      <c r="I20" s="26"/>
      <c r="J20" s="22"/>
      <c r="K20" s="22"/>
      <c r="L20" s="22"/>
      <c r="M20" s="22"/>
    </row>
    <row r="21" spans="1:13" ht="14.5">
      <c r="A21" s="57"/>
      <c r="B21" s="36">
        <v>42978</v>
      </c>
      <c r="C21" s="55">
        <v>7209557.2585565764</v>
      </c>
      <c r="D21" s="26"/>
      <c r="E21" s="26"/>
      <c r="F21" s="26"/>
      <c r="G21" s="26"/>
      <c r="H21" s="26"/>
      <c r="I21" s="26"/>
      <c r="J21" s="22"/>
      <c r="K21" s="22"/>
      <c r="L21" s="22"/>
      <c r="M21" s="22"/>
    </row>
    <row r="22" spans="1:13" ht="14.5">
      <c r="A22" s="57"/>
      <c r="B22" s="36">
        <v>43008</v>
      </c>
      <c r="C22" s="55">
        <v>7163905.8177856142</v>
      </c>
      <c r="D22" s="26"/>
      <c r="E22" s="26"/>
      <c r="F22" s="26"/>
      <c r="G22" s="26"/>
      <c r="H22" s="26"/>
      <c r="I22" s="26"/>
      <c r="J22" s="22"/>
      <c r="K22" s="22"/>
      <c r="L22" s="22"/>
      <c r="M22" s="22"/>
    </row>
    <row r="23" spans="1:13" ht="14.5">
      <c r="A23" s="57"/>
      <c r="B23" s="36">
        <v>43039</v>
      </c>
      <c r="C23" s="55">
        <v>7102589.6505470453</v>
      </c>
      <c r="D23" s="26"/>
      <c r="E23" s="26"/>
      <c r="F23" s="26"/>
      <c r="G23" s="26"/>
      <c r="H23" s="26"/>
      <c r="I23" s="26"/>
      <c r="J23" s="22"/>
      <c r="K23" s="22"/>
      <c r="L23" s="22"/>
      <c r="M23" s="22"/>
    </row>
    <row r="24" spans="1:13" ht="14.5">
      <c r="A24" s="57"/>
      <c r="B24" s="36">
        <v>43069</v>
      </c>
      <c r="C24" s="55">
        <v>7029066.6935429024</v>
      </c>
      <c r="D24" s="26"/>
      <c r="E24" s="26"/>
      <c r="F24" s="26"/>
      <c r="G24" s="26"/>
      <c r="H24" s="26"/>
      <c r="I24" s="26"/>
      <c r="J24" s="22"/>
      <c r="K24" s="22"/>
      <c r="L24" s="22"/>
      <c r="M24" s="22"/>
    </row>
    <row r="25" spans="1:13" ht="14.5">
      <c r="A25" s="57"/>
      <c r="B25" s="36">
        <v>43100</v>
      </c>
      <c r="C25" s="55">
        <v>6945765.7102566771</v>
      </c>
      <c r="D25" s="26"/>
      <c r="E25" s="26"/>
      <c r="F25" s="26"/>
      <c r="G25" s="26"/>
      <c r="H25" s="26"/>
      <c r="I25" s="26"/>
      <c r="J25" s="22"/>
      <c r="K25" s="22"/>
      <c r="L25" s="22"/>
      <c r="M25" s="22"/>
    </row>
    <row r="26" spans="1:13" ht="14.5">
      <c r="A26" s="57"/>
      <c r="B26" s="36">
        <v>43131</v>
      </c>
      <c r="C26" s="55">
        <v>6853640.6101992214</v>
      </c>
      <c r="D26" s="26"/>
      <c r="E26" s="26"/>
      <c r="F26" s="26"/>
      <c r="G26" s="26"/>
      <c r="H26" s="26"/>
      <c r="I26" s="26"/>
      <c r="J26" s="22"/>
      <c r="K26" s="22"/>
      <c r="L26" s="22"/>
      <c r="M26" s="22"/>
    </row>
    <row r="27" spans="1:13" ht="14.5">
      <c r="A27" s="57"/>
      <c r="B27" s="36">
        <v>43159</v>
      </c>
      <c r="C27" s="55">
        <v>6723039.0450826837</v>
      </c>
      <c r="D27" s="26"/>
      <c r="E27" s="26"/>
      <c r="F27" s="26"/>
      <c r="G27" s="26"/>
      <c r="H27" s="26"/>
      <c r="I27" s="26"/>
      <c r="J27" s="22"/>
      <c r="K27" s="22"/>
      <c r="L27" s="22"/>
      <c r="M27" s="22"/>
    </row>
    <row r="28" spans="1:13" ht="14.5">
      <c r="A28" s="57"/>
      <c r="B28" s="36">
        <v>43190</v>
      </c>
      <c r="C28" s="55">
        <v>6594040.4296941236</v>
      </c>
      <c r="D28" s="26"/>
      <c r="E28" s="26"/>
      <c r="F28" s="26"/>
      <c r="G28" s="26"/>
      <c r="H28" s="26"/>
      <c r="I28" s="26"/>
      <c r="J28" s="22"/>
      <c r="K28" s="22"/>
      <c r="L28" s="22"/>
      <c r="M28" s="22"/>
    </row>
    <row r="29" spans="1:13" ht="14.5">
      <c r="A29" s="57"/>
      <c r="B29" s="36">
        <v>43220</v>
      </c>
      <c r="C29" s="55">
        <v>6444569.2816646714</v>
      </c>
      <c r="D29" s="26"/>
      <c r="E29" s="26"/>
      <c r="F29" s="26"/>
      <c r="G29" s="26"/>
      <c r="H29" s="26"/>
      <c r="I29" s="26"/>
      <c r="J29" s="22"/>
      <c r="K29" s="22"/>
      <c r="L29" s="22"/>
      <c r="M29" s="22"/>
    </row>
    <row r="30" spans="1:13" ht="14.5">
      <c r="A30" s="57"/>
      <c r="B30" s="36">
        <v>43251</v>
      </c>
      <c r="C30" s="55">
        <v>6466646.4751924798</v>
      </c>
      <c r="D30" s="26"/>
      <c r="E30" s="26"/>
      <c r="F30" s="26"/>
      <c r="G30" s="26"/>
      <c r="H30" s="26"/>
      <c r="I30" s="26"/>
      <c r="J30" s="22"/>
      <c r="K30" s="22"/>
      <c r="L30" s="22"/>
      <c r="M30" s="22"/>
    </row>
    <row r="31" spans="1:13" ht="14.5">
      <c r="A31" s="57"/>
      <c r="B31" s="36">
        <v>43281</v>
      </c>
      <c r="C31" s="55">
        <v>6419789.7715853835</v>
      </c>
      <c r="D31" s="26"/>
      <c r="E31" s="26"/>
      <c r="F31" s="26"/>
      <c r="G31" s="26"/>
      <c r="H31" s="26"/>
      <c r="I31" s="26"/>
      <c r="J31" s="22"/>
      <c r="K31" s="22"/>
      <c r="L31" s="22"/>
      <c r="M31" s="22"/>
    </row>
    <row r="32" spans="1:13" ht="14.5">
      <c r="A32" s="57"/>
      <c r="B32" s="36">
        <v>43312</v>
      </c>
      <c r="C32" s="55">
        <v>6219963.2143671419</v>
      </c>
      <c r="D32" s="26"/>
      <c r="E32" s="26"/>
      <c r="F32" s="26"/>
      <c r="G32" s="26"/>
      <c r="H32" s="26"/>
      <c r="I32" s="26"/>
      <c r="J32" s="22"/>
      <c r="K32" s="22"/>
      <c r="L32" s="22"/>
      <c r="M32" s="22"/>
    </row>
    <row r="33" spans="1:13" ht="14.5">
      <c r="A33" s="57"/>
      <c r="B33" s="36">
        <v>43343</v>
      </c>
      <c r="C33" s="55">
        <v>6112764.0133283613</v>
      </c>
      <c r="D33" s="26"/>
      <c r="E33" s="26"/>
      <c r="F33" s="26"/>
      <c r="G33" s="26"/>
      <c r="H33" s="26"/>
      <c r="I33" s="26"/>
      <c r="J33" s="22"/>
      <c r="K33" s="22"/>
      <c r="L33" s="22"/>
      <c r="M33" s="22"/>
    </row>
    <row r="34" spans="1:13" ht="14.5">
      <c r="A34" s="57"/>
      <c r="B34" s="36">
        <v>43373</v>
      </c>
      <c r="C34" s="55">
        <v>6050385.1955962703</v>
      </c>
      <c r="D34" s="26"/>
      <c r="E34" s="26"/>
      <c r="F34" s="26"/>
      <c r="G34" s="26"/>
      <c r="H34" s="26"/>
      <c r="I34" s="26"/>
      <c r="J34" s="22"/>
      <c r="K34" s="22"/>
      <c r="L34" s="22"/>
      <c r="M34" s="22"/>
    </row>
    <row r="35" spans="1:13" ht="14.5">
      <c r="A35" s="57"/>
      <c r="B35" s="36">
        <v>43404</v>
      </c>
      <c r="C35" s="55">
        <v>6041592.3321939874</v>
      </c>
      <c r="D35" s="26"/>
      <c r="E35" s="26"/>
      <c r="F35" s="26"/>
      <c r="G35" s="26"/>
      <c r="H35" s="26"/>
      <c r="I35" s="26"/>
      <c r="J35" s="22"/>
      <c r="K35" s="22"/>
      <c r="L35" s="22"/>
      <c r="M35" s="22"/>
    </row>
    <row r="36" spans="1:13" ht="14.5">
      <c r="A36" s="57"/>
      <c r="B36" s="36">
        <v>43434</v>
      </c>
      <c r="C36" s="55">
        <v>6039427.9860005919</v>
      </c>
      <c r="D36" s="26"/>
      <c r="E36" s="26"/>
      <c r="F36" s="26"/>
      <c r="G36" s="26"/>
      <c r="H36" s="26"/>
      <c r="I36" s="26"/>
      <c r="J36" s="22"/>
      <c r="K36" s="22"/>
      <c r="L36" s="22"/>
      <c r="M36" s="22"/>
    </row>
    <row r="37" spans="1:13" ht="14.5">
      <c r="A37" s="57"/>
      <c r="B37" s="36">
        <v>43465</v>
      </c>
      <c r="C37" s="55">
        <v>6113060.8739441736</v>
      </c>
      <c r="D37" s="26"/>
      <c r="E37" s="26"/>
      <c r="F37" s="26"/>
      <c r="G37" s="26"/>
      <c r="H37" s="26"/>
      <c r="I37" s="26"/>
      <c r="J37" s="22"/>
      <c r="K37" s="22"/>
      <c r="L37" s="22"/>
      <c r="M37" s="22"/>
    </row>
    <row r="38" spans="1:13" ht="14.5">
      <c r="A38" s="57"/>
      <c r="B38" s="36">
        <v>43496</v>
      </c>
      <c r="C38" s="55">
        <v>6454222.6362688886</v>
      </c>
      <c r="D38" s="26"/>
      <c r="E38" s="26"/>
      <c r="F38" s="26"/>
      <c r="G38" s="26"/>
      <c r="H38" s="26"/>
      <c r="I38" s="26"/>
      <c r="J38" s="22"/>
      <c r="K38" s="22"/>
      <c r="L38" s="22"/>
      <c r="M38" s="22"/>
    </row>
    <row r="39" spans="1:13" ht="14.5">
      <c r="A39" s="57"/>
      <c r="B39" s="36">
        <v>43524</v>
      </c>
      <c r="C39" s="55">
        <v>6399758.0512846727</v>
      </c>
      <c r="D39" s="26"/>
      <c r="E39" s="26"/>
      <c r="F39" s="26"/>
      <c r="G39" s="26"/>
      <c r="H39" s="26"/>
      <c r="I39" s="26"/>
      <c r="J39" s="22"/>
      <c r="K39" s="22"/>
      <c r="L39" s="22"/>
      <c r="M39" s="22"/>
    </row>
    <row r="40" spans="1:13" ht="14.5">
      <c r="A40" s="57"/>
      <c r="B40" s="36">
        <v>43555</v>
      </c>
      <c r="C40" s="55">
        <v>6664869.3621577146</v>
      </c>
      <c r="D40" s="26"/>
      <c r="E40" s="26"/>
      <c r="F40" s="26"/>
      <c r="G40" s="26"/>
      <c r="H40" s="26"/>
      <c r="I40" s="26"/>
      <c r="J40" s="22"/>
      <c r="K40" s="22"/>
      <c r="L40" s="22"/>
      <c r="M40" s="22"/>
    </row>
    <row r="41" spans="1:13" ht="14.5">
      <c r="A41" s="57"/>
      <c r="B41" s="36">
        <v>43585</v>
      </c>
      <c r="C41" s="55">
        <v>6331830.9733407963</v>
      </c>
      <c r="D41" s="26"/>
      <c r="E41" s="26"/>
      <c r="F41" s="26"/>
      <c r="G41" s="26"/>
      <c r="H41" s="26"/>
      <c r="I41" s="26"/>
      <c r="J41" s="22"/>
      <c r="K41" s="22"/>
      <c r="L41" s="22"/>
      <c r="M41" s="22"/>
    </row>
    <row r="42" spans="1:13" ht="14.5">
      <c r="A42" s="57"/>
      <c r="B42" s="36">
        <v>43616</v>
      </c>
      <c r="C42" s="55">
        <v>6341340.6725404961</v>
      </c>
      <c r="D42" s="26"/>
      <c r="E42" s="26"/>
      <c r="F42" s="26"/>
      <c r="G42" s="26"/>
      <c r="H42" s="26"/>
      <c r="I42" s="26"/>
      <c r="J42" s="22"/>
      <c r="K42" s="22"/>
      <c r="L42" s="22"/>
      <c r="M42" s="22"/>
    </row>
    <row r="43" spans="1:13" ht="14.5">
      <c r="A43" s="57"/>
      <c r="B43" s="36">
        <v>43646</v>
      </c>
      <c r="C43" s="55">
        <v>6170912.3522780966</v>
      </c>
      <c r="D43" s="26"/>
      <c r="E43" s="26"/>
      <c r="F43" s="26"/>
      <c r="G43" s="26"/>
      <c r="H43" s="26"/>
      <c r="I43" s="26"/>
      <c r="J43" s="22"/>
      <c r="K43" s="22"/>
      <c r="L43" s="22"/>
      <c r="M43" s="22"/>
    </row>
    <row r="44" spans="1:13" ht="14.5">
      <c r="A44" s="57"/>
      <c r="B44" s="36">
        <v>43677</v>
      </c>
      <c r="C44" s="55">
        <v>5947219.1940328423</v>
      </c>
      <c r="D44" s="26"/>
      <c r="E44" s="26"/>
      <c r="F44" s="26"/>
      <c r="G44" s="26"/>
      <c r="H44" s="26"/>
      <c r="I44" s="26"/>
      <c r="J44" s="22"/>
      <c r="K44" s="22"/>
      <c r="L44" s="22"/>
      <c r="M44" s="22"/>
    </row>
    <row r="45" spans="1:13" ht="14.5">
      <c r="A45" s="57"/>
      <c r="B45" s="36">
        <v>43708</v>
      </c>
      <c r="C45" s="55">
        <v>5700634.8154749619</v>
      </c>
      <c r="D45" s="26"/>
      <c r="E45" s="26"/>
      <c r="F45" s="26"/>
      <c r="G45" s="26"/>
      <c r="H45" s="26"/>
      <c r="I45" s="26"/>
      <c r="J45" s="22"/>
      <c r="K45" s="22"/>
      <c r="L45" s="22"/>
      <c r="M45" s="22"/>
    </row>
    <row r="46" spans="1:13" ht="14.5">
      <c r="A46" s="57"/>
      <c r="B46" s="36">
        <v>43738</v>
      </c>
      <c r="C46" s="55">
        <v>5560336.3922562748</v>
      </c>
      <c r="D46" s="26"/>
      <c r="E46" s="26"/>
      <c r="F46" s="26"/>
      <c r="G46" s="26"/>
      <c r="H46" s="26"/>
      <c r="I46" s="26"/>
      <c r="J46" s="22"/>
      <c r="K46" s="22"/>
      <c r="L46" s="22"/>
      <c r="M46" s="22"/>
    </row>
    <row r="47" spans="1:13" ht="14.5">
      <c r="A47" s="57"/>
      <c r="B47" s="36">
        <v>43769</v>
      </c>
      <c r="C47" s="55">
        <v>5371789.7876247093</v>
      </c>
      <c r="D47" s="26"/>
      <c r="E47" s="26"/>
      <c r="F47" s="26"/>
      <c r="G47" s="26"/>
      <c r="H47" s="26"/>
      <c r="I47" s="26"/>
      <c r="J47" s="22"/>
      <c r="K47" s="22"/>
      <c r="L47" s="22"/>
      <c r="M47" s="22"/>
    </row>
    <row r="48" spans="1:13" ht="14.5">
      <c r="A48" s="57"/>
      <c r="B48" s="36">
        <v>43799</v>
      </c>
      <c r="C48" s="55">
        <v>5292170.400796013</v>
      </c>
      <c r="D48" s="26"/>
      <c r="E48" s="26"/>
      <c r="F48" s="26"/>
      <c r="G48" s="26"/>
      <c r="H48" s="26"/>
      <c r="I48" s="26"/>
      <c r="J48" s="22"/>
      <c r="K48" s="22"/>
      <c r="L48" s="22"/>
      <c r="M48" s="22"/>
    </row>
    <row r="49" spans="1:13" ht="14.5">
      <c r="A49" s="57"/>
      <c r="B49" s="36">
        <v>43830</v>
      </c>
      <c r="C49" s="55">
        <v>5276035.9552039783</v>
      </c>
      <c r="D49" s="26"/>
      <c r="E49" s="26"/>
      <c r="F49" s="26"/>
      <c r="G49" s="26"/>
      <c r="H49" s="26"/>
      <c r="I49" s="26"/>
      <c r="J49" s="22"/>
      <c r="K49" s="22"/>
      <c r="L49" s="22"/>
      <c r="M49" s="22"/>
    </row>
    <row r="50" spans="1:13" ht="14.5">
      <c r="A50" s="57"/>
      <c r="B50" s="36">
        <v>43861</v>
      </c>
      <c r="C50" s="55">
        <v>5148165.5955957379</v>
      </c>
      <c r="D50" s="26"/>
      <c r="E50" s="26"/>
      <c r="F50" s="26"/>
      <c r="G50" s="26"/>
      <c r="H50" s="26"/>
      <c r="I50" s="26"/>
      <c r="J50" s="22"/>
      <c r="K50" s="22"/>
      <c r="L50" s="22"/>
      <c r="M50" s="22"/>
    </row>
    <row r="51" spans="1:13" ht="15" thickBot="1">
      <c r="A51" s="58"/>
      <c r="B51" s="53">
        <v>43890</v>
      </c>
      <c r="C51" s="55">
        <v>5050997.6638337607</v>
      </c>
      <c r="D51" s="26"/>
      <c r="E51" s="26"/>
      <c r="F51" s="26"/>
      <c r="G51" s="26"/>
      <c r="H51" s="26"/>
      <c r="I51" s="26"/>
      <c r="J51" s="22"/>
      <c r="K51" s="22"/>
      <c r="L51" s="22"/>
      <c r="M51" s="22"/>
    </row>
    <row r="52" spans="1:13">
      <c r="A52" s="59" t="s">
        <v>10</v>
      </c>
      <c r="B52" s="24">
        <v>43921</v>
      </c>
      <c r="C52" s="54">
        <v>4636138.8216300197</v>
      </c>
      <c r="D52" s="26"/>
      <c r="E52" s="26"/>
      <c r="F52" s="26"/>
      <c r="G52" s="26"/>
      <c r="H52" s="26"/>
      <c r="I52" s="26"/>
      <c r="J52" s="22"/>
      <c r="K52" s="22"/>
      <c r="L52" s="22"/>
      <c r="M52" s="22"/>
    </row>
    <row r="53" spans="1:13" ht="14.5">
      <c r="A53" s="60"/>
      <c r="B53" s="36">
        <v>43951</v>
      </c>
      <c r="C53" s="55">
        <v>4636138.8216300197</v>
      </c>
      <c r="D53" s="26"/>
      <c r="E53" s="26"/>
      <c r="F53" s="26"/>
      <c r="G53" s="26"/>
      <c r="H53" s="26"/>
      <c r="I53" s="26"/>
      <c r="J53" s="22"/>
      <c r="K53" s="22"/>
      <c r="L53" s="22"/>
      <c r="M53" s="22"/>
    </row>
    <row r="54" spans="1:13" ht="14.5">
      <c r="A54" s="60"/>
      <c r="B54" s="36">
        <v>43982</v>
      </c>
      <c r="C54" s="55">
        <v>4865690.1272138627</v>
      </c>
      <c r="D54" s="26"/>
      <c r="E54" s="26"/>
      <c r="F54" s="26"/>
      <c r="G54" s="26"/>
      <c r="H54" s="26"/>
      <c r="I54" s="26"/>
      <c r="J54" s="22"/>
      <c r="K54" s="22"/>
      <c r="L54" s="22"/>
      <c r="M54" s="22"/>
    </row>
    <row r="55" spans="1:13" ht="14.5">
      <c r="A55" s="60"/>
      <c r="B55" s="36">
        <v>44012</v>
      </c>
      <c r="C55" s="55">
        <v>5076942.0274594165</v>
      </c>
      <c r="D55" s="26"/>
      <c r="E55" s="26"/>
      <c r="F55" s="26"/>
      <c r="G55" s="26"/>
      <c r="H55" s="26"/>
      <c r="I55" s="26"/>
      <c r="J55" s="22"/>
      <c r="K55" s="22"/>
      <c r="L55" s="22"/>
      <c r="M55" s="22"/>
    </row>
    <row r="56" spans="1:13" ht="14.5">
      <c r="A56" s="60"/>
      <c r="B56" s="36">
        <v>44043</v>
      </c>
      <c r="C56" s="55">
        <v>5301494.3338264916</v>
      </c>
      <c r="D56" s="26"/>
      <c r="E56" s="26"/>
      <c r="F56" s="26"/>
      <c r="G56" s="26"/>
      <c r="H56" s="26"/>
      <c r="I56" s="26"/>
      <c r="J56" s="22"/>
      <c r="K56" s="22"/>
      <c r="L56" s="22"/>
      <c r="M56" s="22"/>
    </row>
    <row r="57" spans="1:13" ht="14.5">
      <c r="A57" s="60"/>
      <c r="B57" s="36">
        <v>44074</v>
      </c>
      <c r="C57" s="55">
        <v>5533519.144831039</v>
      </c>
      <c r="D57" s="26"/>
      <c r="E57" s="26"/>
      <c r="F57" s="26"/>
      <c r="G57" s="26"/>
      <c r="H57" s="26"/>
      <c r="I57" s="26"/>
      <c r="J57" s="22"/>
      <c r="K57" s="22"/>
      <c r="L57" s="22"/>
      <c r="M57" s="22"/>
    </row>
    <row r="58" spans="1:13" ht="14.5">
      <c r="A58" s="60"/>
      <c r="B58" s="36">
        <v>44104</v>
      </c>
      <c r="C58" s="55">
        <v>5772214.255306961</v>
      </c>
      <c r="D58" s="26"/>
      <c r="E58" s="26"/>
      <c r="F58" s="26"/>
      <c r="G58" s="26"/>
      <c r="H58" s="26"/>
      <c r="I58" s="26"/>
      <c r="J58" s="22"/>
      <c r="K58" s="22"/>
      <c r="L58" s="22"/>
      <c r="M58" s="22"/>
    </row>
    <row r="59" spans="1:13" ht="14.5">
      <c r="A59" s="60"/>
      <c r="B59" s="36">
        <v>44135</v>
      </c>
      <c r="C59" s="55">
        <v>5994947.1733027287</v>
      </c>
      <c r="D59" s="26"/>
      <c r="E59" s="26"/>
      <c r="F59" s="26"/>
      <c r="G59" s="26"/>
      <c r="H59" s="26"/>
      <c r="I59" s="26"/>
      <c r="J59" s="22"/>
      <c r="K59" s="22"/>
      <c r="L59" s="22"/>
      <c r="M59" s="22"/>
    </row>
    <row r="60" spans="1:13" ht="14.5">
      <c r="A60" s="60"/>
      <c r="B60" s="36">
        <v>44165</v>
      </c>
      <c r="C60" s="55">
        <v>6186516.814944189</v>
      </c>
      <c r="D60" s="26"/>
      <c r="E60" s="26"/>
      <c r="F60" s="26"/>
      <c r="G60" s="26"/>
      <c r="H60" s="26"/>
      <c r="I60" s="26"/>
      <c r="J60" s="22"/>
      <c r="K60" s="22"/>
      <c r="L60" s="22"/>
      <c r="M60" s="22"/>
    </row>
    <row r="61" spans="1:13" ht="14.5">
      <c r="A61" s="60"/>
      <c r="B61" s="36">
        <v>44196</v>
      </c>
      <c r="C61" s="55">
        <v>6432183.275018313</v>
      </c>
      <c r="D61" s="26"/>
      <c r="E61" s="26"/>
      <c r="F61" s="26"/>
      <c r="G61" s="26"/>
      <c r="H61" s="26"/>
      <c r="I61" s="26"/>
      <c r="J61" s="22"/>
      <c r="K61" s="22"/>
      <c r="L61" s="22"/>
      <c r="M61" s="22"/>
    </row>
    <row r="62" spans="1:13" ht="14.5">
      <c r="A62" s="60"/>
      <c r="B62" s="36">
        <v>44227</v>
      </c>
      <c r="C62" s="55">
        <v>6516057.9718009736</v>
      </c>
      <c r="D62" s="26"/>
      <c r="E62" s="26"/>
      <c r="F62" s="26"/>
      <c r="G62" s="26"/>
      <c r="H62" s="26"/>
      <c r="I62" s="26"/>
      <c r="J62" s="22"/>
      <c r="K62" s="22"/>
      <c r="L62" s="22"/>
      <c r="M62" s="22"/>
    </row>
    <row r="63" spans="1:13" ht="15" thickBot="1">
      <c r="A63" s="61"/>
      <c r="B63" s="53">
        <v>44255</v>
      </c>
      <c r="C63" s="55">
        <v>6580833.7534207311</v>
      </c>
      <c r="D63" s="26"/>
      <c r="E63" s="26"/>
      <c r="F63" s="26"/>
      <c r="G63" s="26"/>
      <c r="H63" s="26"/>
      <c r="I63" s="26"/>
      <c r="J63" s="22"/>
      <c r="K63" s="22"/>
      <c r="L63" s="22"/>
      <c r="M63" s="22"/>
    </row>
    <row r="64" spans="1:13">
      <c r="C64" s="19"/>
    </row>
  </sheetData>
  <sheetProtection algorithmName="SHA-512" hashValue="22kAMditaD4ie2E38WZidXe86isMKmYNVp1551VgAapBmRiYKBpNKtnkFy7rAmAQDLOkRAkplg3XTYfkKe/bTg==" saltValue="hbBVEYM1SED6rXuVrK4fmQ==" spinCount="100000" sheet="1" objects="1" scenarios="1"/>
  <protectedRanges>
    <protectedRange sqref="C2:C63" name="Model"/>
  </protectedRanges>
  <mergeCells count="4">
    <mergeCell ref="A2:A51"/>
    <mergeCell ref="A52:A63"/>
    <mergeCell ref="J1:M1"/>
    <mergeCell ref="E1: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E99-E136-4D36-992A-F2202356A560}">
  <dimension ref="A1:AH51"/>
  <sheetViews>
    <sheetView topLeftCell="O1" workbookViewId="0">
      <selection activeCell="X12" sqref="X12"/>
    </sheetView>
  </sheetViews>
  <sheetFormatPr defaultRowHeight="14.5"/>
  <cols>
    <col min="2" max="2" width="10.36328125" bestFit="1" customWidth="1"/>
    <col min="3" max="3" width="13.81640625" bestFit="1" customWidth="1"/>
    <col min="4" max="7" width="13.81640625" customWidth="1"/>
    <col min="12" max="12" width="20.81640625" bestFit="1" customWidth="1"/>
    <col min="13" max="14" width="20.81640625" customWidth="1"/>
    <col min="15" max="15" width="14.6328125" customWidth="1"/>
    <col min="16" max="17" width="10.6328125" customWidth="1"/>
    <col min="18" max="18" width="16.26953125" bestFit="1" customWidth="1"/>
    <col min="19" max="20" width="11.7265625" customWidth="1"/>
    <col min="21" max="21" width="13.54296875" bestFit="1" customWidth="1"/>
    <col min="22" max="22" width="14.54296875" bestFit="1" customWidth="1"/>
    <col min="23" max="25" width="12.54296875" customWidth="1"/>
    <col min="30" max="32" width="14.453125" customWidth="1"/>
    <col min="33" max="33" width="20.453125" customWidth="1"/>
    <col min="34" max="34" width="15.1796875" customWidth="1"/>
  </cols>
  <sheetData>
    <row r="1" spans="1:34" ht="43.5">
      <c r="A1" s="3"/>
      <c r="B1" s="3"/>
      <c r="C1" s="4" t="s">
        <v>2</v>
      </c>
      <c r="D1" s="6" t="s">
        <v>0</v>
      </c>
      <c r="E1" s="6" t="s">
        <v>1</v>
      </c>
      <c r="F1" s="6" t="s">
        <v>14</v>
      </c>
      <c r="G1" s="6" t="s">
        <v>15</v>
      </c>
      <c r="H1" s="3" t="s">
        <v>3</v>
      </c>
      <c r="I1" s="3" t="s">
        <v>4</v>
      </c>
      <c r="J1" s="6" t="s">
        <v>16</v>
      </c>
      <c r="K1" s="6" t="s">
        <v>17</v>
      </c>
      <c r="L1" s="3" t="s">
        <v>5</v>
      </c>
      <c r="M1" s="3" t="s">
        <v>20</v>
      </c>
      <c r="N1" s="3" t="s">
        <v>21</v>
      </c>
      <c r="P1" s="10" t="s">
        <v>6</v>
      </c>
      <c r="Q1" s="3"/>
      <c r="R1" s="4" t="s">
        <v>22</v>
      </c>
      <c r="S1" s="4" t="s">
        <v>26</v>
      </c>
      <c r="T1" s="4" t="s">
        <v>27</v>
      </c>
      <c r="U1" s="4" t="s">
        <v>2</v>
      </c>
      <c r="V1" s="6" t="s">
        <v>0</v>
      </c>
      <c r="W1" s="6" t="s">
        <v>1</v>
      </c>
      <c r="X1" s="6" t="s">
        <v>14</v>
      </c>
      <c r="Y1" s="6" t="s">
        <v>15</v>
      </c>
      <c r="Z1" s="3" t="s">
        <v>3</v>
      </c>
      <c r="AA1" s="3" t="s">
        <v>4</v>
      </c>
      <c r="AB1" s="6" t="s">
        <v>16</v>
      </c>
      <c r="AC1" s="6" t="s">
        <v>17</v>
      </c>
      <c r="AD1" s="3" t="s">
        <v>5</v>
      </c>
      <c r="AE1" s="3" t="s">
        <v>20</v>
      </c>
      <c r="AF1" s="3" t="s">
        <v>21</v>
      </c>
      <c r="AH1" s="10" t="s">
        <v>7</v>
      </c>
    </row>
    <row r="2" spans="1:34">
      <c r="B2" s="1">
        <v>42400</v>
      </c>
      <c r="C2" s="2">
        <v>418677927.25000072</v>
      </c>
      <c r="D2" s="2">
        <v>2296942.8900000015</v>
      </c>
      <c r="E2" s="2">
        <f>'Use case'!C2</f>
        <v>4828194.6739310101</v>
      </c>
      <c r="F2" s="2">
        <f>AVERAGE($H$2:$H$51)*C2</f>
        <v>8115286.5959793031</v>
      </c>
      <c r="G2" s="2">
        <v>0</v>
      </c>
      <c r="H2" s="9">
        <f t="shared" ref="H2:H33" si="0">D2/C2</f>
        <v>5.486181000959366E-3</v>
      </c>
      <c r="I2" s="9">
        <f t="shared" ref="I2:I33" si="1">E2/C2</f>
        <v>1.1532001951103578E-2</v>
      </c>
      <c r="J2" s="9">
        <f>F2/C2</f>
        <v>1.9383124993674453E-2</v>
      </c>
      <c r="K2" s="9">
        <f t="shared" ref="K2:K33" si="2">G2/C2</f>
        <v>0</v>
      </c>
      <c r="L2" s="5">
        <f t="shared" ref="L2:L33" si="3">C2*(H2-I2)^2</f>
        <v>15303.495065380002</v>
      </c>
      <c r="M2" s="5">
        <f t="shared" ref="M2:M33" si="4">C2*(H2-J2)^2</f>
        <v>80857.196612360698</v>
      </c>
      <c r="N2" s="5">
        <f t="shared" ref="N2:N33" si="5">C2*(H2-K2)^2</f>
        <v>12601.444443406708</v>
      </c>
      <c r="O2" s="10" t="s">
        <v>31</v>
      </c>
      <c r="P2" s="11">
        <f>SQRT(SUM(L2:L51)/SUM(C2:C51))</f>
        <v>6.6618317535309026E-3</v>
      </c>
      <c r="Q2" s="1">
        <v>43921</v>
      </c>
      <c r="R2" s="14">
        <v>215329688.06000027</v>
      </c>
      <c r="S2">
        <v>1019134.0899999992</v>
      </c>
      <c r="T2">
        <v>1019134.0900000001</v>
      </c>
      <c r="U2" s="2">
        <v>215329688.06000036</v>
      </c>
      <c r="V2" s="2">
        <v>5624191.1399999997</v>
      </c>
      <c r="W2" s="2">
        <f>'Use case'!C52</f>
        <v>4636138.8216300197</v>
      </c>
      <c r="X2" s="2">
        <f>AVERAGE($H$2:$H$51)*R2</f>
        <v>4173762.2585159149</v>
      </c>
      <c r="Y2" s="2">
        <f>0</f>
        <v>0</v>
      </c>
      <c r="Z2" s="9">
        <f t="shared" ref="Z2:Z13" si="6">V2/U2</f>
        <v>2.6118976861345993E-2</v>
      </c>
      <c r="AA2" s="9">
        <f t="shared" ref="AA2:AA13" si="7">W2/U2</f>
        <v>2.1530420925228791E-2</v>
      </c>
      <c r="AB2" s="9">
        <f>X2/U2</f>
        <v>1.9383124993674446E-2</v>
      </c>
      <c r="AC2" s="9">
        <f>Y2/U2</f>
        <v>0</v>
      </c>
      <c r="AD2" s="5">
        <f t="shared" ref="AD2:AD13" si="8">U2*(Z2-AA2)^2</f>
        <v>4533.7333306509363</v>
      </c>
      <c r="AE2" s="5">
        <f>U2*(Z2-AB2)^2</f>
        <v>9769.8740902693262</v>
      </c>
      <c r="AF2" s="5">
        <f>U2*(Z2-AC2)^2</f>
        <v>146898.11824944714</v>
      </c>
      <c r="AG2" s="10" t="s">
        <v>31</v>
      </c>
      <c r="AH2" s="11">
        <f>SQRT(SUM(AD2:AD13)/SUM(U2:U13))</f>
        <v>9.635468341365654E-3</v>
      </c>
    </row>
    <row r="3" spans="1:34">
      <c r="B3" s="1">
        <v>42429</v>
      </c>
      <c r="C3" s="2">
        <v>420450251.75000125</v>
      </c>
      <c r="D3" s="2">
        <v>2353484.3200000008</v>
      </c>
      <c r="E3" s="2">
        <f>'Use case'!C3</f>
        <v>4828194.6739310101</v>
      </c>
      <c r="F3" s="2">
        <f t="shared" ref="F3:F51" si="9">AVERAGE($H$2:$H$51)*C3</f>
        <v>8149639.783292165</v>
      </c>
      <c r="G3" s="2">
        <v>0</v>
      </c>
      <c r="H3" s="9">
        <f t="shared" si="0"/>
        <v>5.5975333828540011E-3</v>
      </c>
      <c r="I3" s="9">
        <f t="shared" si="1"/>
        <v>1.1483391088089641E-2</v>
      </c>
      <c r="J3" s="9">
        <f t="shared" ref="J3:J33" si="10">F3/C3</f>
        <v>1.9383124993674453E-2</v>
      </c>
      <c r="K3" s="9">
        <f t="shared" si="2"/>
        <v>0</v>
      </c>
      <c r="L3" s="5">
        <f t="shared" si="3"/>
        <v>14565.793004911246</v>
      </c>
      <c r="M3" s="5">
        <f t="shared" si="4"/>
        <v>79903.432129771594</v>
      </c>
      <c r="N3" s="5">
        <f t="shared" si="5"/>
        <v>13173.707047223454</v>
      </c>
      <c r="O3" s="10" t="s">
        <v>18</v>
      </c>
      <c r="P3" s="11">
        <f>SQRT(SUM(M2:M51)/SUM(C2:C51))</f>
        <v>1.0064448208263141E-2</v>
      </c>
      <c r="Q3" s="1">
        <v>43951</v>
      </c>
      <c r="R3">
        <v>214310553.97000036</v>
      </c>
      <c r="S3">
        <v>971868.57</v>
      </c>
      <c r="T3">
        <v>1020909.970000001</v>
      </c>
      <c r="U3" s="2">
        <v>208415020.78000039</v>
      </c>
      <c r="V3" s="2">
        <v>6275861.6000000006</v>
      </c>
      <c r="W3" s="2">
        <f>'Use case'!C53</f>
        <v>4636138.8216300197</v>
      </c>
      <c r="X3" s="2">
        <f>AVERAGE($H$2:$H$51)*(R3-SUM($X$2:X2))</f>
        <v>4073107.6995134368</v>
      </c>
      <c r="Y3" s="2">
        <f>0</f>
        <v>0</v>
      </c>
      <c r="Z3" s="9">
        <f t="shared" si="6"/>
        <v>3.0112328643647528E-2</v>
      </c>
      <c r="AA3" s="9">
        <f t="shared" si="7"/>
        <v>2.2244744185323642E-2</v>
      </c>
      <c r="AB3" s="9">
        <f t="shared" ref="AB3:AB13" si="11">X3/U3</f>
        <v>1.9543254052753447E-2</v>
      </c>
      <c r="AC3" s="9">
        <f t="shared" ref="AC3:AC13" si="12">Y3/U3</f>
        <v>0</v>
      </c>
      <c r="AD3" s="5">
        <f t="shared" si="8"/>
        <v>12900.657447063322</v>
      </c>
      <c r="AE3" s="5">
        <f t="shared" ref="AE3:AE13" si="13">U3*(Z3-AB3)^2</f>
        <v>23281.070279625375</v>
      </c>
      <c r="AF3" s="5">
        <f t="shared" ref="AF3:AF13" si="14">U3*(Z3-AC3)^2</f>
        <v>188980.80702124763</v>
      </c>
      <c r="AG3" s="10" t="s">
        <v>18</v>
      </c>
      <c r="AH3" s="11">
        <f>SQRT(SUM(AE2:AE13)/SUM(U2:U13))</f>
        <v>1.1599622058564621E-2</v>
      </c>
    </row>
    <row r="4" spans="1:34">
      <c r="B4" s="1">
        <v>42460</v>
      </c>
      <c r="C4" s="2">
        <v>419996307.59000003</v>
      </c>
      <c r="D4" s="2">
        <v>1617414.1699999988</v>
      </c>
      <c r="E4" s="2">
        <f>'Use case'!C4</f>
        <v>5052647.8083776496</v>
      </c>
      <c r="F4" s="2">
        <f t="shared" si="9"/>
        <v>8140840.9268987132</v>
      </c>
      <c r="G4" s="2">
        <v>0</v>
      </c>
      <c r="H4" s="9">
        <f t="shared" si="0"/>
        <v>3.8510199751063449E-3</v>
      </c>
      <c r="I4" s="9">
        <f t="shared" si="1"/>
        <v>1.2030219592573273E-2</v>
      </c>
      <c r="J4" s="9">
        <f t="shared" si="10"/>
        <v>1.9383124993674453E-2</v>
      </c>
      <c r="K4" s="9">
        <f t="shared" si="2"/>
        <v>0</v>
      </c>
      <c r="L4" s="5">
        <f t="shared" si="3"/>
        <v>28097.461660928002</v>
      </c>
      <c r="M4" s="5">
        <f t="shared" si="4"/>
        <v>101322.549469088</v>
      </c>
      <c r="N4" s="5">
        <f t="shared" si="5"/>
        <v>6228.6942766900447</v>
      </c>
      <c r="O4" s="10" t="s">
        <v>19</v>
      </c>
      <c r="P4" s="11">
        <f>SQRT(SUM(N2:N51)/SUM(C2:C51))</f>
        <v>2.0190056323349116E-2</v>
      </c>
      <c r="Q4" s="1">
        <v>43982</v>
      </c>
      <c r="R4">
        <v>213289644.0000003</v>
      </c>
      <c r="S4">
        <v>904497.16999999958</v>
      </c>
      <c r="T4">
        <v>1001803.4799999994</v>
      </c>
      <c r="U4" s="2">
        <v>201624156.22000021</v>
      </c>
      <c r="V4" s="2">
        <v>5541293.6700000009</v>
      </c>
      <c r="W4" s="2">
        <f>'Use case'!C54</f>
        <v>4865690.1272138627</v>
      </c>
      <c r="X4" s="2">
        <f>AVERAGE($H$2:$H$51)*(R4-SUM($X$2:X3))</f>
        <v>3974369.7183052702</v>
      </c>
      <c r="Y4" s="2">
        <f>0</f>
        <v>0</v>
      </c>
      <c r="Z4" s="9">
        <f t="shared" si="6"/>
        <v>2.7483282627869615E-2</v>
      </c>
      <c r="AA4" s="9">
        <f t="shared" si="7"/>
        <v>2.413247608041922E-2</v>
      </c>
      <c r="AB4" s="9">
        <f t="shared" si="11"/>
        <v>1.9711773593084132E-2</v>
      </c>
      <c r="AC4" s="9">
        <f t="shared" si="12"/>
        <v>0</v>
      </c>
      <c r="AD4" s="5">
        <f t="shared" si="8"/>
        <v>2263.8167746484746</v>
      </c>
      <c r="AE4" s="5">
        <f t="shared" si="13"/>
        <v>12177.363647417375</v>
      </c>
      <c r="AF4" s="5">
        <f t="shared" si="14"/>
        <v>152292.94005663489</v>
      </c>
      <c r="AG4" s="10" t="s">
        <v>19</v>
      </c>
      <c r="AH4" s="11">
        <f>SQRT(SUM(AF2:AF13)/SUM(U2:U13))</f>
        <v>3.1055360032756735E-2</v>
      </c>
    </row>
    <row r="5" spans="1:34">
      <c r="B5" s="1">
        <v>42490</v>
      </c>
      <c r="C5" s="2">
        <v>424808495.89000016</v>
      </c>
      <c r="D5" s="2">
        <v>3469748.75</v>
      </c>
      <c r="E5" s="2">
        <f>'Use case'!C5</f>
        <v>5122495.1666763024</v>
      </c>
      <c r="F5" s="2">
        <f t="shared" si="9"/>
        <v>8234116.1742107132</v>
      </c>
      <c r="G5" s="2">
        <v>0</v>
      </c>
      <c r="H5" s="9">
        <f t="shared" si="0"/>
        <v>8.1677950972488464E-3</v>
      </c>
      <c r="I5" s="9">
        <f t="shared" si="1"/>
        <v>1.2058363277185305E-2</v>
      </c>
      <c r="J5" s="9">
        <f t="shared" si="10"/>
        <v>1.9383124993674453E-2</v>
      </c>
      <c r="K5" s="9">
        <f t="shared" si="2"/>
        <v>0</v>
      </c>
      <c r="L5" s="5">
        <f t="shared" si="3"/>
        <v>6430.1226182248265</v>
      </c>
      <c r="M5" s="5">
        <f t="shared" si="4"/>
        <v>53433.95241030668</v>
      </c>
      <c r="N5" s="5">
        <f t="shared" si="5"/>
        <v>28340.196828935314</v>
      </c>
      <c r="Q5" s="1">
        <v>44012</v>
      </c>
      <c r="R5">
        <v>212287840.51999992</v>
      </c>
      <c r="S5">
        <v>872845.23999999871</v>
      </c>
      <c r="T5">
        <v>1014815.9999999993</v>
      </c>
      <c r="U5" s="2">
        <v>194753307.31999996</v>
      </c>
      <c r="V5" s="2">
        <v>6142054.9700000072</v>
      </c>
      <c r="W5" s="2">
        <f>'Use case'!C55</f>
        <v>5076942.0274594165</v>
      </c>
      <c r="X5" s="2">
        <f>AVERAGE($H$2:$H$51)*(R5-SUM($X$2:X4))</f>
        <v>3877915.9312123396</v>
      </c>
      <c r="Y5" s="2">
        <f>0</f>
        <v>0</v>
      </c>
      <c r="Z5" s="9">
        <f t="shared" si="6"/>
        <v>3.1537615738191145E-2</v>
      </c>
      <c r="AA5" s="9">
        <f t="shared" si="7"/>
        <v>2.6068579257128979E-2</v>
      </c>
      <c r="AB5" s="9">
        <f t="shared" si="11"/>
        <v>1.9911938773088562E-2</v>
      </c>
      <c r="AC5" s="9">
        <f t="shared" si="12"/>
        <v>0</v>
      </c>
      <c r="AD5" s="5">
        <f t="shared" si="8"/>
        <v>5825.1415392059635</v>
      </c>
      <c r="AE5" s="5">
        <f t="shared" si="13"/>
        <v>26322.149069023289</v>
      </c>
      <c r="AF5" s="5">
        <f t="shared" si="14"/>
        <v>193705.76948670737</v>
      </c>
    </row>
    <row r="6" spans="1:34">
      <c r="B6" s="1">
        <v>42521</v>
      </c>
      <c r="C6" s="2">
        <v>426293741.36000192</v>
      </c>
      <c r="D6" s="2">
        <v>2829641.3700000015</v>
      </c>
      <c r="E6" s="2">
        <f>'Use case'!C6</f>
        <v>5427671.5552676329</v>
      </c>
      <c r="F6" s="2">
        <f t="shared" si="9"/>
        <v>8262904.8728020461</v>
      </c>
      <c r="G6" s="2">
        <v>0</v>
      </c>
      <c r="H6" s="9">
        <f t="shared" si="0"/>
        <v>6.6377736651085156E-3</v>
      </c>
      <c r="I6" s="9">
        <f t="shared" si="1"/>
        <v>1.2732233736183343E-2</v>
      </c>
      <c r="J6" s="9">
        <f t="shared" si="10"/>
        <v>1.9383124993674453E-2</v>
      </c>
      <c r="K6" s="9">
        <f t="shared" si="2"/>
        <v>0</v>
      </c>
      <c r="L6" s="5">
        <f t="shared" si="3"/>
        <v>15833.591227560713</v>
      </c>
      <c r="M6" s="5">
        <f t="shared" si="4"/>
        <v>69248.852203886854</v>
      </c>
      <c r="N6" s="5">
        <f t="shared" si="5"/>
        <v>18782.518967487591</v>
      </c>
      <c r="Q6" s="1">
        <v>44043</v>
      </c>
      <c r="R6">
        <v>211273024.52000019</v>
      </c>
      <c r="S6">
        <v>811060.94999999902</v>
      </c>
      <c r="T6">
        <v>1000680.6199999998</v>
      </c>
      <c r="U6" s="2">
        <v>187474512.92000011</v>
      </c>
      <c r="V6" s="2">
        <v>4716549.03</v>
      </c>
      <c r="W6" s="2">
        <f>'Use case'!C56</f>
        <v>5301494.3338264916</v>
      </c>
      <c r="X6" s="2">
        <f>AVERAGE($H$2:$H$51)*(R6-SUM($X$2:X5))</f>
        <v>3783079.4966291138</v>
      </c>
      <c r="Y6" s="2">
        <f>0</f>
        <v>0</v>
      </c>
      <c r="Z6" s="9">
        <f t="shared" si="6"/>
        <v>2.5158347961744886E-2</v>
      </c>
      <c r="AA6" s="9">
        <f t="shared" si="7"/>
        <v>2.8278480371829354E-2</v>
      </c>
      <c r="AB6" s="9">
        <f t="shared" si="11"/>
        <v>2.0179166958249121E-2</v>
      </c>
      <c r="AC6" s="9">
        <f t="shared" si="12"/>
        <v>0</v>
      </c>
      <c r="AD6" s="5">
        <f t="shared" si="8"/>
        <v>1825.1068005957425</v>
      </c>
      <c r="AE6" s="5">
        <f t="shared" si="13"/>
        <v>4647.9137679023715</v>
      </c>
      <c r="AF6" s="5">
        <f t="shared" si="14"/>
        <v>118660.58167537033</v>
      </c>
    </row>
    <row r="7" spans="1:34">
      <c r="B7" s="1">
        <v>42551</v>
      </c>
      <c r="C7" s="2">
        <v>425783185.5199998</v>
      </c>
      <c r="D7" s="2">
        <v>2425570.5799999991</v>
      </c>
      <c r="E7" s="2">
        <f>'Use case'!C7</f>
        <v>5495199.5203329194</v>
      </c>
      <c r="F7" s="2">
        <f t="shared" si="9"/>
        <v>8253008.7051390344</v>
      </c>
      <c r="G7" s="2">
        <v>0</v>
      </c>
      <c r="H7" s="9">
        <f t="shared" si="0"/>
        <v>5.6967270256050679E-3</v>
      </c>
      <c r="I7" s="9">
        <f t="shared" si="1"/>
        <v>1.2906098002958362E-2</v>
      </c>
      <c r="J7" s="9">
        <f t="shared" si="10"/>
        <v>1.9383124993674453E-2</v>
      </c>
      <c r="K7" s="9">
        <f t="shared" si="2"/>
        <v>0</v>
      </c>
      <c r="L7" s="5">
        <f t="shared" si="3"/>
        <v>22130.093793679898</v>
      </c>
      <c r="M7" s="5">
        <f t="shared" si="4"/>
        <v>79756.637314952954</v>
      </c>
      <c r="N7" s="5">
        <f t="shared" si="5"/>
        <v>13817.813475598554</v>
      </c>
      <c r="Q7" s="1">
        <v>44074</v>
      </c>
      <c r="R7">
        <v>210272343.90000021</v>
      </c>
      <c r="S7">
        <v>765263.75999999931</v>
      </c>
      <c r="T7">
        <v>1004315.4899999994</v>
      </c>
      <c r="U7" s="2">
        <v>180709947.59000006</v>
      </c>
      <c r="V7" s="2">
        <v>5187388.9800000032</v>
      </c>
      <c r="W7" s="2">
        <f>'Use case'!C57</f>
        <v>5533519.144831039</v>
      </c>
      <c r="X7" s="2">
        <f>AVERAGE($H$2:$H$51)*(R7-SUM($X$2:X6))</f>
        <v>3690355.2763487371</v>
      </c>
      <c r="Y7" s="2">
        <f>0</f>
        <v>0</v>
      </c>
      <c r="Z7" s="9">
        <f t="shared" si="6"/>
        <v>2.8705608347412623E-2</v>
      </c>
      <c r="AA7" s="9">
        <f t="shared" si="7"/>
        <v>3.0620999112819437E-2</v>
      </c>
      <c r="AB7" s="9">
        <f t="shared" si="11"/>
        <v>2.0421428513285399E-2</v>
      </c>
      <c r="AC7" s="9">
        <f t="shared" si="12"/>
        <v>0</v>
      </c>
      <c r="AD7" s="5">
        <f t="shared" si="8"/>
        <v>662.97452134610353</v>
      </c>
      <c r="AE7" s="5">
        <f t="shared" si="13"/>
        <v>12401.696418796611</v>
      </c>
      <c r="AF7" s="5">
        <f t="shared" si="14"/>
        <v>148907.15640556437</v>
      </c>
    </row>
    <row r="8" spans="1:34">
      <c r="B8" s="1">
        <v>42582</v>
      </c>
      <c r="C8" s="2">
        <v>429168817.28999913</v>
      </c>
      <c r="D8" s="2">
        <v>3361427.649999999</v>
      </c>
      <c r="E8" s="2">
        <f>'Use case'!C8</f>
        <v>5758508.0694728661</v>
      </c>
      <c r="F8" s="2">
        <f t="shared" si="9"/>
        <v>8318632.8289194871</v>
      </c>
      <c r="G8" s="2">
        <v>0</v>
      </c>
      <c r="H8" s="9">
        <f t="shared" si="0"/>
        <v>7.8324135272125461E-3</v>
      </c>
      <c r="I8" s="9">
        <f t="shared" si="1"/>
        <v>1.341781564148849E-2</v>
      </c>
      <c r="J8" s="9">
        <f t="shared" si="10"/>
        <v>1.9383124993674453E-2</v>
      </c>
      <c r="K8" s="9">
        <f t="shared" si="2"/>
        <v>0</v>
      </c>
      <c r="L8" s="5">
        <f t="shared" si="3"/>
        <v>13388.658043013222</v>
      </c>
      <c r="M8" s="5">
        <f t="shared" si="4"/>
        <v>57259.246701749682</v>
      </c>
      <c r="N8" s="5">
        <f t="shared" si="5"/>
        <v>26328.091396606273</v>
      </c>
      <c r="Q8" s="1">
        <v>44104</v>
      </c>
      <c r="R8">
        <v>209268028.41000012</v>
      </c>
      <c r="S8">
        <v>719372.39999999909</v>
      </c>
      <c r="T8">
        <v>1012246.6700000002</v>
      </c>
      <c r="U8" s="2">
        <v>173709092.14000005</v>
      </c>
      <c r="V8" s="2">
        <v>5515476.9799999995</v>
      </c>
      <c r="W8" s="2">
        <f>'Use case'!C58</f>
        <v>5772214.255306961</v>
      </c>
      <c r="X8" s="2">
        <f>AVERAGE($H$2:$H$51)*(R8-SUM($X$2:X7))</f>
        <v>3599357.8860804485</v>
      </c>
      <c r="Y8" s="2">
        <f>0</f>
        <v>0</v>
      </c>
      <c r="Z8" s="9">
        <f t="shared" si="6"/>
        <v>3.1751227941222711E-2</v>
      </c>
      <c r="AA8" s="9">
        <f t="shared" si="7"/>
        <v>3.3229200522531498E-2</v>
      </c>
      <c r="AB8" s="9">
        <f t="shared" si="11"/>
        <v>2.0720607319618955E-2</v>
      </c>
      <c r="AC8" s="9">
        <f t="shared" si="12"/>
        <v>0</v>
      </c>
      <c r="AD8" s="5">
        <f t="shared" si="8"/>
        <v>379.45065350361494</v>
      </c>
      <c r="AE8" s="5">
        <f t="shared" si="13"/>
        <v>21135.982790837708</v>
      </c>
      <c r="AF8" s="5">
        <f t="shared" si="14"/>
        <v>175123.16679654663</v>
      </c>
    </row>
    <row r="9" spans="1:34">
      <c r="B9" s="1">
        <v>42613</v>
      </c>
      <c r="C9" s="2">
        <v>427440670.90999949</v>
      </c>
      <c r="D9" s="2">
        <v>3031281.0399999977</v>
      </c>
      <c r="E9" s="2">
        <f>'Use case'!C9</f>
        <v>5941057.7797562601</v>
      </c>
      <c r="F9" s="2">
        <f t="shared" si="9"/>
        <v>8285135.9516285881</v>
      </c>
      <c r="G9" s="2">
        <v>0</v>
      </c>
      <c r="H9" s="9">
        <f t="shared" si="0"/>
        <v>7.0917000797948273E-3</v>
      </c>
      <c r="I9" s="9">
        <f t="shared" si="1"/>
        <v>1.3899140124190919E-2</v>
      </c>
      <c r="J9" s="9">
        <f t="shared" si="10"/>
        <v>1.9383124993674453E-2</v>
      </c>
      <c r="K9" s="9">
        <f t="shared" si="2"/>
        <v>0</v>
      </c>
      <c r="L9" s="5">
        <f t="shared" si="3"/>
        <v>19808.130698469082</v>
      </c>
      <c r="M9" s="5">
        <f t="shared" si="4"/>
        <v>64577.363154700506</v>
      </c>
      <c r="N9" s="5">
        <f t="shared" si="5"/>
        <v>21496.935993248531</v>
      </c>
      <c r="Q9" s="1">
        <v>44135</v>
      </c>
      <c r="R9">
        <v>208255781.73999998</v>
      </c>
      <c r="S9">
        <v>676607.8899999999</v>
      </c>
      <c r="T9">
        <v>1002509.200000001</v>
      </c>
      <c r="U9" s="2">
        <v>168102373.0099999</v>
      </c>
      <c r="V9" s="2">
        <v>7998093.0700000068</v>
      </c>
      <c r="W9" s="2">
        <f>'Use case'!C59</f>
        <v>5994947.1733027287</v>
      </c>
      <c r="X9" s="2">
        <f>AVERAGE($H$2:$H$51)*(R9-SUM($X$2:X8))</f>
        <v>3509970.5785485399</v>
      </c>
      <c r="Y9" s="2">
        <f>0</f>
        <v>0</v>
      </c>
      <c r="Z9" s="9">
        <f t="shared" si="6"/>
        <v>4.7578704135986374E-2</v>
      </c>
      <c r="AA9" s="9">
        <f t="shared" si="7"/>
        <v>3.5662477964817946E-2</v>
      </c>
      <c r="AB9" s="9">
        <f t="shared" si="11"/>
        <v>2.0879958537764021E-2</v>
      </c>
      <c r="AC9" s="9">
        <f t="shared" si="12"/>
        <v>0</v>
      </c>
      <c r="AD9" s="5">
        <f t="shared" si="8"/>
        <v>23869.939558892755</v>
      </c>
      <c r="AE9" s="5">
        <f t="shared" si="13"/>
        <v>119827.2406129226</v>
      </c>
      <c r="AF9" s="5">
        <f t="shared" si="14"/>
        <v>380538.90382961323</v>
      </c>
    </row>
    <row r="10" spans="1:34">
      <c r="B10" s="1">
        <v>42643</v>
      </c>
      <c r="C10" s="2">
        <v>425388971.49000037</v>
      </c>
      <c r="D10" s="2">
        <v>3222095.09</v>
      </c>
      <c r="E10" s="2">
        <f>'Use case'!C10</f>
        <v>5879068.907870071</v>
      </c>
      <c r="F10" s="2">
        <f t="shared" si="9"/>
        <v>8245367.6053212956</v>
      </c>
      <c r="G10" s="2">
        <v>0</v>
      </c>
      <c r="H10" s="9">
        <f t="shared" si="0"/>
        <v>7.5744678540067461E-3</v>
      </c>
      <c r="I10" s="9">
        <f t="shared" si="1"/>
        <v>1.3820454459074453E-2</v>
      </c>
      <c r="J10" s="9">
        <f t="shared" si="10"/>
        <v>1.9383124993674453E-2</v>
      </c>
      <c r="K10" s="9">
        <f t="shared" si="2"/>
        <v>0</v>
      </c>
      <c r="L10" s="5">
        <f t="shared" si="3"/>
        <v>16595.422876432072</v>
      </c>
      <c r="M10" s="5">
        <f t="shared" si="4"/>
        <v>59318.102852545388</v>
      </c>
      <c r="N10" s="5">
        <f t="shared" si="5"/>
        <v>24405.655681757973</v>
      </c>
      <c r="Q10" s="1">
        <v>44165</v>
      </c>
      <c r="R10">
        <v>207253272.5400002</v>
      </c>
      <c r="S10">
        <v>650507.93000000098</v>
      </c>
      <c r="T10">
        <v>1010949.4200000011</v>
      </c>
      <c r="U10" s="2">
        <v>159909775.71000016</v>
      </c>
      <c r="V10" s="2">
        <v>5982826.6100000022</v>
      </c>
      <c r="W10" s="2">
        <f>'Use case'!C60</f>
        <v>6186516.814944189</v>
      </c>
      <c r="X10" s="2">
        <f>AVERAGE($H$2:$H$51)*(R10-SUM($X$2:X9))</f>
        <v>3422504.6189695089</v>
      </c>
      <c r="Y10" s="2">
        <f>0</f>
        <v>0</v>
      </c>
      <c r="Z10" s="9">
        <f t="shared" si="6"/>
        <v>3.7413764001833057E-2</v>
      </c>
      <c r="AA10" s="9">
        <f t="shared" si="7"/>
        <v>3.8687546070751616E-2</v>
      </c>
      <c r="AB10" s="9">
        <f t="shared" si="11"/>
        <v>2.1402722902796732E-2</v>
      </c>
      <c r="AC10" s="9">
        <f t="shared" si="12"/>
        <v>0</v>
      </c>
      <c r="AD10" s="5">
        <f t="shared" si="8"/>
        <v>259.45693067225164</v>
      </c>
      <c r="AE10" s="5">
        <f t="shared" si="13"/>
        <v>40993.420625155741</v>
      </c>
      <c r="AF10" s="5">
        <f t="shared" si="14"/>
        <v>223840.06285042697</v>
      </c>
    </row>
    <row r="11" spans="1:34">
      <c r="B11" s="1">
        <v>42674</v>
      </c>
      <c r="C11" s="2">
        <v>424610185.06000143</v>
      </c>
      <c r="D11" s="2">
        <v>2958897.2299999977</v>
      </c>
      <c r="E11" s="2">
        <f>'Use case'!C11</f>
        <v>6229508.8029578859</v>
      </c>
      <c r="F11" s="2">
        <f t="shared" si="9"/>
        <v>8230272.2906052489</v>
      </c>
      <c r="G11" s="2">
        <v>0</v>
      </c>
      <c r="H11" s="9">
        <f t="shared" si="0"/>
        <v>6.9685027211061302E-3</v>
      </c>
      <c r="I11" s="9">
        <f t="shared" si="1"/>
        <v>1.4671124297401385E-2</v>
      </c>
      <c r="J11" s="9">
        <f t="shared" si="10"/>
        <v>1.9383124993674453E-2</v>
      </c>
      <c r="K11" s="9">
        <f t="shared" si="2"/>
        <v>0</v>
      </c>
      <c r="L11" s="5">
        <f t="shared" si="3"/>
        <v>25192.283269546391</v>
      </c>
      <c r="M11" s="5">
        <f t="shared" si="4"/>
        <v>65442.130234451135</v>
      </c>
      <c r="N11" s="5">
        <f t="shared" si="5"/>
        <v>20619.083398728373</v>
      </c>
      <c r="Q11" s="1">
        <v>44196</v>
      </c>
      <c r="R11">
        <v>206242323.12000015</v>
      </c>
      <c r="S11">
        <v>616235.73999999848</v>
      </c>
      <c r="T11">
        <v>1010104.6599999986</v>
      </c>
      <c r="U11" s="2">
        <v>152409710.87999991</v>
      </c>
      <c r="V11" s="2">
        <v>4775542.2500000009</v>
      </c>
      <c r="W11" s="2">
        <f>'Use case'!C61</f>
        <v>6432183.275018313</v>
      </c>
      <c r="X11" s="2">
        <f>AVERAGE($H$2:$H$51)*(R11-SUM($X$2:X10))</f>
        <v>3336570.4251784515</v>
      </c>
      <c r="Y11" s="2">
        <f>0</f>
        <v>0</v>
      </c>
      <c r="Z11" s="9">
        <f t="shared" si="6"/>
        <v>3.1333582502233295E-2</v>
      </c>
      <c r="AA11" s="9">
        <f t="shared" si="7"/>
        <v>4.2203237824410711E-2</v>
      </c>
      <c r="AB11" s="9">
        <f t="shared" si="11"/>
        <v>2.1892111768426009E-2</v>
      </c>
      <c r="AC11" s="9">
        <f t="shared" si="12"/>
        <v>0</v>
      </c>
      <c r="AD11" s="5">
        <f t="shared" si="8"/>
        <v>18007.116934527745</v>
      </c>
      <c r="AE11" s="5">
        <f t="shared" si="13"/>
        <v>13586.010370825919</v>
      </c>
      <c r="AF11" s="5">
        <f t="shared" si="14"/>
        <v>149634.84708327585</v>
      </c>
    </row>
    <row r="12" spans="1:34">
      <c r="B12" s="1">
        <v>42704</v>
      </c>
      <c r="C12" s="2">
        <v>421165832.10000169</v>
      </c>
      <c r="D12" s="2">
        <v>3081338.49</v>
      </c>
      <c r="E12" s="2">
        <f>'Use case'!C12</f>
        <v>6539214.0374816526</v>
      </c>
      <c r="F12" s="2">
        <f t="shared" si="9"/>
        <v>8163509.9666592414</v>
      </c>
      <c r="G12" s="2">
        <v>0</v>
      </c>
      <c r="H12" s="9">
        <f t="shared" si="0"/>
        <v>7.3162119411157899E-3</v>
      </c>
      <c r="I12" s="9">
        <f t="shared" si="1"/>
        <v>1.5526459031294305E-2</v>
      </c>
      <c r="J12" s="9">
        <f t="shared" si="10"/>
        <v>1.9383124993674453E-2</v>
      </c>
      <c r="K12" s="9">
        <f t="shared" si="2"/>
        <v>0</v>
      </c>
      <c r="L12" s="5">
        <f t="shared" si="3"/>
        <v>28390.012651910671</v>
      </c>
      <c r="M12" s="5">
        <f t="shared" si="4"/>
        <v>61326.121327040739</v>
      </c>
      <c r="N12" s="5">
        <f t="shared" si="5"/>
        <v>22543.725455157699</v>
      </c>
      <c r="Q12" s="1">
        <v>44227</v>
      </c>
      <c r="R12">
        <v>205232218.45999998</v>
      </c>
      <c r="S12">
        <v>584851.36999999976</v>
      </c>
      <c r="T12">
        <v>1010709.6999999997</v>
      </c>
      <c r="U12" s="2">
        <v>146266444.17000011</v>
      </c>
      <c r="V12" s="2">
        <v>3321146.55</v>
      </c>
      <c r="W12" s="2">
        <f>'Use case'!C62</f>
        <v>6516057.9718009736</v>
      </c>
      <c r="X12" s="2">
        <f>AVERAGE($H$2:$H$51)*(R12-SUM($X$2:X11))</f>
        <v>3252318.2786955433</v>
      </c>
      <c r="Y12" s="2">
        <f>0</f>
        <v>0</v>
      </c>
      <c r="Z12" s="9">
        <f t="shared" si="6"/>
        <v>2.2706141308391645E-2</v>
      </c>
      <c r="AA12" s="9">
        <f t="shared" si="7"/>
        <v>4.4549233481246044E-2</v>
      </c>
      <c r="AB12" s="9">
        <f t="shared" si="11"/>
        <v>2.2235573559958109E-2</v>
      </c>
      <c r="AC12" s="9">
        <f t="shared" si="12"/>
        <v>0</v>
      </c>
      <c r="AD12" s="5">
        <f t="shared" si="8"/>
        <v>69786.744670503977</v>
      </c>
      <c r="AE12" s="5">
        <f t="shared" si="13"/>
        <v>32.388364656310557</v>
      </c>
      <c r="AF12" s="5">
        <f t="shared" si="14"/>
        <v>75410.422870177397</v>
      </c>
    </row>
    <row r="13" spans="1:34">
      <c r="B13" s="1">
        <v>42735</v>
      </c>
      <c r="C13" s="2">
        <v>419315966.84000152</v>
      </c>
      <c r="D13" s="2">
        <v>3440842.169999999</v>
      </c>
      <c r="E13" s="2">
        <f>'Use case'!C13</f>
        <v>6716926.4255761933</v>
      </c>
      <c r="F13" s="2">
        <f t="shared" si="9"/>
        <v>8127653.797103202</v>
      </c>
      <c r="G13" s="2">
        <v>0</v>
      </c>
      <c r="H13" s="9">
        <f t="shared" si="0"/>
        <v>8.2058458110490264E-3</v>
      </c>
      <c r="I13" s="9">
        <f t="shared" si="1"/>
        <v>1.6018770943056343E-2</v>
      </c>
      <c r="J13" s="9">
        <f t="shared" si="10"/>
        <v>1.9383124993674453E-2</v>
      </c>
      <c r="K13" s="9">
        <f t="shared" si="2"/>
        <v>0</v>
      </c>
      <c r="L13" s="5">
        <f t="shared" si="3"/>
        <v>25595.801014964731</v>
      </c>
      <c r="M13" s="5">
        <f t="shared" si="4"/>
        <v>52385.802032507439</v>
      </c>
      <c r="N13" s="5">
        <f t="shared" si="5"/>
        <v>28235.020307175335</v>
      </c>
      <c r="Q13" s="1">
        <v>44255</v>
      </c>
      <c r="R13">
        <v>204221508.7599996</v>
      </c>
      <c r="S13">
        <v>567846.26</v>
      </c>
      <c r="T13">
        <v>1038293.6799999994</v>
      </c>
      <c r="U13" s="2">
        <v>140571410.25000009</v>
      </c>
      <c r="V13" s="2">
        <v>3740949.0699999994</v>
      </c>
      <c r="W13" s="2">
        <f>'Use case'!C63</f>
        <v>6580833.7534207311</v>
      </c>
      <c r="X13" s="2">
        <f>AVERAGE($H$2:$H$51)*(R13-SUM($X$2:X12))</f>
        <v>3169687.4745329493</v>
      </c>
      <c r="Y13" s="2">
        <f>0</f>
        <v>0</v>
      </c>
      <c r="Z13" s="9">
        <f t="shared" si="6"/>
        <v>2.6612446039681079E-2</v>
      </c>
      <c r="AA13" s="9">
        <f t="shared" si="7"/>
        <v>4.6814880363773875E-2</v>
      </c>
      <c r="AB13" s="9">
        <f t="shared" si="11"/>
        <v>2.2548592696735412E-2</v>
      </c>
      <c r="AC13" s="9">
        <f t="shared" si="12"/>
        <v>0</v>
      </c>
      <c r="AD13" s="5">
        <f t="shared" si="8"/>
        <v>57372.583804804395</v>
      </c>
      <c r="AE13" s="5">
        <f t="shared" si="13"/>
        <v>2321.5233444352457</v>
      </c>
      <c r="AF13" s="5">
        <f t="shared" si="14"/>
        <v>99555.805262570095</v>
      </c>
    </row>
    <row r="14" spans="1:34">
      <c r="B14" s="1">
        <v>42766</v>
      </c>
      <c r="C14" s="2">
        <v>414457437.96999991</v>
      </c>
      <c r="D14" s="2">
        <v>3362802.7900000014</v>
      </c>
      <c r="E14" s="2">
        <f>'Use case'!C14</f>
        <v>6810202.3209751956</v>
      </c>
      <c r="F14" s="2">
        <f t="shared" si="9"/>
        <v>8033480.3247305844</v>
      </c>
      <c r="G14" s="2">
        <v>0</v>
      </c>
      <c r="H14" s="9">
        <f t="shared" si="0"/>
        <v>8.113746990453129E-3</v>
      </c>
      <c r="I14" s="9">
        <f t="shared" si="1"/>
        <v>1.6431608404306512E-2</v>
      </c>
      <c r="J14" s="9">
        <f t="shared" si="10"/>
        <v>1.9383124993674453E-2</v>
      </c>
      <c r="K14" s="9">
        <f t="shared" si="2"/>
        <v>0</v>
      </c>
      <c r="L14" s="5">
        <f t="shared" si="3"/>
        <v>28674.991536834823</v>
      </c>
      <c r="M14" s="5">
        <f t="shared" si="4"/>
        <v>52635.630670032835</v>
      </c>
      <c r="N14" s="5">
        <f t="shared" si="5"/>
        <v>27284.931016849896</v>
      </c>
      <c r="T14" s="2">
        <f>R2-SUM(T2:T13)</f>
        <v>203183215.08000028</v>
      </c>
      <c r="V14" s="2">
        <f>$R$2-SUM(V2:V13)</f>
        <v>150508314.14000025</v>
      </c>
      <c r="W14" s="2">
        <f t="shared" ref="W14:Y14" si="15">$R$2-SUM(W2:W13)</f>
        <v>147797011.53961551</v>
      </c>
      <c r="X14" s="2">
        <f t="shared" si="15"/>
        <v>171466688.41747001</v>
      </c>
      <c r="Y14" s="2">
        <f t="shared" si="15"/>
        <v>215329688.06000027</v>
      </c>
      <c r="Z14" s="9"/>
      <c r="AA14" s="9"/>
      <c r="AB14" s="9"/>
      <c r="AC14" s="9"/>
      <c r="AD14" s="5"/>
      <c r="AE14" s="5"/>
      <c r="AF14" s="5"/>
    </row>
    <row r="15" spans="1:34">
      <c r="B15" s="1">
        <v>42794</v>
      </c>
      <c r="C15" s="2">
        <v>409493213.2499994</v>
      </c>
      <c r="D15" s="2">
        <v>3480580.799999998</v>
      </c>
      <c r="E15" s="2">
        <f>'Use case'!C15</f>
        <v>6895147.7321491772</v>
      </c>
      <c r="F15" s="2">
        <f t="shared" si="9"/>
        <v>7937258.1364861261</v>
      </c>
      <c r="G15" s="2">
        <v>0</v>
      </c>
      <c r="H15" s="9">
        <f t="shared" si="0"/>
        <v>8.4997276813842358E-3</v>
      </c>
      <c r="I15" s="9">
        <f t="shared" si="1"/>
        <v>1.6838246664517064E-2</v>
      </c>
      <c r="J15" s="9">
        <f t="shared" si="10"/>
        <v>1.9383124993674453E-2</v>
      </c>
      <c r="K15" s="9">
        <f t="shared" si="2"/>
        <v>0</v>
      </c>
      <c r="L15" s="5">
        <f t="shared" si="3"/>
        <v>28472.431182903558</v>
      </c>
      <c r="M15" s="5">
        <f t="shared" si="4"/>
        <v>48503.790145657855</v>
      </c>
      <c r="N15" s="5">
        <f t="shared" si="5"/>
        <v>29583.988973054467</v>
      </c>
      <c r="U15" s="2"/>
      <c r="V15" s="2"/>
      <c r="W15" s="2"/>
      <c r="X15" s="2"/>
      <c r="Y15" s="2"/>
      <c r="Z15" s="9"/>
      <c r="AA15" s="9"/>
      <c r="AB15" s="9"/>
      <c r="AC15" s="9"/>
      <c r="AD15" s="5"/>
      <c r="AE15" s="5"/>
      <c r="AF15" s="5"/>
    </row>
    <row r="16" spans="1:34">
      <c r="B16" s="1">
        <v>42825</v>
      </c>
      <c r="C16" s="2">
        <v>404619156.31000048</v>
      </c>
      <c r="D16" s="2">
        <v>3840583.3199999984</v>
      </c>
      <c r="E16" s="2">
        <f>'Use case'!C16</f>
        <v>7027845.500527977</v>
      </c>
      <c r="F16" s="2">
        <f t="shared" si="9"/>
        <v>7842783.6815918405</v>
      </c>
      <c r="G16" s="2">
        <v>0</v>
      </c>
      <c r="H16" s="9">
        <f t="shared" si="0"/>
        <v>9.4918474820246054E-3</v>
      </c>
      <c r="I16" s="9">
        <f t="shared" si="1"/>
        <v>1.7369037997656163E-2</v>
      </c>
      <c r="J16" s="9">
        <f t="shared" si="10"/>
        <v>1.9383124993674453E-2</v>
      </c>
      <c r="K16" s="9">
        <f t="shared" si="2"/>
        <v>0</v>
      </c>
      <c r="L16" s="5">
        <f t="shared" si="3"/>
        <v>25106.671419286147</v>
      </c>
      <c r="M16" s="5">
        <f t="shared" si="4"/>
        <v>39586.874433730278</v>
      </c>
      <c r="N16" s="5">
        <f t="shared" si="5"/>
        <v>36454.231115447685</v>
      </c>
    </row>
    <row r="17" spans="2:14">
      <c r="B17" s="1">
        <v>42855</v>
      </c>
      <c r="C17" s="2">
        <v>399396371.86999935</v>
      </c>
      <c r="D17" s="2">
        <v>3918370.8600000003</v>
      </c>
      <c r="E17" s="2">
        <f>'Use case'!C17</f>
        <v>7087180.1080429871</v>
      </c>
      <c r="F17" s="2">
        <f t="shared" si="9"/>
        <v>7741549.7979762806</v>
      </c>
      <c r="G17" s="2">
        <v>0</v>
      </c>
      <c r="H17" s="9">
        <f t="shared" si="0"/>
        <v>9.8107322348821979E-3</v>
      </c>
      <c r="I17" s="9">
        <f t="shared" si="1"/>
        <v>1.7744728313029878E-2</v>
      </c>
      <c r="J17" s="9">
        <f t="shared" si="10"/>
        <v>1.9383124993674453E-2</v>
      </c>
      <c r="K17" s="9">
        <f t="shared" si="2"/>
        <v>0</v>
      </c>
      <c r="L17" s="5">
        <f t="shared" si="3"/>
        <v>25141.320146371159</v>
      </c>
      <c r="M17" s="5">
        <f t="shared" si="4"/>
        <v>36596.970381451218</v>
      </c>
      <c r="N17" s="5">
        <f t="shared" si="5"/>
        <v>38442.087304425084</v>
      </c>
    </row>
    <row r="18" spans="2:14">
      <c r="B18" s="1">
        <v>42886</v>
      </c>
      <c r="C18" s="2">
        <v>393968758.32999974</v>
      </c>
      <c r="D18" s="2">
        <v>4426785.700000003</v>
      </c>
      <c r="E18" s="2">
        <f>'Use case'!C18</f>
        <v>7157963.7757219719</v>
      </c>
      <c r="F18" s="2">
        <f t="shared" si="9"/>
        <v>7636345.6863131085</v>
      </c>
      <c r="G18" s="2">
        <v>0</v>
      </c>
      <c r="H18" s="9">
        <f t="shared" si="0"/>
        <v>1.123638767389773E-2</v>
      </c>
      <c r="I18" s="9">
        <f t="shared" si="1"/>
        <v>1.8168861424606293E-2</v>
      </c>
      <c r="J18" s="9">
        <f t="shared" si="10"/>
        <v>1.9383124993674453E-2</v>
      </c>
      <c r="K18" s="9">
        <f t="shared" si="2"/>
        <v>0</v>
      </c>
      <c r="L18" s="5">
        <f t="shared" si="3"/>
        <v>18933.820318453272</v>
      </c>
      <c r="M18" s="5">
        <f t="shared" si="4"/>
        <v>26147.442120559048</v>
      </c>
      <c r="N18" s="5">
        <f t="shared" si="5"/>
        <v>49741.080274466767</v>
      </c>
    </row>
    <row r="19" spans="2:14">
      <c r="B19" s="1">
        <v>42916</v>
      </c>
      <c r="C19" s="2">
        <v>388474942.50999963</v>
      </c>
      <c r="D19" s="2">
        <v>3910189.1399999978</v>
      </c>
      <c r="E19" s="2">
        <f>'Use case'!C19</f>
        <v>7180310.048161584</v>
      </c>
      <c r="F19" s="2">
        <f t="shared" si="9"/>
        <v>7529858.3675818201</v>
      </c>
      <c r="G19" s="2">
        <v>0</v>
      </c>
      <c r="H19" s="9">
        <f t="shared" si="0"/>
        <v>1.0065486115360829E-2</v>
      </c>
      <c r="I19" s="9">
        <f t="shared" si="1"/>
        <v>1.8483328684646777E-2</v>
      </c>
      <c r="J19" s="9">
        <f t="shared" si="10"/>
        <v>1.9383124993674453E-2</v>
      </c>
      <c r="K19" s="9">
        <f t="shared" si="2"/>
        <v>0</v>
      </c>
      <c r="L19" s="5">
        <f t="shared" si="3"/>
        <v>27527.36298743463</v>
      </c>
      <c r="M19" s="5">
        <f t="shared" si="4"/>
        <v>33726.770721551839</v>
      </c>
      <c r="N19" s="5">
        <f t="shared" si="5"/>
        <v>39357.954497104678</v>
      </c>
    </row>
    <row r="20" spans="2:14">
      <c r="B20" s="1">
        <v>42947</v>
      </c>
      <c r="C20" s="2">
        <v>383702418.78000057</v>
      </c>
      <c r="D20" s="2">
        <v>4875555.16</v>
      </c>
      <c r="E20" s="2">
        <f>'Use case'!C20</f>
        <v>7178498.1114168214</v>
      </c>
      <c r="F20" s="2">
        <f t="shared" si="9"/>
        <v>7437351.9435879709</v>
      </c>
      <c r="G20" s="2">
        <v>0</v>
      </c>
      <c r="H20" s="9">
        <f t="shared" si="0"/>
        <v>1.2706605226784995E-2</v>
      </c>
      <c r="I20" s="9">
        <f t="shared" si="1"/>
        <v>1.8708503673865767E-2</v>
      </c>
      <c r="J20" s="9">
        <f t="shared" si="10"/>
        <v>1.9383124993674453E-2</v>
      </c>
      <c r="K20" s="9">
        <f t="shared" si="2"/>
        <v>0</v>
      </c>
      <c r="L20" s="5">
        <f t="shared" si="3"/>
        <v>13822.029723824229</v>
      </c>
      <c r="M20" s="5">
        <f t="shared" si="4"/>
        <v>17103.886864378925</v>
      </c>
      <c r="N20" s="5">
        <f t="shared" si="5"/>
        <v>61951.754679534555</v>
      </c>
    </row>
    <row r="21" spans="2:14">
      <c r="B21" s="1">
        <v>42978</v>
      </c>
      <c r="C21" s="2">
        <v>378190743.89999926</v>
      </c>
      <c r="D21" s="2">
        <v>6127915.589999998</v>
      </c>
      <c r="E21" s="2">
        <f>'Use case'!C21</f>
        <v>7209557.2585565764</v>
      </c>
      <c r="F21" s="2">
        <f t="shared" si="9"/>
        <v>7330518.4604644096</v>
      </c>
      <c r="G21" s="2">
        <v>0</v>
      </c>
      <c r="H21" s="9">
        <f t="shared" si="0"/>
        <v>1.6203240530974852E-2</v>
      </c>
      <c r="I21" s="9">
        <f t="shared" si="1"/>
        <v>1.9063283210503212E-2</v>
      </c>
      <c r="J21" s="9">
        <f t="shared" si="10"/>
        <v>1.9383124993674453E-2</v>
      </c>
      <c r="K21" s="9">
        <f t="shared" si="2"/>
        <v>0</v>
      </c>
      <c r="L21" s="5">
        <f t="shared" si="3"/>
        <v>3093.5413360280822</v>
      </c>
      <c r="M21" s="5">
        <f t="shared" si="4"/>
        <v>3824.1381825877252</v>
      </c>
      <c r="N21" s="5">
        <f t="shared" si="5"/>
        <v>99292.09025828063</v>
      </c>
    </row>
    <row r="22" spans="2:14">
      <c r="B22" s="1">
        <v>43008</v>
      </c>
      <c r="C22" s="2">
        <v>370423093.23000026</v>
      </c>
      <c r="D22" s="2">
        <v>7519371.8800000036</v>
      </c>
      <c r="E22" s="2">
        <f>'Use case'!C22</f>
        <v>7163905.8177856142</v>
      </c>
      <c r="F22" s="2">
        <f t="shared" si="9"/>
        <v>7179957.1166206198</v>
      </c>
      <c r="G22" s="2">
        <v>0</v>
      </c>
      <c r="H22" s="9">
        <f t="shared" si="0"/>
        <v>2.0299414419422099E-2</v>
      </c>
      <c r="I22" s="9">
        <f t="shared" si="1"/>
        <v>1.9339792655252885E-2</v>
      </c>
      <c r="J22" s="9">
        <f t="shared" si="10"/>
        <v>1.9383124993674453E-2</v>
      </c>
      <c r="K22" s="9">
        <f t="shared" si="2"/>
        <v>0</v>
      </c>
      <c r="L22" s="5">
        <f t="shared" si="3"/>
        <v>341.11296972445712</v>
      </c>
      <c r="M22" s="5">
        <f t="shared" si="4"/>
        <v>311.00215862716874</v>
      </c>
      <c r="N22" s="5">
        <f t="shared" si="5"/>
        <v>152638.84596586914</v>
      </c>
    </row>
    <row r="23" spans="2:14">
      <c r="B23" s="1">
        <v>43039</v>
      </c>
      <c r="C23" s="2">
        <v>361356384.98000133</v>
      </c>
      <c r="D23" s="2">
        <v>7783104.6400000053</v>
      </c>
      <c r="E23" s="2">
        <f>'Use case'!C23</f>
        <v>7102589.6505470453</v>
      </c>
      <c r="F23" s="2">
        <f t="shared" si="9"/>
        <v>7004215.9773297114</v>
      </c>
      <c r="G23" s="2">
        <v>0</v>
      </c>
      <c r="H23" s="9">
        <f t="shared" si="0"/>
        <v>2.1538583413797292E-2</v>
      </c>
      <c r="I23" s="9">
        <f t="shared" si="1"/>
        <v>1.9655359489331083E-2</v>
      </c>
      <c r="J23" s="9">
        <f t="shared" si="10"/>
        <v>1.9383124993674453E-2</v>
      </c>
      <c r="K23" s="9">
        <f t="shared" si="2"/>
        <v>0</v>
      </c>
      <c r="L23" s="5">
        <f t="shared" si="3"/>
        <v>1281.5621090956838</v>
      </c>
      <c r="M23" s="5">
        <f t="shared" si="4"/>
        <v>1678.8621262909019</v>
      </c>
      <c r="N23" s="5">
        <f t="shared" si="5"/>
        <v>167637.04850695285</v>
      </c>
    </row>
    <row r="24" spans="2:14">
      <c r="B24" s="1">
        <v>43069</v>
      </c>
      <c r="C24" s="2">
        <v>351434491.60999954</v>
      </c>
      <c r="D24" s="2">
        <v>8039068.9999999991</v>
      </c>
      <c r="E24" s="2">
        <f>'Use case'!C24</f>
        <v>7029066.6935429024</v>
      </c>
      <c r="F24" s="2">
        <f t="shared" si="9"/>
        <v>6811898.6779650571</v>
      </c>
      <c r="G24" s="2">
        <v>0</v>
      </c>
      <c r="H24" s="9">
        <f t="shared" si="0"/>
        <v>2.2875014239983209E-2</v>
      </c>
      <c r="I24" s="9">
        <f t="shared" si="1"/>
        <v>2.0001072351610069E-2</v>
      </c>
      <c r="J24" s="9">
        <f t="shared" si="10"/>
        <v>1.9383124993674453E-2</v>
      </c>
      <c r="K24" s="9">
        <f t="shared" si="2"/>
        <v>0</v>
      </c>
      <c r="L24" s="5">
        <f t="shared" si="3"/>
        <v>2902.6879358805354</v>
      </c>
      <c r="M24" s="5">
        <f t="shared" si="4"/>
        <v>4285.1428509030675</v>
      </c>
      <c r="N24" s="5">
        <f t="shared" si="5"/>
        <v>183893.81785120757</v>
      </c>
    </row>
    <row r="25" spans="2:14">
      <c r="B25" s="1">
        <v>43100</v>
      </c>
      <c r="C25" s="2">
        <v>342153066.37000012</v>
      </c>
      <c r="D25" s="2">
        <v>9692615.3700000029</v>
      </c>
      <c r="E25" s="2">
        <f>'Use case'!C25</f>
        <v>6945765.7102566771</v>
      </c>
      <c r="F25" s="2">
        <f t="shared" si="9"/>
        <v>6631995.6524187038</v>
      </c>
      <c r="G25" s="2">
        <v>0</v>
      </c>
      <c r="H25" s="9">
        <f t="shared" si="0"/>
        <v>2.8328301928817225E-2</v>
      </c>
      <c r="I25" s="9">
        <f t="shared" si="1"/>
        <v>2.0300170867811575E-2</v>
      </c>
      <c r="J25" s="9">
        <f t="shared" si="10"/>
        <v>1.9383124993674453E-2</v>
      </c>
      <c r="K25" s="9">
        <f t="shared" si="2"/>
        <v>0</v>
      </c>
      <c r="L25" s="5">
        <f t="shared" si="3"/>
        <v>22052.069073298189</v>
      </c>
      <c r="M25" s="5">
        <f t="shared" si="4"/>
        <v>27377.784904951419</v>
      </c>
      <c r="N25" s="5">
        <f t="shared" si="5"/>
        <v>274575.33468125452</v>
      </c>
    </row>
    <row r="26" spans="2:14">
      <c r="B26" s="1">
        <v>43131</v>
      </c>
      <c r="C26" s="2">
        <v>331229147.42000097</v>
      </c>
      <c r="D26" s="2">
        <v>7640497.2500000028</v>
      </c>
      <c r="E26" s="2">
        <f>'Use case'!C26</f>
        <v>6853640.6101992214</v>
      </c>
      <c r="F26" s="2">
        <f t="shared" si="9"/>
        <v>6420255.965990101</v>
      </c>
      <c r="G26" s="2">
        <v>0</v>
      </c>
      <c r="H26" s="9">
        <f t="shared" si="0"/>
        <v>2.3067104177011924E-2</v>
      </c>
      <c r="I26" s="9">
        <f t="shared" si="1"/>
        <v>2.0691538361232307E-2</v>
      </c>
      <c r="J26" s="9">
        <f t="shared" si="10"/>
        <v>1.9383124993674453E-2</v>
      </c>
      <c r="K26" s="9">
        <f t="shared" si="2"/>
        <v>0</v>
      </c>
      <c r="L26" s="5">
        <f t="shared" si="3"/>
        <v>1869.2297354299524</v>
      </c>
      <c r="M26" s="5">
        <f t="shared" si="4"/>
        <v>4495.3434889414648</v>
      </c>
      <c r="N26" s="5">
        <f t="shared" si="5"/>
        <v>176244.14602992317</v>
      </c>
    </row>
    <row r="27" spans="2:14">
      <c r="B27" s="1">
        <v>43159</v>
      </c>
      <c r="C27" s="2">
        <v>320670379.38999915</v>
      </c>
      <c r="D27" s="2">
        <v>8180940.8599999966</v>
      </c>
      <c r="E27" s="2">
        <f>'Use case'!C27</f>
        <v>6723039.0450826837</v>
      </c>
      <c r="F27" s="2">
        <f t="shared" si="9"/>
        <v>6215594.0454853615</v>
      </c>
      <c r="G27" s="2">
        <v>0</v>
      </c>
      <c r="H27" s="9">
        <f t="shared" si="0"/>
        <v>2.5511994202777114E-2</v>
      </c>
      <c r="I27" s="9">
        <f t="shared" si="1"/>
        <v>2.0965575485555301E-2</v>
      </c>
      <c r="J27" s="9">
        <f t="shared" si="10"/>
        <v>1.9383124993674453E-2</v>
      </c>
      <c r="K27" s="9">
        <f t="shared" si="2"/>
        <v>0</v>
      </c>
      <c r="L27" s="5">
        <f t="shared" si="3"/>
        <v>6628.2320992117193</v>
      </c>
      <c r="M27" s="5">
        <f t="shared" si="4"/>
        <v>12045.353576686741</v>
      </c>
      <c r="N27" s="5">
        <f t="shared" si="5"/>
        <v>208712.11579358231</v>
      </c>
    </row>
    <row r="28" spans="2:14">
      <c r="B28" s="1">
        <v>43190</v>
      </c>
      <c r="C28" s="2">
        <v>308977856.04000032</v>
      </c>
      <c r="D28" s="2">
        <v>9244185.7399999872</v>
      </c>
      <c r="E28" s="2">
        <f>'Use case'!C28</f>
        <v>6594040.4296941236</v>
      </c>
      <c r="F28" s="2">
        <f t="shared" si="9"/>
        <v>5988956.4039008776</v>
      </c>
      <c r="G28" s="2">
        <v>0</v>
      </c>
      <c r="H28" s="9">
        <f t="shared" si="0"/>
        <v>2.9918602771336577E-2</v>
      </c>
      <c r="I28" s="9">
        <f t="shared" si="1"/>
        <v>2.1341466065582571E-2</v>
      </c>
      <c r="J28" s="9">
        <f t="shared" si="10"/>
        <v>1.9383124993674453E-2</v>
      </c>
      <c r="K28" s="9">
        <f t="shared" si="2"/>
        <v>0</v>
      </c>
      <c r="L28" s="5">
        <f t="shared" si="3"/>
        <v>22730.658616606266</v>
      </c>
      <c r="M28" s="5">
        <f t="shared" si="4"/>
        <v>34295.396331666001</v>
      </c>
      <c r="N28" s="5">
        <f t="shared" si="5"/>
        <v>276573.12109951366</v>
      </c>
    </row>
    <row r="29" spans="2:14">
      <c r="B29" s="1">
        <v>43220</v>
      </c>
      <c r="C29" s="2">
        <v>298054303.28000015</v>
      </c>
      <c r="D29" s="2">
        <v>7663957.1300000036</v>
      </c>
      <c r="E29" s="2">
        <f>'Use case'!C29</f>
        <v>6444569.2816646714</v>
      </c>
      <c r="F29" s="2">
        <f t="shared" si="9"/>
        <v>5777223.8153787963</v>
      </c>
      <c r="G29" s="2">
        <v>0</v>
      </c>
      <c r="H29" s="9">
        <f t="shared" si="0"/>
        <v>2.5713291321951753E-2</v>
      </c>
      <c r="I29" s="9">
        <f t="shared" si="1"/>
        <v>2.1622131305416757E-2</v>
      </c>
      <c r="J29" s="9">
        <f t="shared" si="10"/>
        <v>1.9383124993674453E-2</v>
      </c>
      <c r="K29" s="9">
        <f t="shared" si="2"/>
        <v>0</v>
      </c>
      <c r="L29" s="5">
        <f t="shared" si="3"/>
        <v>4988.7108097581495</v>
      </c>
      <c r="M29" s="5">
        <f t="shared" si="4"/>
        <v>11943.335698654186</v>
      </c>
      <c r="N29" s="5">
        <f t="shared" si="5"/>
        <v>197065.56236263935</v>
      </c>
    </row>
    <row r="30" spans="2:14">
      <c r="B30" s="1">
        <v>43251</v>
      </c>
      <c r="C30" s="2">
        <v>288072885.4599998</v>
      </c>
      <c r="D30" s="2">
        <v>8929148.4000000004</v>
      </c>
      <c r="E30" s="2">
        <f>'Use case'!C30</f>
        <v>6466646.4751924798</v>
      </c>
      <c r="F30" s="2">
        <f t="shared" si="9"/>
        <v>5583752.7461596401</v>
      </c>
      <c r="G30" s="2">
        <v>0</v>
      </c>
      <c r="H30" s="9">
        <f t="shared" si="0"/>
        <v>3.0996143166135824E-2</v>
      </c>
      <c r="I30" s="9">
        <f t="shared" si="1"/>
        <v>2.2447952589728901E-2</v>
      </c>
      <c r="J30" s="9">
        <f t="shared" si="10"/>
        <v>1.9383124993674453E-2</v>
      </c>
      <c r="K30" s="9">
        <f t="shared" si="2"/>
        <v>0</v>
      </c>
      <c r="L30" s="5">
        <f t="shared" si="3"/>
        <v>21049.935748023559</v>
      </c>
      <c r="M30" s="5">
        <f t="shared" si="4"/>
        <v>38850.140522121394</v>
      </c>
      <c r="N30" s="5">
        <f t="shared" si="5"/>
        <v>276769.16215807264</v>
      </c>
    </row>
    <row r="31" spans="2:14">
      <c r="B31" s="1">
        <v>43281</v>
      </c>
      <c r="C31" s="2">
        <v>276897768.4300006</v>
      </c>
      <c r="D31" s="2">
        <v>8103722.1899999902</v>
      </c>
      <c r="E31" s="2">
        <f>'Use case'!C31</f>
        <v>6419789.7715853835</v>
      </c>
      <c r="F31" s="2">
        <f t="shared" si="9"/>
        <v>5367144.0559482258</v>
      </c>
      <c r="G31" s="2">
        <v>0</v>
      </c>
      <c r="H31" s="9">
        <f t="shared" si="0"/>
        <v>2.9266115924110818E-2</v>
      </c>
      <c r="I31" s="9">
        <f t="shared" si="1"/>
        <v>2.3184693065550283E-2</v>
      </c>
      <c r="J31" s="9">
        <f t="shared" si="10"/>
        <v>1.9383124993674453E-2</v>
      </c>
      <c r="K31" s="9">
        <f t="shared" si="2"/>
        <v>0</v>
      </c>
      <c r="L31" s="5">
        <f t="shared" si="3"/>
        <v>10240.705101617716</v>
      </c>
      <c r="M31" s="5">
        <f t="shared" si="4"/>
        <v>27045.576879264063</v>
      </c>
      <c r="N31" s="5">
        <f t="shared" si="5"/>
        <v>237164.47302932892</v>
      </c>
    </row>
    <row r="32" spans="2:14">
      <c r="B32" s="1">
        <v>43312</v>
      </c>
      <c r="C32" s="2">
        <v>269829629.82000023</v>
      </c>
      <c r="D32" s="2">
        <v>7573404.8099999959</v>
      </c>
      <c r="E32" s="2">
        <f>'Use case'!C32</f>
        <v>6219963.2143671419</v>
      </c>
      <c r="F32" s="2">
        <f t="shared" si="9"/>
        <v>5230141.4417979717</v>
      </c>
      <c r="G32" s="2">
        <v>0</v>
      </c>
      <c r="H32" s="9">
        <f t="shared" si="0"/>
        <v>2.8067357966032543E-2</v>
      </c>
      <c r="I32" s="9">
        <f t="shared" si="1"/>
        <v>2.3051446271917568E-2</v>
      </c>
      <c r="J32" s="9">
        <f t="shared" si="10"/>
        <v>1.9383124993674453E-2</v>
      </c>
      <c r="K32" s="9">
        <f t="shared" si="2"/>
        <v>0</v>
      </c>
      <c r="L32" s="5">
        <f t="shared" si="3"/>
        <v>6788.7435268364634</v>
      </c>
      <c r="M32" s="5">
        <f t="shared" si="4"/>
        <v>20349.445005058889</v>
      </c>
      <c r="N32" s="5">
        <f t="shared" si="5"/>
        <v>212565.46382394255</v>
      </c>
    </row>
    <row r="33" spans="2:14">
      <c r="B33" s="1">
        <v>43343</v>
      </c>
      <c r="C33" s="2">
        <v>268493379.28000021</v>
      </c>
      <c r="D33" s="2">
        <v>8110011.9400000032</v>
      </c>
      <c r="E33" s="2">
        <f>'Use case'!C33</f>
        <v>6112764.0133283613</v>
      </c>
      <c r="F33" s="2">
        <f t="shared" si="9"/>
        <v>5204240.7305582864</v>
      </c>
      <c r="G33" s="2">
        <v>0</v>
      </c>
      <c r="H33" s="9">
        <f t="shared" si="0"/>
        <v>3.020563099823188E-2</v>
      </c>
      <c r="I33" s="9">
        <f t="shared" si="1"/>
        <v>2.2766907808753161E-2</v>
      </c>
      <c r="J33" s="9">
        <f t="shared" si="10"/>
        <v>1.9383124993674453E-2</v>
      </c>
      <c r="K33" s="9">
        <f t="shared" si="2"/>
        <v>0</v>
      </c>
      <c r="L33" s="5">
        <f t="shared" si="3"/>
        <v>14856.974467270638</v>
      </c>
      <c r="M33" s="5">
        <f t="shared" si="4"/>
        <v>31447.726362053076</v>
      </c>
      <c r="N33" s="5">
        <f t="shared" si="5"/>
        <v>244968.02805089476</v>
      </c>
    </row>
    <row r="34" spans="2:14">
      <c r="B34" s="1">
        <v>43373</v>
      </c>
      <c r="C34" s="2">
        <v>266727309.67999992</v>
      </c>
      <c r="D34" s="2">
        <v>9027776.0699999984</v>
      </c>
      <c r="E34" s="2">
        <f>'Use case'!C34</f>
        <v>6050385.1955962703</v>
      </c>
      <c r="F34" s="2">
        <f t="shared" si="9"/>
        <v>5170008.7827539528</v>
      </c>
      <c r="G34" s="2">
        <v>0</v>
      </c>
      <c r="H34" s="9">
        <f t="shared" ref="H34:H51" si="16">D34/C34</f>
        <v>3.3846463194304587E-2</v>
      </c>
      <c r="I34" s="9">
        <f t="shared" ref="I34:I51" si="17">E34/C34</f>
        <v>2.2683785934237793E-2</v>
      </c>
      <c r="J34" s="9">
        <f t="shared" ref="J34:J51" si="18">F34/C34</f>
        <v>1.9383124993674453E-2</v>
      </c>
      <c r="K34" s="9">
        <f t="shared" ref="K34:K51" si="19">G34/C34</f>
        <v>0</v>
      </c>
      <c r="L34" s="5">
        <f t="shared" ref="L34:L51" si="20">C34*(H34-I34)^2</f>
        <v>33235.653408036887</v>
      </c>
      <c r="M34" s="5">
        <f t="shared" ref="M34:M51" si="21">C34*(H34-J34)^2</f>
        <v>55796.192974767022</v>
      </c>
      <c r="N34" s="5">
        <f t="shared" ref="N34:N51" si="22">C34*(H34-K34)^2</f>
        <v>305558.29047967866</v>
      </c>
    </row>
    <row r="35" spans="2:14">
      <c r="B35" s="1">
        <v>43404</v>
      </c>
      <c r="C35" s="2">
        <v>268337567.31999958</v>
      </c>
      <c r="D35" s="2">
        <v>9130398.6699999962</v>
      </c>
      <c r="E35" s="2">
        <f>'Use case'!C35</f>
        <v>6041592.3321939874</v>
      </c>
      <c r="F35" s="2">
        <f t="shared" si="9"/>
        <v>5201220.6078620851</v>
      </c>
      <c r="G35" s="2">
        <v>0</v>
      </c>
      <c r="H35" s="9">
        <f t="shared" si="16"/>
        <v>3.4025793559914613E-2</v>
      </c>
      <c r="I35" s="9">
        <f t="shared" si="17"/>
        <v>2.2514895668668079E-2</v>
      </c>
      <c r="J35" s="9">
        <f t="shared" si="18"/>
        <v>1.9383124993674453E-2</v>
      </c>
      <c r="K35" s="9">
        <f t="shared" si="19"/>
        <v>0</v>
      </c>
      <c r="L35" s="5">
        <f t="shared" si="20"/>
        <v>35554.934360320105</v>
      </c>
      <c r="M35" s="5">
        <f t="shared" si="21"/>
        <v>57533.652101627209</v>
      </c>
      <c r="N35" s="5">
        <f t="shared" si="22"/>
        <v>310669.0602651388</v>
      </c>
    </row>
    <row r="36" spans="2:14">
      <c r="B36" s="1">
        <v>43434</v>
      </c>
      <c r="C36" s="2">
        <v>268339384.0700002</v>
      </c>
      <c r="D36" s="2">
        <v>7796156.9199999981</v>
      </c>
      <c r="E36" s="2">
        <f>'Use case'!C36</f>
        <v>6039427.9860005919</v>
      </c>
      <c r="F36" s="2">
        <f t="shared" si="9"/>
        <v>5201255.8221544297</v>
      </c>
      <c r="G36" s="2">
        <v>0</v>
      </c>
      <c r="H36" s="9">
        <f t="shared" si="16"/>
        <v>2.9053345810640521E-2</v>
      </c>
      <c r="I36" s="9">
        <f t="shared" si="17"/>
        <v>2.2506677530515311E-2</v>
      </c>
      <c r="J36" s="9">
        <f t="shared" si="18"/>
        <v>1.9383124993674453E-2</v>
      </c>
      <c r="K36" s="9">
        <f t="shared" si="19"/>
        <v>0</v>
      </c>
      <c r="L36" s="5">
        <f t="shared" si="20"/>
        <v>11500.721588992086</v>
      </c>
      <c r="M36" s="5">
        <f t="shared" si="21"/>
        <v>25093.266614354321</v>
      </c>
      <c r="N36" s="5">
        <f t="shared" si="22"/>
        <v>226504.44299077804</v>
      </c>
    </row>
    <row r="37" spans="2:14">
      <c r="B37" s="1">
        <v>43465</v>
      </c>
      <c r="C37" s="2">
        <v>269442533.70000005</v>
      </c>
      <c r="D37" s="2">
        <v>8546754.8099999968</v>
      </c>
      <c r="E37" s="2">
        <f>'Use case'!C37</f>
        <v>6113060.8739441736</v>
      </c>
      <c r="F37" s="2">
        <f t="shared" si="9"/>
        <v>5222638.3093194421</v>
      </c>
      <c r="G37" s="2">
        <v>0</v>
      </c>
      <c r="H37" s="9">
        <f t="shared" si="16"/>
        <v>3.172013969968096E-2</v>
      </c>
      <c r="I37" s="9">
        <f t="shared" si="17"/>
        <v>2.2687809493175698E-2</v>
      </c>
      <c r="J37" s="9">
        <f t="shared" si="18"/>
        <v>1.9383124993674453E-2</v>
      </c>
      <c r="K37" s="9">
        <f t="shared" si="19"/>
        <v>0</v>
      </c>
      <c r="L37" s="5">
        <f t="shared" si="20"/>
        <v>21981.927252025693</v>
      </c>
      <c r="M37" s="5">
        <f t="shared" si="21"/>
        <v>41009.674153374894</v>
      </c>
      <c r="N37" s="5">
        <f t="shared" si="22"/>
        <v>271104.25655212009</v>
      </c>
    </row>
    <row r="38" spans="2:14">
      <c r="B38" s="1">
        <v>43496</v>
      </c>
      <c r="C38" s="2">
        <v>268362189.04999983</v>
      </c>
      <c r="D38" s="2">
        <v>8830926.1699999999</v>
      </c>
      <c r="E38" s="2">
        <f>'Use case'!C38</f>
        <v>6454222.6362688886</v>
      </c>
      <c r="F38" s="2">
        <f t="shared" si="9"/>
        <v>5201697.85393224</v>
      </c>
      <c r="G38" s="2">
        <v>0</v>
      </c>
      <c r="H38" s="9">
        <f t="shared" si="16"/>
        <v>3.2906745176216563E-2</v>
      </c>
      <c r="I38" s="9">
        <f t="shared" si="17"/>
        <v>2.4050417307731723E-2</v>
      </c>
      <c r="J38" s="9">
        <f t="shared" si="18"/>
        <v>1.9383124993674453E-2</v>
      </c>
      <c r="K38" s="9">
        <f t="shared" si="19"/>
        <v>0</v>
      </c>
      <c r="L38" s="5">
        <f t="shared" si="20"/>
        <v>21048.865740909234</v>
      </c>
      <c r="M38" s="5">
        <f t="shared" si="21"/>
        <v>49080.305302227258</v>
      </c>
      <c r="N38" s="5">
        <f t="shared" si="22"/>
        <v>290597.03714617208</v>
      </c>
    </row>
    <row r="39" spans="2:14">
      <c r="B39" s="1">
        <v>43524</v>
      </c>
      <c r="C39" s="2">
        <v>281875681.15999955</v>
      </c>
      <c r="D39" s="2">
        <v>7813361.799999997</v>
      </c>
      <c r="E39" s="2">
        <f>'Use case'!C39</f>
        <v>6399758.0512846727</v>
      </c>
      <c r="F39" s="2">
        <f t="shared" si="9"/>
        <v>5463631.5606013983</v>
      </c>
      <c r="G39" s="2">
        <v>0</v>
      </c>
      <c r="H39" s="9">
        <f t="shared" si="16"/>
        <v>2.7719176652082098E-2</v>
      </c>
      <c r="I39" s="9">
        <f t="shared" si="17"/>
        <v>2.2704186558229596E-2</v>
      </c>
      <c r="J39" s="9">
        <f t="shared" si="18"/>
        <v>1.9383124993674453E-2</v>
      </c>
      <c r="K39" s="9">
        <f t="shared" si="19"/>
        <v>0</v>
      </c>
      <c r="L39" s="5">
        <f t="shared" si="20"/>
        <v>7089.2087964401135</v>
      </c>
      <c r="M39" s="5">
        <f t="shared" si="21"/>
        <v>19587.472658949282</v>
      </c>
      <c r="N39" s="5">
        <f t="shared" si="22"/>
        <v>216579.9559808301</v>
      </c>
    </row>
    <row r="40" spans="2:14">
      <c r="B40" s="1">
        <v>43555</v>
      </c>
      <c r="C40" s="2">
        <v>301092521.0799998</v>
      </c>
      <c r="D40" s="2">
        <v>10679791.420000002</v>
      </c>
      <c r="E40" s="2">
        <f>'Use case'!C40</f>
        <v>6664869.3621577146</v>
      </c>
      <c r="F40" s="2">
        <f t="shared" si="9"/>
        <v>5836113.9707541969</v>
      </c>
      <c r="G40" s="2">
        <v>0</v>
      </c>
      <c r="H40" s="9">
        <f t="shared" si="16"/>
        <v>3.547013184416626E-2</v>
      </c>
      <c r="I40" s="9">
        <f t="shared" si="17"/>
        <v>2.2135619105553502E-2</v>
      </c>
      <c r="J40" s="9">
        <f t="shared" si="18"/>
        <v>1.9383124993674453E-2</v>
      </c>
      <c r="K40" s="9">
        <f t="shared" si="19"/>
        <v>0</v>
      </c>
      <c r="L40" s="5">
        <f t="shared" si="20"/>
        <v>53537.029324835334</v>
      </c>
      <c r="M40" s="5">
        <f t="shared" si="21"/>
        <v>77920.272307589941</v>
      </c>
      <c r="N40" s="5">
        <f t="shared" si="22"/>
        <v>378813.60973559564</v>
      </c>
    </row>
    <row r="41" spans="2:14">
      <c r="B41" s="1">
        <v>43585</v>
      </c>
      <c r="C41" s="2">
        <v>299911634.57000053</v>
      </c>
      <c r="D41" s="2">
        <v>6502103.0900000017</v>
      </c>
      <c r="E41" s="2">
        <f>'Use case'!C41</f>
        <v>6331830.9733407963</v>
      </c>
      <c r="F41" s="2">
        <f t="shared" si="9"/>
        <v>5813224.6999275368</v>
      </c>
      <c r="G41" s="2">
        <v>0</v>
      </c>
      <c r="H41" s="9">
        <f t="shared" si="16"/>
        <v>2.168006286025688E-2</v>
      </c>
      <c r="I41" s="9">
        <f t="shared" si="17"/>
        <v>2.1112321909148617E-2</v>
      </c>
      <c r="J41" s="9">
        <f t="shared" si="18"/>
        <v>1.9383124993674453E-2</v>
      </c>
      <c r="K41" s="9">
        <f t="shared" si="19"/>
        <v>0</v>
      </c>
      <c r="L41" s="5">
        <f t="shared" si="20"/>
        <v>96.670453459314402</v>
      </c>
      <c r="M41" s="5">
        <f t="shared" si="21"/>
        <v>1582.3108596277848</v>
      </c>
      <c r="N41" s="5">
        <f t="shared" si="22"/>
        <v>140966.00371507052</v>
      </c>
    </row>
    <row r="42" spans="2:14">
      <c r="B42" s="1">
        <v>43616</v>
      </c>
      <c r="C42" s="2">
        <v>296506895.25000042</v>
      </c>
      <c r="D42" s="2">
        <v>5448277.2800000068</v>
      </c>
      <c r="E42" s="2">
        <f>'Use case'!C42</f>
        <v>6341340.6725404961</v>
      </c>
      <c r="F42" s="2">
        <f t="shared" si="9"/>
        <v>5747230.2121170964</v>
      </c>
      <c r="G42" s="2">
        <v>0</v>
      </c>
      <c r="H42" s="9">
        <f t="shared" si="16"/>
        <v>1.8374875482765014E-2</v>
      </c>
      <c r="I42" s="9">
        <f t="shared" si="17"/>
        <v>2.1386823625783747E-2</v>
      </c>
      <c r="J42" s="9">
        <f t="shared" si="18"/>
        <v>1.9383124993674453E-2</v>
      </c>
      <c r="K42" s="9">
        <f t="shared" si="19"/>
        <v>0</v>
      </c>
      <c r="L42" s="5">
        <f t="shared" si="20"/>
        <v>2689.8606267603345</v>
      </c>
      <c r="M42" s="5">
        <f t="shared" si="21"/>
        <v>301.4191475919979</v>
      </c>
      <c r="N42" s="5">
        <f t="shared" si="22"/>
        <v>100111.41661557779</v>
      </c>
    </row>
    <row r="43" spans="2:14">
      <c r="B43" s="1">
        <v>43646</v>
      </c>
      <c r="C43" s="2">
        <v>288783116.00999987</v>
      </c>
      <c r="D43" s="2">
        <v>6250067.8099999996</v>
      </c>
      <c r="E43" s="2">
        <f>'Use case'!C43</f>
        <v>6170912.3522780966</v>
      </c>
      <c r="F43" s="2">
        <f t="shared" si="9"/>
        <v>5597519.233684618</v>
      </c>
      <c r="G43" s="2">
        <v>0</v>
      </c>
      <c r="H43" s="9">
        <f t="shared" si="16"/>
        <v>2.1642774329589182E-2</v>
      </c>
      <c r="I43" s="9">
        <f t="shared" si="17"/>
        <v>2.1368674310115875E-2</v>
      </c>
      <c r="J43" s="9">
        <f t="shared" si="18"/>
        <v>1.9383124993674453E-2</v>
      </c>
      <c r="K43" s="9">
        <f t="shared" si="19"/>
        <v>0</v>
      </c>
      <c r="L43" s="5">
        <f t="shared" si="20"/>
        <v>21.69651250299232</v>
      </c>
      <c r="M43" s="5">
        <f t="shared" si="21"/>
        <v>1474.5309571231555</v>
      </c>
      <c r="N43" s="5">
        <f t="shared" si="22"/>
        <v>135268.80715645969</v>
      </c>
    </row>
    <row r="44" spans="2:14">
      <c r="B44" s="1">
        <v>43677</v>
      </c>
      <c r="C44" s="2">
        <v>282042588.53999954</v>
      </c>
      <c r="D44" s="2">
        <v>5903981.1299999962</v>
      </c>
      <c r="E44" s="2">
        <f>'Use case'!C44</f>
        <v>5947219.1940328423</v>
      </c>
      <c r="F44" s="2">
        <f t="shared" si="9"/>
        <v>5466866.7472103052</v>
      </c>
      <c r="G44" s="2">
        <v>0</v>
      </c>
      <c r="H44" s="9">
        <f t="shared" si="16"/>
        <v>2.0932941938173594E-2</v>
      </c>
      <c r="I44" s="9">
        <f t="shared" si="17"/>
        <v>2.1086245254019153E-2</v>
      </c>
      <c r="J44" s="9">
        <f t="shared" si="18"/>
        <v>1.9383124993674453E-2</v>
      </c>
      <c r="K44" s="9">
        <f t="shared" si="19"/>
        <v>0</v>
      </c>
      <c r="L44" s="5">
        <f t="shared" si="20"/>
        <v>6.6285385869779425</v>
      </c>
      <c r="M44" s="5">
        <f t="shared" si="21"/>
        <v>677.4472771317462</v>
      </c>
      <c r="N44" s="5">
        <f t="shared" si="22"/>
        <v>123587.69419836244</v>
      </c>
    </row>
    <row r="45" spans="2:14">
      <c r="B45" s="1">
        <v>43708</v>
      </c>
      <c r="C45" s="2">
        <v>273309920.63000011</v>
      </c>
      <c r="D45" s="2">
        <v>6404135.1600000048</v>
      </c>
      <c r="E45" s="2">
        <f>'Use case'!C45</f>
        <v>5700634.8154749619</v>
      </c>
      <c r="F45" s="2">
        <f t="shared" si="9"/>
        <v>5297600.3535825359</v>
      </c>
      <c r="G45" s="2">
        <v>0</v>
      </c>
      <c r="H45" s="9">
        <f t="shared" si="16"/>
        <v>2.3431769857596048E-2</v>
      </c>
      <c r="I45" s="9">
        <f t="shared" si="17"/>
        <v>2.0857767630002473E-2</v>
      </c>
      <c r="J45" s="9">
        <f t="shared" si="18"/>
        <v>1.9383124993674453E-2</v>
      </c>
      <c r="K45" s="9">
        <f t="shared" si="19"/>
        <v>0</v>
      </c>
      <c r="L45" s="5">
        <f t="shared" si="20"/>
        <v>1810.8114539203091</v>
      </c>
      <c r="M45" s="5">
        <f t="shared" si="21"/>
        <v>4479.9664607525601</v>
      </c>
      <c r="N45" s="5">
        <f t="shared" si="22"/>
        <v>150060.22120605916</v>
      </c>
    </row>
    <row r="46" spans="2:14">
      <c r="B46" s="1">
        <v>43738</v>
      </c>
      <c r="C46" s="2">
        <v>265893063.39000025</v>
      </c>
      <c r="D46" s="2">
        <v>6088118.3300000001</v>
      </c>
      <c r="E46" s="2">
        <f>'Use case'!C46</f>
        <v>5560336.3922562748</v>
      </c>
      <c r="F46" s="2">
        <f t="shared" si="9"/>
        <v>5153838.4826393798</v>
      </c>
      <c r="G46" s="2">
        <v>0</v>
      </c>
      <c r="H46" s="9">
        <f t="shared" si="16"/>
        <v>2.2896867832427115E-2</v>
      </c>
      <c r="I46" s="9">
        <f t="shared" si="17"/>
        <v>2.0911927228807085E-2</v>
      </c>
      <c r="J46" s="9">
        <f t="shared" si="18"/>
        <v>1.9383124993674453E-2</v>
      </c>
      <c r="K46" s="9">
        <f t="shared" si="19"/>
        <v>0</v>
      </c>
      <c r="L46" s="5">
        <f t="shared" si="20"/>
        <v>1047.6157980847806</v>
      </c>
      <c r="M46" s="5">
        <f t="shared" si="21"/>
        <v>3282.8191230543107</v>
      </c>
      <c r="N46" s="5">
        <f t="shared" si="22"/>
        <v>139398.84075018688</v>
      </c>
    </row>
    <row r="47" spans="2:14">
      <c r="B47" s="1">
        <v>43769</v>
      </c>
      <c r="C47" s="2">
        <v>259182751.55000016</v>
      </c>
      <c r="D47" s="2">
        <v>5813041.8699999982</v>
      </c>
      <c r="E47" s="2">
        <f>'Use case'!C47</f>
        <v>5371789.7876247093</v>
      </c>
      <c r="F47" s="2">
        <f t="shared" si="9"/>
        <v>5023771.6694981242</v>
      </c>
      <c r="G47" s="2">
        <v>0</v>
      </c>
      <c r="H47" s="9">
        <f t="shared" si="16"/>
        <v>2.2428351559801142E-2</v>
      </c>
      <c r="I47" s="9">
        <f t="shared" si="17"/>
        <v>2.0725876839795845E-2</v>
      </c>
      <c r="J47" s="9">
        <f t="shared" si="18"/>
        <v>1.9383124993674453E-2</v>
      </c>
      <c r="K47" s="9">
        <f t="shared" si="19"/>
        <v>0</v>
      </c>
      <c r="L47" s="5">
        <f t="shared" si="20"/>
        <v>751.22051539362474</v>
      </c>
      <c r="M47" s="5">
        <f t="shared" si="21"/>
        <v>2403.5065824204439</v>
      </c>
      <c r="N47" s="5">
        <f t="shared" si="22"/>
        <v>130376.9466922038</v>
      </c>
    </row>
    <row r="48" spans="2:14">
      <c r="B48" s="1">
        <v>43799</v>
      </c>
      <c r="C48" s="2">
        <v>251542866.44999999</v>
      </c>
      <c r="D48" s="2">
        <v>6882575.6400000015</v>
      </c>
      <c r="E48" s="2">
        <f>'Use case'!C48</f>
        <v>5292170.400796013</v>
      </c>
      <c r="F48" s="2">
        <f t="shared" si="9"/>
        <v>4875686.8216675101</v>
      </c>
      <c r="G48" s="2">
        <v>0</v>
      </c>
      <c r="H48" s="9">
        <f t="shared" si="16"/>
        <v>2.7361442354271948E-2</v>
      </c>
      <c r="I48" s="9">
        <f t="shared" si="17"/>
        <v>2.10388411147726E-2</v>
      </c>
      <c r="J48" s="9">
        <f t="shared" si="18"/>
        <v>1.9383124993674453E-2</v>
      </c>
      <c r="K48" s="9">
        <f t="shared" si="19"/>
        <v>0</v>
      </c>
      <c r="L48" s="5">
        <f t="shared" si="20"/>
        <v>10055.498136697397</v>
      </c>
      <c r="M48" s="5">
        <f t="shared" si="21"/>
        <v>16011.595900091115</v>
      </c>
      <c r="N48" s="5">
        <f t="shared" si="22"/>
        <v>188317.19662277642</v>
      </c>
    </row>
    <row r="49" spans="2:14">
      <c r="B49" s="1">
        <v>43830</v>
      </c>
      <c r="C49" s="2">
        <v>243110634.43999997</v>
      </c>
      <c r="D49" s="2">
        <v>5668043.4999999981</v>
      </c>
      <c r="E49" s="2">
        <f>'Use case'!C49</f>
        <v>5276035.9552039783</v>
      </c>
      <c r="F49" s="2">
        <f t="shared" si="9"/>
        <v>4712243.8146420168</v>
      </c>
      <c r="G49" s="2">
        <v>0</v>
      </c>
      <c r="H49" s="9">
        <f t="shared" si="16"/>
        <v>2.3314667057063185E-2</v>
      </c>
      <c r="I49" s="9">
        <f t="shared" si="17"/>
        <v>2.1702201416886644E-2</v>
      </c>
      <c r="J49" s="9">
        <f t="shared" si="18"/>
        <v>1.9383124993674453E-2</v>
      </c>
      <c r="K49" s="9">
        <f t="shared" si="19"/>
        <v>0</v>
      </c>
      <c r="L49" s="5">
        <f t="shared" si="20"/>
        <v>632.09869667354758</v>
      </c>
      <c r="M49" s="5">
        <f t="shared" si="21"/>
        <v>3757.7666671586176</v>
      </c>
      <c r="N49" s="5">
        <f t="shared" si="22"/>
        <v>132148.54706745109</v>
      </c>
    </row>
    <row r="50" spans="2:14">
      <c r="B50" s="1">
        <v>43861</v>
      </c>
      <c r="C50" s="2">
        <v>236309127.78999987</v>
      </c>
      <c r="D50" s="2">
        <v>6598942.4399999985</v>
      </c>
      <c r="E50" s="2">
        <f>'Use case'!C50</f>
        <v>5148165.5955957379</v>
      </c>
      <c r="F50" s="2">
        <f t="shared" si="9"/>
        <v>4580409.3610997573</v>
      </c>
      <c r="G50" s="2">
        <v>0</v>
      </c>
      <c r="H50" s="9">
        <f t="shared" si="16"/>
        <v>2.7925042514076143E-2</v>
      </c>
      <c r="I50" s="9">
        <f t="shared" si="17"/>
        <v>2.178572467234843E-2</v>
      </c>
      <c r="J50" s="9">
        <f t="shared" si="18"/>
        <v>1.9383124993674453E-2</v>
      </c>
      <c r="K50" s="9">
        <f t="shared" si="19"/>
        <v>0</v>
      </c>
      <c r="L50" s="5">
        <f t="shared" si="20"/>
        <v>8906.7801652165072</v>
      </c>
      <c r="M50" s="5">
        <f t="shared" si="21"/>
        <v>17242.143072168343</v>
      </c>
      <c r="N50" s="5">
        <f t="shared" si="22"/>
        <v>184275.74818494133</v>
      </c>
    </row>
    <row r="51" spans="2:14">
      <c r="B51" s="1">
        <v>43890</v>
      </c>
      <c r="C51" s="2">
        <v>226719776.87</v>
      </c>
      <c r="D51" s="2">
        <v>7274113.0100000007</v>
      </c>
      <c r="E51" s="2">
        <f>'Use case'!C51</f>
        <v>5050997.6638337607</v>
      </c>
      <c r="F51" s="2">
        <f t="shared" si="9"/>
        <v>4394537.7736091921</v>
      </c>
      <c r="G51" s="2">
        <v>0</v>
      </c>
      <c r="H51" s="9">
        <f t="shared" si="16"/>
        <v>3.2084157414158626E-2</v>
      </c>
      <c r="I51" s="9">
        <f t="shared" si="17"/>
        <v>2.2278593131864175E-2</v>
      </c>
      <c r="J51" s="9">
        <f t="shared" si="18"/>
        <v>1.9383124993674453E-2</v>
      </c>
      <c r="K51" s="9">
        <f t="shared" si="19"/>
        <v>0</v>
      </c>
      <c r="L51" s="5">
        <f t="shared" si="20"/>
        <v>21798.900433788345</v>
      </c>
      <c r="M51" s="5">
        <f t="shared" si="21"/>
        <v>36573.578434623021</v>
      </c>
      <c r="N51" s="5">
        <f t="shared" si="22"/>
        <v>233383.78686121921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D09C-5580-48D3-929C-6AA196BE986A}">
  <dimension ref="A1:U24"/>
  <sheetViews>
    <sheetView topLeftCell="A3" workbookViewId="0">
      <selection activeCell="A3" sqref="A3"/>
    </sheetView>
  </sheetViews>
  <sheetFormatPr defaultRowHeight="14.5"/>
  <cols>
    <col min="1" max="1" width="13.6328125" customWidth="1"/>
    <col min="2" max="4" width="18.36328125" bestFit="1" customWidth="1"/>
    <col min="5" max="7" width="11.1796875" customWidth="1"/>
    <col min="10" max="10" width="12.81640625" bestFit="1" customWidth="1"/>
    <col min="11" max="13" width="11.7265625" bestFit="1" customWidth="1"/>
    <col min="14" max="17" width="12.81640625" bestFit="1" customWidth="1"/>
    <col min="18" max="21" width="14.26953125" bestFit="1" customWidth="1"/>
  </cols>
  <sheetData>
    <row r="1" spans="1:21">
      <c r="B1" t="s">
        <v>28</v>
      </c>
      <c r="C1" t="s">
        <v>29</v>
      </c>
      <c r="D1" t="s">
        <v>30</v>
      </c>
      <c r="J1" s="68" t="s">
        <v>31</v>
      </c>
      <c r="K1" s="68"/>
      <c r="L1" s="68"/>
      <c r="M1" s="68"/>
      <c r="N1" s="68" t="s">
        <v>18</v>
      </c>
      <c r="O1" s="68"/>
      <c r="P1" s="68"/>
      <c r="Q1" s="68"/>
      <c r="R1" s="68" t="s">
        <v>32</v>
      </c>
      <c r="S1" s="68"/>
      <c r="T1" s="68"/>
      <c r="U1" s="68"/>
    </row>
    <row r="2" spans="1:21">
      <c r="B2" s="2">
        <f>SUM(RMSE!$V2:$V$14)-SUM(RMSE!W2:W$14)</f>
        <v>0</v>
      </c>
      <c r="C2" s="2">
        <f>SUM(RMSE!$V2:$V$14)-SUM(RMSE!X2:X$14)</f>
        <v>0</v>
      </c>
      <c r="D2" s="2">
        <f>SUM(RMSE!$V2:$V$14)-SUM(RMSE!Y2:Y$14)</f>
        <v>0</v>
      </c>
      <c r="E2" s="2"/>
      <c r="J2" s="13">
        <v>0.01</v>
      </c>
      <c r="K2" s="13">
        <v>0.02</v>
      </c>
      <c r="L2" s="13">
        <v>-0.01</v>
      </c>
      <c r="M2" s="13">
        <v>-0.02</v>
      </c>
      <c r="N2" s="13">
        <v>0.01</v>
      </c>
      <c r="O2" s="13">
        <v>0.02</v>
      </c>
      <c r="P2" s="13">
        <v>-0.01</v>
      </c>
      <c r="Q2" s="13">
        <v>-0.02</v>
      </c>
      <c r="R2" s="13">
        <v>0.01</v>
      </c>
      <c r="S2" s="13">
        <v>0.02</v>
      </c>
      <c r="T2" s="13">
        <v>-0.01</v>
      </c>
      <c r="U2" s="13">
        <v>-0.02</v>
      </c>
    </row>
    <row r="3" spans="1:21">
      <c r="A3" s="1">
        <v>43921</v>
      </c>
      <c r="B3" s="2">
        <f>SUM(RMSE!$V3:$V$14)-SUM(RMSE!W3:W$14)</f>
        <v>-988052.31836998463</v>
      </c>
      <c r="C3" s="2">
        <f>SUM(RMSE!$V3:$V$14)-SUM(RMSE!X3:X$14)</f>
        <v>-1450428.8814840913</v>
      </c>
      <c r="D3" s="2">
        <f>SUM(RMSE!$V3:$V$14)-SUM(RMSE!Y3:Y$14)</f>
        <v>-5624191.1400000155</v>
      </c>
      <c r="E3" s="13"/>
      <c r="F3" s="13"/>
      <c r="G3" s="13"/>
      <c r="H3" s="12"/>
      <c r="J3">
        <f>-$B3*J$2/12</f>
        <v>823.3769319749872</v>
      </c>
      <c r="K3">
        <f t="shared" ref="K3:M3" si="0">-$B3*K$2/12</f>
        <v>1646.7538639499744</v>
      </c>
      <c r="L3">
        <f t="shared" si="0"/>
        <v>-823.3769319749872</v>
      </c>
      <c r="M3">
        <f t="shared" si="0"/>
        <v>-1646.7538639499744</v>
      </c>
      <c r="N3">
        <f>-$C3*N$2/12</f>
        <v>1208.6907345700761</v>
      </c>
      <c r="O3">
        <f t="shared" ref="O3:Q3" si="1">-$C3*O$2/12</f>
        <v>2417.3814691401521</v>
      </c>
      <c r="P3">
        <f t="shared" si="1"/>
        <v>-1208.6907345700761</v>
      </c>
      <c r="Q3">
        <f t="shared" si="1"/>
        <v>-2417.3814691401521</v>
      </c>
      <c r="R3">
        <f>-$D3*R$2/12</f>
        <v>4686.8259500000131</v>
      </c>
      <c r="S3">
        <f t="shared" ref="S3:U14" si="2">-$D3*S$2/12</f>
        <v>9373.6519000000262</v>
      </c>
      <c r="T3">
        <f t="shared" si="2"/>
        <v>-4686.8259500000131</v>
      </c>
      <c r="U3">
        <f t="shared" si="2"/>
        <v>-9373.6519000000262</v>
      </c>
    </row>
    <row r="4" spans="1:21">
      <c r="A4" s="1">
        <v>43951</v>
      </c>
      <c r="B4" s="2">
        <f>SUM(RMSE!$V4:$V$14)-SUM(RMSE!W4:W$14)</f>
        <v>-2627775.0967399478</v>
      </c>
      <c r="C4" s="2">
        <f>SUM(RMSE!$V4:$V$14)-SUM(RMSE!X4:X$14)</f>
        <v>-3653182.78197065</v>
      </c>
      <c r="D4" s="2">
        <f>SUM(RMSE!$V4:$V$14)-SUM(RMSE!Y4:Y$14)</f>
        <v>-11900052.74000001</v>
      </c>
      <c r="E4" s="13"/>
      <c r="F4" s="13"/>
      <c r="G4" s="13"/>
      <c r="J4">
        <f t="shared" ref="J4:M14" si="3">-$B4*J$2/12</f>
        <v>2189.8125806166231</v>
      </c>
      <c r="K4">
        <f t="shared" si="3"/>
        <v>4379.6251612332462</v>
      </c>
      <c r="L4">
        <f t="shared" si="3"/>
        <v>-2189.8125806166231</v>
      </c>
      <c r="M4">
        <f t="shared" si="3"/>
        <v>-4379.6251612332462</v>
      </c>
      <c r="N4">
        <f t="shared" ref="N4:Q14" si="4">-$C4*N$2/12</f>
        <v>3044.3189849755418</v>
      </c>
      <c r="O4">
        <f t="shared" si="4"/>
        <v>6088.6379699510835</v>
      </c>
      <c r="P4">
        <f t="shared" si="4"/>
        <v>-3044.3189849755418</v>
      </c>
      <c r="Q4">
        <f t="shared" si="4"/>
        <v>-6088.6379699510835</v>
      </c>
      <c r="R4">
        <f t="shared" ref="R4:R14" si="5">-$D4*R$2/12</f>
        <v>9916.7106166666745</v>
      </c>
      <c r="S4">
        <f t="shared" si="2"/>
        <v>19833.421233333349</v>
      </c>
      <c r="T4">
        <f t="shared" si="2"/>
        <v>-9916.7106166666745</v>
      </c>
      <c r="U4">
        <f t="shared" si="2"/>
        <v>-19833.421233333349</v>
      </c>
    </row>
    <row r="5" spans="1:21">
      <c r="A5" s="1">
        <v>43982</v>
      </c>
      <c r="B5" s="2">
        <f>SUM(RMSE!$V5:$V$14)-SUM(RMSE!W5:W$14)</f>
        <v>-3303378.6395260692</v>
      </c>
      <c r="C5" s="2">
        <f>SUM(RMSE!$V5:$V$14)-SUM(RMSE!X5:X$14)</f>
        <v>-5220106.7336653471</v>
      </c>
      <c r="D5" s="2">
        <f>SUM(RMSE!$V5:$V$14)-SUM(RMSE!Y5:Y$14)</f>
        <v>-17441346.409999996</v>
      </c>
      <c r="E5" s="13"/>
      <c r="F5" s="13"/>
      <c r="G5" s="13"/>
      <c r="J5">
        <f t="shared" si="3"/>
        <v>2752.8155329383912</v>
      </c>
      <c r="K5">
        <f t="shared" si="3"/>
        <v>5505.6310658767825</v>
      </c>
      <c r="L5">
        <f t="shared" si="3"/>
        <v>-2752.8155329383912</v>
      </c>
      <c r="M5">
        <f t="shared" si="3"/>
        <v>-5505.6310658767825</v>
      </c>
      <c r="N5">
        <f t="shared" si="4"/>
        <v>4350.088944721123</v>
      </c>
      <c r="O5">
        <f t="shared" si="4"/>
        <v>8700.1778894422459</v>
      </c>
      <c r="P5">
        <f t="shared" si="4"/>
        <v>-4350.088944721123</v>
      </c>
      <c r="Q5">
        <f t="shared" si="4"/>
        <v>-8700.1778894422459</v>
      </c>
      <c r="R5">
        <f t="shared" si="5"/>
        <v>14534.455341666662</v>
      </c>
      <c r="S5">
        <f t="shared" si="2"/>
        <v>29068.910683333324</v>
      </c>
      <c r="T5">
        <f t="shared" si="2"/>
        <v>-14534.455341666662</v>
      </c>
      <c r="U5">
        <f t="shared" si="2"/>
        <v>-29068.910683333324</v>
      </c>
    </row>
    <row r="6" spans="1:21">
      <c r="A6" s="1">
        <v>44012</v>
      </c>
      <c r="B6" s="2">
        <f>SUM(RMSE!$V6:$V$14)-SUM(RMSE!W6:W$14)</f>
        <v>-4368491.582066685</v>
      </c>
      <c r="C6" s="2">
        <f>SUM(RMSE!$V6:$V$14)-SUM(RMSE!X6:X$14)</f>
        <v>-7484245.7724530399</v>
      </c>
      <c r="D6" s="2">
        <f>SUM(RMSE!$V6:$V$14)-SUM(RMSE!Y6:Y$14)</f>
        <v>-23583401.379999995</v>
      </c>
      <c r="E6" s="13"/>
      <c r="F6" s="13"/>
      <c r="G6" s="13"/>
      <c r="J6">
        <f t="shared" si="3"/>
        <v>3640.4096517222374</v>
      </c>
      <c r="K6">
        <f t="shared" si="3"/>
        <v>7280.8193034444748</v>
      </c>
      <c r="L6">
        <f t="shared" si="3"/>
        <v>-3640.4096517222374</v>
      </c>
      <c r="M6">
        <f t="shared" si="3"/>
        <v>-7280.8193034444748</v>
      </c>
      <c r="N6">
        <f t="shared" si="4"/>
        <v>6236.8714770441993</v>
      </c>
      <c r="O6">
        <f t="shared" si="4"/>
        <v>12473.742954088399</v>
      </c>
      <c r="P6">
        <f t="shared" si="4"/>
        <v>-6236.8714770441993</v>
      </c>
      <c r="Q6">
        <f t="shared" si="4"/>
        <v>-12473.742954088399</v>
      </c>
      <c r="R6">
        <f t="shared" si="5"/>
        <v>19652.834483333329</v>
      </c>
      <c r="S6">
        <f t="shared" si="2"/>
        <v>39305.668966666657</v>
      </c>
      <c r="T6">
        <f t="shared" si="2"/>
        <v>-19652.834483333329</v>
      </c>
      <c r="U6">
        <f t="shared" si="2"/>
        <v>-39305.668966666657</v>
      </c>
    </row>
    <row r="7" spans="1:21">
      <c r="A7" s="1">
        <v>44043</v>
      </c>
      <c r="B7" s="2">
        <f>SUM(RMSE!$V7:$V$14)-SUM(RMSE!W7:W$14)</f>
        <v>-3783546.2782401741</v>
      </c>
      <c r="C7" s="2">
        <f>SUM(RMSE!$V7:$V$14)-SUM(RMSE!X7:X$14)</f>
        <v>-8417715.3058239222</v>
      </c>
      <c r="D7" s="2">
        <f>SUM(RMSE!$V7:$V$14)-SUM(RMSE!Y7:Y$14)</f>
        <v>-28299950.409999996</v>
      </c>
      <c r="E7" s="13"/>
      <c r="F7" s="13"/>
      <c r="G7" s="13"/>
      <c r="J7">
        <f t="shared" si="3"/>
        <v>3152.955231866812</v>
      </c>
      <c r="K7">
        <f t="shared" si="3"/>
        <v>6305.9104637336241</v>
      </c>
      <c r="L7">
        <f t="shared" si="3"/>
        <v>-3152.955231866812</v>
      </c>
      <c r="M7">
        <f t="shared" si="3"/>
        <v>-6305.9104637336241</v>
      </c>
      <c r="N7">
        <f t="shared" si="4"/>
        <v>7014.7627548532691</v>
      </c>
      <c r="O7">
        <f t="shared" si="4"/>
        <v>14029.525509706538</v>
      </c>
      <c r="P7">
        <f t="shared" si="4"/>
        <v>-7014.7627548532691</v>
      </c>
      <c r="Q7">
        <f t="shared" si="4"/>
        <v>-14029.525509706538</v>
      </c>
      <c r="R7">
        <f t="shared" si="5"/>
        <v>23583.29200833333</v>
      </c>
      <c r="S7">
        <f t="shared" si="2"/>
        <v>47166.58401666666</v>
      </c>
      <c r="T7">
        <f t="shared" si="2"/>
        <v>-23583.29200833333</v>
      </c>
      <c r="U7">
        <f t="shared" si="2"/>
        <v>-47166.58401666666</v>
      </c>
    </row>
    <row r="8" spans="1:21">
      <c r="A8" s="1">
        <v>44074</v>
      </c>
      <c r="B8" s="2">
        <f>SUM(RMSE!$V8:$V$14)-SUM(RMSE!W8:W$14)</f>
        <v>-3437416.1134091616</v>
      </c>
      <c r="C8" s="2">
        <f>SUM(RMSE!$V8:$V$14)-SUM(RMSE!X8:X$14)</f>
        <v>-9914749.0094752014</v>
      </c>
      <c r="D8" s="2">
        <f>SUM(RMSE!$V8:$V$14)-SUM(RMSE!Y8:Y$14)</f>
        <v>-33487339.390000015</v>
      </c>
      <c r="E8" s="13"/>
      <c r="F8" s="13"/>
      <c r="G8" s="13"/>
      <c r="J8">
        <f t="shared" si="3"/>
        <v>2864.5134278409678</v>
      </c>
      <c r="K8">
        <f t="shared" si="3"/>
        <v>5729.0268556819356</v>
      </c>
      <c r="L8">
        <f t="shared" si="3"/>
        <v>-2864.5134278409678</v>
      </c>
      <c r="M8">
        <f t="shared" si="3"/>
        <v>-5729.0268556819356</v>
      </c>
      <c r="N8">
        <f t="shared" si="4"/>
        <v>8262.2908412293345</v>
      </c>
      <c r="O8">
        <f t="shared" si="4"/>
        <v>16524.581682458669</v>
      </c>
      <c r="P8">
        <f t="shared" si="4"/>
        <v>-8262.2908412293345</v>
      </c>
      <c r="Q8">
        <f t="shared" si="4"/>
        <v>-16524.581682458669</v>
      </c>
      <c r="R8">
        <f t="shared" si="5"/>
        <v>27906.116158333345</v>
      </c>
      <c r="S8">
        <f t="shared" si="2"/>
        <v>55812.23231666669</v>
      </c>
      <c r="T8">
        <f t="shared" si="2"/>
        <v>-27906.116158333345</v>
      </c>
      <c r="U8">
        <f t="shared" si="2"/>
        <v>-55812.23231666669</v>
      </c>
    </row>
    <row r="9" spans="1:21">
      <c r="A9" s="1">
        <v>44104</v>
      </c>
      <c r="B9" s="2">
        <f>SUM(RMSE!$V9:$V$14)-SUM(RMSE!W9:W$14)</f>
        <v>-3180678.8381021917</v>
      </c>
      <c r="C9" s="2">
        <f>SUM(RMSE!$V9:$V$14)-SUM(RMSE!X9:X$14)</f>
        <v>-11830868.103394747</v>
      </c>
      <c r="D9" s="2">
        <f>SUM(RMSE!$V9:$V$14)-SUM(RMSE!Y9:Y$14)</f>
        <v>-39002816.370000005</v>
      </c>
      <c r="E9" s="13"/>
      <c r="F9" s="13"/>
      <c r="G9" s="13"/>
      <c r="J9">
        <f t="shared" si="3"/>
        <v>2650.565698418493</v>
      </c>
      <c r="K9">
        <f t="shared" si="3"/>
        <v>5301.1313968369859</v>
      </c>
      <c r="L9">
        <f t="shared" si="3"/>
        <v>-2650.565698418493</v>
      </c>
      <c r="M9">
        <f t="shared" si="3"/>
        <v>-5301.1313968369859</v>
      </c>
      <c r="N9">
        <f t="shared" si="4"/>
        <v>9859.0567528289557</v>
      </c>
      <c r="O9">
        <f t="shared" si="4"/>
        <v>19718.113505657911</v>
      </c>
      <c r="P9">
        <f t="shared" si="4"/>
        <v>-9859.0567528289557</v>
      </c>
      <c r="Q9">
        <f t="shared" si="4"/>
        <v>-19718.113505657911</v>
      </c>
      <c r="R9">
        <f t="shared" si="5"/>
        <v>32502.346975000004</v>
      </c>
      <c r="S9">
        <f t="shared" si="2"/>
        <v>65004.693950000008</v>
      </c>
      <c r="T9">
        <f t="shared" si="2"/>
        <v>-32502.346975000004</v>
      </c>
      <c r="U9">
        <f t="shared" si="2"/>
        <v>-65004.693950000008</v>
      </c>
    </row>
    <row r="10" spans="1:21">
      <c r="A10" s="1">
        <v>44135</v>
      </c>
      <c r="B10" s="2">
        <f>SUM(RMSE!$V10:$V$14)-SUM(RMSE!W10:W$14)</f>
        <v>-5183824.7347994745</v>
      </c>
      <c r="C10" s="2">
        <f>SUM(RMSE!$V10:$V$14)-SUM(RMSE!X10:X$14)</f>
        <v>-16318990.594846219</v>
      </c>
      <c r="D10" s="2">
        <f>SUM(RMSE!$V10:$V$14)-SUM(RMSE!Y10:Y$14)</f>
        <v>-47000909.440000027</v>
      </c>
      <c r="E10" s="13"/>
      <c r="F10" s="13"/>
      <c r="G10" s="13"/>
      <c r="J10">
        <f t="shared" si="3"/>
        <v>4319.8539456662284</v>
      </c>
      <c r="K10">
        <f t="shared" si="3"/>
        <v>8639.7078913324567</v>
      </c>
      <c r="L10">
        <f t="shared" si="3"/>
        <v>-4319.8539456662284</v>
      </c>
      <c r="M10">
        <f t="shared" si="3"/>
        <v>-8639.7078913324567</v>
      </c>
      <c r="N10">
        <f t="shared" si="4"/>
        <v>13599.158829038517</v>
      </c>
      <c r="O10">
        <f t="shared" si="4"/>
        <v>27198.317658077034</v>
      </c>
      <c r="P10">
        <f t="shared" si="4"/>
        <v>-13599.158829038517</v>
      </c>
      <c r="Q10">
        <f t="shared" si="4"/>
        <v>-27198.317658077034</v>
      </c>
      <c r="R10">
        <f t="shared" si="5"/>
        <v>39167.42453333336</v>
      </c>
      <c r="S10">
        <f t="shared" si="2"/>
        <v>78334.84906666672</v>
      </c>
      <c r="T10">
        <f t="shared" si="2"/>
        <v>-39167.42453333336</v>
      </c>
      <c r="U10">
        <f t="shared" si="2"/>
        <v>-78334.84906666672</v>
      </c>
    </row>
    <row r="11" spans="1:21">
      <c r="A11" s="1">
        <v>44165</v>
      </c>
      <c r="B11" s="2">
        <f>SUM(RMSE!$V11:$V$14)-SUM(RMSE!W11:W$14)</f>
        <v>-4980134.5298552811</v>
      </c>
      <c r="C11" s="2">
        <f>SUM(RMSE!$V11:$V$14)-SUM(RMSE!X11:X$14)</f>
        <v>-18879312.585876703</v>
      </c>
      <c r="D11" s="2">
        <f>SUM(RMSE!$V11:$V$14)-SUM(RMSE!Y11:Y$14)</f>
        <v>-52983736.050000012</v>
      </c>
      <c r="E11" s="13"/>
      <c r="F11" s="13"/>
      <c r="G11" s="13"/>
      <c r="J11">
        <f t="shared" si="3"/>
        <v>4150.1121082127347</v>
      </c>
      <c r="K11">
        <f t="shared" si="3"/>
        <v>8300.2242164254694</v>
      </c>
      <c r="L11">
        <f t="shared" si="3"/>
        <v>-4150.1121082127347</v>
      </c>
      <c r="M11">
        <f t="shared" si="3"/>
        <v>-8300.2242164254694</v>
      </c>
      <c r="N11">
        <f t="shared" si="4"/>
        <v>15732.760488230588</v>
      </c>
      <c r="O11">
        <f t="shared" si="4"/>
        <v>31465.520976461175</v>
      </c>
      <c r="P11">
        <f t="shared" si="4"/>
        <v>-15732.760488230588</v>
      </c>
      <c r="Q11">
        <f t="shared" si="4"/>
        <v>-31465.520976461175</v>
      </c>
      <c r="R11">
        <f t="shared" si="5"/>
        <v>44153.113375000015</v>
      </c>
      <c r="S11">
        <f t="shared" si="2"/>
        <v>88306.226750000031</v>
      </c>
      <c r="T11">
        <f t="shared" si="2"/>
        <v>-44153.113375000015</v>
      </c>
      <c r="U11">
        <f t="shared" si="2"/>
        <v>-88306.226750000031</v>
      </c>
    </row>
    <row r="12" spans="1:21">
      <c r="A12" s="1">
        <v>44196</v>
      </c>
      <c r="B12" s="2">
        <f>SUM(RMSE!$V12:$V$14)-SUM(RMSE!W12:W$14)</f>
        <v>-3323493.5048369467</v>
      </c>
      <c r="C12" s="2">
        <f>SUM(RMSE!$V12:$V$14)-SUM(RMSE!X12:X$14)</f>
        <v>-20318284.410698235</v>
      </c>
      <c r="D12" s="2">
        <f>SUM(RMSE!$V12:$V$14)-SUM(RMSE!Y12:Y$14)</f>
        <v>-57759278.300000012</v>
      </c>
      <c r="E12" s="13"/>
      <c r="F12" s="13"/>
      <c r="G12" s="13"/>
      <c r="J12">
        <f t="shared" si="3"/>
        <v>2769.5779206974553</v>
      </c>
      <c r="K12">
        <f t="shared" si="3"/>
        <v>5539.1558413949106</v>
      </c>
      <c r="L12">
        <f t="shared" si="3"/>
        <v>-2769.5779206974553</v>
      </c>
      <c r="M12">
        <f t="shared" si="3"/>
        <v>-5539.1558413949106</v>
      </c>
      <c r="N12">
        <f t="shared" si="4"/>
        <v>16931.903675581863</v>
      </c>
      <c r="O12">
        <f t="shared" si="4"/>
        <v>33863.807351163727</v>
      </c>
      <c r="P12">
        <f t="shared" si="4"/>
        <v>-16931.903675581863</v>
      </c>
      <c r="Q12">
        <f t="shared" si="4"/>
        <v>-33863.807351163727</v>
      </c>
      <c r="R12">
        <f t="shared" si="5"/>
        <v>48132.731916666678</v>
      </c>
      <c r="S12">
        <f t="shared" si="2"/>
        <v>96265.463833333357</v>
      </c>
      <c r="T12">
        <f t="shared" si="2"/>
        <v>-48132.731916666678</v>
      </c>
      <c r="U12">
        <f t="shared" si="2"/>
        <v>-96265.463833333357</v>
      </c>
    </row>
    <row r="13" spans="1:21">
      <c r="A13" s="1">
        <v>44227</v>
      </c>
      <c r="B13" s="2">
        <f>SUM(RMSE!$V13:$V$14)-SUM(RMSE!W13:W$14)</f>
        <v>-128582.0830360055</v>
      </c>
      <c r="C13" s="2">
        <f>SUM(RMSE!$V13:$V$14)-SUM(RMSE!X13:X$14)</f>
        <v>-20387112.682002723</v>
      </c>
      <c r="D13" s="2">
        <f>SUM(RMSE!$V13:$V$14)-SUM(RMSE!Y13:Y$14)</f>
        <v>-61080424.850000024</v>
      </c>
      <c r="E13" s="13"/>
      <c r="F13" s="13"/>
      <c r="G13" s="13"/>
      <c r="J13">
        <f t="shared" si="3"/>
        <v>107.15173586333792</v>
      </c>
      <c r="K13">
        <f t="shared" si="3"/>
        <v>214.30347172667584</v>
      </c>
      <c r="L13">
        <f t="shared" si="3"/>
        <v>-107.15173586333792</v>
      </c>
      <c r="M13">
        <f t="shared" si="3"/>
        <v>-214.30347172667584</v>
      </c>
      <c r="N13">
        <f t="shared" si="4"/>
        <v>16989.260568335605</v>
      </c>
      <c r="O13">
        <f t="shared" si="4"/>
        <v>33978.52113667121</v>
      </c>
      <c r="P13">
        <f t="shared" si="4"/>
        <v>-16989.260568335605</v>
      </c>
      <c r="Q13">
        <f t="shared" si="4"/>
        <v>-33978.52113667121</v>
      </c>
      <c r="R13">
        <f t="shared" si="5"/>
        <v>50900.354041666687</v>
      </c>
      <c r="S13">
        <f t="shared" si="2"/>
        <v>101800.70808333337</v>
      </c>
      <c r="T13">
        <f t="shared" si="2"/>
        <v>-50900.354041666687</v>
      </c>
      <c r="U13">
        <f t="shared" si="2"/>
        <v>-101800.70808333337</v>
      </c>
    </row>
    <row r="14" spans="1:21">
      <c r="A14" s="1">
        <v>44255</v>
      </c>
      <c r="B14" s="2">
        <f>SUM(RMSE!$V14:$V$14)-SUM(RMSE!W14:W$14)</f>
        <v>2711302.600384742</v>
      </c>
      <c r="C14" s="2">
        <f>SUM(RMSE!$V14:$V$14)-SUM(RMSE!X14:X$14)</f>
        <v>-20958374.277469754</v>
      </c>
      <c r="D14" s="2">
        <f>SUM(RMSE!$V14:$V$14)-SUM(RMSE!Y14:Y$14)</f>
        <v>-64821373.920000017</v>
      </c>
      <c r="E14" s="13"/>
      <c r="F14" s="13"/>
      <c r="G14" s="13"/>
      <c r="J14">
        <f t="shared" si="3"/>
        <v>-2259.4188336539519</v>
      </c>
      <c r="K14">
        <f t="shared" si="3"/>
        <v>-4518.8376673079038</v>
      </c>
      <c r="L14">
        <f t="shared" si="3"/>
        <v>2259.4188336539519</v>
      </c>
      <c r="M14">
        <f t="shared" si="3"/>
        <v>4518.8376673079038</v>
      </c>
      <c r="N14">
        <f t="shared" si="4"/>
        <v>17465.311897891461</v>
      </c>
      <c r="O14">
        <f t="shared" si="4"/>
        <v>34930.623795782922</v>
      </c>
      <c r="P14">
        <f t="shared" si="4"/>
        <v>-17465.311897891461</v>
      </c>
      <c r="Q14">
        <f t="shared" si="4"/>
        <v>-34930.623795782922</v>
      </c>
      <c r="R14">
        <f t="shared" si="5"/>
        <v>54017.811600000015</v>
      </c>
      <c r="S14">
        <f t="shared" si="2"/>
        <v>108035.62320000003</v>
      </c>
      <c r="T14">
        <f t="shared" si="2"/>
        <v>-54017.811600000015</v>
      </c>
      <c r="U14">
        <f t="shared" si="2"/>
        <v>-108035.62320000003</v>
      </c>
    </row>
    <row r="16" spans="1:21">
      <c r="D16" s="14"/>
      <c r="J16" s="14">
        <f>SUM(J3:J14)</f>
        <v>27161.725932164318</v>
      </c>
      <c r="K16" s="14">
        <f t="shared" ref="K16:U16" si="6">SUM(K3:K14)</f>
        <v>54323.451864328636</v>
      </c>
      <c r="L16" s="14">
        <f t="shared" si="6"/>
        <v>-27161.725932164318</v>
      </c>
      <c r="M16" s="14">
        <f t="shared" si="6"/>
        <v>-54323.451864328636</v>
      </c>
      <c r="N16" s="14">
        <f t="shared" si="6"/>
        <v>120694.47594930054</v>
      </c>
      <c r="O16" s="14">
        <f t="shared" si="6"/>
        <v>241388.95189860108</v>
      </c>
      <c r="P16" s="14">
        <f t="shared" si="6"/>
        <v>-120694.47594930054</v>
      </c>
      <c r="Q16" s="14">
        <f t="shared" si="6"/>
        <v>-241388.95189860108</v>
      </c>
      <c r="R16" s="14">
        <f t="shared" si="6"/>
        <v>369154.01700000011</v>
      </c>
      <c r="S16" s="14">
        <f t="shared" si="6"/>
        <v>738308.03400000022</v>
      </c>
      <c r="T16" s="14">
        <f t="shared" si="6"/>
        <v>-369154.01700000011</v>
      </c>
      <c r="U16" s="14">
        <f t="shared" si="6"/>
        <v>-738308.03400000022</v>
      </c>
    </row>
    <row r="18" spans="5:10">
      <c r="E18" s="7"/>
      <c r="F18" s="7"/>
      <c r="G18" s="7"/>
    </row>
    <row r="19" spans="5:10">
      <c r="E19" s="8"/>
      <c r="F19" s="8"/>
      <c r="G19" s="8"/>
      <c r="H19" s="68" t="s">
        <v>31</v>
      </c>
      <c r="I19" s="16" t="s">
        <v>34</v>
      </c>
      <c r="J19" s="15">
        <f>ABS(J16)</f>
        <v>27161.725932164318</v>
      </c>
    </row>
    <row r="20" spans="5:10">
      <c r="E20" s="8"/>
      <c r="F20" s="8"/>
      <c r="G20" s="8"/>
      <c r="H20" s="68"/>
      <c r="I20" s="16" t="s">
        <v>35</v>
      </c>
      <c r="J20" s="15">
        <f>ABS(K16)</f>
        <v>54323.451864328636</v>
      </c>
    </row>
    <row r="21" spans="5:10">
      <c r="H21" s="68" t="s">
        <v>18</v>
      </c>
      <c r="I21" s="16" t="s">
        <v>34</v>
      </c>
      <c r="J21" s="15">
        <f>ABS(N16)</f>
        <v>120694.47594930054</v>
      </c>
    </row>
    <row r="22" spans="5:10">
      <c r="H22" s="68"/>
      <c r="I22" s="16" t="s">
        <v>35</v>
      </c>
      <c r="J22" s="15">
        <f>ABS(O16)</f>
        <v>241388.95189860108</v>
      </c>
    </row>
    <row r="23" spans="5:10">
      <c r="H23" s="68" t="s">
        <v>33</v>
      </c>
      <c r="I23" s="16" t="s">
        <v>34</v>
      </c>
      <c r="J23" s="15">
        <f>ABS(R16)</f>
        <v>369154.01700000011</v>
      </c>
    </row>
    <row r="24" spans="5:10">
      <c r="H24" s="68"/>
      <c r="I24" s="16" t="s">
        <v>35</v>
      </c>
      <c r="J24" s="15">
        <f>ABS(S16)</f>
        <v>738308.03400000022</v>
      </c>
    </row>
  </sheetData>
  <mergeCells count="6">
    <mergeCell ref="H23:H24"/>
    <mergeCell ref="J1:M1"/>
    <mergeCell ref="N1:Q1"/>
    <mergeCell ref="R1:U1"/>
    <mergeCell ref="H19:H20"/>
    <mergeCell ref="H21:H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BD992049BB0B4AB476AE094FE3BA3A" ma:contentTypeVersion="" ma:contentTypeDescription="Create a new document." ma:contentTypeScope="" ma:versionID="42a9af3c80f6a54272bb545f89eeb0b2">
  <xsd:schema xmlns:xsd="http://www.w3.org/2001/XMLSchema" xmlns:xs="http://www.w3.org/2001/XMLSchema" xmlns:p="http://schemas.microsoft.com/office/2006/metadata/properties" xmlns:ns2="086a50e2-2ec9-41a5-b466-04a395251683" targetNamespace="http://schemas.microsoft.com/office/2006/metadata/properties" ma:root="true" ma:fieldsID="da7c90a1b03ba9125811dc0804fa4e1b" ns2:_="">
    <xsd:import namespace="086a50e2-2ec9-41a5-b466-04a39525168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a50e2-2ec9-41a5-b466-04a3952516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D5EC2C-4FB9-479C-B4EC-0C6C51B05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66FD11-E51F-4AED-81CF-270C416D85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C2BDAA-DA63-409F-8A3C-69557CE6F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a50e2-2ec9-41a5-b466-04a395251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12</vt:i4>
      </vt:variant>
    </vt:vector>
  </HeadingPairs>
  <TitlesOfParts>
    <vt:vector size="15" baseType="lpstr">
      <vt:lpstr>Use case</vt:lpstr>
      <vt:lpstr>RMSE</vt:lpstr>
      <vt:lpstr>GAP analysis</vt:lpstr>
      <vt:lpstr>cpr_100bps</vt:lpstr>
      <vt:lpstr>cpr_200bps</vt:lpstr>
      <vt:lpstr>none_100bps</vt:lpstr>
      <vt:lpstr>none_200bps</vt:lpstr>
      <vt:lpstr>rmse_in_cpr</vt:lpstr>
      <vt:lpstr>rmse_in_none</vt:lpstr>
      <vt:lpstr>rmse_in_your</vt:lpstr>
      <vt:lpstr>rmse_out_cpr</vt:lpstr>
      <vt:lpstr>rmse_out_none</vt:lpstr>
      <vt:lpstr>rmse_out_your</vt:lpstr>
      <vt:lpstr>your_100bps</vt:lpstr>
      <vt:lpstr>your_200bps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PASZEK, K. (KINGA)</dc:creator>
  <cp:lastModifiedBy>Wojtek Kretowicz</cp:lastModifiedBy>
  <dcterms:created xsi:type="dcterms:W3CDTF">2021-04-17T10:40:49Z</dcterms:created>
  <dcterms:modified xsi:type="dcterms:W3CDTF">2021-05-20T19:43:29Z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0x0101003EBD992049BB0B4AB476AE094FE3BA3A</vt:lpwstr>
  </property>
</Properties>
</file>