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GitHub\PruebaExcel\"/>
    </mc:Choice>
  </mc:AlternateContent>
  <xr:revisionPtr revIDLastSave="0" documentId="13_ncr:1_{DAF5F8B6-76FE-4311-B62F-7D30A682689C}" xr6:coauthVersionLast="47" xr6:coauthVersionMax="47" xr10:uidLastSave="{00000000-0000-0000-0000-000000000000}"/>
  <bookViews>
    <workbookView xWindow="-120" yWindow="-120" windowWidth="29040" windowHeight="15720" tabRatio="601" firstSheet="2" activeTab="6" xr2:uid="{00000000-000D-0000-FFFF-FFFF00000000}"/>
  </bookViews>
  <sheets>
    <sheet name="METALSALARIOS " sheetId="1" r:id="rId1"/>
    <sheet name="ESPECIALISTA" sheetId="30" r:id="rId2"/>
    <sheet name="OFICIAL 1ª" sheetId="31" r:id="rId3"/>
    <sheet name="OFICIAL 1ªADMVO" sheetId="32" r:id="rId4"/>
    <sheet name="LICENCIADO" sheetId="33" r:id="rId5"/>
    <sheet name="Especialista_1" sheetId="43" r:id="rId6"/>
    <sheet name="Oficial de 1ª" sheetId="44" r:id="rId7"/>
    <sheet name="Oficial administrativo 1º" sheetId="45" r:id="rId8"/>
    <sheet name="Licenciado_1" sheetId="46" r:id="rId9"/>
  </sheets>
  <definedNames>
    <definedName name="_xlnm._FilterDatabase" localSheetId="0" hidden="1">'METALSALARIOS '!$A$2:$AB$242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0" l="1"/>
  <c r="D10" i="30" l="1"/>
  <c r="C10" i="30"/>
  <c r="B10" i="30"/>
  <c r="D8" i="30"/>
  <c r="C8" i="30"/>
  <c r="B8" i="30"/>
  <c r="D4" i="30"/>
  <c r="C4" i="30"/>
  <c r="B4" i="30"/>
  <c r="K39" i="1"/>
  <c r="N39" i="1"/>
  <c r="Y51" i="1"/>
  <c r="C14" i="30" s="1"/>
  <c r="Y52" i="1"/>
  <c r="Y53" i="1"/>
  <c r="Y54" i="1"/>
  <c r="Y95" i="1"/>
  <c r="Y96" i="1"/>
  <c r="Y97" i="1"/>
  <c r="Y98" i="1"/>
  <c r="Y119" i="1"/>
  <c r="Y120" i="1"/>
  <c r="Y121" i="1"/>
  <c r="Y122" i="1"/>
  <c r="Y131" i="1"/>
  <c r="Y132" i="1"/>
  <c r="Y133" i="1"/>
  <c r="Y134" i="1"/>
  <c r="Y140" i="1"/>
  <c r="Y141" i="1"/>
  <c r="Y142" i="1"/>
  <c r="Y151" i="1"/>
  <c r="Y152" i="1"/>
  <c r="Y153" i="1"/>
  <c r="Y154" i="1"/>
  <c r="Y166" i="1"/>
  <c r="Y175" i="1"/>
  <c r="Y176" i="1"/>
  <c r="Y177" i="1"/>
  <c r="Y178" i="1"/>
  <c r="N158" i="1"/>
  <c r="L158" i="1"/>
  <c r="K158" i="1"/>
  <c r="N157" i="1"/>
  <c r="L157" i="1"/>
  <c r="K157" i="1"/>
  <c r="N156" i="1"/>
  <c r="L156" i="1"/>
  <c r="K156" i="1"/>
  <c r="N155" i="1"/>
  <c r="L155" i="1"/>
  <c r="K155" i="1"/>
  <c r="S150" i="1"/>
  <c r="N150" i="1"/>
  <c r="L150" i="1"/>
  <c r="K150" i="1"/>
  <c r="S149" i="1"/>
  <c r="N149" i="1"/>
  <c r="L149" i="1"/>
  <c r="K149" i="1"/>
  <c r="S148" i="1"/>
  <c r="N148" i="1"/>
  <c r="L148" i="1"/>
  <c r="K148" i="1"/>
  <c r="S147" i="1"/>
  <c r="N147" i="1"/>
  <c r="L147" i="1"/>
  <c r="K147" i="1"/>
  <c r="S146" i="1"/>
  <c r="N146" i="1"/>
  <c r="M146" i="1"/>
  <c r="L146" i="1"/>
  <c r="K146" i="1"/>
  <c r="S145" i="1"/>
  <c r="N145" i="1"/>
  <c r="M145" i="1"/>
  <c r="L145" i="1"/>
  <c r="K145" i="1"/>
  <c r="S144" i="1"/>
  <c r="N144" i="1"/>
  <c r="M144" i="1"/>
  <c r="L144" i="1"/>
  <c r="K144" i="1"/>
  <c r="S143" i="1"/>
  <c r="N143" i="1"/>
  <c r="M143" i="1"/>
  <c r="L143" i="1"/>
  <c r="K143" i="1"/>
  <c r="S142" i="1"/>
  <c r="N142" i="1"/>
  <c r="K142" i="1"/>
  <c r="S141" i="1"/>
  <c r="N141" i="1"/>
  <c r="K141" i="1"/>
  <c r="S140" i="1"/>
  <c r="N140" i="1"/>
  <c r="K140" i="1"/>
  <c r="S139" i="1"/>
  <c r="N139" i="1"/>
  <c r="K139" i="1"/>
  <c r="S138" i="1"/>
  <c r="N138" i="1" s="1"/>
  <c r="Q138" i="1"/>
  <c r="L138" i="1" s="1"/>
  <c r="M138" i="1"/>
  <c r="K138" i="1"/>
  <c r="S137" i="1"/>
  <c r="N137" i="1" s="1"/>
  <c r="Q137" i="1"/>
  <c r="L137" i="1" s="1"/>
  <c r="M137" i="1"/>
  <c r="K137" i="1"/>
  <c r="S136" i="1"/>
  <c r="N136" i="1" s="1"/>
  <c r="Q136" i="1"/>
  <c r="L136" i="1" s="1"/>
  <c r="M136" i="1"/>
  <c r="K136" i="1"/>
  <c r="S135" i="1"/>
  <c r="N135" i="1" s="1"/>
  <c r="Q135" i="1"/>
  <c r="L135" i="1" s="1"/>
  <c r="M135" i="1"/>
  <c r="K135" i="1"/>
  <c r="W134" i="1"/>
  <c r="V134" i="1"/>
  <c r="W133" i="1"/>
  <c r="V133" i="1"/>
  <c r="W132" i="1"/>
  <c r="V132" i="1"/>
  <c r="W131" i="1"/>
  <c r="V131" i="1"/>
  <c r="S131" i="1"/>
  <c r="R130" i="1"/>
  <c r="M130" i="1" s="1"/>
  <c r="N130" i="1"/>
  <c r="L130" i="1"/>
  <c r="K130" i="1"/>
  <c r="R129" i="1"/>
  <c r="M129" i="1" s="1"/>
  <c r="Q129" i="1"/>
  <c r="L129" i="1" s="1"/>
  <c r="N129" i="1"/>
  <c r="K129" i="1"/>
  <c r="R128" i="1"/>
  <c r="M128" i="1" s="1"/>
  <c r="Q128" i="1"/>
  <c r="L128" i="1" s="1"/>
  <c r="N128" i="1"/>
  <c r="K128" i="1"/>
  <c r="R127" i="1"/>
  <c r="M127" i="1" s="1"/>
  <c r="N127" i="1"/>
  <c r="L127" i="1"/>
  <c r="K127" i="1"/>
  <c r="R126" i="1"/>
  <c r="M126" i="1" s="1"/>
  <c r="Q126" i="1"/>
  <c r="L126" i="1" s="1"/>
  <c r="N126" i="1"/>
  <c r="K126" i="1"/>
  <c r="R125" i="1"/>
  <c r="M125" i="1" s="1"/>
  <c r="Q125" i="1"/>
  <c r="L125" i="1" s="1"/>
  <c r="N125" i="1"/>
  <c r="K125" i="1"/>
  <c r="R124" i="1"/>
  <c r="M124" i="1" s="1"/>
  <c r="Q124" i="1"/>
  <c r="L124" i="1" s="1"/>
  <c r="N124" i="1"/>
  <c r="K124" i="1"/>
  <c r="R123" i="1"/>
  <c r="M123" i="1" s="1"/>
  <c r="Q123" i="1"/>
  <c r="L123" i="1" s="1"/>
  <c r="N123" i="1"/>
  <c r="K123" i="1"/>
  <c r="W122" i="1"/>
  <c r="V122" i="1"/>
  <c r="W121" i="1"/>
  <c r="V121" i="1"/>
  <c r="W120" i="1"/>
  <c r="V120" i="1"/>
  <c r="W119" i="1"/>
  <c r="V119" i="1"/>
  <c r="N118" i="1"/>
  <c r="L118" i="1"/>
  <c r="K118" i="1"/>
  <c r="N117" i="1"/>
  <c r="L117" i="1"/>
  <c r="K117" i="1"/>
  <c r="N116" i="1"/>
  <c r="L116" i="1"/>
  <c r="K116" i="1"/>
  <c r="N115" i="1"/>
  <c r="L115" i="1"/>
  <c r="K115" i="1"/>
  <c r="N114" i="1"/>
  <c r="L114" i="1"/>
  <c r="K114" i="1"/>
  <c r="N113" i="1"/>
  <c r="L113" i="1"/>
  <c r="K113" i="1"/>
  <c r="N112" i="1"/>
  <c r="L112" i="1"/>
  <c r="K112" i="1"/>
  <c r="N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W98" i="1"/>
  <c r="V98" i="1"/>
  <c r="W97" i="1"/>
  <c r="V97" i="1"/>
  <c r="W96" i="1"/>
  <c r="V96" i="1"/>
  <c r="W95" i="1"/>
  <c r="V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L226" i="1"/>
  <c r="K226" i="1"/>
  <c r="N225" i="1"/>
  <c r="L225" i="1"/>
  <c r="K225" i="1"/>
  <c r="N224" i="1"/>
  <c r="L224" i="1"/>
  <c r="K224" i="1"/>
  <c r="N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L214" i="1"/>
  <c r="K214" i="1"/>
  <c r="N213" i="1"/>
  <c r="L213" i="1"/>
  <c r="K213" i="1"/>
  <c r="N212" i="1"/>
  <c r="L212" i="1"/>
  <c r="K212" i="1"/>
  <c r="N211" i="1"/>
  <c r="L211" i="1"/>
  <c r="K211" i="1"/>
  <c r="N210" i="1"/>
  <c r="L210" i="1"/>
  <c r="K210" i="1"/>
  <c r="N209" i="1"/>
  <c r="L209" i="1"/>
  <c r="K209" i="1"/>
  <c r="N208" i="1"/>
  <c r="L208" i="1"/>
  <c r="K208" i="1"/>
  <c r="N207" i="1"/>
  <c r="L207" i="1"/>
  <c r="K207" i="1"/>
  <c r="N206" i="1"/>
  <c r="M206" i="1"/>
  <c r="L206" i="1"/>
  <c r="K206" i="1"/>
  <c r="N205" i="1"/>
  <c r="L205" i="1"/>
  <c r="K205" i="1"/>
  <c r="N204" i="1"/>
  <c r="L204" i="1"/>
  <c r="K204" i="1"/>
  <c r="N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L198" i="1"/>
  <c r="K198" i="1"/>
  <c r="N197" i="1"/>
  <c r="L197" i="1"/>
  <c r="K197" i="1"/>
  <c r="N196" i="1"/>
  <c r="L196" i="1"/>
  <c r="K196" i="1"/>
  <c r="N195" i="1"/>
  <c r="L195" i="1"/>
  <c r="K195" i="1"/>
  <c r="N194" i="1"/>
  <c r="L194" i="1"/>
  <c r="K194" i="1"/>
  <c r="N193" i="1"/>
  <c r="L193" i="1"/>
  <c r="K193" i="1"/>
  <c r="N192" i="1"/>
  <c r="L192" i="1"/>
  <c r="K192" i="1"/>
  <c r="N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L182" i="1"/>
  <c r="K182" i="1"/>
  <c r="N181" i="1"/>
  <c r="L181" i="1"/>
  <c r="K181" i="1"/>
  <c r="N180" i="1"/>
  <c r="L180" i="1"/>
  <c r="K180" i="1"/>
  <c r="N179" i="1"/>
  <c r="L179" i="1"/>
  <c r="K179" i="1"/>
  <c r="M178" i="1"/>
  <c r="V178" i="1" s="1"/>
  <c r="L178" i="1"/>
  <c r="W178" i="1" s="1"/>
  <c r="M177" i="1"/>
  <c r="V177" i="1" s="1"/>
  <c r="L177" i="1"/>
  <c r="W177" i="1" s="1"/>
  <c r="M176" i="1"/>
  <c r="V176" i="1" s="1"/>
  <c r="L176" i="1"/>
  <c r="W176" i="1" s="1"/>
  <c r="M175" i="1"/>
  <c r="V175" i="1" s="1"/>
  <c r="L175" i="1"/>
  <c r="K175" i="1" s="1"/>
  <c r="W175" i="1" s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5" i="1"/>
  <c r="L165" i="1"/>
  <c r="K165" i="1"/>
  <c r="N164" i="1"/>
  <c r="L164" i="1"/>
  <c r="K164" i="1"/>
  <c r="N163" i="1"/>
  <c r="L163" i="1"/>
  <c r="K163" i="1"/>
  <c r="N162" i="1"/>
  <c r="L162" i="1"/>
  <c r="N161" i="1"/>
  <c r="L161" i="1"/>
  <c r="N160" i="1"/>
  <c r="L160" i="1"/>
  <c r="N159" i="1"/>
  <c r="L159" i="1"/>
  <c r="O39" i="1" l="1"/>
  <c r="O240" i="1"/>
  <c r="Y240" i="1" s="1"/>
  <c r="O242" i="1"/>
  <c r="Y242" i="1" s="1"/>
  <c r="O205" i="1"/>
  <c r="Y205" i="1" s="1"/>
  <c r="O157" i="1"/>
  <c r="V157" i="1" s="1"/>
  <c r="O155" i="1"/>
  <c r="Y155" i="1" s="1"/>
  <c r="O90" i="1"/>
  <c r="W90" i="1" s="1"/>
  <c r="O139" i="1"/>
  <c r="Y139" i="1" s="1"/>
  <c r="O169" i="1"/>
  <c r="Y169" i="1" s="1"/>
  <c r="O185" i="1"/>
  <c r="V185" i="1" s="1"/>
  <c r="O189" i="1"/>
  <c r="Y189" i="1" s="1"/>
  <c r="O162" i="1"/>
  <c r="Y162" i="1" s="1"/>
  <c r="O148" i="1"/>
  <c r="U148" i="1" s="1"/>
  <c r="O159" i="1"/>
  <c r="Y159" i="1" s="1"/>
  <c r="O117" i="1"/>
  <c r="Y117" i="1" s="1"/>
  <c r="O186" i="1"/>
  <c r="V186" i="1" s="1"/>
  <c r="O227" i="1"/>
  <c r="Y227" i="1" s="1"/>
  <c r="O103" i="1"/>
  <c r="Y103" i="1" s="1"/>
  <c r="O144" i="1"/>
  <c r="Y144" i="1" s="1"/>
  <c r="O179" i="1"/>
  <c r="W179" i="1" s="1"/>
  <c r="O94" i="1"/>
  <c r="V94" i="1" s="1"/>
  <c r="O104" i="1"/>
  <c r="Y104" i="1" s="1"/>
  <c r="O106" i="1"/>
  <c r="W106" i="1" s="1"/>
  <c r="O226" i="1"/>
  <c r="V226" i="1" s="1"/>
  <c r="O92" i="1"/>
  <c r="Y92" i="1" s="1"/>
  <c r="O143" i="1"/>
  <c r="Y143" i="1" s="1"/>
  <c r="O156" i="1"/>
  <c r="Y156" i="1" s="1"/>
  <c r="O112" i="1"/>
  <c r="W112" i="1" s="1"/>
  <c r="O163" i="1"/>
  <c r="Y163" i="1" s="1"/>
  <c r="O181" i="1"/>
  <c r="V181" i="1" s="1"/>
  <c r="O222" i="1"/>
  <c r="V222" i="1" s="1"/>
  <c r="O91" i="1"/>
  <c r="W91" i="1" s="1"/>
  <c r="O135" i="1"/>
  <c r="Y135" i="1" s="1"/>
  <c r="O192" i="1"/>
  <c r="Y192" i="1" s="1"/>
  <c r="O235" i="1"/>
  <c r="V235" i="1" s="1"/>
  <c r="O116" i="1"/>
  <c r="Y116" i="1" s="1"/>
  <c r="O167" i="1"/>
  <c r="Y167" i="1" s="1"/>
  <c r="O215" i="1"/>
  <c r="V215" i="1" s="1"/>
  <c r="O130" i="1"/>
  <c r="Y130" i="1" s="1"/>
  <c r="O197" i="1"/>
  <c r="Y197" i="1" s="1"/>
  <c r="O206" i="1"/>
  <c r="W206" i="1" s="1"/>
  <c r="O211" i="1"/>
  <c r="O216" i="1"/>
  <c r="W216" i="1" s="1"/>
  <c r="O241" i="1"/>
  <c r="W241" i="1" s="1"/>
  <c r="O123" i="1"/>
  <c r="Y123" i="1" s="1"/>
  <c r="O188" i="1"/>
  <c r="Y188" i="1" s="1"/>
  <c r="O190" i="1"/>
  <c r="Y190" i="1" s="1"/>
  <c r="O204" i="1"/>
  <c r="W204" i="1" s="1"/>
  <c r="O115" i="1"/>
  <c r="Y115" i="1" s="1"/>
  <c r="O200" i="1"/>
  <c r="Y200" i="1" s="1"/>
  <c r="O111" i="1"/>
  <c r="O191" i="1"/>
  <c r="O232" i="1"/>
  <c r="Y232" i="1" s="1"/>
  <c r="O180" i="1"/>
  <c r="Y180" i="1" s="1"/>
  <c r="O195" i="1"/>
  <c r="O223" i="1"/>
  <c r="W223" i="1" s="1"/>
  <c r="O228" i="1"/>
  <c r="W228" i="1" s="1"/>
  <c r="O105" i="1"/>
  <c r="Y105" i="1" s="1"/>
  <c r="O137" i="1"/>
  <c r="Y137" i="1" s="1"/>
  <c r="O145" i="1"/>
  <c r="Y145" i="1" s="1"/>
  <c r="O129" i="1"/>
  <c r="Y129" i="1" s="1"/>
  <c r="O161" i="1"/>
  <c r="Y161" i="1" s="1"/>
  <c r="O164" i="1"/>
  <c r="W164" i="1" s="1"/>
  <c r="O234" i="1"/>
  <c r="O93" i="1"/>
  <c r="Y93" i="1" s="1"/>
  <c r="O101" i="1"/>
  <c r="Y101" i="1" s="1"/>
  <c r="O124" i="1"/>
  <c r="Y124" i="1" s="1"/>
  <c r="O187" i="1"/>
  <c r="Y187" i="1" s="1"/>
  <c r="O202" i="1"/>
  <c r="O210" i="1"/>
  <c r="W210" i="1" s="1"/>
  <c r="O233" i="1"/>
  <c r="O110" i="1"/>
  <c r="Y110" i="1" s="1"/>
  <c r="O114" i="1"/>
  <c r="O165" i="1"/>
  <c r="Y165" i="1" s="1"/>
  <c r="O168" i="1"/>
  <c r="W168" i="1" s="1"/>
  <c r="O174" i="1"/>
  <c r="Y174" i="1" s="1"/>
  <c r="O196" i="1"/>
  <c r="Y196" i="1" s="1"/>
  <c r="O201" i="1"/>
  <c r="W201" i="1" s="1"/>
  <c r="O203" i="1"/>
  <c r="Y203" i="1" s="1"/>
  <c r="O125" i="1"/>
  <c r="Y125" i="1" s="1"/>
  <c r="O127" i="1"/>
  <c r="Y127" i="1" s="1"/>
  <c r="O150" i="1"/>
  <c r="O138" i="1"/>
  <c r="Y138" i="1" s="1"/>
  <c r="O147" i="1"/>
  <c r="O149" i="1"/>
  <c r="O183" i="1"/>
  <c r="Y183" i="1" s="1"/>
  <c r="O184" i="1"/>
  <c r="Y184" i="1" s="1"/>
  <c r="O193" i="1"/>
  <c r="Y193" i="1" s="1"/>
  <c r="O214" i="1"/>
  <c r="O221" i="1"/>
  <c r="Y221" i="1" s="1"/>
  <c r="O118" i="1"/>
  <c r="Y118" i="1" s="1"/>
  <c r="O126" i="1"/>
  <c r="Y126" i="1" s="1"/>
  <c r="O128" i="1"/>
  <c r="Y128" i="1" s="1"/>
  <c r="O146" i="1"/>
  <c r="Y146" i="1" s="1"/>
  <c r="O136" i="1"/>
  <c r="Y136" i="1" s="1"/>
  <c r="O102" i="1"/>
  <c r="V102" i="1" s="1"/>
  <c r="O89" i="1"/>
  <c r="W89" i="1" s="1"/>
  <c r="O109" i="1"/>
  <c r="Y109" i="1" s="1"/>
  <c r="O88" i="1"/>
  <c r="O100" i="1"/>
  <c r="O108" i="1"/>
  <c r="O113" i="1"/>
  <c r="W113" i="1" s="1"/>
  <c r="O87" i="1"/>
  <c r="W87" i="1" s="1"/>
  <c r="O99" i="1"/>
  <c r="O107" i="1"/>
  <c r="O158" i="1"/>
  <c r="Y158" i="1" s="1"/>
  <c r="O207" i="1"/>
  <c r="O160" i="1"/>
  <c r="O199" i="1"/>
  <c r="O209" i="1"/>
  <c r="O213" i="1"/>
  <c r="O220" i="1"/>
  <c r="O225" i="1"/>
  <c r="O231" i="1"/>
  <c r="W231" i="1" s="1"/>
  <c r="O239" i="1"/>
  <c r="O173" i="1"/>
  <c r="O182" i="1"/>
  <c r="O194" i="1"/>
  <c r="W194" i="1" s="1"/>
  <c r="O198" i="1"/>
  <c r="O219" i="1"/>
  <c r="O238" i="1"/>
  <c r="O172" i="1"/>
  <c r="O208" i="1"/>
  <c r="O212" i="1"/>
  <c r="O218" i="1"/>
  <c r="O224" i="1"/>
  <c r="O230" i="1"/>
  <c r="Y230" i="1" s="1"/>
  <c r="O237" i="1"/>
  <c r="Y237" i="1" s="1"/>
  <c r="O171" i="1"/>
  <c r="O217" i="1"/>
  <c r="O229" i="1"/>
  <c r="O236" i="1"/>
  <c r="W236" i="1" s="1"/>
  <c r="O170" i="1"/>
  <c r="Y170" i="1" s="1"/>
  <c r="X39" i="1" l="1"/>
  <c r="D11" i="30" s="1"/>
  <c r="B11" i="30"/>
  <c r="U157" i="1"/>
  <c r="W39" i="1"/>
  <c r="Y39" i="1"/>
  <c r="C11" i="30" s="1"/>
  <c r="V39" i="1"/>
  <c r="V242" i="1"/>
  <c r="W226" i="1"/>
  <c r="V240" i="1"/>
  <c r="V180" i="1"/>
  <c r="W240" i="1"/>
  <c r="W185" i="1"/>
  <c r="V105" i="1"/>
  <c r="V205" i="1"/>
  <c r="W205" i="1"/>
  <c r="V159" i="1"/>
  <c r="V104" i="1"/>
  <c r="V155" i="1"/>
  <c r="V232" i="1"/>
  <c r="Y222" i="1"/>
  <c r="Y94" i="1"/>
  <c r="W227" i="1"/>
  <c r="V92" i="1"/>
  <c r="W92" i="1"/>
  <c r="V167" i="1"/>
  <c r="W156" i="1"/>
  <c r="W242" i="1"/>
  <c r="V90" i="1"/>
  <c r="W104" i="1"/>
  <c r="Y90" i="1"/>
  <c r="V227" i="1"/>
  <c r="Y157" i="1"/>
  <c r="V197" i="1"/>
  <c r="W157" i="1"/>
  <c r="W169" i="1"/>
  <c r="W159" i="1"/>
  <c r="Y185" i="1"/>
  <c r="V161" i="1"/>
  <c r="V169" i="1"/>
  <c r="V110" i="1"/>
  <c r="W235" i="1"/>
  <c r="W237" i="1"/>
  <c r="U156" i="1"/>
  <c r="W181" i="1"/>
  <c r="U155" i="1"/>
  <c r="W155" i="1"/>
  <c r="V162" i="1"/>
  <c r="W93" i="1"/>
  <c r="V112" i="1"/>
  <c r="W162" i="1"/>
  <c r="Y148" i="1"/>
  <c r="W101" i="1"/>
  <c r="V93" i="1"/>
  <c r="W94" i="1"/>
  <c r="W192" i="1"/>
  <c r="V192" i="1"/>
  <c r="W196" i="1"/>
  <c r="V101" i="1"/>
  <c r="V103" i="1"/>
  <c r="W180" i="1"/>
  <c r="V156" i="1"/>
  <c r="W103" i="1"/>
  <c r="Y179" i="1"/>
  <c r="V203" i="1"/>
  <c r="V193" i="1"/>
  <c r="Y91" i="1"/>
  <c r="Y186" i="1"/>
  <c r="V179" i="1"/>
  <c r="W222" i="1"/>
  <c r="W197" i="1"/>
  <c r="W203" i="1"/>
  <c r="W193" i="1"/>
  <c r="V91" i="1"/>
  <c r="W186" i="1"/>
  <c r="V237" i="1"/>
  <c r="V196" i="1"/>
  <c r="V106" i="1"/>
  <c r="Y181" i="1"/>
  <c r="V200" i="1"/>
  <c r="Y235" i="1"/>
  <c r="Y226" i="1"/>
  <c r="W161" i="1"/>
  <c r="V230" i="1"/>
  <c r="W105" i="1"/>
  <c r="Y106" i="1"/>
  <c r="Y112" i="1"/>
  <c r="W200" i="1"/>
  <c r="V212" i="1"/>
  <c r="Y212" i="1"/>
  <c r="W108" i="1"/>
  <c r="Y108" i="1"/>
  <c r="V233" i="1"/>
  <c r="Y233" i="1"/>
  <c r="V208" i="1"/>
  <c r="Y208" i="1"/>
  <c r="W100" i="1"/>
  <c r="Y100" i="1"/>
  <c r="V168" i="1"/>
  <c r="Y168" i="1"/>
  <c r="V210" i="1"/>
  <c r="Y210" i="1"/>
  <c r="V164" i="1"/>
  <c r="Y164" i="1"/>
  <c r="V229" i="1"/>
  <c r="Y229" i="1"/>
  <c r="V209" i="1"/>
  <c r="Y209" i="1"/>
  <c r="V172" i="1"/>
  <c r="Y172" i="1"/>
  <c r="W230" i="1"/>
  <c r="V88" i="1"/>
  <c r="Y88" i="1"/>
  <c r="W202" i="1"/>
  <c r="Y202" i="1"/>
  <c r="V195" i="1"/>
  <c r="Y195" i="1"/>
  <c r="V191" i="1"/>
  <c r="Y191" i="1"/>
  <c r="V204" i="1"/>
  <c r="Y204" i="1"/>
  <c r="V211" i="1"/>
  <c r="Y211" i="1"/>
  <c r="V173" i="1"/>
  <c r="Y173" i="1"/>
  <c r="V108" i="1"/>
  <c r="W174" i="1"/>
  <c r="V171" i="1"/>
  <c r="Y171" i="1"/>
  <c r="V239" i="1"/>
  <c r="Y239" i="1"/>
  <c r="V174" i="1"/>
  <c r="V238" i="1"/>
  <c r="Y238" i="1"/>
  <c r="W233" i="1"/>
  <c r="V170" i="1"/>
  <c r="V109" i="1"/>
  <c r="W221" i="1"/>
  <c r="V114" i="1"/>
  <c r="Y114" i="1"/>
  <c r="W191" i="1"/>
  <c r="W195" i="1"/>
  <c r="W211" i="1"/>
  <c r="W215" i="1"/>
  <c r="Y215" i="1"/>
  <c r="V213" i="1"/>
  <c r="Y213" i="1"/>
  <c r="W219" i="1"/>
  <c r="Y219" i="1"/>
  <c r="W199" i="1"/>
  <c r="Y199" i="1"/>
  <c r="V107" i="1"/>
  <c r="Y107" i="1"/>
  <c r="V100" i="1"/>
  <c r="U149" i="1"/>
  <c r="Y149" i="1"/>
  <c r="W183" i="1"/>
  <c r="W234" i="1"/>
  <c r="Y234" i="1"/>
  <c r="W110" i="1"/>
  <c r="W111" i="1"/>
  <c r="V111" i="1"/>
  <c r="Y111" i="1"/>
  <c r="V206" i="1"/>
  <c r="Y206" i="1"/>
  <c r="V217" i="1"/>
  <c r="Y217" i="1"/>
  <c r="V231" i="1"/>
  <c r="Y231" i="1"/>
  <c r="V198" i="1"/>
  <c r="Y198" i="1"/>
  <c r="V225" i="1"/>
  <c r="Y225" i="1"/>
  <c r="W225" i="1"/>
  <c r="V99" i="1"/>
  <c r="Y99" i="1"/>
  <c r="V89" i="1"/>
  <c r="Y89" i="1"/>
  <c r="W109" i="1"/>
  <c r="V214" i="1"/>
  <c r="Y214" i="1"/>
  <c r="U147" i="1"/>
  <c r="Y147" i="1"/>
  <c r="V201" i="1"/>
  <c r="Y201" i="1"/>
  <c r="V234" i="1"/>
  <c r="V228" i="1"/>
  <c r="Y228" i="1"/>
  <c r="W232" i="1"/>
  <c r="V216" i="1"/>
  <c r="Y216" i="1"/>
  <c r="V224" i="1"/>
  <c r="Y224" i="1"/>
  <c r="V194" i="1"/>
  <c r="Y194" i="1"/>
  <c r="V87" i="1"/>
  <c r="Y87" i="1"/>
  <c r="W102" i="1"/>
  <c r="Y102" i="1"/>
  <c r="V202" i="1"/>
  <c r="W214" i="1"/>
  <c r="V207" i="1"/>
  <c r="Y207" i="1"/>
  <c r="V236" i="1"/>
  <c r="Y236" i="1"/>
  <c r="W218" i="1"/>
  <c r="Y218" i="1"/>
  <c r="V182" i="1"/>
  <c r="Y182" i="1"/>
  <c r="W220" i="1"/>
  <c r="Y220" i="1"/>
  <c r="V160" i="1"/>
  <c r="Y160" i="1"/>
  <c r="W182" i="1"/>
  <c r="W170" i="1"/>
  <c r="W207" i="1"/>
  <c r="V113" i="1"/>
  <c r="Y113" i="1"/>
  <c r="U150" i="1"/>
  <c r="Y150" i="1"/>
  <c r="W184" i="1"/>
  <c r="W114" i="1"/>
  <c r="V183" i="1"/>
  <c r="V223" i="1"/>
  <c r="Y223" i="1"/>
  <c r="V184" i="1"/>
  <c r="V221" i="1"/>
  <c r="V241" i="1"/>
  <c r="Y241" i="1"/>
  <c r="W167" i="1"/>
  <c r="W88" i="1"/>
  <c r="W99" i="1"/>
  <c r="V158" i="1"/>
  <c r="U158" i="1"/>
  <c r="W107" i="1"/>
  <c r="W158" i="1"/>
  <c r="V219" i="1"/>
  <c r="W224" i="1"/>
  <c r="W238" i="1"/>
  <c r="W239" i="1"/>
  <c r="W173" i="1"/>
  <c r="W213" i="1"/>
  <c r="W217" i="1"/>
  <c r="V220" i="1"/>
  <c r="W171" i="1"/>
  <c r="W229" i="1"/>
  <c r="W208" i="1"/>
  <c r="V199" i="1"/>
  <c r="V218" i="1"/>
  <c r="W160" i="1"/>
  <c r="W172" i="1"/>
  <c r="W212" i="1"/>
  <c r="W209" i="1"/>
  <c r="W198" i="1"/>
  <c r="X51" i="1" l="1"/>
  <c r="D14" i="30" s="1"/>
  <c r="X52" i="1"/>
  <c r="X53" i="1"/>
  <c r="X54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L31" i="1"/>
  <c r="M84" i="1"/>
  <c r="M85" i="1"/>
  <c r="M86" i="1"/>
  <c r="M83" i="1"/>
  <c r="N84" i="1"/>
  <c r="N85" i="1"/>
  <c r="N86" i="1"/>
  <c r="N83" i="1"/>
  <c r="L80" i="1"/>
  <c r="L81" i="1"/>
  <c r="L82" i="1"/>
  <c r="L79" i="1"/>
  <c r="M80" i="1"/>
  <c r="M81" i="1"/>
  <c r="M82" i="1"/>
  <c r="M79" i="1"/>
  <c r="N76" i="1"/>
  <c r="N75" i="1"/>
  <c r="K76" i="1"/>
  <c r="L76" i="1"/>
  <c r="M76" i="1"/>
  <c r="K77" i="1"/>
  <c r="L77" i="1"/>
  <c r="M77" i="1"/>
  <c r="K78" i="1"/>
  <c r="L78" i="1"/>
  <c r="M78" i="1"/>
  <c r="L75" i="1"/>
  <c r="K75" i="1"/>
  <c r="N78" i="1"/>
  <c r="N77" i="1"/>
  <c r="M75" i="1"/>
  <c r="N74" i="1"/>
  <c r="K74" i="1"/>
  <c r="K73" i="1"/>
  <c r="N73" i="1"/>
  <c r="M72" i="1"/>
  <c r="M73" i="1"/>
  <c r="M74" i="1"/>
  <c r="M71" i="1"/>
  <c r="N72" i="1"/>
  <c r="N71" i="1"/>
  <c r="N22" i="1"/>
  <c r="N21" i="1"/>
  <c r="N20" i="1"/>
  <c r="N19" i="1"/>
  <c r="M20" i="1"/>
  <c r="M21" i="1"/>
  <c r="M22" i="1"/>
  <c r="M19" i="1"/>
  <c r="K21" i="1"/>
  <c r="K20" i="1"/>
  <c r="K19" i="1"/>
  <c r="K22" i="1"/>
  <c r="L55" i="1"/>
  <c r="N55" i="1"/>
  <c r="K47" i="1"/>
  <c r="Q31" i="1"/>
  <c r="O77" i="1" l="1"/>
  <c r="Y77" i="1" s="1"/>
  <c r="O78" i="1"/>
  <c r="O76" i="1"/>
  <c r="O75" i="1"/>
  <c r="N15" i="1"/>
  <c r="N16" i="1"/>
  <c r="N17" i="1"/>
  <c r="N18" i="1"/>
  <c r="M7" i="1"/>
  <c r="M8" i="1"/>
  <c r="M9" i="1"/>
  <c r="M10" i="1"/>
  <c r="M15" i="1"/>
  <c r="M16" i="1"/>
  <c r="M17" i="1"/>
  <c r="M18" i="1"/>
  <c r="L7" i="1"/>
  <c r="L8" i="1"/>
  <c r="L9" i="1"/>
  <c r="L10" i="1"/>
  <c r="L15" i="1"/>
  <c r="L16" i="1"/>
  <c r="L17" i="1"/>
  <c r="L18" i="1"/>
  <c r="K15" i="1"/>
  <c r="K16" i="1"/>
  <c r="K17" i="1"/>
  <c r="K18" i="1"/>
  <c r="M4" i="1"/>
  <c r="L4" i="1"/>
  <c r="M3" i="1"/>
  <c r="L3" i="1"/>
  <c r="X77" i="1" l="1"/>
  <c r="Y75" i="1"/>
  <c r="X75" i="1"/>
  <c r="Y76" i="1"/>
  <c r="X76" i="1"/>
  <c r="O16" i="1"/>
  <c r="V16" i="1" s="1"/>
  <c r="Y78" i="1"/>
  <c r="X78" i="1"/>
  <c r="O17" i="1"/>
  <c r="O18" i="1"/>
  <c r="O15" i="1"/>
  <c r="B5" i="30" s="1"/>
  <c r="N40" i="1"/>
  <c r="N41" i="1"/>
  <c r="N42" i="1"/>
  <c r="K40" i="1"/>
  <c r="K41" i="1"/>
  <c r="K42" i="1"/>
  <c r="N7" i="1"/>
  <c r="K7" i="1"/>
  <c r="N8" i="1"/>
  <c r="K8" i="1"/>
  <c r="N9" i="1"/>
  <c r="K9" i="1"/>
  <c r="N10" i="1"/>
  <c r="K10" i="1"/>
  <c r="K3" i="1"/>
  <c r="N3" i="1"/>
  <c r="K4" i="1"/>
  <c r="N4" i="1"/>
  <c r="K5" i="1"/>
  <c r="N5" i="1"/>
  <c r="K6" i="1"/>
  <c r="N6" i="1"/>
  <c r="W16" i="1" l="1"/>
  <c r="U16" i="1"/>
  <c r="Y16" i="1"/>
  <c r="X16" i="1"/>
  <c r="W18" i="1"/>
  <c r="Y18" i="1"/>
  <c r="X18" i="1"/>
  <c r="Y15" i="1"/>
  <c r="C5" i="30" s="1"/>
  <c r="X15" i="1"/>
  <c r="D5" i="30" s="1"/>
  <c r="U17" i="1"/>
  <c r="Y17" i="1"/>
  <c r="X17" i="1"/>
  <c r="W17" i="1"/>
  <c r="V17" i="1"/>
  <c r="V18" i="1"/>
  <c r="U18" i="1"/>
  <c r="U15" i="1"/>
  <c r="V15" i="1"/>
  <c r="W15" i="1"/>
  <c r="O40" i="1"/>
  <c r="O42" i="1"/>
  <c r="O41" i="1"/>
  <c r="Y40" i="1" l="1"/>
  <c r="X40" i="1"/>
  <c r="Y41" i="1"/>
  <c r="X41" i="1"/>
  <c r="Y42" i="1"/>
  <c r="X42" i="1"/>
  <c r="K83" i="1"/>
  <c r="K84" i="1"/>
  <c r="K85" i="1"/>
  <c r="L86" i="1"/>
  <c r="K86" i="1"/>
  <c r="K62" i="1" l="1"/>
  <c r="K61" i="1"/>
  <c r="K60" i="1"/>
  <c r="K59" i="1"/>
  <c r="K51" i="1"/>
  <c r="K52" i="1"/>
  <c r="K53" i="1"/>
  <c r="K54" i="1"/>
  <c r="L50" i="1"/>
  <c r="L47" i="1"/>
  <c r="L49" i="1"/>
  <c r="N46" i="1" l="1"/>
  <c r="N45" i="1"/>
  <c r="N44" i="1"/>
  <c r="L44" i="1"/>
  <c r="L45" i="1"/>
  <c r="L46" i="1"/>
  <c r="L43" i="1"/>
  <c r="K46" i="1"/>
  <c r="K45" i="1"/>
  <c r="K44" i="1"/>
  <c r="N43" i="1"/>
  <c r="N34" i="1"/>
  <c r="M34" i="1"/>
  <c r="L34" i="1"/>
  <c r="K34" i="1"/>
  <c r="Q34" i="1"/>
  <c r="N33" i="1"/>
  <c r="M33" i="1"/>
  <c r="L33" i="1"/>
  <c r="K33" i="1"/>
  <c r="Q33" i="1"/>
  <c r="N32" i="1"/>
  <c r="M32" i="1"/>
  <c r="L32" i="1"/>
  <c r="K32" i="1"/>
  <c r="Q32" i="1"/>
  <c r="R31" i="1"/>
  <c r="M31" i="1" s="1"/>
  <c r="N31" i="1"/>
  <c r="K31" i="1"/>
  <c r="O44" i="1" l="1"/>
  <c r="K43" i="1"/>
  <c r="O43" i="1" s="1"/>
  <c r="B12" i="30" s="1"/>
  <c r="O45" i="1"/>
  <c r="O46" i="1"/>
  <c r="K25" i="1"/>
  <c r="K26" i="1"/>
  <c r="K24" i="1"/>
  <c r="M25" i="1"/>
  <c r="M26" i="1"/>
  <c r="M24" i="1"/>
  <c r="M23" i="1"/>
  <c r="K23" i="1"/>
  <c r="Y43" i="1" l="1"/>
  <c r="C12" i="30" s="1"/>
  <c r="X43" i="1"/>
  <c r="D12" i="30" s="1"/>
  <c r="Y44" i="1"/>
  <c r="X44" i="1"/>
  <c r="Y46" i="1"/>
  <c r="X46" i="1"/>
  <c r="Y45" i="1"/>
  <c r="X45" i="1"/>
  <c r="L58" i="1"/>
  <c r="L5" i="1" l="1"/>
  <c r="M5" i="1"/>
  <c r="L6" i="1"/>
  <c r="M6" i="1"/>
  <c r="O19" i="1"/>
  <c r="B6" i="30" s="1"/>
  <c r="O22" i="1"/>
  <c r="N24" i="1"/>
  <c r="N23" i="1"/>
  <c r="N25" i="1"/>
  <c r="N26" i="1"/>
  <c r="K48" i="1"/>
  <c r="L48" i="1"/>
  <c r="N48" i="1"/>
  <c r="N47" i="1"/>
  <c r="K49" i="1"/>
  <c r="N49" i="1"/>
  <c r="K50" i="1"/>
  <c r="N50" i="1"/>
  <c r="N52" i="1"/>
  <c r="N51" i="1"/>
  <c r="N53" i="1"/>
  <c r="N54" i="1"/>
  <c r="K56" i="1"/>
  <c r="L56" i="1"/>
  <c r="N56" i="1"/>
  <c r="K55" i="1"/>
  <c r="K57" i="1"/>
  <c r="L57" i="1"/>
  <c r="N57" i="1"/>
  <c r="K58" i="1"/>
  <c r="N58" i="1"/>
  <c r="L60" i="1"/>
  <c r="M60" i="1"/>
  <c r="N60" i="1"/>
  <c r="L59" i="1"/>
  <c r="M59" i="1"/>
  <c r="N59" i="1"/>
  <c r="L61" i="1"/>
  <c r="M61" i="1"/>
  <c r="N61" i="1"/>
  <c r="L62" i="1"/>
  <c r="M62" i="1"/>
  <c r="N62" i="1"/>
  <c r="K64" i="1"/>
  <c r="L64" i="1"/>
  <c r="M64" i="1"/>
  <c r="N64" i="1"/>
  <c r="K63" i="1"/>
  <c r="L63" i="1"/>
  <c r="M63" i="1"/>
  <c r="N63" i="1"/>
  <c r="K65" i="1"/>
  <c r="L65" i="1"/>
  <c r="M65" i="1"/>
  <c r="N65" i="1"/>
  <c r="K66" i="1"/>
  <c r="L66" i="1"/>
  <c r="M66" i="1"/>
  <c r="N66" i="1"/>
  <c r="K68" i="1"/>
  <c r="L68" i="1"/>
  <c r="M68" i="1"/>
  <c r="N68" i="1"/>
  <c r="K67" i="1"/>
  <c r="L67" i="1"/>
  <c r="M67" i="1"/>
  <c r="N67" i="1"/>
  <c r="K69" i="1"/>
  <c r="L69" i="1"/>
  <c r="M69" i="1"/>
  <c r="N69" i="1"/>
  <c r="K72" i="1"/>
  <c r="L72" i="1"/>
  <c r="K71" i="1"/>
  <c r="L71" i="1"/>
  <c r="L73" i="1"/>
  <c r="L74" i="1"/>
  <c r="K80" i="1"/>
  <c r="N80" i="1"/>
  <c r="K79" i="1"/>
  <c r="N79" i="1"/>
  <c r="K81" i="1"/>
  <c r="N81" i="1"/>
  <c r="K82" i="1"/>
  <c r="N82" i="1"/>
  <c r="L84" i="1"/>
  <c r="L83" i="1"/>
  <c r="L85" i="1"/>
  <c r="Y19" i="1" l="1"/>
  <c r="C6" i="30" s="1"/>
  <c r="X19" i="1"/>
  <c r="D6" i="30" s="1"/>
  <c r="Y22" i="1"/>
  <c r="X22" i="1"/>
  <c r="O10" i="1"/>
  <c r="O9" i="1"/>
  <c r="O7" i="1"/>
  <c r="B3" i="30" s="1"/>
  <c r="O8" i="1"/>
  <c r="O5" i="1"/>
  <c r="V45" i="1"/>
  <c r="V44" i="1"/>
  <c r="V41" i="1"/>
  <c r="O34" i="1"/>
  <c r="O33" i="1"/>
  <c r="O31" i="1"/>
  <c r="B9" i="30" s="1"/>
  <c r="O32" i="1"/>
  <c r="O26" i="1"/>
  <c r="O23" i="1"/>
  <c r="B7" i="30" s="1"/>
  <c r="O62" i="1"/>
  <c r="O59" i="1"/>
  <c r="B16" i="30" s="1"/>
  <c r="O4" i="1"/>
  <c r="O56" i="1"/>
  <c r="O57" i="1"/>
  <c r="O50" i="1"/>
  <c r="O49" i="1"/>
  <c r="O47" i="1"/>
  <c r="B13" i="30" s="1"/>
  <c r="O48" i="1"/>
  <c r="V22" i="1"/>
  <c r="V19" i="1"/>
  <c r="O6" i="1"/>
  <c r="Y6" i="1" s="1"/>
  <c r="O86" i="1"/>
  <c r="O85" i="1"/>
  <c r="O83" i="1"/>
  <c r="O84" i="1"/>
  <c r="O82" i="1"/>
  <c r="O81" i="1"/>
  <c r="O79" i="1"/>
  <c r="O80" i="1"/>
  <c r="O74" i="1"/>
  <c r="O73" i="1"/>
  <c r="O71" i="1"/>
  <c r="O72" i="1"/>
  <c r="O69" i="1"/>
  <c r="O67" i="1"/>
  <c r="O68" i="1"/>
  <c r="O66" i="1"/>
  <c r="O65" i="1"/>
  <c r="O63" i="1"/>
  <c r="B17" i="30" s="1"/>
  <c r="O64" i="1"/>
  <c r="O61" i="1"/>
  <c r="O60" i="1"/>
  <c r="O58" i="1"/>
  <c r="O55" i="1"/>
  <c r="B15" i="30" s="1"/>
  <c r="W45" i="1"/>
  <c r="W44" i="1"/>
  <c r="W41" i="1"/>
  <c r="W40" i="1"/>
  <c r="O25" i="1"/>
  <c r="O24" i="1"/>
  <c r="O21" i="1"/>
  <c r="O20" i="1"/>
  <c r="O3" i="1"/>
  <c r="V46" i="1"/>
  <c r="W46" i="1"/>
  <c r="V43" i="1"/>
  <c r="W43" i="1"/>
  <c r="V42" i="1"/>
  <c r="W42" i="1"/>
  <c r="W22" i="1"/>
  <c r="W19" i="1"/>
  <c r="Y3" i="1" l="1"/>
  <c r="C2" i="30" s="1"/>
  <c r="B2" i="30"/>
  <c r="Y47" i="1"/>
  <c r="C13" i="30" s="1"/>
  <c r="X47" i="1"/>
  <c r="D13" i="30" s="1"/>
  <c r="V63" i="1"/>
  <c r="Y63" i="1"/>
  <c r="C17" i="30" s="1"/>
  <c r="X63" i="1"/>
  <c r="D17" i="30" s="1"/>
  <c r="W71" i="1"/>
  <c r="Y71" i="1"/>
  <c r="X71" i="1"/>
  <c r="Y83" i="1"/>
  <c r="X83" i="1"/>
  <c r="Y49" i="1"/>
  <c r="X49" i="1"/>
  <c r="V26" i="1"/>
  <c r="Y26" i="1"/>
  <c r="X26" i="1"/>
  <c r="X5" i="1"/>
  <c r="Y5" i="1"/>
  <c r="W65" i="1"/>
  <c r="Y65" i="1"/>
  <c r="X65" i="1"/>
  <c r="V73" i="1"/>
  <c r="Y73" i="1"/>
  <c r="X73" i="1"/>
  <c r="V85" i="1"/>
  <c r="Y85" i="1"/>
  <c r="X85" i="1"/>
  <c r="Y50" i="1"/>
  <c r="X50" i="1"/>
  <c r="Y32" i="1"/>
  <c r="X32" i="1"/>
  <c r="X8" i="1"/>
  <c r="Y8" i="1"/>
  <c r="W72" i="1"/>
  <c r="Y72" i="1"/>
  <c r="X72" i="1"/>
  <c r="V66" i="1"/>
  <c r="Y66" i="1"/>
  <c r="X66" i="1"/>
  <c r="U57" i="1"/>
  <c r="Y57" i="1"/>
  <c r="X57" i="1"/>
  <c r="Y58" i="1"/>
  <c r="X58" i="1"/>
  <c r="V34" i="1"/>
  <c r="Y34" i="1"/>
  <c r="X34" i="1"/>
  <c r="X10" i="1"/>
  <c r="Y10" i="1"/>
  <c r="V64" i="1"/>
  <c r="Y64" i="1"/>
  <c r="X64" i="1"/>
  <c r="V23" i="1"/>
  <c r="Y23" i="1"/>
  <c r="C7" i="30" s="1"/>
  <c r="X23" i="1"/>
  <c r="D7" i="30" s="1"/>
  <c r="W74" i="1"/>
  <c r="Y74" i="1"/>
  <c r="X74" i="1"/>
  <c r="V31" i="1"/>
  <c r="Y31" i="1"/>
  <c r="C9" i="30" s="1"/>
  <c r="X31" i="1"/>
  <c r="D9" i="30" s="1"/>
  <c r="W20" i="1"/>
  <c r="Y20" i="1"/>
  <c r="X20" i="1"/>
  <c r="U68" i="1"/>
  <c r="Y68" i="1"/>
  <c r="X68" i="1"/>
  <c r="V56" i="1"/>
  <c r="Y56" i="1"/>
  <c r="X56" i="1"/>
  <c r="U56" i="1"/>
  <c r="X9" i="1"/>
  <c r="Y9" i="1"/>
  <c r="V21" i="1"/>
  <c r="Y21" i="1"/>
  <c r="X21" i="1"/>
  <c r="V79" i="1"/>
  <c r="Y79" i="1"/>
  <c r="X79" i="1"/>
  <c r="V81" i="1"/>
  <c r="Y81" i="1"/>
  <c r="X81" i="1"/>
  <c r="V84" i="1"/>
  <c r="Y84" i="1"/>
  <c r="X84" i="1"/>
  <c r="Y86" i="1"/>
  <c r="X86" i="1"/>
  <c r="X7" i="1"/>
  <c r="D3" i="30" s="1"/>
  <c r="Y7" i="1"/>
  <c r="C3" i="30" s="1"/>
  <c r="Y55" i="1"/>
  <c r="C15" i="30" s="1"/>
  <c r="X55" i="1"/>
  <c r="D15" i="30" s="1"/>
  <c r="V80" i="1"/>
  <c r="Y80" i="1"/>
  <c r="X80" i="1"/>
  <c r="V33" i="1"/>
  <c r="Y33" i="1"/>
  <c r="X33" i="1"/>
  <c r="V67" i="1"/>
  <c r="Y67" i="1"/>
  <c r="U67" i="1"/>
  <c r="X67" i="1"/>
  <c r="X4" i="1"/>
  <c r="Y4" i="1"/>
  <c r="V24" i="1"/>
  <c r="Y24" i="1"/>
  <c r="X24" i="1"/>
  <c r="Y60" i="1"/>
  <c r="X60" i="1"/>
  <c r="Y69" i="1"/>
  <c r="X69" i="1"/>
  <c r="Y59" i="1"/>
  <c r="C16" i="30" s="1"/>
  <c r="X59" i="1"/>
  <c r="D16" i="30" s="1"/>
  <c r="Y25" i="1"/>
  <c r="X25" i="1"/>
  <c r="Y61" i="1"/>
  <c r="X61" i="1"/>
  <c r="V82" i="1"/>
  <c r="Y82" i="1"/>
  <c r="X82" i="1"/>
  <c r="Y48" i="1"/>
  <c r="X48" i="1"/>
  <c r="Y62" i="1"/>
  <c r="X62" i="1"/>
  <c r="U3" i="1"/>
  <c r="X3" i="1"/>
  <c r="D2" i="30" s="1"/>
  <c r="V6" i="1"/>
  <c r="X6" i="1"/>
  <c r="V69" i="1"/>
  <c r="U69" i="1"/>
  <c r="V58" i="1"/>
  <c r="U58" i="1"/>
  <c r="V55" i="1"/>
  <c r="U55" i="1"/>
  <c r="V9" i="1"/>
  <c r="U9" i="1"/>
  <c r="V8" i="1"/>
  <c r="U8" i="1"/>
  <c r="V10" i="1"/>
  <c r="U10" i="1"/>
  <c r="V7" i="1"/>
  <c r="U7" i="1"/>
  <c r="V50" i="1"/>
  <c r="W55" i="1"/>
  <c r="W62" i="1"/>
  <c r="V60" i="1"/>
  <c r="V48" i="1"/>
  <c r="V62" i="1"/>
  <c r="W25" i="1"/>
  <c r="V68" i="1"/>
  <c r="W63" i="1"/>
  <c r="V71" i="1"/>
  <c r="W10" i="1"/>
  <c r="W81" i="1"/>
  <c r="W69" i="1"/>
  <c r="W57" i="1"/>
  <c r="V3" i="1"/>
  <c r="W3" i="1"/>
  <c r="W82" i="1"/>
  <c r="V49" i="1"/>
  <c r="W21" i="1"/>
  <c r="V25" i="1"/>
  <c r="W66" i="1"/>
  <c r="V74" i="1"/>
  <c r="W80" i="1"/>
  <c r="U6" i="1"/>
  <c r="W86" i="1"/>
  <c r="W58" i="1"/>
  <c r="W6" i="1"/>
  <c r="W68" i="1"/>
  <c r="W33" i="1"/>
  <c r="W24" i="1"/>
  <c r="W83" i="1"/>
  <c r="V83" i="1"/>
  <c r="V72" i="1"/>
  <c r="W84" i="1"/>
  <c r="W23" i="1"/>
  <c r="V20" i="1"/>
  <c r="V65" i="1"/>
  <c r="W64" i="1"/>
  <c r="W73" i="1"/>
  <c r="W26" i="1"/>
  <c r="W8" i="1"/>
  <c r="V47" i="1"/>
  <c r="W7" i="1"/>
  <c r="W79" i="1"/>
  <c r="W4" i="1"/>
  <c r="W56" i="1"/>
  <c r="V32" i="1"/>
  <c r="W61" i="1"/>
  <c r="V61" i="1"/>
  <c r="W67" i="1"/>
  <c r="U5" i="1"/>
  <c r="W9" i="1"/>
  <c r="W59" i="1"/>
  <c r="V4" i="1"/>
  <c r="V5" i="1"/>
  <c r="W85" i="1"/>
  <c r="V86" i="1"/>
  <c r="W60" i="1"/>
  <c r="V40" i="1"/>
  <c r="W32" i="1"/>
  <c r="U4" i="1"/>
  <c r="W31" i="1"/>
  <c r="W34" i="1"/>
  <c r="V59" i="1"/>
  <c r="W5" i="1"/>
  <c r="W48" i="1"/>
  <c r="W47" i="1"/>
  <c r="W49" i="1"/>
  <c r="W50" i="1"/>
  <c r="V57" i="1"/>
  <c r="O246" i="1"/>
  <c r="O248" i="1"/>
  <c r="O245" i="1"/>
  <c r="O247" i="1"/>
</calcChain>
</file>

<file path=xl/sharedStrings.xml><?xml version="1.0" encoding="utf-8"?>
<sst xmlns="http://schemas.openxmlformats.org/spreadsheetml/2006/main" count="1757" uniqueCount="182">
  <si>
    <t>sal.base</t>
  </si>
  <si>
    <t>pl.sal</t>
  </si>
  <si>
    <t>pl.extr</t>
  </si>
  <si>
    <t>extras y vacac,</t>
  </si>
  <si>
    <t>año</t>
  </si>
  <si>
    <t>ÁLAVA</t>
  </si>
  <si>
    <t>Oficial de 1ª</t>
  </si>
  <si>
    <t>Especialista</t>
  </si>
  <si>
    <t>Oficial administrativo 1º</t>
  </si>
  <si>
    <t>Licenciado</t>
  </si>
  <si>
    <t>ALBACETE</t>
  </si>
  <si>
    <t>ALICANTE</t>
  </si>
  <si>
    <t>ALMERÍA</t>
  </si>
  <si>
    <t>ASTURIAS</t>
  </si>
  <si>
    <t>AVILA</t>
  </si>
  <si>
    <t>BADAJOZ</t>
  </si>
  <si>
    <t>BALEARES</t>
  </si>
  <si>
    <t>BARCELONA</t>
  </si>
  <si>
    <t>n.t</t>
  </si>
  <si>
    <t>BURGOS</t>
  </si>
  <si>
    <t>CÁCERES</t>
  </si>
  <si>
    <t>CÁDIZ</t>
  </si>
  <si>
    <t>CANTABRIA</t>
  </si>
  <si>
    <t>CASTELLÓN</t>
  </si>
  <si>
    <t>CIUDAD REAL</t>
  </si>
  <si>
    <t>CÓRDOBA</t>
  </si>
  <si>
    <t>CUENCA</t>
  </si>
  <si>
    <t>GIRONA</t>
  </si>
  <si>
    <t>GRANADA</t>
  </si>
  <si>
    <t>GUADALAJARA</t>
  </si>
  <si>
    <t>GUIPUZCOA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</si>
  <si>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</si>
  <si>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</si>
  <si>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</si>
  <si>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</si>
  <si>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</si>
  <si>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</si>
  <si>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</si>
  <si>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</si>
  <si>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MURCIA</t>
  </si>
  <si>
    <t>NAVARRA</t>
  </si>
  <si>
    <t>OURENSE</t>
  </si>
  <si>
    <t>PALENCIA</t>
  </si>
  <si>
    <t>PONTEVEDRA</t>
  </si>
  <si>
    <t>SALAMANCA</t>
  </si>
  <si>
    <t>SEGOVIA</t>
  </si>
  <si>
    <t>SEVILLA</t>
  </si>
  <si>
    <t>SORIA</t>
  </si>
  <si>
    <t>TARRAGONA</t>
  </si>
  <si>
    <t>TERUEL</t>
  </si>
  <si>
    <t>TENERIFE</t>
  </si>
  <si>
    <t>TOLEDO</t>
  </si>
  <si>
    <t>VALENCIA</t>
  </si>
  <si>
    <t>VALLADOLID</t>
  </si>
  <si>
    <t>VIZCAYA</t>
  </si>
  <si>
    <t>ZAMORA</t>
  </si>
  <si>
    <t>ZARAGOZA</t>
  </si>
  <si>
    <t>CORUÑA (A)</t>
  </si>
  <si>
    <t>RIOJA (LA)</t>
  </si>
  <si>
    <t>PALMAS (LAS)</t>
  </si>
  <si>
    <t>MEDIA</t>
  </si>
  <si>
    <t>% Pl. extras/total</t>
  </si>
  <si>
    <t>% salario/total</t>
  </si>
  <si>
    <t>Plus salarial</t>
  </si>
  <si>
    <t>Salario Anual €</t>
  </si>
  <si>
    <t>Provincia</t>
  </si>
  <si>
    <t>Pagas extra</t>
  </si>
  <si>
    <t>Plus extra</t>
  </si>
  <si>
    <t xml:space="preserve"> </t>
  </si>
  <si>
    <t>* NOTAS</t>
  </si>
  <si>
    <t>En Jaén el Oficial 1ª admvo hemos cogido Oficial de 1ª. Viajante</t>
  </si>
  <si>
    <t>Código convenio</t>
  </si>
  <si>
    <t>Nombre convenio</t>
  </si>
  <si>
    <t>INDUSTRIA SIDEROMETALÚRGICA</t>
  </si>
  <si>
    <t>INDUSTRIAS Y SERVICIOS DEL METAL</t>
  </si>
  <si>
    <t xml:space="preserve">ALBACETE </t>
  </si>
  <si>
    <t>CUHILLERÍA Y AFINES</t>
  </si>
  <si>
    <t xml:space="preserve">INDUSTRIA, LOS SERVICIOS Y LAS TECNOLOGÍAS DEL SECTOR METAL </t>
  </si>
  <si>
    <t>SECTOR MONTAJES Y EMPRESAS AUXILIARES DEL METAL</t>
  </si>
  <si>
    <t>SECTOR METAL</t>
  </si>
  <si>
    <t>PEQUEÑA Y MEDIANA EMPRESA DEL METAL</t>
  </si>
  <si>
    <t>CEUTA</t>
  </si>
  <si>
    <t>SECTOR DEL METAL</t>
  </si>
  <si>
    <t>SECTOR SIDEROMETALURGIA</t>
  </si>
  <si>
    <t>INDUSTRIAS DEL METAL</t>
  </si>
  <si>
    <t>SECTOR DE METAL</t>
  </si>
  <si>
    <t>SECTOR DE MONTAJES</t>
  </si>
  <si>
    <t>AUTOMOCIÓN</t>
  </si>
  <si>
    <t>INDUSTRIA, LA TECNOLOGIA Y LOS SERVICIOS DEL SECTOR DE METAL</t>
  </si>
  <si>
    <t xml:space="preserve">LUGO </t>
  </si>
  <si>
    <t>SECTOR DE INDUSTRIA, SERVICIOS E INSTALACIONES DEL METAL</t>
  </si>
  <si>
    <t>MELILLA</t>
  </si>
  <si>
    <t>SECTOR INDUSTRIAS SIDEROMETALURGICAS</t>
  </si>
  <si>
    <t>TALLERES DE REPARACION DE VEHICULOS</t>
  </si>
  <si>
    <t xml:space="preserve">OURENSE </t>
  </si>
  <si>
    <t>INDUSTRIA SIDEROMETALURGICA Y TALLERES REPARACION VEHICULOS</t>
  </si>
  <si>
    <t>INDUSTRIAS SIDEROMETALÚRGICAS</t>
  </si>
  <si>
    <t>ACTIVIDAD SIDEROMETALÚRGICA</t>
  </si>
  <si>
    <t>INDUSTRIAS DEL METAL SIN CONVENIO PROPIO (SIDEROMETALURGICAS)</t>
  </si>
  <si>
    <t>TALLERES DE REPARACION, MANTENIMIENTO E I.T.V.</t>
  </si>
  <si>
    <t>ACTIVIDADES DE SIDEROMETALURGIA</t>
  </si>
  <si>
    <t xml:space="preserve">SIDEROMETALURGIA E INSTALACIONES ELECTRICAS </t>
  </si>
  <si>
    <t xml:space="preserve">TERUEL </t>
  </si>
  <si>
    <t>LA INDUSTRIA, LA TECNOLOGÍA Y LOS SERVICIOS DEL SECTOR DEL METAL</t>
  </si>
  <si>
    <t>SECTOR DE LA INDUSTRIA, LA TECNOLOGIA Y LOS SERVICIOS DEL SECTOR  METAL</t>
  </si>
  <si>
    <t>INDUSTRIA DEL METAL</t>
  </si>
  <si>
    <t>SECTOR DE LA INDUSTRIA, LA TECNOLOGIA Y LOS SERVICIOS DEL SECTOR DEL METAL </t>
  </si>
  <si>
    <t>Vigencia</t>
  </si>
  <si>
    <t>2022- 2025</t>
  </si>
  <si>
    <t>Jornada 2022</t>
  </si>
  <si>
    <t>Jornada 2023</t>
  </si>
  <si>
    <t>Jornada 2024</t>
  </si>
  <si>
    <t>Jornada 2025</t>
  </si>
  <si>
    <t>Categorías</t>
  </si>
  <si>
    <t>Salario Base 2023</t>
  </si>
  <si>
    <t>Grupos Profesionales</t>
  </si>
  <si>
    <t>2023- 2025</t>
  </si>
  <si>
    <t>2023-2025</t>
  </si>
  <si>
    <t>SALARIOS 2023</t>
  </si>
  <si>
    <t>2022-2024</t>
  </si>
  <si>
    <t>2021-2024</t>
  </si>
  <si>
    <t>2023-2026</t>
  </si>
  <si>
    <t xml:space="preserve">diferencia tablas  </t>
  </si>
  <si>
    <t>2022-2025</t>
  </si>
  <si>
    <t>2021-2023</t>
  </si>
  <si>
    <t>revisar tablas</t>
  </si>
  <si>
    <t>SMI 2023</t>
  </si>
  <si>
    <t>Desconocida</t>
  </si>
  <si>
    <t>2022-2026</t>
  </si>
  <si>
    <t>2020-2022</t>
  </si>
  <si>
    <t>2020-2024</t>
  </si>
  <si>
    <t>2020-2023</t>
  </si>
  <si>
    <t>FALTA</t>
  </si>
  <si>
    <t xml:space="preserve">no existe tabla mensual </t>
  </si>
  <si>
    <t>plus tte por 225 dias</t>
  </si>
  <si>
    <t>Al plus cantidad se añade plus carencia incentivos 1,48*265</t>
  </si>
  <si>
    <t>Al plus cantidad se añade plus carencia incentivos 1,48*266</t>
  </si>
  <si>
    <t>Al plus cantidad se añade plus carencia incentivos 1,48*267</t>
  </si>
  <si>
    <t>Al plus cantidad se añade plus carencia incentivos 1,48*268</t>
  </si>
  <si>
    <t xml:space="preserve">diferencias calculo con salario anual convenio </t>
  </si>
  <si>
    <t xml:space="preserve">revisar si esta bien calculado </t>
  </si>
  <si>
    <t xml:space="preserve">Jefe de ventas </t>
  </si>
  <si>
    <t xml:space="preserve">Jefe de ventas: NO EXISTE LICENCIADO </t>
  </si>
  <si>
    <t xml:space="preserve">clausula de aplicación semestral. El salario 2023 aparece totalizado </t>
  </si>
  <si>
    <t>nota: los complementos salariales son: Plus Convenio (cantidad diaria igual para todos), prima de asistencia (cantidad diaria por 299 dias) y plus carencia incentivos (cantidad variable s/categoria * jornada anual)</t>
  </si>
  <si>
    <t>2015-2024</t>
  </si>
  <si>
    <t xml:space="preserve">revisar calculo de pluses salariales, concretamente plus ex categoria y plus asistencia </t>
  </si>
  <si>
    <t>2023-2024</t>
  </si>
  <si>
    <t>Salario año+plus compensacion año + plus asistencia mes *12</t>
  </si>
  <si>
    <t>2019-2024</t>
  </si>
  <si>
    <t>2022-2023</t>
  </si>
  <si>
    <t>2011-2024</t>
  </si>
  <si>
    <t>ACTUALIZAR A 57 CONVENIOS</t>
  </si>
  <si>
    <t>precio/hora</t>
  </si>
  <si>
    <t>TALLERES DE REPARACIÓN DE VEHÍCULOS</t>
  </si>
  <si>
    <t>TALLERES DE REPARACIÓN DEL AUTOMÓVIL</t>
  </si>
  <si>
    <t>2020-2025</t>
  </si>
  <si>
    <t>2020-2026</t>
  </si>
  <si>
    <t>2021-2025</t>
  </si>
  <si>
    <t>2021-2026</t>
  </si>
  <si>
    <t>trabjadores</t>
  </si>
  <si>
    <t>hombres</t>
  </si>
  <si>
    <t>mujeres</t>
  </si>
  <si>
    <t>ALBACETE METAL</t>
  </si>
  <si>
    <t>ALBACETE TALLERES</t>
  </si>
  <si>
    <t>ALBACETE  CUCHILLERÍAS</t>
  </si>
  <si>
    <t>ASTURIAS METAL</t>
  </si>
  <si>
    <t>ASTURIAS MONTAJES</t>
  </si>
  <si>
    <t>ASTURIAS TALLERES</t>
  </si>
  <si>
    <t>HUELVA MONTAJES</t>
  </si>
  <si>
    <t>HUELVA AUTOMOCIÓN</t>
  </si>
  <si>
    <t>MÁLAGA METAL</t>
  </si>
  <si>
    <t>MÁLAGA AUTOMOCIÓN</t>
  </si>
  <si>
    <t>NAVARRA METAL</t>
  </si>
  <si>
    <t>NAVARRA TALLERES</t>
  </si>
  <si>
    <t>RIOJA (LA) METAL</t>
  </si>
  <si>
    <t>RIOJA (LA) TALLERES</t>
  </si>
  <si>
    <t>SALARIO ANUAL</t>
  </si>
  <si>
    <t>PRECIO/HORA</t>
  </si>
  <si>
    <t>Categoría</t>
  </si>
  <si>
    <t>Precio/h</t>
  </si>
  <si>
    <t>NONONONOON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</si>
</sst>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8"/>
      <color rgb="FF28282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10"/>
      <color rgb="FF00B050"/>
      <name val="Arial"/>
      <family val="2"/>
    </font>
    <font>
      <sz val="8"/>
      <color rgb="FF00206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</font>
    <font>
      <b/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2" fontId="0" fillId="2" borderId="0" xfId="0" applyNumberFormat="1" applyFill="1"/>
    <xf numFmtId="4" fontId="2" fillId="2" borderId="0" xfId="0" applyNumberFormat="1" applyFont="1" applyFill="1"/>
    <xf numFmtId="0" fontId="7" fillId="0" borderId="0" xfId="0" applyFont="1" applyAlignment="1">
      <alignment wrapText="1"/>
    </xf>
    <xf numFmtId="0" fontId="5" fillId="0" borderId="0" xfId="0" applyFont="1"/>
    <xf numFmtId="0" fontId="5" fillId="2" borderId="0" xfId="0" applyFont="1" applyFill="1"/>
    <xf numFmtId="4" fontId="7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4" fontId="9" fillId="0" borderId="0" xfId="0" applyNumberFormat="1" applyFont="1" applyAlignment="1">
      <alignment wrapText="1"/>
    </xf>
    <xf numFmtId="0" fontId="7" fillId="0" borderId="0" xfId="0" applyFont="1"/>
    <xf numFmtId="0" fontId="8" fillId="0" borderId="0" xfId="0" applyFont="1"/>
    <xf numFmtId="4" fontId="7" fillId="0" borderId="1" xfId="0" applyNumberFormat="1" applyFont="1" applyBorder="1"/>
    <xf numFmtId="1" fontId="3" fillId="0" borderId="0" xfId="0" applyNumberFormat="1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4" fontId="5" fillId="0" borderId="0" xfId="0" applyNumberFormat="1" applyFont="1"/>
    <xf numFmtId="2" fontId="5" fillId="0" borderId="0" xfId="0" applyNumberFormat="1" applyFont="1"/>
    <xf numFmtId="1" fontId="6" fillId="0" borderId="0" xfId="0" applyNumberFormat="1" applyFont="1" applyAlignment="1">
      <alignment horizontal="right" vertical="top" wrapText="1"/>
    </xf>
    <xf numFmtId="2" fontId="4" fillId="0" borderId="0" xfId="0" applyNumberFormat="1" applyFont="1" applyAlignment="1">
      <alignment horizontal="left" vertical="top" wrapText="1"/>
    </xf>
    <xf numFmtId="1" fontId="5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vertical="top" wrapText="1"/>
    </xf>
    <xf numFmtId="1" fontId="6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1" fillId="2" borderId="0" xfId="0" applyFont="1" applyFill="1"/>
    <xf numFmtId="4" fontId="11" fillId="0" borderId="0" xfId="0" applyNumberFormat="1" applyFont="1"/>
    <xf numFmtId="0" fontId="11" fillId="0" borderId="0" xfId="0" applyFont="1"/>
    <xf numFmtId="1" fontId="11" fillId="0" borderId="0" xfId="0" applyNumberFormat="1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/>
    <xf numFmtId="2" fontId="11" fillId="0" borderId="0" xfId="0" applyNumberFormat="1" applyFont="1"/>
    <xf numFmtId="4" fontId="11" fillId="2" borderId="0" xfId="0" applyNumberFormat="1" applyFont="1" applyFill="1"/>
    <xf numFmtId="4" fontId="11" fillId="0" borderId="0" xfId="0" applyNumberFormat="1" applyFont="1" applyAlignment="1">
      <alignment horizontal="center"/>
    </xf>
    <xf numFmtId="0" fontId="13" fillId="0" borderId="0" xfId="0" applyFont="1"/>
    <xf numFmtId="1" fontId="11" fillId="0" borderId="0" xfId="0" applyNumberFormat="1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9" fillId="3" borderId="0" xfId="0" applyFont="1" applyFill="1" applyAlignment="1">
      <alignment wrapText="1"/>
    </xf>
    <xf numFmtId="0" fontId="8" fillId="0" borderId="0" xfId="0" applyFont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6" fillId="0" borderId="0" xfId="0" applyFont="1"/>
    <xf numFmtId="0" fontId="16" fillId="2" borderId="0" xfId="0" applyFont="1" applyFill="1"/>
    <xf numFmtId="0" fontId="8" fillId="2" borderId="0" xfId="0" applyFont="1" applyFill="1"/>
    <xf numFmtId="4" fontId="5" fillId="2" borderId="0" xfId="0" applyNumberFormat="1" applyFont="1" applyFill="1"/>
    <xf numFmtId="4" fontId="10" fillId="0" borderId="0" xfId="0" applyNumberFormat="1" applyFont="1"/>
    <xf numFmtId="2" fontId="10" fillId="0" borderId="0" xfId="0" applyNumberFormat="1" applyFont="1"/>
    <xf numFmtId="4" fontId="10" fillId="2" borderId="0" xfId="0" applyNumberFormat="1" applyFont="1" applyFill="1"/>
    <xf numFmtId="0" fontId="5" fillId="0" borderId="0" xfId="0" applyFont="1" applyAlignment="1">
      <alignment wrapText="1"/>
    </xf>
    <xf numFmtId="1" fontId="10" fillId="0" borderId="0" xfId="0" applyNumberFormat="1" applyFont="1" applyAlignment="1">
      <alignment vertical="top" wrapText="1"/>
    </xf>
    <xf numFmtId="4" fontId="17" fillId="2" borderId="0" xfId="0" applyNumberFormat="1" applyFont="1" applyFill="1"/>
    <xf numFmtId="4" fontId="18" fillId="2" borderId="0" xfId="0" applyNumberFormat="1" applyFont="1" applyFill="1"/>
    <xf numFmtId="0" fontId="2" fillId="2" borderId="0" xfId="0" applyFont="1" applyFill="1" applyAlignment="1">
      <alignment wrapText="1"/>
    </xf>
    <xf numFmtId="3" fontId="17" fillId="0" borderId="2" xfId="0" applyNumberFormat="1" applyFont="1" applyBorder="1" applyAlignment="1">
      <alignment horizontal="right" vertical="top"/>
    </xf>
    <xf numFmtId="3" fontId="17" fillId="0" borderId="2" xfId="0" applyNumberFormat="1" applyFont="1" applyBorder="1" applyAlignment="1">
      <alignment horizontal="center" vertical="top"/>
    </xf>
    <xf numFmtId="3" fontId="5" fillId="0" borderId="2" xfId="0" applyNumberFormat="1" applyFont="1" applyBorder="1" applyAlignment="1">
      <alignment horizontal="right" vertical="top"/>
    </xf>
    <xf numFmtId="3" fontId="5" fillId="0" borderId="2" xfId="0" applyNumberFormat="1" applyFont="1" applyBorder="1" applyAlignment="1">
      <alignment horizontal="center" vertical="top"/>
    </xf>
    <xf numFmtId="3" fontId="5" fillId="0" borderId="0" xfId="0" applyNumberFormat="1" applyFont="1"/>
    <xf numFmtId="0" fontId="19" fillId="0" borderId="0" xfId="0" applyFont="1"/>
    <xf numFmtId="4" fontId="17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B252"/>
  <sheetViews>
    <sheetView workbookViewId="0">
      <pane ySplit="2" topLeftCell="A27" activePane="bottomLeft" state="frozen"/>
      <selection pane="bottomLeft" activeCell="AD35" sqref="AD35"/>
    </sheetView>
  </sheetViews>
  <sheetFormatPr baseColWidth="10" defaultRowHeight="12.75" x14ac:dyDescent="0.2"/>
  <cols>
    <col min="1" max="1" width="14.7109375" style="8" hidden="1" customWidth="1"/>
    <col min="2" max="2" width="22.42578125" style="8" customWidth="1"/>
    <col min="3" max="3" width="19.28515625" customWidth="1"/>
    <col min="4" max="8" width="19.28515625" hidden="1" customWidth="1"/>
    <col min="9" max="9" width="19.28515625" customWidth="1"/>
    <col min="10" max="10" width="24.5703125" bestFit="1" customWidth="1"/>
    <col min="11" max="11" width="11.42578125" style="1" hidden="1" customWidth="1"/>
    <col min="12" max="12" width="9.140625" style="1" hidden="1" customWidth="1"/>
    <col min="13" max="13" width="11.42578125" style="1" hidden="1" customWidth="1"/>
    <col min="14" max="14" width="10" style="1" hidden="1" customWidth="1"/>
    <col min="15" max="15" width="12.85546875" style="1" customWidth="1"/>
    <col min="16" max="17" width="10.28515625" style="1" hidden="1" customWidth="1"/>
    <col min="18" max="18" width="10.7109375" style="1" hidden="1" customWidth="1"/>
    <col min="19" max="19" width="17.5703125" style="1" hidden="1" customWidth="1"/>
    <col min="20" max="20" width="12" style="1" hidden="1" customWidth="1"/>
    <col min="21" max="21" width="0" style="1" hidden="1" customWidth="1"/>
    <col min="22" max="22" width="16.28515625" hidden="1" customWidth="1"/>
    <col min="23" max="23" width="13.7109375" bestFit="1" customWidth="1"/>
  </cols>
  <sheetData>
    <row r="1" spans="1:28" ht="21" thickBot="1" x14ac:dyDescent="0.35">
      <c r="J1" s="28" t="s">
        <v>118</v>
      </c>
    </row>
    <row r="2" spans="1:28" s="11" customFormat="1" ht="31.5" x14ac:dyDescent="0.25">
      <c r="A2" s="7" t="s">
        <v>71</v>
      </c>
      <c r="B2" s="7" t="s">
        <v>72</v>
      </c>
      <c r="C2" s="7" t="s">
        <v>65</v>
      </c>
      <c r="D2" s="7" t="s">
        <v>107</v>
      </c>
      <c r="E2" s="7" t="s">
        <v>109</v>
      </c>
      <c r="F2" s="7" t="s">
        <v>110</v>
      </c>
      <c r="G2" s="7" t="s">
        <v>111</v>
      </c>
      <c r="H2" s="7" t="s">
        <v>112</v>
      </c>
      <c r="I2" s="7" t="s">
        <v>115</v>
      </c>
      <c r="J2" s="7" t="s">
        <v>113</v>
      </c>
      <c r="K2" s="10" t="s">
        <v>114</v>
      </c>
      <c r="L2" s="10" t="s">
        <v>63</v>
      </c>
      <c r="M2" s="10" t="s">
        <v>67</v>
      </c>
      <c r="N2" s="10" t="s">
        <v>66</v>
      </c>
      <c r="O2" s="10" t="s">
        <v>64</v>
      </c>
      <c r="P2" s="15" t="s">
        <v>0</v>
      </c>
      <c r="Q2" s="15" t="s">
        <v>1</v>
      </c>
      <c r="R2" s="15" t="s">
        <v>2</v>
      </c>
      <c r="S2" s="15" t="s">
        <v>3</v>
      </c>
      <c r="T2" s="15" t="s">
        <v>4</v>
      </c>
      <c r="U2" s="12" t="s">
        <v>122</v>
      </c>
      <c r="V2" s="13" t="s">
        <v>61</v>
      </c>
      <c r="W2" s="13" t="s">
        <v>62</v>
      </c>
      <c r="X2" s="40" t="s">
        <v>126</v>
      </c>
      <c r="Y2" s="11" t="s">
        <v>153</v>
      </c>
      <c r="Z2" s="11" t="s">
        <v>160</v>
      </c>
      <c r="AA2" s="11" t="s">
        <v>161</v>
      </c>
      <c r="AB2" s="11" t="s">
        <v>162</v>
      </c>
    </row>
    <row r="3" spans="1:28" s="30" customFormat="1" ht="22.5" x14ac:dyDescent="0.2">
      <c r="A3" s="31">
        <v>1100015162016</v>
      </c>
      <c r="B3" s="32" t="s">
        <v>73</v>
      </c>
      <c r="C3" s="33" t="s">
        <v>5</v>
      </c>
      <c r="D3" s="30" t="s">
        <v>108</v>
      </c>
      <c r="E3" s="30">
        <v>1735</v>
      </c>
      <c r="F3" s="30">
        <v>1731</v>
      </c>
      <c r="G3" s="30">
        <v>1727</v>
      </c>
      <c r="H3" s="30">
        <v>1727</v>
      </c>
      <c r="I3" s="30">
        <v>8</v>
      </c>
      <c r="J3" s="33" t="s">
        <v>7</v>
      </c>
      <c r="K3" s="29">
        <f>+P3*335</f>
        <v>11021.5</v>
      </c>
      <c r="L3" s="29">
        <f>+Q3*1731</f>
        <v>3583.1699999999996</v>
      </c>
      <c r="M3" s="29">
        <f>+R3*1731</f>
        <v>1350.18</v>
      </c>
      <c r="N3" s="29">
        <f>+S3*3</f>
        <v>4173.33</v>
      </c>
      <c r="O3" s="29">
        <f t="shared" ref="O3:O10" si="0">+K3+L3+M3+N3</f>
        <v>20128.18</v>
      </c>
      <c r="P3" s="29">
        <v>32.9</v>
      </c>
      <c r="Q3" s="29">
        <v>2.0699999999999998</v>
      </c>
      <c r="R3" s="29">
        <v>0.78</v>
      </c>
      <c r="S3" s="29">
        <v>1391.11</v>
      </c>
      <c r="T3" s="29">
        <v>19963.68</v>
      </c>
      <c r="U3" s="29">
        <f>+T3-O3</f>
        <v>-164.5</v>
      </c>
      <c r="V3" s="34">
        <f>+M3/O3*100</f>
        <v>6.7079090111475557</v>
      </c>
      <c r="W3" s="34">
        <f>(K3+L3+N3)/O3*100</f>
        <v>93.292090988852436</v>
      </c>
      <c r="X3" s="29">
        <f>O3-15120</f>
        <v>5008.18</v>
      </c>
      <c r="Y3" s="34">
        <f>O3/F3</f>
        <v>11.628064702484114</v>
      </c>
      <c r="Z3" s="62">
        <v>26850</v>
      </c>
      <c r="AA3" s="62">
        <v>22820</v>
      </c>
      <c r="AB3" s="63">
        <v>4030</v>
      </c>
    </row>
    <row r="4" spans="1:28" s="30" customFormat="1" ht="22.5" x14ac:dyDescent="0.2">
      <c r="A4" s="31">
        <v>1100015162016</v>
      </c>
      <c r="B4" s="32" t="s">
        <v>73</v>
      </c>
      <c r="C4" s="33" t="s">
        <v>5</v>
      </c>
      <c r="D4" s="30" t="s">
        <v>108</v>
      </c>
      <c r="E4" s="30">
        <v>1735</v>
      </c>
      <c r="F4" s="30">
        <v>1731</v>
      </c>
      <c r="G4" s="30">
        <v>1727</v>
      </c>
      <c r="H4" s="30">
        <v>1727</v>
      </c>
      <c r="I4" s="30">
        <v>8</v>
      </c>
      <c r="J4" s="33" t="s">
        <v>6</v>
      </c>
      <c r="K4" s="29">
        <f>+P4*335</f>
        <v>12194</v>
      </c>
      <c r="L4" s="29">
        <f>+Q4*1731</f>
        <v>5071.83</v>
      </c>
      <c r="M4" s="29">
        <f>+R4*1731</f>
        <v>1350.18</v>
      </c>
      <c r="N4" s="29">
        <f>+S4*3</f>
        <v>4957.29</v>
      </c>
      <c r="O4" s="29">
        <f t="shared" si="0"/>
        <v>23573.300000000003</v>
      </c>
      <c r="P4" s="29">
        <v>36.4</v>
      </c>
      <c r="Q4" s="29">
        <v>2.93</v>
      </c>
      <c r="R4" s="29">
        <v>0.78</v>
      </c>
      <c r="S4" s="29">
        <v>1652.43</v>
      </c>
      <c r="T4" s="29">
        <v>23391.3</v>
      </c>
      <c r="U4" s="29">
        <f>+T4-O4</f>
        <v>-182.00000000000364</v>
      </c>
      <c r="V4" s="34">
        <f>+M4/O4*100</f>
        <v>5.7275816283676866</v>
      </c>
      <c r="W4" s="34">
        <f>(K4+L4+N4)/O4*100</f>
        <v>94.272418371632313</v>
      </c>
      <c r="X4" s="29">
        <f t="shared" ref="X4:X66" si="1">O4-15120</f>
        <v>8453.3000000000029</v>
      </c>
      <c r="Y4" s="34">
        <f t="shared" ref="Y4:Y66" si="2">O4/F4</f>
        <v>13.61831311380705</v>
      </c>
      <c r="Z4" s="62">
        <v>26850</v>
      </c>
      <c r="AA4" s="62">
        <v>22820</v>
      </c>
      <c r="AB4" s="63">
        <v>4030</v>
      </c>
    </row>
    <row r="5" spans="1:28" s="30" customFormat="1" ht="22.5" x14ac:dyDescent="0.2">
      <c r="A5" s="31">
        <v>1100015162016</v>
      </c>
      <c r="B5" s="32" t="s">
        <v>73</v>
      </c>
      <c r="C5" s="33" t="s">
        <v>5</v>
      </c>
      <c r="D5" s="30" t="s">
        <v>108</v>
      </c>
      <c r="E5" s="30">
        <v>1735</v>
      </c>
      <c r="F5" s="30">
        <v>1731</v>
      </c>
      <c r="G5" s="30">
        <v>1727</v>
      </c>
      <c r="H5" s="30">
        <v>1727</v>
      </c>
      <c r="I5" s="30">
        <v>6</v>
      </c>
      <c r="J5" s="33" t="s">
        <v>8</v>
      </c>
      <c r="K5" s="29">
        <f>+P5*335</f>
        <v>13085.1</v>
      </c>
      <c r="L5" s="29">
        <f t="shared" ref="L5:M18" si="3">+Q5*1748</f>
        <v>4597.24</v>
      </c>
      <c r="M5" s="29">
        <f t="shared" si="3"/>
        <v>1363.44</v>
      </c>
      <c r="N5" s="29">
        <f>+S5*3</f>
        <v>4883.43</v>
      </c>
      <c r="O5" s="29">
        <f t="shared" si="0"/>
        <v>23929.21</v>
      </c>
      <c r="P5" s="29">
        <v>39.06</v>
      </c>
      <c r="Q5" s="29">
        <v>2.63</v>
      </c>
      <c r="R5" s="29">
        <v>0.78</v>
      </c>
      <c r="S5" s="29">
        <v>1627.81</v>
      </c>
      <c r="T5" s="29">
        <v>23675.95</v>
      </c>
      <c r="U5" s="29">
        <f>+T5-O5</f>
        <v>-253.2599999999984</v>
      </c>
      <c r="V5" s="34">
        <f>+M5/O5*100</f>
        <v>5.6978061540686058</v>
      </c>
      <c r="W5" s="34">
        <f>(K5+L5+N5)/O5*100</f>
        <v>94.302193845931399</v>
      </c>
      <c r="X5" s="29">
        <f t="shared" si="1"/>
        <v>8809.2099999999991</v>
      </c>
      <c r="Y5" s="34">
        <f t="shared" si="2"/>
        <v>13.823922588099364</v>
      </c>
      <c r="Z5" s="62">
        <v>26850</v>
      </c>
      <c r="AA5" s="62">
        <v>22820</v>
      </c>
      <c r="AB5" s="63">
        <v>4030</v>
      </c>
    </row>
    <row r="6" spans="1:28" s="30" customFormat="1" ht="22.5" x14ac:dyDescent="0.2">
      <c r="A6" s="31">
        <v>1100015162016</v>
      </c>
      <c r="B6" s="32" t="s">
        <v>73</v>
      </c>
      <c r="C6" s="33" t="s">
        <v>5</v>
      </c>
      <c r="D6" s="30" t="s">
        <v>108</v>
      </c>
      <c r="E6" s="30">
        <v>1735</v>
      </c>
      <c r="F6" s="30">
        <v>1731</v>
      </c>
      <c r="G6" s="30">
        <v>1727</v>
      </c>
      <c r="H6" s="30">
        <v>1727</v>
      </c>
      <c r="I6" s="30">
        <v>1</v>
      </c>
      <c r="J6" s="33" t="s">
        <v>9</v>
      </c>
      <c r="K6" s="29">
        <f>+P6*335</f>
        <v>18394.849999999999</v>
      </c>
      <c r="L6" s="29">
        <f t="shared" si="3"/>
        <v>4177.72</v>
      </c>
      <c r="M6" s="29">
        <f t="shared" si="3"/>
        <v>1363.44</v>
      </c>
      <c r="N6" s="29">
        <f>+S6*3</f>
        <v>6159.39</v>
      </c>
      <c r="O6" s="29">
        <f t="shared" si="0"/>
        <v>30095.399999999998</v>
      </c>
      <c r="P6" s="29">
        <v>54.91</v>
      </c>
      <c r="Q6" s="29">
        <v>2.39</v>
      </c>
      <c r="R6" s="29">
        <v>0.78</v>
      </c>
      <c r="S6" s="29">
        <v>2053.13</v>
      </c>
      <c r="T6" s="29">
        <v>29766.959999999999</v>
      </c>
      <c r="U6" s="29">
        <f>+T6-O6</f>
        <v>-328.43999999999869</v>
      </c>
      <c r="V6" s="34">
        <f>+M6/O6*100</f>
        <v>4.5303933491497039</v>
      </c>
      <c r="W6" s="34">
        <f>(K6+L6+N6)/O6*100</f>
        <v>95.469606650850309</v>
      </c>
      <c r="X6" s="29">
        <f t="shared" si="1"/>
        <v>14975.399999999998</v>
      </c>
      <c r="Y6" s="34">
        <f t="shared" si="2"/>
        <v>17.386135181975735</v>
      </c>
      <c r="Z6" s="62">
        <v>26850</v>
      </c>
      <c r="AA6" s="62">
        <v>22820</v>
      </c>
      <c r="AB6" s="63">
        <v>4030</v>
      </c>
    </row>
    <row r="7" spans="1:28" s="30" customFormat="1" ht="22.5" x14ac:dyDescent="0.2">
      <c r="A7" s="31">
        <v>2000195011981</v>
      </c>
      <c r="B7" s="32" t="s">
        <v>74</v>
      </c>
      <c r="C7" s="33" t="s">
        <v>10</v>
      </c>
      <c r="D7" s="30" t="s">
        <v>116</v>
      </c>
      <c r="E7" s="33"/>
      <c r="F7" s="33">
        <v>1776</v>
      </c>
      <c r="G7" s="33">
        <v>1776</v>
      </c>
      <c r="H7" s="33">
        <v>1776</v>
      </c>
      <c r="I7" s="33"/>
      <c r="J7" s="33" t="s">
        <v>7</v>
      </c>
      <c r="K7" s="29">
        <f>P7*12</f>
        <v>14024.64</v>
      </c>
      <c r="L7" s="29">
        <f t="shared" si="3"/>
        <v>0</v>
      </c>
      <c r="M7" s="29">
        <f t="shared" si="3"/>
        <v>0</v>
      </c>
      <c r="N7" s="29">
        <f>P7*2</f>
        <v>2337.44</v>
      </c>
      <c r="O7" s="29">
        <f t="shared" si="0"/>
        <v>16362.08</v>
      </c>
      <c r="P7" s="29">
        <v>1168.72</v>
      </c>
      <c r="Q7" s="29"/>
      <c r="R7" s="29"/>
      <c r="S7" s="29"/>
      <c r="T7" s="29"/>
      <c r="U7" s="29">
        <f t="shared" ref="U7:U18" si="4">+T7-O7</f>
        <v>-16362.08</v>
      </c>
      <c r="V7" s="34">
        <f t="shared" ref="V7:V22" si="5">+M7/O7*100</f>
        <v>0</v>
      </c>
      <c r="W7" s="34">
        <f t="shared" ref="W7:W22" si="6">(K7+L7+N7)/O7*100</f>
        <v>100</v>
      </c>
      <c r="X7" s="29">
        <f t="shared" si="1"/>
        <v>1242.08</v>
      </c>
      <c r="Y7" s="34">
        <f t="shared" si="2"/>
        <v>9.2128828828828837</v>
      </c>
      <c r="Z7" s="62">
        <v>10271</v>
      </c>
      <c r="AA7" s="62">
        <v>8217</v>
      </c>
      <c r="AB7" s="63">
        <v>2054</v>
      </c>
    </row>
    <row r="8" spans="1:28" s="30" customFormat="1" ht="22.5" x14ac:dyDescent="0.2">
      <c r="A8" s="31">
        <v>2000195011981</v>
      </c>
      <c r="B8" s="32" t="s">
        <v>74</v>
      </c>
      <c r="C8" s="33" t="s">
        <v>10</v>
      </c>
      <c r="D8" s="30" t="s">
        <v>116</v>
      </c>
      <c r="E8" s="33"/>
      <c r="F8" s="33">
        <v>1776</v>
      </c>
      <c r="G8" s="33">
        <v>1776</v>
      </c>
      <c r="H8" s="33">
        <v>1776</v>
      </c>
      <c r="I8" s="33"/>
      <c r="J8" s="33" t="s">
        <v>6</v>
      </c>
      <c r="K8" s="29">
        <f>P8*12</f>
        <v>14432.28</v>
      </c>
      <c r="L8" s="29">
        <f t="shared" si="3"/>
        <v>0</v>
      </c>
      <c r="M8" s="29">
        <f t="shared" si="3"/>
        <v>0</v>
      </c>
      <c r="N8" s="29">
        <f>P8*2</f>
        <v>2405.38</v>
      </c>
      <c r="O8" s="29">
        <f t="shared" si="0"/>
        <v>16837.66</v>
      </c>
      <c r="P8" s="29">
        <v>1202.69</v>
      </c>
      <c r="Q8" s="29"/>
      <c r="R8" s="29"/>
      <c r="S8" s="29"/>
      <c r="T8" s="29"/>
      <c r="U8" s="29">
        <f t="shared" si="4"/>
        <v>-16837.66</v>
      </c>
      <c r="V8" s="34">
        <f t="shared" si="5"/>
        <v>0</v>
      </c>
      <c r="W8" s="34">
        <f t="shared" si="6"/>
        <v>100</v>
      </c>
      <c r="X8" s="29">
        <f t="shared" si="1"/>
        <v>1717.6599999999999</v>
      </c>
      <c r="Y8" s="34">
        <f t="shared" si="2"/>
        <v>9.4806644144144148</v>
      </c>
      <c r="Z8" s="62">
        <v>10271</v>
      </c>
      <c r="AA8" s="62">
        <v>8217</v>
      </c>
      <c r="AB8" s="63">
        <v>2054</v>
      </c>
    </row>
    <row r="9" spans="1:28" s="30" customFormat="1" ht="22.5" x14ac:dyDescent="0.2">
      <c r="A9" s="31">
        <v>2000195011981</v>
      </c>
      <c r="B9" s="32" t="s">
        <v>74</v>
      </c>
      <c r="C9" s="33" t="s">
        <v>10</v>
      </c>
      <c r="D9" s="30" t="s">
        <v>116</v>
      </c>
      <c r="E9" s="33"/>
      <c r="F9" s="33">
        <v>1776</v>
      </c>
      <c r="G9" s="33">
        <v>1776</v>
      </c>
      <c r="H9" s="33">
        <v>1776</v>
      </c>
      <c r="I9" s="33"/>
      <c r="J9" s="33" t="s">
        <v>8</v>
      </c>
      <c r="K9" s="29">
        <f>P9*12</f>
        <v>15153.24</v>
      </c>
      <c r="L9" s="29">
        <f t="shared" si="3"/>
        <v>0</v>
      </c>
      <c r="M9" s="29">
        <f t="shared" si="3"/>
        <v>0</v>
      </c>
      <c r="N9" s="29">
        <f>P9*2</f>
        <v>2525.54</v>
      </c>
      <c r="O9" s="29">
        <f t="shared" si="0"/>
        <v>17678.78</v>
      </c>
      <c r="P9" s="29">
        <v>1262.77</v>
      </c>
      <c r="Q9" s="29"/>
      <c r="R9" s="29"/>
      <c r="S9" s="29"/>
      <c r="T9" s="29"/>
      <c r="U9" s="29">
        <f t="shared" si="4"/>
        <v>-17678.78</v>
      </c>
      <c r="V9" s="34">
        <f t="shared" si="5"/>
        <v>0</v>
      </c>
      <c r="W9" s="34">
        <f t="shared" si="6"/>
        <v>100</v>
      </c>
      <c r="X9" s="29">
        <f t="shared" si="1"/>
        <v>2558.7799999999988</v>
      </c>
      <c r="Y9" s="34">
        <f t="shared" si="2"/>
        <v>9.9542680180180181</v>
      </c>
      <c r="Z9" s="62">
        <v>10271</v>
      </c>
      <c r="AA9" s="62">
        <v>8217</v>
      </c>
      <c r="AB9" s="63">
        <v>2054</v>
      </c>
    </row>
    <row r="10" spans="1:28" s="30" customFormat="1" ht="22.5" x14ac:dyDescent="0.2">
      <c r="A10" s="31">
        <v>2000195011981</v>
      </c>
      <c r="B10" s="32" t="s">
        <v>74</v>
      </c>
      <c r="C10" s="33" t="s">
        <v>10</v>
      </c>
      <c r="D10" s="30" t="s">
        <v>116</v>
      </c>
      <c r="E10" s="33"/>
      <c r="F10" s="33">
        <v>1776</v>
      </c>
      <c r="G10" s="33">
        <v>1776</v>
      </c>
      <c r="H10" s="33">
        <v>1776</v>
      </c>
      <c r="I10" s="33"/>
      <c r="J10" s="33" t="s">
        <v>9</v>
      </c>
      <c r="K10" s="29">
        <f>P10*12</f>
        <v>20795.04</v>
      </c>
      <c r="L10" s="29">
        <f t="shared" si="3"/>
        <v>0</v>
      </c>
      <c r="M10" s="29">
        <f t="shared" si="3"/>
        <v>0</v>
      </c>
      <c r="N10" s="29">
        <f>P10*2</f>
        <v>3465.84</v>
      </c>
      <c r="O10" s="29">
        <f t="shared" si="0"/>
        <v>24260.880000000001</v>
      </c>
      <c r="P10" s="29">
        <v>1732.92</v>
      </c>
      <c r="Q10" s="29"/>
      <c r="R10" s="29"/>
      <c r="S10" s="29"/>
      <c r="T10" s="29"/>
      <c r="U10" s="29">
        <f t="shared" si="4"/>
        <v>-24260.880000000001</v>
      </c>
      <c r="V10" s="34">
        <f t="shared" si="5"/>
        <v>0</v>
      </c>
      <c r="W10" s="34">
        <f t="shared" si="6"/>
        <v>100</v>
      </c>
      <c r="X10" s="29">
        <f t="shared" si="1"/>
        <v>9140.880000000001</v>
      </c>
      <c r="Y10" s="34">
        <f t="shared" si="2"/>
        <v>13.660405405405406</v>
      </c>
      <c r="Z10" s="62">
        <v>10271</v>
      </c>
      <c r="AA10" s="62">
        <v>8217</v>
      </c>
      <c r="AB10" s="63">
        <v>2054</v>
      </c>
    </row>
    <row r="11" spans="1:28" s="8" customFormat="1" ht="12" customHeight="1" x14ac:dyDescent="0.2">
      <c r="A11" s="31">
        <v>2000945012002</v>
      </c>
      <c r="B11" s="32" t="s">
        <v>154</v>
      </c>
      <c r="C11" s="32" t="s">
        <v>10</v>
      </c>
      <c r="D11" s="8" t="s">
        <v>120</v>
      </c>
      <c r="E11" s="8">
        <v>1788</v>
      </c>
      <c r="F11" s="8">
        <v>1788</v>
      </c>
      <c r="G11" s="8">
        <v>1788</v>
      </c>
      <c r="J11" s="33" t="s">
        <v>7</v>
      </c>
      <c r="K11" s="29"/>
      <c r="L11" s="29"/>
      <c r="M11" s="29"/>
      <c r="N11" s="29"/>
      <c r="O11" s="29">
        <v>0</v>
      </c>
      <c r="P11" s="29"/>
      <c r="Q11" s="18"/>
      <c r="R11" s="18"/>
      <c r="S11" s="18"/>
      <c r="T11" s="18"/>
      <c r="U11" s="29"/>
      <c r="V11" s="34"/>
      <c r="W11" s="34">
        <v>0</v>
      </c>
      <c r="X11" s="29">
        <v>0</v>
      </c>
      <c r="Y11" s="34">
        <v>0</v>
      </c>
      <c r="Z11" s="66">
        <v>1000</v>
      </c>
      <c r="AA11" s="66">
        <v>900</v>
      </c>
      <c r="AB11" s="66">
        <v>100</v>
      </c>
    </row>
    <row r="12" spans="1:28" s="8" customFormat="1" ht="12" customHeight="1" x14ac:dyDescent="0.2">
      <c r="A12" s="31">
        <v>2000945012002</v>
      </c>
      <c r="B12" s="32" t="s">
        <v>154</v>
      </c>
      <c r="C12" s="32" t="s">
        <v>10</v>
      </c>
      <c r="D12" s="8" t="s">
        <v>120</v>
      </c>
      <c r="E12" s="8">
        <v>1788</v>
      </c>
      <c r="F12" s="8">
        <v>1788</v>
      </c>
      <c r="G12" s="8">
        <v>1788</v>
      </c>
      <c r="J12" s="33" t="s">
        <v>6</v>
      </c>
      <c r="K12" s="29"/>
      <c r="L12" s="29"/>
      <c r="M12" s="29"/>
      <c r="N12" s="29"/>
      <c r="O12" s="29">
        <v>0</v>
      </c>
      <c r="P12" s="29"/>
      <c r="Q12" s="18"/>
      <c r="R12" s="18"/>
      <c r="S12" s="18"/>
      <c r="T12" s="18"/>
      <c r="U12" s="29"/>
      <c r="V12" s="34"/>
      <c r="W12" s="34">
        <v>0</v>
      </c>
      <c r="X12" s="29">
        <v>0</v>
      </c>
      <c r="Y12" s="34">
        <v>0</v>
      </c>
      <c r="Z12" s="66">
        <v>1000</v>
      </c>
      <c r="AA12" s="66">
        <v>900</v>
      </c>
      <c r="AB12" s="66">
        <v>100</v>
      </c>
    </row>
    <row r="13" spans="1:28" s="8" customFormat="1" ht="12" customHeight="1" x14ac:dyDescent="0.2">
      <c r="A13" s="31">
        <v>2000945012002</v>
      </c>
      <c r="B13" s="32" t="s">
        <v>154</v>
      </c>
      <c r="C13" s="32" t="s">
        <v>10</v>
      </c>
      <c r="D13" s="8" t="s">
        <v>120</v>
      </c>
      <c r="E13" s="8">
        <v>1788</v>
      </c>
      <c r="F13" s="8">
        <v>1788</v>
      </c>
      <c r="G13" s="8">
        <v>1788</v>
      </c>
      <c r="J13" s="33" t="s">
        <v>8</v>
      </c>
      <c r="K13" s="29"/>
      <c r="L13" s="29"/>
      <c r="M13" s="29"/>
      <c r="N13" s="29"/>
      <c r="O13" s="29">
        <v>0</v>
      </c>
      <c r="P13" s="29"/>
      <c r="Q13" s="18"/>
      <c r="R13" s="18"/>
      <c r="S13" s="18"/>
      <c r="T13" s="18"/>
      <c r="U13" s="29"/>
      <c r="V13" s="34"/>
      <c r="W13" s="34">
        <v>0</v>
      </c>
      <c r="X13" s="29">
        <v>0</v>
      </c>
      <c r="Y13" s="34">
        <v>0</v>
      </c>
      <c r="Z13" s="66">
        <v>1000</v>
      </c>
      <c r="AA13" s="66">
        <v>900</v>
      </c>
      <c r="AB13" s="66">
        <v>100</v>
      </c>
    </row>
    <row r="14" spans="1:28" s="8" customFormat="1" ht="12" customHeight="1" x14ac:dyDescent="0.2">
      <c r="A14" s="31">
        <v>2000945012002</v>
      </c>
      <c r="B14" s="32" t="s">
        <v>154</v>
      </c>
      <c r="C14" s="32" t="s">
        <v>10</v>
      </c>
      <c r="D14" s="8" t="s">
        <v>120</v>
      </c>
      <c r="E14" s="8">
        <v>1788</v>
      </c>
      <c r="F14" s="8">
        <v>1788</v>
      </c>
      <c r="G14" s="8">
        <v>1788</v>
      </c>
      <c r="J14" s="33" t="s">
        <v>9</v>
      </c>
      <c r="K14" s="29"/>
      <c r="L14" s="29"/>
      <c r="M14" s="29"/>
      <c r="N14" s="29"/>
      <c r="O14" s="29">
        <v>0</v>
      </c>
      <c r="P14" s="29"/>
      <c r="Q14" s="18"/>
      <c r="R14" s="18"/>
      <c r="S14" s="18"/>
      <c r="T14" s="18"/>
      <c r="U14" s="29"/>
      <c r="V14" s="34"/>
      <c r="W14" s="34">
        <v>0</v>
      </c>
      <c r="X14" s="29">
        <v>0</v>
      </c>
      <c r="Y14" s="34">
        <v>0</v>
      </c>
      <c r="Z14" s="66">
        <v>1000</v>
      </c>
      <c r="AA14" s="66">
        <v>900</v>
      </c>
      <c r="AB14" s="66">
        <v>100</v>
      </c>
    </row>
    <row r="15" spans="1:28" s="30" customFormat="1" ht="11.25" x14ac:dyDescent="0.2">
      <c r="A15" s="31">
        <v>2000245011985</v>
      </c>
      <c r="B15" s="32" t="s">
        <v>76</v>
      </c>
      <c r="C15" s="33" t="s">
        <v>75</v>
      </c>
      <c r="D15" s="30" t="s">
        <v>117</v>
      </c>
      <c r="F15" s="30">
        <v>1772</v>
      </c>
      <c r="G15" s="30">
        <v>1772</v>
      </c>
      <c r="H15" s="30">
        <v>1772</v>
      </c>
      <c r="I15" s="33">
        <v>7</v>
      </c>
      <c r="J15" s="33" t="s">
        <v>7</v>
      </c>
      <c r="K15" s="29">
        <f t="shared" ref="K15:K18" si="7">P15*12</f>
        <v>16586.400000000001</v>
      </c>
      <c r="L15" s="29">
        <f t="shared" si="3"/>
        <v>0</v>
      </c>
      <c r="M15" s="29">
        <f t="shared" si="3"/>
        <v>0</v>
      </c>
      <c r="N15" s="29">
        <f t="shared" ref="N15:N18" si="8">P15*2</f>
        <v>2764.4</v>
      </c>
      <c r="O15" s="29">
        <f t="shared" ref="O15:O18" si="9">+K15+L15+M15+N15</f>
        <v>19350.800000000003</v>
      </c>
      <c r="P15" s="29">
        <v>1382.2</v>
      </c>
      <c r="Q15" s="29"/>
      <c r="R15" s="29"/>
      <c r="S15" s="29"/>
      <c r="T15" s="29"/>
      <c r="U15" s="29">
        <f t="shared" si="4"/>
        <v>-19350.800000000003</v>
      </c>
      <c r="V15" s="34">
        <f t="shared" si="5"/>
        <v>0</v>
      </c>
      <c r="W15" s="34">
        <f t="shared" si="6"/>
        <v>100</v>
      </c>
      <c r="X15" s="29">
        <f t="shared" si="1"/>
        <v>4230.8000000000029</v>
      </c>
      <c r="Y15" s="34">
        <f t="shared" si="2"/>
        <v>10.920316027088038</v>
      </c>
      <c r="Z15" s="30">
        <v>750</v>
      </c>
      <c r="AA15" s="30">
        <v>600</v>
      </c>
      <c r="AB15" s="30">
        <v>150</v>
      </c>
    </row>
    <row r="16" spans="1:28" s="30" customFormat="1" ht="11.25" x14ac:dyDescent="0.2">
      <c r="A16" s="31">
        <v>2000245011985</v>
      </c>
      <c r="B16" s="32" t="s">
        <v>76</v>
      </c>
      <c r="C16" s="33" t="s">
        <v>10</v>
      </c>
      <c r="D16" s="30" t="s">
        <v>117</v>
      </c>
      <c r="F16" s="30">
        <v>1772</v>
      </c>
      <c r="G16" s="30">
        <v>1772</v>
      </c>
      <c r="H16" s="30">
        <v>1772</v>
      </c>
      <c r="I16" s="33">
        <v>5</v>
      </c>
      <c r="J16" s="33" t="s">
        <v>6</v>
      </c>
      <c r="K16" s="29">
        <f t="shared" si="7"/>
        <v>17260.079999999998</v>
      </c>
      <c r="L16" s="29">
        <f t="shared" si="3"/>
        <v>0</v>
      </c>
      <c r="M16" s="29">
        <f t="shared" si="3"/>
        <v>0</v>
      </c>
      <c r="N16" s="29">
        <f t="shared" si="8"/>
        <v>2876.68</v>
      </c>
      <c r="O16" s="29">
        <f t="shared" si="9"/>
        <v>20136.759999999998</v>
      </c>
      <c r="P16" s="29">
        <v>1438.34</v>
      </c>
      <c r="Q16" s="29"/>
      <c r="R16" s="29"/>
      <c r="S16" s="29"/>
      <c r="T16" s="29"/>
      <c r="U16" s="29">
        <f t="shared" si="4"/>
        <v>-20136.759999999998</v>
      </c>
      <c r="V16" s="34">
        <f t="shared" si="5"/>
        <v>0</v>
      </c>
      <c r="W16" s="34">
        <f t="shared" si="6"/>
        <v>100</v>
      </c>
      <c r="X16" s="29">
        <f t="shared" si="1"/>
        <v>5016.7599999999984</v>
      </c>
      <c r="Y16" s="34">
        <f t="shared" si="2"/>
        <v>11.363860045146726</v>
      </c>
      <c r="Z16" s="30">
        <v>750</v>
      </c>
      <c r="AA16" s="30">
        <v>600</v>
      </c>
      <c r="AB16" s="30">
        <v>150</v>
      </c>
    </row>
    <row r="17" spans="1:28" s="30" customFormat="1" ht="11.25" x14ac:dyDescent="0.2">
      <c r="A17" s="31">
        <v>2000245011985</v>
      </c>
      <c r="B17" s="32" t="s">
        <v>76</v>
      </c>
      <c r="C17" s="33" t="s">
        <v>10</v>
      </c>
      <c r="D17" s="30" t="s">
        <v>117</v>
      </c>
      <c r="F17" s="30">
        <v>1772</v>
      </c>
      <c r="G17" s="30">
        <v>1772</v>
      </c>
      <c r="H17" s="30">
        <v>1772</v>
      </c>
      <c r="I17" s="33">
        <v>4</v>
      </c>
      <c r="J17" s="33" t="s">
        <v>8</v>
      </c>
      <c r="K17" s="29">
        <f t="shared" si="7"/>
        <v>18330.48</v>
      </c>
      <c r="L17" s="29">
        <f t="shared" si="3"/>
        <v>0</v>
      </c>
      <c r="M17" s="29">
        <f t="shared" si="3"/>
        <v>0</v>
      </c>
      <c r="N17" s="29">
        <f t="shared" si="8"/>
        <v>3055.08</v>
      </c>
      <c r="O17" s="29">
        <f t="shared" si="9"/>
        <v>21385.559999999998</v>
      </c>
      <c r="P17" s="29">
        <v>1527.54</v>
      </c>
      <c r="Q17" s="29"/>
      <c r="R17" s="29"/>
      <c r="S17" s="29"/>
      <c r="T17" s="29"/>
      <c r="U17" s="29">
        <f t="shared" si="4"/>
        <v>-21385.559999999998</v>
      </c>
      <c r="V17" s="34">
        <f t="shared" si="5"/>
        <v>0</v>
      </c>
      <c r="W17" s="34">
        <f t="shared" si="6"/>
        <v>100</v>
      </c>
      <c r="X17" s="29">
        <f t="shared" si="1"/>
        <v>6265.5599999999977</v>
      </c>
      <c r="Y17" s="34">
        <f t="shared" si="2"/>
        <v>12.068600451467267</v>
      </c>
      <c r="Z17" s="30">
        <v>750</v>
      </c>
      <c r="AA17" s="30">
        <v>600</v>
      </c>
      <c r="AB17" s="30">
        <v>150</v>
      </c>
    </row>
    <row r="18" spans="1:28" s="30" customFormat="1" ht="11.25" x14ac:dyDescent="0.2">
      <c r="A18" s="31">
        <v>2000245011985</v>
      </c>
      <c r="B18" s="32" t="s">
        <v>76</v>
      </c>
      <c r="C18" s="33" t="s">
        <v>10</v>
      </c>
      <c r="D18" s="30" t="s">
        <v>117</v>
      </c>
      <c r="F18" s="30">
        <v>1772</v>
      </c>
      <c r="G18" s="30">
        <v>1772</v>
      </c>
      <c r="H18" s="30">
        <v>1772</v>
      </c>
      <c r="I18" s="33">
        <v>1</v>
      </c>
      <c r="J18" s="33" t="s">
        <v>9</v>
      </c>
      <c r="K18" s="29">
        <f t="shared" si="7"/>
        <v>24243.119999999999</v>
      </c>
      <c r="L18" s="29">
        <f t="shared" si="3"/>
        <v>0</v>
      </c>
      <c r="M18" s="29">
        <f t="shared" si="3"/>
        <v>0</v>
      </c>
      <c r="N18" s="29">
        <f t="shared" si="8"/>
        <v>4040.52</v>
      </c>
      <c r="O18" s="29">
        <f t="shared" si="9"/>
        <v>28283.64</v>
      </c>
      <c r="P18" s="29">
        <v>2020.26</v>
      </c>
      <c r="Q18" s="29"/>
      <c r="R18" s="29"/>
      <c r="S18" s="29"/>
      <c r="T18" s="29"/>
      <c r="U18" s="29">
        <f t="shared" si="4"/>
        <v>-28283.64</v>
      </c>
      <c r="V18" s="34">
        <f t="shared" si="5"/>
        <v>0</v>
      </c>
      <c r="W18" s="34">
        <f t="shared" si="6"/>
        <v>100</v>
      </c>
      <c r="X18" s="29">
        <f t="shared" si="1"/>
        <v>13163.64</v>
      </c>
      <c r="Y18" s="34">
        <f t="shared" si="2"/>
        <v>15.961422121896161</v>
      </c>
      <c r="Z18" s="30">
        <v>750</v>
      </c>
      <c r="AA18" s="30">
        <v>600</v>
      </c>
      <c r="AB18" s="30">
        <v>150</v>
      </c>
    </row>
    <row r="19" spans="1:28" s="30" customFormat="1" ht="24" customHeight="1" x14ac:dyDescent="0.2">
      <c r="A19" s="38">
        <v>3000375011982</v>
      </c>
      <c r="B19" s="32" t="s">
        <v>77</v>
      </c>
      <c r="C19" s="33" t="s">
        <v>11</v>
      </c>
      <c r="D19" s="33" t="s">
        <v>124</v>
      </c>
      <c r="E19" s="33"/>
      <c r="F19" s="33">
        <v>1752</v>
      </c>
      <c r="G19" s="33"/>
      <c r="H19" s="33"/>
      <c r="I19" s="33"/>
      <c r="J19" s="33" t="s">
        <v>7</v>
      </c>
      <c r="K19" s="29">
        <f>P19*365</f>
        <v>14023.300000000001</v>
      </c>
      <c r="L19" s="29"/>
      <c r="M19" s="29">
        <f>R19*365</f>
        <v>2164.4499999999998</v>
      </c>
      <c r="N19" s="29">
        <f>P19*60</f>
        <v>2305.2000000000003</v>
      </c>
      <c r="O19" s="29">
        <f t="shared" ref="O19:O34" si="10">+K19+L19+M19+N19</f>
        <v>18492.95</v>
      </c>
      <c r="P19" s="29">
        <v>38.42</v>
      </c>
      <c r="Q19" s="29"/>
      <c r="R19" s="29">
        <v>5.93</v>
      </c>
      <c r="S19" s="29"/>
      <c r="T19" s="29"/>
      <c r="U19" s="29"/>
      <c r="V19" s="34">
        <f t="shared" si="5"/>
        <v>11.704189975098616</v>
      </c>
      <c r="W19" s="34">
        <f t="shared" si="6"/>
        <v>88.295810024901385</v>
      </c>
      <c r="X19" s="29">
        <f t="shared" si="1"/>
        <v>3372.9500000000007</v>
      </c>
      <c r="Y19" s="34">
        <f t="shared" si="2"/>
        <v>10.555336757990869</v>
      </c>
      <c r="Z19" s="62">
        <v>33760</v>
      </c>
      <c r="AA19" s="62">
        <v>23632</v>
      </c>
      <c r="AB19" s="63">
        <v>10128</v>
      </c>
    </row>
    <row r="20" spans="1:28" s="30" customFormat="1" ht="25.5" customHeight="1" x14ac:dyDescent="0.2">
      <c r="A20" s="38">
        <v>3000375011982</v>
      </c>
      <c r="B20" s="32" t="s">
        <v>77</v>
      </c>
      <c r="C20" s="33" t="s">
        <v>11</v>
      </c>
      <c r="D20" s="33" t="s">
        <v>124</v>
      </c>
      <c r="E20" s="33"/>
      <c r="F20" s="33">
        <v>1752</v>
      </c>
      <c r="G20" s="33"/>
      <c r="H20" s="33"/>
      <c r="I20" s="33"/>
      <c r="J20" s="33" t="s">
        <v>6</v>
      </c>
      <c r="K20" s="29">
        <f>P20*365</f>
        <v>15111</v>
      </c>
      <c r="L20" s="29"/>
      <c r="M20" s="29">
        <f t="shared" ref="M20:M22" si="11">R20*365</f>
        <v>2252.0500000000002</v>
      </c>
      <c r="N20" s="29">
        <f>P20*60</f>
        <v>2484</v>
      </c>
      <c r="O20" s="29">
        <f t="shared" si="10"/>
        <v>19847.05</v>
      </c>
      <c r="P20" s="29">
        <v>41.4</v>
      </c>
      <c r="Q20" s="29"/>
      <c r="R20" s="29">
        <v>6.17</v>
      </c>
      <c r="S20" s="29" t="s">
        <v>68</v>
      </c>
      <c r="T20" s="29"/>
      <c r="U20" s="29"/>
      <c r="V20" s="34">
        <f t="shared" si="5"/>
        <v>11.347026384273736</v>
      </c>
      <c r="W20" s="34">
        <f t="shared" si="6"/>
        <v>88.652973615726268</v>
      </c>
      <c r="X20" s="29">
        <f t="shared" si="1"/>
        <v>4727.0499999999993</v>
      </c>
      <c r="Y20" s="34">
        <f t="shared" si="2"/>
        <v>11.328224885844749</v>
      </c>
      <c r="Z20" s="62">
        <v>33760</v>
      </c>
      <c r="AA20" s="62">
        <v>23632</v>
      </c>
      <c r="AB20" s="63">
        <v>10128</v>
      </c>
    </row>
    <row r="21" spans="1:28" s="30" customFormat="1" ht="27" customHeight="1" x14ac:dyDescent="0.2">
      <c r="A21" s="38">
        <v>3000375011982</v>
      </c>
      <c r="B21" s="32" t="s">
        <v>77</v>
      </c>
      <c r="C21" s="33" t="s">
        <v>11</v>
      </c>
      <c r="D21" s="33" t="s">
        <v>124</v>
      </c>
      <c r="E21" s="33"/>
      <c r="F21" s="33">
        <v>1752</v>
      </c>
      <c r="G21" s="33"/>
      <c r="H21" s="33"/>
      <c r="I21" s="33"/>
      <c r="J21" s="33" t="s">
        <v>8</v>
      </c>
      <c r="K21" s="29">
        <f>P21*12</f>
        <v>15540.72</v>
      </c>
      <c r="L21" s="29"/>
      <c r="M21" s="29">
        <f t="shared" si="11"/>
        <v>2255.6999999999998</v>
      </c>
      <c r="N21" s="29">
        <f>P21*2</f>
        <v>2590.12</v>
      </c>
      <c r="O21" s="29">
        <f t="shared" si="10"/>
        <v>20386.539999999997</v>
      </c>
      <c r="P21" s="29">
        <v>1295.06</v>
      </c>
      <c r="Q21" s="29"/>
      <c r="R21" s="29">
        <v>6.18</v>
      </c>
      <c r="S21" s="29"/>
      <c r="T21" s="29"/>
      <c r="U21" s="29"/>
      <c r="V21" s="34">
        <f t="shared" si="5"/>
        <v>11.064653442908901</v>
      </c>
      <c r="W21" s="34">
        <f t="shared" si="6"/>
        <v>88.935346557091108</v>
      </c>
      <c r="X21" s="29">
        <f t="shared" si="1"/>
        <v>5266.5399999999972</v>
      </c>
      <c r="Y21" s="34">
        <f t="shared" si="2"/>
        <v>11.636152968036528</v>
      </c>
      <c r="Z21" s="62">
        <v>33760</v>
      </c>
      <c r="AA21" s="62">
        <v>23632</v>
      </c>
      <c r="AB21" s="63">
        <v>10128</v>
      </c>
    </row>
    <row r="22" spans="1:28" s="30" customFormat="1" ht="26.25" customHeight="1" x14ac:dyDescent="0.2">
      <c r="A22" s="38">
        <v>3000375011982</v>
      </c>
      <c r="B22" s="32" t="s">
        <v>77</v>
      </c>
      <c r="C22" s="33" t="s">
        <v>11</v>
      </c>
      <c r="D22" s="33" t="s">
        <v>124</v>
      </c>
      <c r="E22" s="33"/>
      <c r="F22" s="33">
        <v>1752</v>
      </c>
      <c r="G22" s="33"/>
      <c r="H22" s="33"/>
      <c r="I22" s="33"/>
      <c r="J22" s="33" t="s">
        <v>9</v>
      </c>
      <c r="K22" s="29">
        <f>P22*12</f>
        <v>24213.48</v>
      </c>
      <c r="L22" s="29"/>
      <c r="M22" s="29">
        <f t="shared" si="11"/>
        <v>2098.75</v>
      </c>
      <c r="N22" s="29">
        <f>P22*2</f>
        <v>4035.58</v>
      </c>
      <c r="O22" s="29">
        <f t="shared" si="10"/>
        <v>30347.809999999998</v>
      </c>
      <c r="P22" s="29">
        <v>2017.79</v>
      </c>
      <c r="Q22" s="29"/>
      <c r="R22" s="29">
        <v>5.75</v>
      </c>
      <c r="S22" s="29"/>
      <c r="T22" s="29"/>
      <c r="U22" s="29"/>
      <c r="V22" s="34">
        <f t="shared" si="5"/>
        <v>6.9156555283560825</v>
      </c>
      <c r="W22" s="34">
        <f t="shared" si="6"/>
        <v>93.084344471643917</v>
      </c>
      <c r="X22" s="29">
        <f t="shared" si="1"/>
        <v>15227.809999999998</v>
      </c>
      <c r="Y22" s="34">
        <f t="shared" si="2"/>
        <v>17.321809360730594</v>
      </c>
      <c r="Z22" s="62">
        <v>33760</v>
      </c>
      <c r="AA22" s="62">
        <v>23632</v>
      </c>
      <c r="AB22" s="63">
        <v>10128</v>
      </c>
    </row>
    <row r="23" spans="1:28" s="30" customFormat="1" ht="22.5" x14ac:dyDescent="0.2">
      <c r="A23" s="31">
        <v>4000415011982</v>
      </c>
      <c r="B23" s="32" t="s">
        <v>73</v>
      </c>
      <c r="C23" s="33" t="s">
        <v>12</v>
      </c>
      <c r="D23" s="33" t="s">
        <v>119</v>
      </c>
      <c r="E23" s="33"/>
      <c r="F23" s="33">
        <v>1760</v>
      </c>
      <c r="G23" s="33">
        <v>1760</v>
      </c>
      <c r="H23" s="33"/>
      <c r="I23" s="33">
        <v>6</v>
      </c>
      <c r="J23" s="33" t="s">
        <v>7</v>
      </c>
      <c r="K23" s="29">
        <f>P23*365</f>
        <v>12136.25</v>
      </c>
      <c r="L23" s="29"/>
      <c r="M23" s="29">
        <f>Q23*365</f>
        <v>0</v>
      </c>
      <c r="N23" s="35">
        <f>82.5*21.13</f>
        <v>1743.2249999999999</v>
      </c>
      <c r="O23" s="29">
        <f t="shared" si="10"/>
        <v>13879.475</v>
      </c>
      <c r="P23" s="29">
        <v>33.25</v>
      </c>
      <c r="Q23" s="29"/>
      <c r="R23" s="29"/>
      <c r="S23" s="29"/>
      <c r="T23" s="29"/>
      <c r="U23" s="29"/>
      <c r="V23" s="34">
        <f t="shared" ref="V23:V34" si="12">+M23/O23*100</f>
        <v>0</v>
      </c>
      <c r="W23" s="34">
        <f t="shared" ref="W23:W34" si="13">(K23+L23+N23)/O23*100</f>
        <v>100</v>
      </c>
      <c r="X23" s="29">
        <f t="shared" si="1"/>
        <v>-1240.5249999999996</v>
      </c>
      <c r="Y23" s="34">
        <f t="shared" si="2"/>
        <v>7.8860653409090915</v>
      </c>
      <c r="Z23" s="62">
        <v>3600</v>
      </c>
      <c r="AA23" s="62">
        <v>3000</v>
      </c>
      <c r="AB23" s="63">
        <v>600</v>
      </c>
    </row>
    <row r="24" spans="1:28" s="30" customFormat="1" ht="22.5" x14ac:dyDescent="0.2">
      <c r="A24" s="31">
        <v>4000415011982</v>
      </c>
      <c r="B24" s="32" t="s">
        <v>73</v>
      </c>
      <c r="C24" s="33" t="s">
        <v>12</v>
      </c>
      <c r="D24" s="33" t="s">
        <v>119</v>
      </c>
      <c r="E24" s="33"/>
      <c r="F24" s="33">
        <v>1760</v>
      </c>
      <c r="G24" s="33">
        <v>1760</v>
      </c>
      <c r="H24" s="33"/>
      <c r="I24" s="33">
        <v>5</v>
      </c>
      <c r="J24" s="33" t="s">
        <v>6</v>
      </c>
      <c r="K24" s="29">
        <f t="shared" ref="K24" si="14">P24*365</f>
        <v>12997.65</v>
      </c>
      <c r="L24" s="29"/>
      <c r="M24" s="29">
        <f>Q24*365</f>
        <v>0</v>
      </c>
      <c r="N24" s="35">
        <f>22.64*82.5</f>
        <v>1867.8</v>
      </c>
      <c r="O24" s="29">
        <f t="shared" si="10"/>
        <v>14865.449999999999</v>
      </c>
      <c r="P24" s="29">
        <v>35.61</v>
      </c>
      <c r="Q24" s="29"/>
      <c r="R24" s="29"/>
      <c r="S24" s="29"/>
      <c r="T24" s="29"/>
      <c r="U24" s="29"/>
      <c r="V24" s="34">
        <f t="shared" si="12"/>
        <v>0</v>
      </c>
      <c r="W24" s="34">
        <f t="shared" si="13"/>
        <v>100</v>
      </c>
      <c r="X24" s="29">
        <f t="shared" si="1"/>
        <v>-254.55000000000109</v>
      </c>
      <c r="Y24" s="34">
        <f t="shared" si="2"/>
        <v>8.4462784090909082</v>
      </c>
      <c r="Z24" s="62">
        <v>3600</v>
      </c>
      <c r="AA24" s="62">
        <v>3000</v>
      </c>
      <c r="AB24" s="63">
        <v>600</v>
      </c>
    </row>
    <row r="25" spans="1:28" s="30" customFormat="1" ht="22.5" x14ac:dyDescent="0.2">
      <c r="A25" s="31">
        <v>4000415011982</v>
      </c>
      <c r="B25" s="32" t="s">
        <v>73</v>
      </c>
      <c r="C25" s="33" t="s">
        <v>12</v>
      </c>
      <c r="D25" s="33" t="s">
        <v>119</v>
      </c>
      <c r="E25" s="33"/>
      <c r="F25" s="33">
        <v>1760</v>
      </c>
      <c r="G25" s="33">
        <v>1760</v>
      </c>
      <c r="H25" s="33"/>
      <c r="I25" s="33">
        <v>5</v>
      </c>
      <c r="J25" s="33" t="s">
        <v>8</v>
      </c>
      <c r="K25" s="29">
        <f>P25*12</f>
        <v>13809.24</v>
      </c>
      <c r="L25" s="29"/>
      <c r="M25" s="29">
        <f t="shared" ref="M25:M26" si="15">Q25*365</f>
        <v>0</v>
      </c>
      <c r="N25" s="35">
        <f>24.38*82.5</f>
        <v>2011.35</v>
      </c>
      <c r="O25" s="29">
        <f t="shared" si="10"/>
        <v>15820.59</v>
      </c>
      <c r="P25" s="29">
        <v>1150.77</v>
      </c>
      <c r="Q25" s="29"/>
      <c r="R25" s="29"/>
      <c r="S25" s="29"/>
      <c r="T25" s="29"/>
      <c r="U25" s="29"/>
      <c r="V25" s="34">
        <f t="shared" si="12"/>
        <v>0</v>
      </c>
      <c r="W25" s="34">
        <f t="shared" si="13"/>
        <v>100</v>
      </c>
      <c r="X25" s="29">
        <f t="shared" si="1"/>
        <v>700.59000000000015</v>
      </c>
      <c r="Y25" s="34">
        <f t="shared" si="2"/>
        <v>8.9889715909090917</v>
      </c>
      <c r="Z25" s="62">
        <v>3600</v>
      </c>
      <c r="AA25" s="62">
        <v>3000</v>
      </c>
      <c r="AB25" s="63">
        <v>600</v>
      </c>
    </row>
    <row r="26" spans="1:28" s="30" customFormat="1" ht="22.5" x14ac:dyDescent="0.2">
      <c r="A26" s="31">
        <v>4000415011982</v>
      </c>
      <c r="B26" s="32" t="s">
        <v>73</v>
      </c>
      <c r="C26" s="33" t="s">
        <v>12</v>
      </c>
      <c r="D26" s="33" t="s">
        <v>119</v>
      </c>
      <c r="E26" s="33"/>
      <c r="F26" s="33">
        <v>1760</v>
      </c>
      <c r="G26" s="33">
        <v>1760</v>
      </c>
      <c r="H26" s="33"/>
      <c r="I26" s="33">
        <v>1</v>
      </c>
      <c r="J26" s="33" t="s">
        <v>9</v>
      </c>
      <c r="K26" s="29">
        <f>P26*12</f>
        <v>18379.560000000001</v>
      </c>
      <c r="L26" s="29"/>
      <c r="M26" s="29">
        <f t="shared" si="15"/>
        <v>0</v>
      </c>
      <c r="N26" s="35">
        <f>32.45*82.5</f>
        <v>2677.1250000000005</v>
      </c>
      <c r="O26" s="29">
        <f t="shared" si="10"/>
        <v>21056.685000000001</v>
      </c>
      <c r="P26" s="29">
        <v>1531.63</v>
      </c>
      <c r="Q26" s="29"/>
      <c r="R26" s="29"/>
      <c r="S26" s="29"/>
      <c r="T26" s="29"/>
      <c r="U26" s="29"/>
      <c r="V26" s="34">
        <f t="shared" si="12"/>
        <v>0</v>
      </c>
      <c r="W26" s="34">
        <f t="shared" si="13"/>
        <v>100</v>
      </c>
      <c r="X26" s="29">
        <f t="shared" si="1"/>
        <v>5936.6850000000013</v>
      </c>
      <c r="Y26" s="34">
        <f t="shared" si="2"/>
        <v>11.964025568181819</v>
      </c>
      <c r="Z26" s="62">
        <v>3600</v>
      </c>
      <c r="AA26" s="62">
        <v>3000</v>
      </c>
      <c r="AB26" s="63">
        <v>600</v>
      </c>
    </row>
    <row r="27" spans="1:28" s="30" customFormat="1" ht="11.25" x14ac:dyDescent="0.2">
      <c r="A27" s="31">
        <v>33000695011979</v>
      </c>
      <c r="B27" s="32" t="s">
        <v>84</v>
      </c>
      <c r="C27" s="33" t="s">
        <v>13</v>
      </c>
      <c r="D27" s="33" t="s">
        <v>124</v>
      </c>
      <c r="E27" s="33"/>
      <c r="F27" s="33"/>
      <c r="G27" s="33"/>
      <c r="H27" s="33"/>
      <c r="I27" s="33"/>
      <c r="J27" s="33" t="s">
        <v>7</v>
      </c>
      <c r="K27" s="29"/>
      <c r="L27" s="29"/>
      <c r="M27" s="29"/>
      <c r="N27" s="35"/>
      <c r="O27" s="29"/>
      <c r="P27" s="29"/>
      <c r="Q27" s="29"/>
      <c r="R27" s="29"/>
      <c r="S27" s="29"/>
      <c r="T27" s="29"/>
      <c r="U27" s="29"/>
      <c r="V27" s="34"/>
      <c r="W27" s="34"/>
      <c r="X27" s="29"/>
      <c r="Y27" s="34"/>
      <c r="Z27" s="62">
        <v>28300</v>
      </c>
      <c r="AA27" s="62">
        <v>24055</v>
      </c>
      <c r="AB27" s="63">
        <v>4245</v>
      </c>
    </row>
    <row r="28" spans="1:28" s="30" customFormat="1" ht="11.25" x14ac:dyDescent="0.2">
      <c r="A28" s="31">
        <v>33000695011979</v>
      </c>
      <c r="B28" s="32" t="s">
        <v>84</v>
      </c>
      <c r="C28" s="33" t="s">
        <v>13</v>
      </c>
      <c r="D28" s="33" t="s">
        <v>120</v>
      </c>
      <c r="E28" s="33"/>
      <c r="F28" s="33"/>
      <c r="G28" s="33"/>
      <c r="H28" s="33"/>
      <c r="I28" s="33"/>
      <c r="J28" s="33" t="s">
        <v>6</v>
      </c>
      <c r="K28" s="29"/>
      <c r="L28" s="29"/>
      <c r="M28" s="29"/>
      <c r="N28" s="35"/>
      <c r="O28" s="29"/>
      <c r="P28" s="29"/>
      <c r="Q28" s="29"/>
      <c r="R28" s="29"/>
      <c r="S28" s="29"/>
      <c r="T28" s="29"/>
      <c r="U28" s="29"/>
      <c r="V28" s="34"/>
      <c r="W28" s="34"/>
      <c r="X28" s="29"/>
      <c r="Y28" s="34"/>
      <c r="Z28" s="62">
        <v>28300</v>
      </c>
      <c r="AA28" s="62">
        <v>24055</v>
      </c>
      <c r="AB28" s="63">
        <v>4245</v>
      </c>
    </row>
    <row r="29" spans="1:28" s="30" customFormat="1" ht="11.25" x14ac:dyDescent="0.2">
      <c r="A29" s="31">
        <v>33000695011979</v>
      </c>
      <c r="B29" s="32" t="s">
        <v>84</v>
      </c>
      <c r="C29" s="33" t="s">
        <v>13</v>
      </c>
      <c r="D29" s="33" t="s">
        <v>158</v>
      </c>
      <c r="E29" s="33"/>
      <c r="F29" s="33"/>
      <c r="G29" s="33"/>
      <c r="H29" s="33"/>
      <c r="I29" s="33"/>
      <c r="J29" s="33" t="s">
        <v>8</v>
      </c>
      <c r="K29" s="29"/>
      <c r="L29" s="29"/>
      <c r="M29" s="29"/>
      <c r="N29" s="35"/>
      <c r="O29" s="29"/>
      <c r="P29" s="29"/>
      <c r="Q29" s="29"/>
      <c r="R29" s="29"/>
      <c r="S29" s="29"/>
      <c r="T29" s="29"/>
      <c r="U29" s="29"/>
      <c r="V29" s="34"/>
      <c r="W29" s="34"/>
      <c r="X29" s="29"/>
      <c r="Y29" s="34"/>
      <c r="Z29" s="62">
        <v>28300</v>
      </c>
      <c r="AA29" s="62">
        <v>24055</v>
      </c>
      <c r="AB29" s="63">
        <v>4245</v>
      </c>
    </row>
    <row r="30" spans="1:28" s="30" customFormat="1" ht="11.25" x14ac:dyDescent="0.2">
      <c r="A30" s="31">
        <v>33000695011979</v>
      </c>
      <c r="B30" s="32" t="s">
        <v>84</v>
      </c>
      <c r="C30" s="33" t="s">
        <v>13</v>
      </c>
      <c r="D30" s="33" t="s">
        <v>159</v>
      </c>
      <c r="E30" s="33"/>
      <c r="F30" s="33"/>
      <c r="G30" s="33"/>
      <c r="H30" s="33"/>
      <c r="I30" s="33"/>
      <c r="J30" s="33" t="s">
        <v>9</v>
      </c>
      <c r="K30" s="29"/>
      <c r="L30" s="29"/>
      <c r="M30" s="29"/>
      <c r="N30" s="35"/>
      <c r="O30" s="29"/>
      <c r="P30" s="29"/>
      <c r="Q30" s="29"/>
      <c r="R30" s="29"/>
      <c r="S30" s="29"/>
      <c r="T30" s="29"/>
      <c r="U30" s="29"/>
      <c r="V30" s="34"/>
      <c r="W30" s="34"/>
      <c r="X30" s="29"/>
      <c r="Y30" s="34"/>
      <c r="Z30" s="62">
        <v>28300</v>
      </c>
      <c r="AA30" s="62">
        <v>24055</v>
      </c>
      <c r="AB30" s="63">
        <v>4245</v>
      </c>
    </row>
    <row r="31" spans="1:28" s="30" customFormat="1" ht="22.5" x14ac:dyDescent="0.2">
      <c r="A31" s="31">
        <v>33002825011994</v>
      </c>
      <c r="B31" s="39" t="s">
        <v>78</v>
      </c>
      <c r="C31" s="33" t="s">
        <v>13</v>
      </c>
      <c r="D31" s="33" t="s">
        <v>120</v>
      </c>
      <c r="E31" s="33"/>
      <c r="F31" s="33">
        <v>1722</v>
      </c>
      <c r="G31" s="33">
        <v>1722</v>
      </c>
      <c r="H31" s="33"/>
      <c r="I31" s="33"/>
      <c r="J31" s="33" t="s">
        <v>7</v>
      </c>
      <c r="K31" s="29">
        <f>P31*365</f>
        <v>14213.099999999999</v>
      </c>
      <c r="L31" s="29">
        <f>(6.5*225)+(2.09*365)</f>
        <v>2225.35</v>
      </c>
      <c r="M31" s="29">
        <f>R31*225</f>
        <v>771.75</v>
      </c>
      <c r="N31" s="29">
        <f>S31*2</f>
        <v>2932.92</v>
      </c>
      <c r="O31" s="29">
        <f t="shared" si="10"/>
        <v>20143.119999999995</v>
      </c>
      <c r="P31" s="29">
        <v>38.94</v>
      </c>
      <c r="Q31" s="35">
        <f>7.88+4.14</f>
        <v>12.02</v>
      </c>
      <c r="R31" s="35">
        <f>3.43</f>
        <v>3.43</v>
      </c>
      <c r="S31" s="29">
        <v>1466.46</v>
      </c>
      <c r="T31" s="29"/>
      <c r="U31" s="29"/>
      <c r="V31" s="34">
        <f t="shared" si="12"/>
        <v>3.8313329811866295</v>
      </c>
      <c r="W31" s="34">
        <f t="shared" si="13"/>
        <v>96.168667018813366</v>
      </c>
      <c r="X31" s="29">
        <f t="shared" si="1"/>
        <v>5023.1199999999953</v>
      </c>
      <c r="Y31" s="34">
        <f t="shared" si="2"/>
        <v>11.69751451800232</v>
      </c>
      <c r="Z31" s="62">
        <v>3000</v>
      </c>
      <c r="AA31" s="62">
        <v>2700</v>
      </c>
      <c r="AB31" s="63">
        <v>300</v>
      </c>
    </row>
    <row r="32" spans="1:28" s="30" customFormat="1" ht="22.5" x14ac:dyDescent="0.2">
      <c r="A32" s="31">
        <v>33002825011994</v>
      </c>
      <c r="B32" s="39" t="s">
        <v>78</v>
      </c>
      <c r="C32" s="33" t="s">
        <v>13</v>
      </c>
      <c r="D32" s="33" t="s">
        <v>120</v>
      </c>
      <c r="E32" s="33"/>
      <c r="F32" s="33">
        <v>1722</v>
      </c>
      <c r="G32" s="33">
        <v>1722</v>
      </c>
      <c r="H32" s="33"/>
      <c r="I32" s="33"/>
      <c r="J32" s="33" t="s">
        <v>6</v>
      </c>
      <c r="K32" s="29">
        <f>P32*365</f>
        <v>15519.800000000001</v>
      </c>
      <c r="L32" s="29">
        <f>+(6.65*225)+(2.09*365)</f>
        <v>2259.1</v>
      </c>
      <c r="M32" s="29">
        <f>R32*225</f>
        <v>828</v>
      </c>
      <c r="N32" s="29">
        <f>S32*2</f>
        <v>3221.26</v>
      </c>
      <c r="O32" s="29">
        <f t="shared" si="10"/>
        <v>21828.160000000003</v>
      </c>
      <c r="P32" s="29">
        <v>42.52</v>
      </c>
      <c r="Q32" s="35">
        <f>6.65+2.09</f>
        <v>8.74</v>
      </c>
      <c r="R32" s="35">
        <v>3.68</v>
      </c>
      <c r="S32" s="29">
        <v>1610.63</v>
      </c>
      <c r="T32" s="29"/>
      <c r="U32" s="29"/>
      <c r="V32" s="34">
        <f t="shared" si="12"/>
        <v>3.793265213375749</v>
      </c>
      <c r="W32" s="34">
        <f t="shared" si="13"/>
        <v>96.206734786624253</v>
      </c>
      <c r="X32" s="29">
        <f t="shared" si="1"/>
        <v>6708.1600000000035</v>
      </c>
      <c r="Y32" s="34">
        <f t="shared" si="2"/>
        <v>12.676051103368179</v>
      </c>
      <c r="Z32" s="62">
        <v>3000</v>
      </c>
      <c r="AA32" s="62">
        <v>2700</v>
      </c>
      <c r="AB32" s="63">
        <v>300</v>
      </c>
    </row>
    <row r="33" spans="1:28" s="30" customFormat="1" ht="22.5" x14ac:dyDescent="0.2">
      <c r="A33" s="31">
        <v>33002825011994</v>
      </c>
      <c r="B33" s="39" t="s">
        <v>78</v>
      </c>
      <c r="C33" s="33" t="s">
        <v>13</v>
      </c>
      <c r="D33" s="33" t="s">
        <v>120</v>
      </c>
      <c r="E33" s="33"/>
      <c r="F33" s="33">
        <v>1722</v>
      </c>
      <c r="G33" s="33">
        <v>1722</v>
      </c>
      <c r="H33" s="33"/>
      <c r="I33" s="33"/>
      <c r="J33" s="33" t="s">
        <v>8</v>
      </c>
      <c r="K33" s="29">
        <f>P33*365</f>
        <v>18560.25</v>
      </c>
      <c r="L33" s="29">
        <f>+(6.65*225)+(2.09*365)</f>
        <v>2259.1</v>
      </c>
      <c r="M33" s="29">
        <f>R33*225</f>
        <v>884.25</v>
      </c>
      <c r="N33" s="29">
        <f>S33*2</f>
        <v>3886.16</v>
      </c>
      <c r="O33" s="29">
        <f t="shared" si="10"/>
        <v>25589.759999999998</v>
      </c>
      <c r="P33" s="29">
        <v>50.85</v>
      </c>
      <c r="Q33" s="35">
        <f>6.65+2.09</f>
        <v>8.74</v>
      </c>
      <c r="R33" s="35">
        <v>3.93</v>
      </c>
      <c r="S33" s="29">
        <v>1943.08</v>
      </c>
      <c r="T33" s="29"/>
      <c r="U33" s="29"/>
      <c r="V33" s="34">
        <f t="shared" si="12"/>
        <v>3.4554837560024012</v>
      </c>
      <c r="W33" s="34">
        <f t="shared" si="13"/>
        <v>96.544516243997606</v>
      </c>
      <c r="X33" s="29">
        <f t="shared" si="1"/>
        <v>10469.759999999998</v>
      </c>
      <c r="Y33" s="34">
        <f t="shared" si="2"/>
        <v>14.860487804878048</v>
      </c>
      <c r="Z33" s="62">
        <v>3000</v>
      </c>
      <c r="AA33" s="62">
        <v>2700</v>
      </c>
      <c r="AB33" s="63">
        <v>300</v>
      </c>
    </row>
    <row r="34" spans="1:28" s="30" customFormat="1" ht="22.5" x14ac:dyDescent="0.2">
      <c r="A34" s="31">
        <v>33002825011994</v>
      </c>
      <c r="B34" s="39" t="s">
        <v>78</v>
      </c>
      <c r="C34" s="33" t="s">
        <v>13</v>
      </c>
      <c r="D34" s="33" t="s">
        <v>120</v>
      </c>
      <c r="E34" s="33"/>
      <c r="F34" s="33">
        <v>1722</v>
      </c>
      <c r="G34" s="33">
        <v>1722</v>
      </c>
      <c r="H34" s="33"/>
      <c r="I34" s="33"/>
      <c r="J34" s="33" t="s">
        <v>9</v>
      </c>
      <c r="K34" s="29">
        <f>P34*365</f>
        <v>26356.649999999998</v>
      </c>
      <c r="L34" s="29">
        <f>+(6.82*225)+(2.09*365)</f>
        <v>2297.35</v>
      </c>
      <c r="M34" s="29">
        <f>R34*225</f>
        <v>1172.25</v>
      </c>
      <c r="N34" s="29">
        <f>S34*2</f>
        <v>5352.74</v>
      </c>
      <c r="O34" s="29">
        <f t="shared" si="10"/>
        <v>35178.99</v>
      </c>
      <c r="P34" s="29">
        <v>72.209999999999994</v>
      </c>
      <c r="Q34" s="35">
        <f>6.82+2.09</f>
        <v>8.91</v>
      </c>
      <c r="R34" s="35">
        <v>5.21</v>
      </c>
      <c r="S34" s="29">
        <v>2676.37</v>
      </c>
      <c r="T34" s="29"/>
      <c r="U34" s="29"/>
      <c r="V34" s="34">
        <f t="shared" si="12"/>
        <v>3.3322446153229532</v>
      </c>
      <c r="W34" s="34">
        <f t="shared" si="13"/>
        <v>96.667755384677051</v>
      </c>
      <c r="X34" s="29">
        <f t="shared" si="1"/>
        <v>20058.989999999998</v>
      </c>
      <c r="Y34" s="34">
        <f t="shared" si="2"/>
        <v>20.429146341463415</v>
      </c>
      <c r="Z34" s="62">
        <v>3000</v>
      </c>
      <c r="AA34" s="62">
        <v>2700</v>
      </c>
      <c r="AB34" s="63">
        <v>300</v>
      </c>
    </row>
    <row r="35" spans="1:28" s="30" customFormat="1" ht="22.5" x14ac:dyDescent="0.2">
      <c r="A35" s="31">
        <v>33001115011982</v>
      </c>
      <c r="B35" s="39" t="s">
        <v>155</v>
      </c>
      <c r="C35" s="39" t="s">
        <v>13</v>
      </c>
      <c r="D35" s="30" t="s">
        <v>131</v>
      </c>
      <c r="J35" s="33" t="s">
        <v>7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X35" s="29"/>
      <c r="Y35" s="34"/>
      <c r="Z35" s="62">
        <v>3500</v>
      </c>
      <c r="AA35" s="62">
        <v>2800</v>
      </c>
      <c r="AB35" s="63">
        <v>700</v>
      </c>
    </row>
    <row r="36" spans="1:28" s="30" customFormat="1" ht="22.5" x14ac:dyDescent="0.2">
      <c r="A36" s="31">
        <v>33001115011982</v>
      </c>
      <c r="B36" s="39" t="s">
        <v>155</v>
      </c>
      <c r="C36" s="39" t="s">
        <v>13</v>
      </c>
      <c r="D36" s="30" t="s">
        <v>130</v>
      </c>
      <c r="J36" s="33" t="s">
        <v>6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X36" s="29"/>
      <c r="Y36" s="34"/>
      <c r="Z36" s="62">
        <v>3500</v>
      </c>
      <c r="AA36" s="62">
        <v>2800</v>
      </c>
      <c r="AB36" s="63">
        <v>700</v>
      </c>
    </row>
    <row r="37" spans="1:28" s="30" customFormat="1" ht="22.5" x14ac:dyDescent="0.2">
      <c r="A37" s="31">
        <v>33001115011982</v>
      </c>
      <c r="B37" s="39" t="s">
        <v>155</v>
      </c>
      <c r="C37" s="39" t="s">
        <v>13</v>
      </c>
      <c r="D37" s="30" t="s">
        <v>156</v>
      </c>
      <c r="J37" s="33" t="s">
        <v>8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X37" s="29"/>
      <c r="Y37" s="34"/>
      <c r="Z37" s="62">
        <v>3500</v>
      </c>
      <c r="AA37" s="62">
        <v>2800</v>
      </c>
      <c r="AB37" s="63">
        <v>700</v>
      </c>
    </row>
    <row r="38" spans="1:28" s="30" customFormat="1" ht="22.5" x14ac:dyDescent="0.2">
      <c r="A38" s="31">
        <v>33001115011982</v>
      </c>
      <c r="B38" s="39" t="s">
        <v>155</v>
      </c>
      <c r="C38" s="39" t="s">
        <v>13</v>
      </c>
      <c r="D38" s="30" t="s">
        <v>157</v>
      </c>
      <c r="J38" s="33" t="s">
        <v>9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X38" s="29"/>
      <c r="Y38" s="34"/>
      <c r="Z38" s="62">
        <v>3500</v>
      </c>
      <c r="AA38" s="62">
        <v>2800</v>
      </c>
      <c r="AB38" s="63">
        <v>700</v>
      </c>
    </row>
    <row r="39" spans="1:28" s="30" customFormat="1" ht="22.5" x14ac:dyDescent="0.2">
      <c r="A39" s="31">
        <v>5000135011982</v>
      </c>
      <c r="B39" s="32" t="s">
        <v>73</v>
      </c>
      <c r="C39" s="33" t="s">
        <v>14</v>
      </c>
      <c r="D39" s="33" t="s">
        <v>119</v>
      </c>
      <c r="E39" s="33"/>
      <c r="F39" s="33">
        <v>1752</v>
      </c>
      <c r="G39" s="33">
        <v>1752</v>
      </c>
      <c r="H39" s="33"/>
      <c r="I39" s="33"/>
      <c r="J39" s="33" t="s">
        <v>7</v>
      </c>
      <c r="K39" s="29">
        <f>P39*365</f>
        <v>16257.1</v>
      </c>
      <c r="L39" s="29"/>
      <c r="M39" s="29"/>
      <c r="N39" s="29">
        <f>P39*60</f>
        <v>2672.4</v>
      </c>
      <c r="O39" s="29">
        <f>N39+K39</f>
        <v>18929.5</v>
      </c>
      <c r="P39" s="29">
        <v>44.54</v>
      </c>
      <c r="Q39" s="29"/>
      <c r="R39" s="29"/>
      <c r="S39" s="29"/>
      <c r="T39" s="29"/>
      <c r="U39" s="29"/>
      <c r="V39" s="34">
        <f t="shared" ref="V39:V46" si="16">+M39/O39*100</f>
        <v>0</v>
      </c>
      <c r="W39" s="34">
        <f t="shared" ref="W39:W46" si="17">(K39+L39+N39)/O39*100</f>
        <v>100</v>
      </c>
      <c r="X39" s="29">
        <f t="shared" si="1"/>
        <v>3809.5</v>
      </c>
      <c r="Y39" s="34">
        <f t="shared" si="2"/>
        <v>10.804509132420092</v>
      </c>
      <c r="Z39" s="62">
        <v>1642</v>
      </c>
      <c r="AA39" s="62">
        <v>1291</v>
      </c>
      <c r="AB39" s="63">
        <v>351</v>
      </c>
    </row>
    <row r="40" spans="1:28" s="30" customFormat="1" ht="22.5" x14ac:dyDescent="0.2">
      <c r="A40" s="31">
        <v>5000135011982</v>
      </c>
      <c r="B40" s="32" t="s">
        <v>73</v>
      </c>
      <c r="C40" s="33" t="s">
        <v>14</v>
      </c>
      <c r="D40" s="33" t="s">
        <v>119</v>
      </c>
      <c r="E40" s="33"/>
      <c r="F40" s="33">
        <v>1752</v>
      </c>
      <c r="G40" s="33">
        <v>1752</v>
      </c>
      <c r="H40" s="33"/>
      <c r="I40" s="33"/>
      <c r="J40" s="33" t="s">
        <v>6</v>
      </c>
      <c r="K40" s="29">
        <f t="shared" ref="K40:K42" si="18">P40*365</f>
        <v>17910.55</v>
      </c>
      <c r="L40" s="29"/>
      <c r="M40" s="29"/>
      <c r="N40" s="29">
        <f t="shared" ref="N40:N42" si="19">P40*60</f>
        <v>2944.2</v>
      </c>
      <c r="O40" s="29">
        <f t="shared" ref="O40:O42" si="20">N40+K40</f>
        <v>20854.75</v>
      </c>
      <c r="P40" s="29">
        <v>49.07</v>
      </c>
      <c r="Q40" s="29"/>
      <c r="R40" s="29"/>
      <c r="S40" s="29"/>
      <c r="T40" s="29"/>
      <c r="U40" s="29"/>
      <c r="V40" s="34">
        <f t="shared" si="16"/>
        <v>0</v>
      </c>
      <c r="W40" s="34">
        <f t="shared" si="17"/>
        <v>100</v>
      </c>
      <c r="X40" s="29">
        <f t="shared" si="1"/>
        <v>5734.75</v>
      </c>
      <c r="Y40" s="34">
        <f t="shared" si="2"/>
        <v>11.903396118721462</v>
      </c>
      <c r="Z40" s="62">
        <v>1642</v>
      </c>
      <c r="AA40" s="62">
        <v>1291</v>
      </c>
      <c r="AB40" s="63">
        <v>351</v>
      </c>
    </row>
    <row r="41" spans="1:28" s="30" customFormat="1" ht="22.5" x14ac:dyDescent="0.2">
      <c r="A41" s="31">
        <v>5000135011982</v>
      </c>
      <c r="B41" s="32" t="s">
        <v>73</v>
      </c>
      <c r="C41" s="33" t="s">
        <v>14</v>
      </c>
      <c r="D41" s="33" t="s">
        <v>119</v>
      </c>
      <c r="E41" s="33"/>
      <c r="F41" s="33">
        <v>1752</v>
      </c>
      <c r="G41" s="33">
        <v>1752</v>
      </c>
      <c r="H41" s="33"/>
      <c r="I41" s="33"/>
      <c r="J41" s="33" t="s">
        <v>8</v>
      </c>
      <c r="K41" s="29">
        <f t="shared" si="18"/>
        <v>17914.2</v>
      </c>
      <c r="L41" s="29"/>
      <c r="M41" s="29"/>
      <c r="N41" s="29">
        <f t="shared" si="19"/>
        <v>2944.7999999999997</v>
      </c>
      <c r="O41" s="29">
        <f t="shared" si="20"/>
        <v>20859</v>
      </c>
      <c r="P41" s="29">
        <v>49.08</v>
      </c>
      <c r="Q41" s="29"/>
      <c r="R41" s="29"/>
      <c r="S41" s="29"/>
      <c r="T41" s="29"/>
      <c r="U41" s="29"/>
      <c r="V41" s="34">
        <f t="shared" si="16"/>
        <v>0</v>
      </c>
      <c r="W41" s="34">
        <f t="shared" si="17"/>
        <v>100</v>
      </c>
      <c r="X41" s="29">
        <f t="shared" si="1"/>
        <v>5739</v>
      </c>
      <c r="Y41" s="34">
        <f t="shared" si="2"/>
        <v>11.905821917808218</v>
      </c>
      <c r="Z41" s="62">
        <v>1642</v>
      </c>
      <c r="AA41" s="62">
        <v>1291</v>
      </c>
      <c r="AB41" s="63">
        <v>351</v>
      </c>
    </row>
    <row r="42" spans="1:28" s="30" customFormat="1" ht="22.5" x14ac:dyDescent="0.2">
      <c r="A42" s="31">
        <v>5000135011982</v>
      </c>
      <c r="B42" s="32" t="s">
        <v>73</v>
      </c>
      <c r="C42" s="33" t="s">
        <v>14</v>
      </c>
      <c r="D42" s="33" t="s">
        <v>119</v>
      </c>
      <c r="E42" s="33"/>
      <c r="F42" s="33">
        <v>1752</v>
      </c>
      <c r="G42" s="33">
        <v>1752</v>
      </c>
      <c r="H42" s="33"/>
      <c r="I42" s="33"/>
      <c r="J42" s="33" t="s">
        <v>9</v>
      </c>
      <c r="K42" s="29">
        <f t="shared" si="18"/>
        <v>26743.55</v>
      </c>
      <c r="L42" s="29"/>
      <c r="M42" s="29"/>
      <c r="N42" s="29">
        <f t="shared" si="19"/>
        <v>4396.2</v>
      </c>
      <c r="O42" s="29">
        <f t="shared" si="20"/>
        <v>31139.75</v>
      </c>
      <c r="P42" s="29">
        <v>73.27</v>
      </c>
      <c r="Q42" s="29"/>
      <c r="R42" s="29"/>
      <c r="S42" s="29"/>
      <c r="T42" s="29"/>
      <c r="U42" s="29"/>
      <c r="V42" s="34">
        <f t="shared" si="16"/>
        <v>0</v>
      </c>
      <c r="W42" s="34">
        <f t="shared" si="17"/>
        <v>100</v>
      </c>
      <c r="X42" s="29">
        <f t="shared" si="1"/>
        <v>16019.75</v>
      </c>
      <c r="Y42" s="34">
        <f t="shared" si="2"/>
        <v>17.7738299086758</v>
      </c>
      <c r="Z42" s="62">
        <v>1642</v>
      </c>
      <c r="AA42" s="62">
        <v>1291</v>
      </c>
      <c r="AB42" s="63">
        <v>351</v>
      </c>
    </row>
    <row r="43" spans="1:28" s="30" customFormat="1" ht="12" customHeight="1" x14ac:dyDescent="0.2">
      <c r="A43" s="38">
        <v>6000505011981</v>
      </c>
      <c r="B43" s="32" t="s">
        <v>73</v>
      </c>
      <c r="C43" s="33" t="s">
        <v>15</v>
      </c>
      <c r="D43" s="33" t="s">
        <v>119</v>
      </c>
      <c r="E43" s="33"/>
      <c r="F43" s="33">
        <v>1760</v>
      </c>
      <c r="G43" s="33">
        <v>1760</v>
      </c>
      <c r="H43" s="33"/>
      <c r="I43" s="33"/>
      <c r="J43" s="33" t="s">
        <v>7</v>
      </c>
      <c r="K43" s="29">
        <f>P43*365</f>
        <v>12041.35</v>
      </c>
      <c r="L43" s="29">
        <f>Q43*12</f>
        <v>3180.3599999999997</v>
      </c>
      <c r="M43" s="29"/>
      <c r="N43" s="29">
        <f>P43*90</f>
        <v>2969.1000000000004</v>
      </c>
      <c r="O43" s="29">
        <f t="shared" ref="O43:O50" si="21">+K43+L43+M43+N43</f>
        <v>18190.809999999998</v>
      </c>
      <c r="P43" s="29">
        <v>32.99</v>
      </c>
      <c r="Q43" s="29">
        <v>265.02999999999997</v>
      </c>
      <c r="R43" s="29"/>
      <c r="S43" s="29"/>
      <c r="T43" s="29"/>
      <c r="U43" s="29"/>
      <c r="V43" s="34">
        <f t="shared" si="16"/>
        <v>0</v>
      </c>
      <c r="W43" s="34">
        <f t="shared" si="17"/>
        <v>100</v>
      </c>
      <c r="X43" s="29">
        <f t="shared" si="1"/>
        <v>3070.8099999999977</v>
      </c>
      <c r="Y43" s="34">
        <f t="shared" si="2"/>
        <v>10.335687499999999</v>
      </c>
      <c r="Z43" s="62">
        <v>3500</v>
      </c>
      <c r="AA43" s="62">
        <v>2800</v>
      </c>
      <c r="AB43" s="63">
        <v>700</v>
      </c>
    </row>
    <row r="44" spans="1:28" s="30" customFormat="1" ht="12" customHeight="1" x14ac:dyDescent="0.2">
      <c r="A44" s="38">
        <v>6000505011981</v>
      </c>
      <c r="B44" s="32" t="s">
        <v>73</v>
      </c>
      <c r="C44" s="33" t="s">
        <v>15</v>
      </c>
      <c r="D44" s="33" t="s">
        <v>119</v>
      </c>
      <c r="E44" s="33"/>
      <c r="F44" s="33">
        <v>1760</v>
      </c>
      <c r="G44" s="33">
        <v>1760</v>
      </c>
      <c r="H44" s="33"/>
      <c r="I44" s="33"/>
      <c r="J44" s="33" t="s">
        <v>6</v>
      </c>
      <c r="K44" s="29">
        <f t="shared" ref="K44" si="22">P44*365</f>
        <v>12329.7</v>
      </c>
      <c r="L44" s="29">
        <f t="shared" ref="L44:L46" si="23">Q44*12</f>
        <v>3180.3599999999997</v>
      </c>
      <c r="M44" s="29"/>
      <c r="N44" s="29">
        <f>P44*90</f>
        <v>3040.2000000000003</v>
      </c>
      <c r="O44" s="29">
        <f t="shared" si="21"/>
        <v>18550.260000000002</v>
      </c>
      <c r="P44" s="29">
        <v>33.78</v>
      </c>
      <c r="Q44" s="29">
        <v>265.02999999999997</v>
      </c>
      <c r="R44" s="29"/>
      <c r="S44" s="29"/>
      <c r="T44" s="29"/>
      <c r="U44" s="29"/>
      <c r="V44" s="34">
        <f t="shared" si="16"/>
        <v>0</v>
      </c>
      <c r="W44" s="34">
        <f t="shared" si="17"/>
        <v>100</v>
      </c>
      <c r="X44" s="29">
        <f t="shared" si="1"/>
        <v>3430.260000000002</v>
      </c>
      <c r="Y44" s="34">
        <f t="shared" si="2"/>
        <v>10.539920454545456</v>
      </c>
      <c r="Z44" s="62">
        <v>3500</v>
      </c>
      <c r="AA44" s="62">
        <v>2800</v>
      </c>
      <c r="AB44" s="63">
        <v>700</v>
      </c>
    </row>
    <row r="45" spans="1:28" s="30" customFormat="1" ht="12" customHeight="1" x14ac:dyDescent="0.2">
      <c r="A45" s="38">
        <v>6000505011981</v>
      </c>
      <c r="B45" s="32" t="s">
        <v>73</v>
      </c>
      <c r="C45" s="33" t="s">
        <v>15</v>
      </c>
      <c r="D45" s="33" t="s">
        <v>119</v>
      </c>
      <c r="E45" s="33"/>
      <c r="F45" s="33">
        <v>1760</v>
      </c>
      <c r="G45" s="33">
        <v>1760</v>
      </c>
      <c r="H45" s="33"/>
      <c r="I45" s="33"/>
      <c r="J45" s="33" t="s">
        <v>8</v>
      </c>
      <c r="K45" s="29">
        <f>P45*12</f>
        <v>12634.920000000002</v>
      </c>
      <c r="L45" s="29">
        <f t="shared" si="23"/>
        <v>3180.3599999999997</v>
      </c>
      <c r="M45" s="29"/>
      <c r="N45" s="29">
        <f>P45*3</f>
        <v>3158.7300000000005</v>
      </c>
      <c r="O45" s="29">
        <f t="shared" si="21"/>
        <v>18974.010000000002</v>
      </c>
      <c r="P45" s="29">
        <v>1052.9100000000001</v>
      </c>
      <c r="Q45" s="29">
        <v>265.02999999999997</v>
      </c>
      <c r="R45" s="29"/>
      <c r="S45" s="29"/>
      <c r="T45" s="29"/>
      <c r="U45" s="29"/>
      <c r="V45" s="34">
        <f t="shared" si="16"/>
        <v>0</v>
      </c>
      <c r="W45" s="34">
        <f t="shared" si="17"/>
        <v>100</v>
      </c>
      <c r="X45" s="29">
        <f t="shared" si="1"/>
        <v>3854.010000000002</v>
      </c>
      <c r="Y45" s="34">
        <f t="shared" si="2"/>
        <v>10.780687500000001</v>
      </c>
      <c r="Z45" s="62">
        <v>3500</v>
      </c>
      <c r="AA45" s="62">
        <v>2800</v>
      </c>
      <c r="AB45" s="63">
        <v>700</v>
      </c>
    </row>
    <row r="46" spans="1:28" s="30" customFormat="1" ht="12" customHeight="1" x14ac:dyDescent="0.2">
      <c r="A46" s="38">
        <v>6000505011981</v>
      </c>
      <c r="B46" s="32" t="s">
        <v>73</v>
      </c>
      <c r="C46" s="33" t="s">
        <v>15</v>
      </c>
      <c r="D46" s="33" t="s">
        <v>119</v>
      </c>
      <c r="E46" s="33"/>
      <c r="F46" s="33">
        <v>1760</v>
      </c>
      <c r="G46" s="33">
        <v>1760</v>
      </c>
      <c r="H46" s="33"/>
      <c r="I46" s="33"/>
      <c r="J46" s="33" t="s">
        <v>9</v>
      </c>
      <c r="K46" s="29">
        <f>P46*12</f>
        <v>14567.880000000001</v>
      </c>
      <c r="L46" s="29">
        <f t="shared" si="23"/>
        <v>3180.3599999999997</v>
      </c>
      <c r="M46" s="29"/>
      <c r="N46" s="29">
        <f>P46*3</f>
        <v>3641.9700000000003</v>
      </c>
      <c r="O46" s="29">
        <f t="shared" si="21"/>
        <v>21390.210000000003</v>
      </c>
      <c r="P46" s="29">
        <v>1213.99</v>
      </c>
      <c r="Q46" s="29">
        <v>265.02999999999997</v>
      </c>
      <c r="R46" s="29"/>
      <c r="S46" s="29"/>
      <c r="T46" s="29"/>
      <c r="U46" s="29"/>
      <c r="V46" s="34">
        <f t="shared" si="16"/>
        <v>0</v>
      </c>
      <c r="W46" s="34">
        <f t="shared" si="17"/>
        <v>100</v>
      </c>
      <c r="X46" s="29">
        <f t="shared" si="1"/>
        <v>6270.2100000000028</v>
      </c>
      <c r="Y46" s="34">
        <f t="shared" si="2"/>
        <v>12.15352840909091</v>
      </c>
      <c r="Z46" s="62">
        <v>3500</v>
      </c>
      <c r="AA46" s="62">
        <v>2800</v>
      </c>
      <c r="AB46" s="63">
        <v>700</v>
      </c>
    </row>
    <row r="47" spans="1:28" s="30" customFormat="1" ht="11.25" x14ac:dyDescent="0.2">
      <c r="A47" s="31">
        <v>7000755011981</v>
      </c>
      <c r="B47" s="39" t="s">
        <v>79</v>
      </c>
      <c r="C47" s="33" t="s">
        <v>16</v>
      </c>
      <c r="D47" s="33" t="s">
        <v>117</v>
      </c>
      <c r="E47" s="33"/>
      <c r="F47" s="33">
        <v>1770</v>
      </c>
      <c r="G47" s="33">
        <v>1770</v>
      </c>
      <c r="H47" s="33"/>
      <c r="I47" s="33"/>
      <c r="J47" s="33" t="s">
        <v>7</v>
      </c>
      <c r="K47" s="29">
        <f>P47*365</f>
        <v>14267.85</v>
      </c>
      <c r="L47" s="29">
        <f>+Q47*247</f>
        <v>824.98</v>
      </c>
      <c r="M47" s="29"/>
      <c r="N47" s="29">
        <f>+(P47)*60</f>
        <v>2345.4</v>
      </c>
      <c r="O47" s="29">
        <f t="shared" si="21"/>
        <v>17438.23</v>
      </c>
      <c r="P47" s="29">
        <v>39.090000000000003</v>
      </c>
      <c r="Q47" s="29">
        <v>3.34</v>
      </c>
      <c r="R47" s="29"/>
      <c r="S47" s="29"/>
      <c r="T47" s="29"/>
      <c r="U47" s="29"/>
      <c r="V47" s="34">
        <f>+M47/O47*100</f>
        <v>0</v>
      </c>
      <c r="W47" s="34">
        <f>(K47+L47+N47)/O47*100</f>
        <v>100</v>
      </c>
      <c r="X47" s="29">
        <f t="shared" si="1"/>
        <v>2318.2299999999996</v>
      </c>
      <c r="Y47" s="34">
        <f t="shared" si="2"/>
        <v>9.8521073446327687</v>
      </c>
      <c r="Z47" s="62">
        <v>12000</v>
      </c>
      <c r="AA47" s="62">
        <v>10000</v>
      </c>
      <c r="AB47" s="63">
        <v>2000</v>
      </c>
    </row>
    <row r="48" spans="1:28" s="30" customFormat="1" ht="11.25" x14ac:dyDescent="0.2">
      <c r="A48" s="31">
        <v>7000755011981</v>
      </c>
      <c r="B48" s="39" t="s">
        <v>79</v>
      </c>
      <c r="C48" s="33" t="s">
        <v>16</v>
      </c>
      <c r="D48" s="33" t="s">
        <v>117</v>
      </c>
      <c r="E48" s="33"/>
      <c r="F48" s="33">
        <v>1770</v>
      </c>
      <c r="G48" s="33">
        <v>1770</v>
      </c>
      <c r="H48" s="33"/>
      <c r="I48" s="33"/>
      <c r="J48" s="33" t="s">
        <v>6</v>
      </c>
      <c r="K48" s="29">
        <f>+P48*365</f>
        <v>16315.500000000002</v>
      </c>
      <c r="L48" s="29">
        <f>+Q48*247</f>
        <v>936.13</v>
      </c>
      <c r="M48" s="29"/>
      <c r="N48" s="29">
        <f>+(P48)*60</f>
        <v>2682</v>
      </c>
      <c r="O48" s="29">
        <f t="shared" si="21"/>
        <v>19933.63</v>
      </c>
      <c r="P48" s="29">
        <v>44.7</v>
      </c>
      <c r="Q48" s="29">
        <v>3.79</v>
      </c>
      <c r="R48" s="29"/>
      <c r="S48" s="29"/>
      <c r="T48" s="29"/>
      <c r="U48" s="29"/>
      <c r="V48" s="34">
        <f>+M48/O48*100</f>
        <v>0</v>
      </c>
      <c r="W48" s="34">
        <f>(K48+L48+N48)/O48*100</f>
        <v>100</v>
      </c>
      <c r="X48" s="29">
        <f t="shared" si="1"/>
        <v>4813.630000000001</v>
      </c>
      <c r="Y48" s="34">
        <f t="shared" si="2"/>
        <v>11.261937853107344</v>
      </c>
      <c r="Z48" s="62">
        <v>12000</v>
      </c>
      <c r="AA48" s="62">
        <v>10000</v>
      </c>
      <c r="AB48" s="63">
        <v>2000</v>
      </c>
    </row>
    <row r="49" spans="1:28" s="30" customFormat="1" ht="11.25" x14ac:dyDescent="0.2">
      <c r="A49" s="31">
        <v>7000755011981</v>
      </c>
      <c r="B49" s="39" t="s">
        <v>79</v>
      </c>
      <c r="C49" s="33" t="s">
        <v>16</v>
      </c>
      <c r="D49" s="33" t="s">
        <v>117</v>
      </c>
      <c r="E49" s="33"/>
      <c r="F49" s="33">
        <v>1770</v>
      </c>
      <c r="G49" s="33">
        <v>1770</v>
      </c>
      <c r="H49" s="33"/>
      <c r="I49" s="33"/>
      <c r="J49" s="33" t="s">
        <v>8</v>
      </c>
      <c r="K49" s="29">
        <f>+P49*12</f>
        <v>17596.439999999999</v>
      </c>
      <c r="L49" s="29">
        <f>+Q49*282</f>
        <v>1147.74</v>
      </c>
      <c r="M49" s="29"/>
      <c r="N49" s="29">
        <f>+(P49)*2</f>
        <v>2932.74</v>
      </c>
      <c r="O49" s="29">
        <f t="shared" si="21"/>
        <v>21676.92</v>
      </c>
      <c r="P49" s="29">
        <v>1466.37</v>
      </c>
      <c r="Q49" s="29">
        <v>4.07</v>
      </c>
      <c r="R49" s="29"/>
      <c r="S49" s="29"/>
      <c r="T49" s="29"/>
      <c r="U49" s="29"/>
      <c r="V49" s="34">
        <f>+M49/O49*100</f>
        <v>0</v>
      </c>
      <c r="W49" s="34">
        <f>(K49+L49+N49)/O49*100</f>
        <v>100</v>
      </c>
      <c r="X49" s="29">
        <f t="shared" si="1"/>
        <v>6556.9199999999983</v>
      </c>
      <c r="Y49" s="34">
        <f t="shared" si="2"/>
        <v>12.246847457627117</v>
      </c>
      <c r="Z49" s="62">
        <v>12000</v>
      </c>
      <c r="AA49" s="62">
        <v>10000</v>
      </c>
      <c r="AB49" s="63">
        <v>2000</v>
      </c>
    </row>
    <row r="50" spans="1:28" s="30" customFormat="1" ht="11.25" x14ac:dyDescent="0.2">
      <c r="A50" s="31">
        <v>7000755011981</v>
      </c>
      <c r="B50" s="39" t="s">
        <v>79</v>
      </c>
      <c r="C50" s="33" t="s">
        <v>16</v>
      </c>
      <c r="D50" s="33" t="s">
        <v>117</v>
      </c>
      <c r="E50" s="33"/>
      <c r="F50" s="33">
        <v>1770</v>
      </c>
      <c r="G50" s="33">
        <v>1770</v>
      </c>
      <c r="H50" s="33"/>
      <c r="I50" s="33"/>
      <c r="J50" s="33" t="s">
        <v>9</v>
      </c>
      <c r="K50" s="29">
        <f>+P50*12</f>
        <v>30593.159999999996</v>
      </c>
      <c r="L50" s="29">
        <f>+Q50*282</f>
        <v>2013.48</v>
      </c>
      <c r="M50" s="29"/>
      <c r="N50" s="29">
        <f>+(P50)*2</f>
        <v>5098.8599999999997</v>
      </c>
      <c r="O50" s="29">
        <f t="shared" si="21"/>
        <v>37705.499999999993</v>
      </c>
      <c r="P50" s="29">
        <v>2549.4299999999998</v>
      </c>
      <c r="Q50" s="29">
        <v>7.14</v>
      </c>
      <c r="R50" s="29"/>
      <c r="S50" s="29"/>
      <c r="T50" s="29"/>
      <c r="U50" s="29"/>
      <c r="V50" s="34">
        <f>+M50/O50*100</f>
        <v>0</v>
      </c>
      <c r="W50" s="34">
        <f>(K50+L50+N50)/O50*100</f>
        <v>100</v>
      </c>
      <c r="X50" s="29">
        <f t="shared" si="1"/>
        <v>22585.499999999993</v>
      </c>
      <c r="Y50" s="34">
        <f t="shared" si="2"/>
        <v>21.302542372881351</v>
      </c>
      <c r="Z50" s="62">
        <v>12000</v>
      </c>
      <c r="AA50" s="62">
        <v>10000</v>
      </c>
      <c r="AB50" s="63">
        <v>2000</v>
      </c>
    </row>
    <row r="51" spans="1:28" s="30" customFormat="1" ht="22.5" x14ac:dyDescent="0.2">
      <c r="A51" s="31">
        <v>8002545011994</v>
      </c>
      <c r="B51" s="32" t="s">
        <v>73</v>
      </c>
      <c r="C51" s="33" t="s">
        <v>17</v>
      </c>
      <c r="D51" s="33" t="s">
        <v>119</v>
      </c>
      <c r="E51" s="33"/>
      <c r="F51" s="33">
        <v>1750</v>
      </c>
      <c r="G51" s="33">
        <v>1750</v>
      </c>
      <c r="H51" s="33"/>
      <c r="I51" s="33">
        <v>7</v>
      </c>
      <c r="J51" s="33" t="s">
        <v>7</v>
      </c>
      <c r="K51" s="29">
        <f>O51</f>
        <v>24903.19</v>
      </c>
      <c r="L51" s="36" t="s">
        <v>18</v>
      </c>
      <c r="M51" s="36" t="s">
        <v>18</v>
      </c>
      <c r="N51" s="29">
        <f>+(P51+Q51)*60</f>
        <v>0</v>
      </c>
      <c r="O51" s="29">
        <v>24903.19</v>
      </c>
      <c r="P51" s="29"/>
      <c r="Q51" s="29"/>
      <c r="R51" s="29"/>
      <c r="S51" s="29"/>
      <c r="T51" s="29"/>
      <c r="U51" s="29"/>
      <c r="V51" s="34"/>
      <c r="W51" s="34"/>
      <c r="X51" s="29">
        <f t="shared" si="1"/>
        <v>9783.1899999999987</v>
      </c>
      <c r="Y51" s="34">
        <f t="shared" si="2"/>
        <v>14.230394285714285</v>
      </c>
      <c r="Z51" s="62">
        <v>168000</v>
      </c>
      <c r="AA51" s="62">
        <v>117600</v>
      </c>
      <c r="AB51" s="63">
        <v>50400</v>
      </c>
    </row>
    <row r="52" spans="1:28" s="30" customFormat="1" ht="22.5" x14ac:dyDescent="0.2">
      <c r="A52" s="31">
        <v>8002545011994</v>
      </c>
      <c r="B52" s="32" t="s">
        <v>73</v>
      </c>
      <c r="C52" s="33" t="s">
        <v>17</v>
      </c>
      <c r="D52" s="33" t="s">
        <v>119</v>
      </c>
      <c r="E52" s="33"/>
      <c r="F52" s="33">
        <v>1750</v>
      </c>
      <c r="G52" s="33">
        <v>1750</v>
      </c>
      <c r="H52" s="33"/>
      <c r="I52" s="33">
        <v>5</v>
      </c>
      <c r="J52" s="33" t="s">
        <v>6</v>
      </c>
      <c r="K52" s="29">
        <f>O52</f>
        <v>25955.07</v>
      </c>
      <c r="L52" s="36" t="s">
        <v>18</v>
      </c>
      <c r="M52" s="36" t="s">
        <v>18</v>
      </c>
      <c r="N52" s="29">
        <f>+(P52+Q52)*60</f>
        <v>0</v>
      </c>
      <c r="O52" s="29">
        <v>25955.07</v>
      </c>
      <c r="P52" s="29"/>
      <c r="Q52" s="29"/>
      <c r="R52" s="29"/>
      <c r="S52" s="29"/>
      <c r="T52" s="29"/>
      <c r="U52" s="29"/>
      <c r="V52" s="34"/>
      <c r="W52" s="34"/>
      <c r="X52" s="29">
        <f t="shared" si="1"/>
        <v>10835.07</v>
      </c>
      <c r="Y52" s="34">
        <f t="shared" si="2"/>
        <v>14.831468571428571</v>
      </c>
      <c r="Z52" s="62">
        <v>168000</v>
      </c>
      <c r="AA52" s="62">
        <v>117600</v>
      </c>
      <c r="AB52" s="63">
        <v>50400</v>
      </c>
    </row>
    <row r="53" spans="1:28" s="30" customFormat="1" ht="22.5" x14ac:dyDescent="0.2">
      <c r="A53" s="31">
        <v>8002545011994</v>
      </c>
      <c r="B53" s="32" t="s">
        <v>73</v>
      </c>
      <c r="C53" s="33" t="s">
        <v>17</v>
      </c>
      <c r="D53" s="33" t="s">
        <v>119</v>
      </c>
      <c r="E53" s="33"/>
      <c r="F53" s="33">
        <v>1750</v>
      </c>
      <c r="G53" s="33">
        <v>1750</v>
      </c>
      <c r="H53" s="33"/>
      <c r="I53" s="33">
        <v>5</v>
      </c>
      <c r="J53" s="33" t="s">
        <v>8</v>
      </c>
      <c r="K53" s="29">
        <f>O53</f>
        <v>25955.07</v>
      </c>
      <c r="L53" s="36" t="s">
        <v>18</v>
      </c>
      <c r="M53" s="36" t="s">
        <v>18</v>
      </c>
      <c r="N53" s="29">
        <f>+(P53+Q53)*60</f>
        <v>0</v>
      </c>
      <c r="O53" s="29">
        <v>25955.07</v>
      </c>
      <c r="P53" s="29"/>
      <c r="Q53" s="29"/>
      <c r="R53" s="29"/>
      <c r="S53" s="29"/>
      <c r="T53" s="29"/>
      <c r="U53" s="29"/>
      <c r="V53" s="34"/>
      <c r="W53" s="34"/>
      <c r="X53" s="29">
        <f t="shared" si="1"/>
        <v>10835.07</v>
      </c>
      <c r="Y53" s="34">
        <f t="shared" si="2"/>
        <v>14.831468571428571</v>
      </c>
      <c r="Z53" s="62">
        <v>168000</v>
      </c>
      <c r="AA53" s="62">
        <v>117600</v>
      </c>
      <c r="AB53" s="63">
        <v>50400</v>
      </c>
    </row>
    <row r="54" spans="1:28" s="30" customFormat="1" ht="22.5" x14ac:dyDescent="0.2">
      <c r="A54" s="31">
        <v>8002545011994</v>
      </c>
      <c r="B54" s="32" t="s">
        <v>73</v>
      </c>
      <c r="C54" s="33" t="s">
        <v>17</v>
      </c>
      <c r="D54" s="33" t="s">
        <v>119</v>
      </c>
      <c r="E54" s="33"/>
      <c r="F54" s="33">
        <v>1750</v>
      </c>
      <c r="G54" s="33">
        <v>1750</v>
      </c>
      <c r="H54" s="33"/>
      <c r="I54" s="33">
        <v>1</v>
      </c>
      <c r="J54" s="33" t="s">
        <v>9</v>
      </c>
      <c r="K54" s="29">
        <f>O54</f>
        <v>32432.18</v>
      </c>
      <c r="L54" s="36" t="s">
        <v>18</v>
      </c>
      <c r="M54" s="36" t="s">
        <v>18</v>
      </c>
      <c r="N54" s="29">
        <f>+(P54+Q54)*60</f>
        <v>0</v>
      </c>
      <c r="O54" s="29">
        <v>32432.18</v>
      </c>
      <c r="P54" s="29"/>
      <c r="Q54" s="29"/>
      <c r="R54" s="29"/>
      <c r="S54" s="29"/>
      <c r="T54" s="29"/>
      <c r="U54" s="29"/>
      <c r="V54" s="34"/>
      <c r="W54" s="34"/>
      <c r="X54" s="29">
        <f t="shared" si="1"/>
        <v>17312.18</v>
      </c>
      <c r="Y54" s="34">
        <f t="shared" si="2"/>
        <v>18.532674285714286</v>
      </c>
      <c r="Z54" s="62">
        <v>168000</v>
      </c>
      <c r="AA54" s="62">
        <v>117600</v>
      </c>
      <c r="AB54" s="63">
        <v>50400</v>
      </c>
    </row>
    <row r="55" spans="1:28" s="30" customFormat="1" ht="22.5" x14ac:dyDescent="0.2">
      <c r="A55" s="31">
        <v>9000555011982</v>
      </c>
      <c r="B55" s="32" t="s">
        <v>73</v>
      </c>
      <c r="C55" s="33" t="s">
        <v>19</v>
      </c>
      <c r="D55" s="33" t="s">
        <v>121</v>
      </c>
      <c r="E55" s="33"/>
      <c r="F55" s="33">
        <v>1736</v>
      </c>
      <c r="G55" s="33">
        <v>1736</v>
      </c>
      <c r="H55" s="33">
        <v>1736</v>
      </c>
      <c r="I55" s="33">
        <v>7</v>
      </c>
      <c r="J55" s="33" t="s">
        <v>7</v>
      </c>
      <c r="K55" s="29">
        <f>+P55*365</f>
        <v>17089.3</v>
      </c>
      <c r="L55" s="29">
        <f>+Q55*300</f>
        <v>2820</v>
      </c>
      <c r="M55" s="29"/>
      <c r="N55" s="29">
        <f>+(P55)*60</f>
        <v>2809.2</v>
      </c>
      <c r="O55" s="29">
        <f t="shared" ref="O55:O86" si="24">+K55+L55+M55+N55</f>
        <v>22718.5</v>
      </c>
      <c r="P55" s="29">
        <v>46.82</v>
      </c>
      <c r="Q55" s="29">
        <v>9.4</v>
      </c>
      <c r="R55" s="29"/>
      <c r="S55" s="29"/>
      <c r="T55" s="29">
        <v>23620.9</v>
      </c>
      <c r="U55" s="29">
        <f>T55-O55</f>
        <v>902.40000000000146</v>
      </c>
      <c r="V55" s="34">
        <f t="shared" ref="V55:V74" si="25">+M55/O55*100</f>
        <v>0</v>
      </c>
      <c r="W55" s="34">
        <f t="shared" ref="W55:W74" si="26">(K55+L55+N55)/O55*100</f>
        <v>100</v>
      </c>
      <c r="X55" s="29">
        <f t="shared" si="1"/>
        <v>7598.5</v>
      </c>
      <c r="Y55" s="34">
        <f t="shared" si="2"/>
        <v>13.086693548387096</v>
      </c>
      <c r="Z55" s="62">
        <v>13100</v>
      </c>
      <c r="AA55" s="62">
        <v>10480</v>
      </c>
      <c r="AB55" s="63">
        <v>2620</v>
      </c>
    </row>
    <row r="56" spans="1:28" s="30" customFormat="1" ht="22.5" x14ac:dyDescent="0.2">
      <c r="A56" s="31">
        <v>9000555011982</v>
      </c>
      <c r="B56" s="32" t="s">
        <v>73</v>
      </c>
      <c r="C56" s="33" t="s">
        <v>19</v>
      </c>
      <c r="D56" s="33" t="s">
        <v>121</v>
      </c>
      <c r="E56" s="33"/>
      <c r="F56" s="33">
        <v>1736</v>
      </c>
      <c r="G56" s="33">
        <v>1736</v>
      </c>
      <c r="H56" s="33">
        <v>1736</v>
      </c>
      <c r="I56" s="33">
        <v>5</v>
      </c>
      <c r="J56" s="33" t="s">
        <v>6</v>
      </c>
      <c r="K56" s="29">
        <f>+P56*365</f>
        <v>19308.5</v>
      </c>
      <c r="L56" s="29">
        <f>+Q56*300</f>
        <v>3110.9999999999995</v>
      </c>
      <c r="M56" s="29"/>
      <c r="N56" s="29">
        <f>+(P56)*60</f>
        <v>3174</v>
      </c>
      <c r="O56" s="29">
        <f t="shared" si="24"/>
        <v>25593.5</v>
      </c>
      <c r="P56" s="29">
        <v>52.9</v>
      </c>
      <c r="Q56" s="29">
        <v>10.37</v>
      </c>
      <c r="R56" s="29"/>
      <c r="S56" s="29"/>
      <c r="T56" s="29">
        <v>26589.02</v>
      </c>
      <c r="U56" s="29">
        <f t="shared" ref="U56:U58" si="27">T56-O56</f>
        <v>995.52000000000044</v>
      </c>
      <c r="V56" s="34">
        <f t="shared" si="25"/>
        <v>0</v>
      </c>
      <c r="W56" s="34">
        <f t="shared" si="26"/>
        <v>100</v>
      </c>
      <c r="X56" s="29">
        <f t="shared" si="1"/>
        <v>10473.5</v>
      </c>
      <c r="Y56" s="34">
        <f t="shared" si="2"/>
        <v>14.742799539170507</v>
      </c>
      <c r="Z56" s="62">
        <v>13100</v>
      </c>
      <c r="AA56" s="62">
        <v>10480</v>
      </c>
      <c r="AB56" s="63">
        <v>2620</v>
      </c>
    </row>
    <row r="57" spans="1:28" s="30" customFormat="1" ht="22.5" x14ac:dyDescent="0.2">
      <c r="A57" s="31">
        <v>9000555011982</v>
      </c>
      <c r="B57" s="32" t="s">
        <v>73</v>
      </c>
      <c r="C57" s="33" t="s">
        <v>19</v>
      </c>
      <c r="D57" s="33" t="s">
        <v>121</v>
      </c>
      <c r="E57" s="33"/>
      <c r="F57" s="33">
        <v>1736</v>
      </c>
      <c r="G57" s="33">
        <v>1736</v>
      </c>
      <c r="H57" s="33">
        <v>1736</v>
      </c>
      <c r="I57" s="33">
        <v>5</v>
      </c>
      <c r="J57" s="33" t="s">
        <v>8</v>
      </c>
      <c r="K57" s="29">
        <f>+P57*12</f>
        <v>19084.439999999999</v>
      </c>
      <c r="L57" s="29">
        <f>+Q57*300</f>
        <v>3110.9999999999995</v>
      </c>
      <c r="M57" s="29"/>
      <c r="N57" s="29">
        <f>+(P57)*2</f>
        <v>3180.74</v>
      </c>
      <c r="O57" s="29">
        <f t="shared" si="24"/>
        <v>25376.18</v>
      </c>
      <c r="P57" s="29">
        <v>1590.37</v>
      </c>
      <c r="Q57" s="29">
        <v>10.37</v>
      </c>
      <c r="R57" s="29"/>
      <c r="S57" s="29"/>
      <c r="T57" s="29">
        <v>26371.7</v>
      </c>
      <c r="U57" s="29">
        <f t="shared" si="27"/>
        <v>995.52000000000044</v>
      </c>
      <c r="V57" s="34">
        <f t="shared" si="25"/>
        <v>0</v>
      </c>
      <c r="W57" s="34">
        <f t="shared" si="26"/>
        <v>100</v>
      </c>
      <c r="X57" s="29">
        <f t="shared" si="1"/>
        <v>10256.18</v>
      </c>
      <c r="Y57" s="34">
        <f t="shared" si="2"/>
        <v>14.617615207373271</v>
      </c>
      <c r="Z57" s="62">
        <v>13100</v>
      </c>
      <c r="AA57" s="62">
        <v>10480</v>
      </c>
      <c r="AB57" s="63">
        <v>2620</v>
      </c>
    </row>
    <row r="58" spans="1:28" s="30" customFormat="1" ht="22.5" x14ac:dyDescent="0.2">
      <c r="A58" s="31">
        <v>9000555011982</v>
      </c>
      <c r="B58" s="32" t="s">
        <v>73</v>
      </c>
      <c r="C58" s="33" t="s">
        <v>19</v>
      </c>
      <c r="D58" s="33" t="s">
        <v>121</v>
      </c>
      <c r="E58" s="33"/>
      <c r="F58" s="33">
        <v>1736</v>
      </c>
      <c r="G58" s="33">
        <v>1736</v>
      </c>
      <c r="H58" s="33">
        <v>1736</v>
      </c>
      <c r="I58" s="33"/>
      <c r="J58" s="33" t="s">
        <v>9</v>
      </c>
      <c r="K58" s="29">
        <f>+P58*12</f>
        <v>27306.600000000002</v>
      </c>
      <c r="L58" s="29">
        <f>+Q58*300</f>
        <v>3110.9999999999995</v>
      </c>
      <c r="M58" s="29"/>
      <c r="N58" s="29">
        <f>+(P58)*2</f>
        <v>4551.1000000000004</v>
      </c>
      <c r="O58" s="29">
        <f t="shared" si="24"/>
        <v>34968.700000000004</v>
      </c>
      <c r="P58" s="29">
        <v>2275.5500000000002</v>
      </c>
      <c r="Q58" s="29">
        <v>10.37</v>
      </c>
      <c r="R58" s="29"/>
      <c r="S58" s="29"/>
      <c r="T58" s="29">
        <v>35964.22</v>
      </c>
      <c r="U58" s="29">
        <f t="shared" si="27"/>
        <v>995.5199999999968</v>
      </c>
      <c r="V58" s="34">
        <f t="shared" si="25"/>
        <v>0</v>
      </c>
      <c r="W58" s="34">
        <f t="shared" si="26"/>
        <v>100</v>
      </c>
      <c r="X58" s="29">
        <f t="shared" si="1"/>
        <v>19848.700000000004</v>
      </c>
      <c r="Y58" s="34">
        <f t="shared" si="2"/>
        <v>20.143260368663597</v>
      </c>
      <c r="Z58" s="62">
        <v>13100</v>
      </c>
      <c r="AA58" s="62">
        <v>10480</v>
      </c>
      <c r="AB58" s="63">
        <v>2620</v>
      </c>
    </row>
    <row r="59" spans="1:28" s="30" customFormat="1" ht="22.5" x14ac:dyDescent="0.2">
      <c r="A59" s="31">
        <v>10000245011982</v>
      </c>
      <c r="B59" s="32" t="s">
        <v>73</v>
      </c>
      <c r="C59" s="33" t="s">
        <v>20</v>
      </c>
      <c r="D59" s="33" t="s">
        <v>123</v>
      </c>
      <c r="E59" s="33">
        <v>1760</v>
      </c>
      <c r="F59" s="33">
        <v>1760</v>
      </c>
      <c r="G59" s="33">
        <v>1760</v>
      </c>
      <c r="H59" s="33">
        <v>1760</v>
      </c>
      <c r="I59" s="33">
        <v>7</v>
      </c>
      <c r="J59" s="33" t="s">
        <v>7</v>
      </c>
      <c r="K59" s="29">
        <f>+P59*365</f>
        <v>13114.45</v>
      </c>
      <c r="L59" s="29">
        <f>+Q59*365</f>
        <v>0</v>
      </c>
      <c r="M59" s="29">
        <f t="shared" ref="M59:M69" si="28">+R59*225</f>
        <v>0</v>
      </c>
      <c r="N59" s="29">
        <f>+S59*3</f>
        <v>3233.3999999999996</v>
      </c>
      <c r="O59" s="29">
        <f t="shared" si="24"/>
        <v>16347.85</v>
      </c>
      <c r="P59" s="29">
        <v>35.93</v>
      </c>
      <c r="Q59" s="29"/>
      <c r="R59" s="29">
        <v>0</v>
      </c>
      <c r="S59" s="29">
        <v>1077.8</v>
      </c>
      <c r="T59" s="29"/>
      <c r="U59" s="29"/>
      <c r="V59" s="34">
        <f t="shared" si="25"/>
        <v>0</v>
      </c>
      <c r="W59" s="34">
        <f t="shared" si="26"/>
        <v>100</v>
      </c>
      <c r="X59" s="29">
        <f t="shared" si="1"/>
        <v>1227.8500000000004</v>
      </c>
      <c r="Y59" s="34">
        <f t="shared" si="2"/>
        <v>9.2885511363636368</v>
      </c>
      <c r="Z59" s="62">
        <v>2800</v>
      </c>
      <c r="AA59" s="62">
        <v>2575</v>
      </c>
      <c r="AB59" s="63">
        <v>225</v>
      </c>
    </row>
    <row r="60" spans="1:28" s="30" customFormat="1" ht="22.5" x14ac:dyDescent="0.2">
      <c r="A60" s="31">
        <v>10000245011982</v>
      </c>
      <c r="B60" s="32" t="s">
        <v>73</v>
      </c>
      <c r="C60" s="33" t="s">
        <v>20</v>
      </c>
      <c r="D60" s="33" t="s">
        <v>123</v>
      </c>
      <c r="E60" s="33">
        <v>1760</v>
      </c>
      <c r="F60" s="33">
        <v>1760</v>
      </c>
      <c r="G60" s="33">
        <v>1760</v>
      </c>
      <c r="H60" s="33">
        <v>1760</v>
      </c>
      <c r="I60" s="33">
        <v>5</v>
      </c>
      <c r="J60" s="33" t="s">
        <v>6</v>
      </c>
      <c r="K60" s="29">
        <f t="shared" ref="K60" si="29">+P60*365</f>
        <v>14450.35</v>
      </c>
      <c r="L60" s="29">
        <f t="shared" ref="L60:L66" si="30">+Q60*365</f>
        <v>0</v>
      </c>
      <c r="M60" s="29">
        <f t="shared" si="28"/>
        <v>0</v>
      </c>
      <c r="N60" s="29">
        <f>+S60*3</f>
        <v>3561.66</v>
      </c>
      <c r="O60" s="29">
        <f t="shared" si="24"/>
        <v>18012.010000000002</v>
      </c>
      <c r="P60" s="29">
        <v>39.590000000000003</v>
      </c>
      <c r="Q60" s="29"/>
      <c r="R60" s="29">
        <v>0</v>
      </c>
      <c r="S60" s="29">
        <v>1187.22</v>
      </c>
      <c r="T60" s="29"/>
      <c r="U60" s="29"/>
      <c r="V60" s="34">
        <f t="shared" si="25"/>
        <v>0</v>
      </c>
      <c r="W60" s="34">
        <f t="shared" si="26"/>
        <v>100</v>
      </c>
      <c r="X60" s="29">
        <f t="shared" si="1"/>
        <v>2892.010000000002</v>
      </c>
      <c r="Y60" s="34">
        <f t="shared" si="2"/>
        <v>10.234096590909092</v>
      </c>
      <c r="Z60" s="62">
        <v>2800</v>
      </c>
      <c r="AA60" s="62">
        <v>2575</v>
      </c>
      <c r="AB60" s="63">
        <v>225</v>
      </c>
    </row>
    <row r="61" spans="1:28" s="30" customFormat="1" ht="22.5" x14ac:dyDescent="0.2">
      <c r="A61" s="31">
        <v>10000245011982</v>
      </c>
      <c r="B61" s="32" t="s">
        <v>73</v>
      </c>
      <c r="C61" s="33" t="s">
        <v>20</v>
      </c>
      <c r="D61" s="33" t="s">
        <v>123</v>
      </c>
      <c r="E61" s="33">
        <v>1760</v>
      </c>
      <c r="F61" s="33">
        <v>1760</v>
      </c>
      <c r="G61" s="33">
        <v>1760</v>
      </c>
      <c r="H61" s="33">
        <v>1760</v>
      </c>
      <c r="I61" s="33">
        <v>3</v>
      </c>
      <c r="J61" s="33" t="s">
        <v>8</v>
      </c>
      <c r="K61" s="29">
        <f>+P61*12</f>
        <v>14346.599999999999</v>
      </c>
      <c r="L61" s="29">
        <f t="shared" si="30"/>
        <v>0</v>
      </c>
      <c r="M61" s="29">
        <f t="shared" si="28"/>
        <v>0</v>
      </c>
      <c r="N61" s="29">
        <f>+S61*3</f>
        <v>3586.6499999999996</v>
      </c>
      <c r="O61" s="29">
        <f t="shared" si="24"/>
        <v>17933.25</v>
      </c>
      <c r="P61" s="29">
        <v>1195.55</v>
      </c>
      <c r="Q61" s="29"/>
      <c r="R61" s="29">
        <v>0</v>
      </c>
      <c r="S61" s="29">
        <v>1195.55</v>
      </c>
      <c r="T61" s="29"/>
      <c r="U61" s="29"/>
      <c r="V61" s="34">
        <f t="shared" si="25"/>
        <v>0</v>
      </c>
      <c r="W61" s="34">
        <f t="shared" si="26"/>
        <v>100</v>
      </c>
      <c r="X61" s="29">
        <f t="shared" si="1"/>
        <v>2813.25</v>
      </c>
      <c r="Y61" s="34">
        <f t="shared" si="2"/>
        <v>10.189346590909091</v>
      </c>
      <c r="Z61" s="62">
        <v>2800</v>
      </c>
      <c r="AA61" s="62">
        <v>2575</v>
      </c>
      <c r="AB61" s="63">
        <v>225</v>
      </c>
    </row>
    <row r="62" spans="1:28" s="30" customFormat="1" ht="22.5" x14ac:dyDescent="0.2">
      <c r="A62" s="31">
        <v>10000245011982</v>
      </c>
      <c r="B62" s="32" t="s">
        <v>73</v>
      </c>
      <c r="C62" s="33" t="s">
        <v>20</v>
      </c>
      <c r="D62" s="33" t="s">
        <v>123</v>
      </c>
      <c r="E62" s="33">
        <v>1760</v>
      </c>
      <c r="F62" s="33">
        <v>1760</v>
      </c>
      <c r="G62" s="33">
        <v>1760</v>
      </c>
      <c r="H62" s="33">
        <v>1760</v>
      </c>
      <c r="I62" s="33">
        <v>1</v>
      </c>
      <c r="J62" s="33" t="s">
        <v>9</v>
      </c>
      <c r="K62" s="29">
        <f>+P62*12</f>
        <v>17221.560000000001</v>
      </c>
      <c r="L62" s="29">
        <f t="shared" si="30"/>
        <v>0</v>
      </c>
      <c r="M62" s="29">
        <f t="shared" si="28"/>
        <v>0</v>
      </c>
      <c r="N62" s="29">
        <f>+S62*3</f>
        <v>4305.3900000000003</v>
      </c>
      <c r="O62" s="29">
        <f t="shared" si="24"/>
        <v>21526.95</v>
      </c>
      <c r="P62" s="29">
        <v>1435.13</v>
      </c>
      <c r="Q62" s="29"/>
      <c r="R62" s="29">
        <v>0</v>
      </c>
      <c r="S62" s="29">
        <v>1435.13</v>
      </c>
      <c r="T62" s="29"/>
      <c r="U62" s="29"/>
      <c r="V62" s="34">
        <f t="shared" si="25"/>
        <v>0</v>
      </c>
      <c r="W62" s="34">
        <f t="shared" si="26"/>
        <v>100</v>
      </c>
      <c r="X62" s="29">
        <f t="shared" si="1"/>
        <v>6406.9500000000007</v>
      </c>
      <c r="Y62" s="34">
        <f t="shared" si="2"/>
        <v>12.231221590909092</v>
      </c>
      <c r="Z62" s="62">
        <v>2800</v>
      </c>
      <c r="AA62" s="62">
        <v>2575</v>
      </c>
      <c r="AB62" s="63">
        <v>225</v>
      </c>
    </row>
    <row r="63" spans="1:28" s="30" customFormat="1" ht="22.5" x14ac:dyDescent="0.2">
      <c r="A63" s="31">
        <v>11000495011982</v>
      </c>
      <c r="B63" s="32" t="s">
        <v>80</v>
      </c>
      <c r="C63" s="33" t="s">
        <v>21</v>
      </c>
      <c r="D63" s="33" t="s">
        <v>124</v>
      </c>
      <c r="E63" s="33">
        <v>1748</v>
      </c>
      <c r="F63" s="33">
        <v>1748</v>
      </c>
      <c r="G63" s="33"/>
      <c r="H63" s="33"/>
      <c r="I63" s="33"/>
      <c r="J63" s="33" t="s">
        <v>7</v>
      </c>
      <c r="K63" s="29">
        <f>+P63*365</f>
        <v>17370.350000000002</v>
      </c>
      <c r="L63" s="29">
        <f t="shared" si="30"/>
        <v>0</v>
      </c>
      <c r="M63" s="29">
        <f t="shared" si="28"/>
        <v>1203.75</v>
      </c>
      <c r="N63" s="29">
        <f>+P63*90</f>
        <v>4283.1000000000004</v>
      </c>
      <c r="O63" s="29">
        <f t="shared" si="24"/>
        <v>22857.200000000004</v>
      </c>
      <c r="P63" s="29">
        <v>47.59</v>
      </c>
      <c r="Q63" s="29"/>
      <c r="R63" s="29">
        <v>5.35</v>
      </c>
      <c r="S63" s="29"/>
      <c r="T63" s="29"/>
      <c r="U63" s="29"/>
      <c r="V63" s="34">
        <f t="shared" si="25"/>
        <v>5.266393084017289</v>
      </c>
      <c r="W63" s="34">
        <f t="shared" si="26"/>
        <v>94.733606915982719</v>
      </c>
      <c r="X63" s="29">
        <f t="shared" si="1"/>
        <v>7737.2000000000044</v>
      </c>
      <c r="Y63" s="34">
        <f t="shared" si="2"/>
        <v>13.076201372997714</v>
      </c>
      <c r="Z63" s="62">
        <v>30000</v>
      </c>
      <c r="AA63" s="62">
        <v>24900</v>
      </c>
      <c r="AB63" s="63">
        <v>5100</v>
      </c>
    </row>
    <row r="64" spans="1:28" s="30" customFormat="1" ht="22.5" x14ac:dyDescent="0.2">
      <c r="A64" s="31">
        <v>11000495011982</v>
      </c>
      <c r="B64" s="32" t="s">
        <v>80</v>
      </c>
      <c r="C64" s="33" t="s">
        <v>21</v>
      </c>
      <c r="D64" s="33" t="s">
        <v>124</v>
      </c>
      <c r="E64" s="33">
        <v>1748</v>
      </c>
      <c r="F64" s="33">
        <v>1748</v>
      </c>
      <c r="G64" s="33"/>
      <c r="H64" s="33"/>
      <c r="I64" s="33"/>
      <c r="J64" s="33" t="s">
        <v>6</v>
      </c>
      <c r="K64" s="29">
        <f>+P64*365</f>
        <v>17917.850000000002</v>
      </c>
      <c r="L64" s="29">
        <f t="shared" si="30"/>
        <v>0</v>
      </c>
      <c r="M64" s="29">
        <f t="shared" si="28"/>
        <v>1203.75</v>
      </c>
      <c r="N64" s="29">
        <f>+P64*90</f>
        <v>4418.1000000000004</v>
      </c>
      <c r="O64" s="29">
        <f t="shared" si="24"/>
        <v>23539.700000000004</v>
      </c>
      <c r="P64" s="29">
        <v>49.09</v>
      </c>
      <c r="Q64" s="29"/>
      <c r="R64" s="29">
        <v>5.35</v>
      </c>
      <c r="S64" s="29"/>
      <c r="T64" s="29"/>
      <c r="U64" s="29"/>
      <c r="V64" s="34">
        <f t="shared" si="25"/>
        <v>5.1137015340042558</v>
      </c>
      <c r="W64" s="34">
        <f t="shared" si="26"/>
        <v>94.88629846599575</v>
      </c>
      <c r="X64" s="29">
        <f t="shared" si="1"/>
        <v>8419.7000000000044</v>
      </c>
      <c r="Y64" s="34">
        <f t="shared" si="2"/>
        <v>13.466647597254006</v>
      </c>
      <c r="Z64" s="62">
        <v>30000</v>
      </c>
      <c r="AA64" s="62">
        <v>24900</v>
      </c>
      <c r="AB64" s="63">
        <v>5100</v>
      </c>
    </row>
    <row r="65" spans="1:28" s="30" customFormat="1" ht="22.5" x14ac:dyDescent="0.2">
      <c r="A65" s="31">
        <v>11000495011982</v>
      </c>
      <c r="B65" s="32" t="s">
        <v>80</v>
      </c>
      <c r="C65" s="33" t="s">
        <v>21</v>
      </c>
      <c r="D65" s="33" t="s">
        <v>124</v>
      </c>
      <c r="E65" s="33">
        <v>1748</v>
      </c>
      <c r="F65" s="33">
        <v>1748</v>
      </c>
      <c r="G65" s="33"/>
      <c r="H65" s="33"/>
      <c r="I65" s="33"/>
      <c r="J65" s="33" t="s">
        <v>8</v>
      </c>
      <c r="K65" s="29">
        <f>+P65*12</f>
        <v>18524.28</v>
      </c>
      <c r="L65" s="29">
        <f t="shared" si="30"/>
        <v>0</v>
      </c>
      <c r="M65" s="29">
        <f t="shared" si="28"/>
        <v>1203.75</v>
      </c>
      <c r="N65" s="29">
        <f>+P65*3</f>
        <v>4631.07</v>
      </c>
      <c r="O65" s="29">
        <f t="shared" si="24"/>
        <v>24359.1</v>
      </c>
      <c r="P65" s="29">
        <v>1543.69</v>
      </c>
      <c r="Q65" s="29"/>
      <c r="R65" s="29">
        <v>5.35</v>
      </c>
      <c r="S65" s="29"/>
      <c r="T65" s="29"/>
      <c r="U65" s="29"/>
      <c r="V65" s="34">
        <f t="shared" si="25"/>
        <v>4.9416850376245431</v>
      </c>
      <c r="W65" s="34">
        <f t="shared" si="26"/>
        <v>95.058314962375462</v>
      </c>
      <c r="X65" s="29">
        <f t="shared" si="1"/>
        <v>9239.0999999999985</v>
      </c>
      <c r="Y65" s="34">
        <f t="shared" si="2"/>
        <v>13.9354118993135</v>
      </c>
      <c r="Z65" s="62">
        <v>30000</v>
      </c>
      <c r="AA65" s="62">
        <v>24900</v>
      </c>
      <c r="AB65" s="63">
        <v>5100</v>
      </c>
    </row>
    <row r="66" spans="1:28" s="30" customFormat="1" ht="22.5" x14ac:dyDescent="0.2">
      <c r="A66" s="31">
        <v>11000495011982</v>
      </c>
      <c r="B66" s="32" t="s">
        <v>80</v>
      </c>
      <c r="C66" s="33" t="s">
        <v>21</v>
      </c>
      <c r="D66" s="33" t="s">
        <v>124</v>
      </c>
      <c r="E66" s="33">
        <v>1748</v>
      </c>
      <c r="F66" s="33">
        <v>1748</v>
      </c>
      <c r="G66" s="33"/>
      <c r="H66" s="33"/>
      <c r="I66" s="33"/>
      <c r="J66" s="33" t="s">
        <v>9</v>
      </c>
      <c r="K66" s="29">
        <f>+P66*12</f>
        <v>20007.96</v>
      </c>
      <c r="L66" s="29">
        <f t="shared" si="30"/>
        <v>0</v>
      </c>
      <c r="M66" s="29">
        <f t="shared" si="28"/>
        <v>1203.75</v>
      </c>
      <c r="N66" s="29">
        <f>+P66*3</f>
        <v>5001.99</v>
      </c>
      <c r="O66" s="29">
        <f t="shared" si="24"/>
        <v>26213.699999999997</v>
      </c>
      <c r="P66" s="29">
        <v>1667.33</v>
      </c>
      <c r="Q66" s="29"/>
      <c r="R66" s="29">
        <v>5.35</v>
      </c>
      <c r="S66" s="29"/>
      <c r="T66" s="29"/>
      <c r="U66" s="29"/>
      <c r="V66" s="34">
        <f t="shared" si="25"/>
        <v>4.5920644548461311</v>
      </c>
      <c r="W66" s="34">
        <f t="shared" si="26"/>
        <v>95.407935545153862</v>
      </c>
      <c r="X66" s="29">
        <f t="shared" si="1"/>
        <v>11093.699999999997</v>
      </c>
      <c r="Y66" s="34">
        <f t="shared" si="2"/>
        <v>14.996395881006864</v>
      </c>
      <c r="Z66" s="62">
        <v>30000</v>
      </c>
      <c r="AA66" s="62">
        <v>24900</v>
      </c>
      <c r="AB66" s="63">
        <v>5100</v>
      </c>
    </row>
    <row r="67" spans="1:28" s="30" customFormat="1" ht="22.5" x14ac:dyDescent="0.2">
      <c r="A67" s="31">
        <v>39000905011981</v>
      </c>
      <c r="B67" s="32" t="s">
        <v>73</v>
      </c>
      <c r="C67" s="33" t="s">
        <v>22</v>
      </c>
      <c r="D67" s="33" t="s">
        <v>120</v>
      </c>
      <c r="E67" s="33"/>
      <c r="F67" s="33">
        <v>1765</v>
      </c>
      <c r="G67" s="33">
        <v>1765</v>
      </c>
      <c r="H67" s="33"/>
      <c r="I67" s="33">
        <v>7</v>
      </c>
      <c r="J67" s="33" t="s">
        <v>7</v>
      </c>
      <c r="K67" s="29">
        <f>+P67*365</f>
        <v>14870.1</v>
      </c>
      <c r="L67" s="29">
        <f>+Q67*360</f>
        <v>2059.1999999999998</v>
      </c>
      <c r="M67" s="29">
        <f t="shared" si="28"/>
        <v>0</v>
      </c>
      <c r="N67" s="29">
        <f>+P67*90</f>
        <v>3666.6000000000004</v>
      </c>
      <c r="O67" s="29">
        <f t="shared" si="24"/>
        <v>20595.900000000001</v>
      </c>
      <c r="P67" s="29">
        <v>40.74</v>
      </c>
      <c r="Q67" s="29">
        <v>5.72</v>
      </c>
      <c r="R67" s="29"/>
      <c r="S67" s="29"/>
      <c r="T67" s="37">
        <v>20589.669999999998</v>
      </c>
      <c r="U67" s="29">
        <f>T67-O67</f>
        <v>-6.2300000000032014</v>
      </c>
      <c r="V67" s="34">
        <f t="shared" si="25"/>
        <v>0</v>
      </c>
      <c r="W67" s="34">
        <f t="shared" si="26"/>
        <v>100</v>
      </c>
      <c r="X67" s="29">
        <f t="shared" ref="X67:X118" si="31">O67-15120</f>
        <v>5475.9000000000015</v>
      </c>
      <c r="Y67" s="34">
        <f t="shared" ref="Y67:Y118" si="32">O67/F67</f>
        <v>11.669065155807367</v>
      </c>
      <c r="Z67" s="62">
        <v>26800</v>
      </c>
      <c r="AA67" s="62">
        <v>21440</v>
      </c>
      <c r="AB67" s="63">
        <v>5360</v>
      </c>
    </row>
    <row r="68" spans="1:28" s="30" customFormat="1" ht="22.5" x14ac:dyDescent="0.2">
      <c r="A68" s="31">
        <v>39000905011981</v>
      </c>
      <c r="B68" s="32" t="s">
        <v>73</v>
      </c>
      <c r="C68" s="33" t="s">
        <v>22</v>
      </c>
      <c r="D68" s="33" t="s">
        <v>120</v>
      </c>
      <c r="E68" s="33"/>
      <c r="F68" s="33">
        <v>1765</v>
      </c>
      <c r="G68" s="33">
        <v>1765</v>
      </c>
      <c r="H68" s="33"/>
      <c r="I68" s="33">
        <v>5</v>
      </c>
      <c r="J68" s="33" t="s">
        <v>6</v>
      </c>
      <c r="K68" s="29">
        <f>+P68*365</f>
        <v>16060</v>
      </c>
      <c r="L68" s="29">
        <f>+Q68*360</f>
        <v>2937.6</v>
      </c>
      <c r="M68" s="29">
        <f t="shared" si="28"/>
        <v>0</v>
      </c>
      <c r="N68" s="29">
        <f>+P68*90</f>
        <v>3960</v>
      </c>
      <c r="O68" s="29">
        <f t="shared" si="24"/>
        <v>22957.599999999999</v>
      </c>
      <c r="P68" s="29">
        <v>44</v>
      </c>
      <c r="Q68" s="29">
        <v>8.16</v>
      </c>
      <c r="R68" s="29"/>
      <c r="S68" s="29"/>
      <c r="T68" s="29">
        <v>22951.54</v>
      </c>
      <c r="U68" s="29">
        <f t="shared" ref="U68:U69" si="33">T68-O68</f>
        <v>-6.0599999999976717</v>
      </c>
      <c r="V68" s="34">
        <f t="shared" si="25"/>
        <v>0</v>
      </c>
      <c r="W68" s="34">
        <f t="shared" si="26"/>
        <v>100</v>
      </c>
      <c r="X68" s="29">
        <f t="shared" si="31"/>
        <v>7837.5999999999985</v>
      </c>
      <c r="Y68" s="34">
        <f t="shared" si="32"/>
        <v>13.007138810198299</v>
      </c>
      <c r="Z68" s="62">
        <v>26800</v>
      </c>
      <c r="AA68" s="62">
        <v>21440</v>
      </c>
      <c r="AB68" s="63">
        <v>5360</v>
      </c>
    </row>
    <row r="69" spans="1:28" s="30" customFormat="1" ht="22.5" x14ac:dyDescent="0.2">
      <c r="A69" s="31">
        <v>39000905011981</v>
      </c>
      <c r="B69" s="32" t="s">
        <v>73</v>
      </c>
      <c r="C69" s="33" t="s">
        <v>22</v>
      </c>
      <c r="D69" s="33" t="s">
        <v>120</v>
      </c>
      <c r="E69" s="33"/>
      <c r="F69" s="33">
        <v>1765</v>
      </c>
      <c r="G69" s="33">
        <v>1765</v>
      </c>
      <c r="H69" s="33"/>
      <c r="I69" s="33">
        <v>5</v>
      </c>
      <c r="J69" s="33" t="s">
        <v>8</v>
      </c>
      <c r="K69" s="29">
        <f>+P69*12</f>
        <v>18366.239999999998</v>
      </c>
      <c r="L69" s="29">
        <f>+Q69*360</f>
        <v>3009.6</v>
      </c>
      <c r="M69" s="29">
        <f t="shared" si="28"/>
        <v>0</v>
      </c>
      <c r="N69" s="29">
        <f>+P69*3</f>
        <v>4591.5599999999995</v>
      </c>
      <c r="O69" s="29">
        <f t="shared" si="24"/>
        <v>25967.399999999994</v>
      </c>
      <c r="P69" s="29">
        <v>1530.52</v>
      </c>
      <c r="Q69" s="29">
        <v>8.36</v>
      </c>
      <c r="R69" s="29"/>
      <c r="S69" s="29"/>
      <c r="T69" s="29">
        <v>25958.93</v>
      </c>
      <c r="U69" s="29">
        <f t="shared" si="33"/>
        <v>-8.4699999999938882</v>
      </c>
      <c r="V69" s="34">
        <f t="shared" si="25"/>
        <v>0</v>
      </c>
      <c r="W69" s="34">
        <f t="shared" si="26"/>
        <v>100</v>
      </c>
      <c r="X69" s="29">
        <f t="shared" si="31"/>
        <v>10847.399999999994</v>
      </c>
      <c r="Y69" s="34">
        <f t="shared" si="32"/>
        <v>14.712407932011327</v>
      </c>
      <c r="Z69" s="62">
        <v>26800</v>
      </c>
      <c r="AA69" s="62">
        <v>21440</v>
      </c>
      <c r="AB69" s="63">
        <v>5360</v>
      </c>
    </row>
    <row r="70" spans="1:28" s="30" customFormat="1" ht="22.5" x14ac:dyDescent="0.2">
      <c r="A70" s="31">
        <v>39000905011982</v>
      </c>
      <c r="B70" s="32" t="s">
        <v>73</v>
      </c>
      <c r="C70" s="33" t="s">
        <v>22</v>
      </c>
      <c r="D70" s="33" t="s">
        <v>158</v>
      </c>
      <c r="E70" s="33"/>
      <c r="F70" s="33">
        <v>1765</v>
      </c>
      <c r="G70" s="33">
        <v>1765</v>
      </c>
      <c r="H70" s="33"/>
      <c r="I70" s="33"/>
      <c r="J70" s="33" t="s">
        <v>9</v>
      </c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34"/>
      <c r="W70" s="34"/>
      <c r="X70" s="29"/>
      <c r="Y70" s="34"/>
      <c r="Z70" s="62">
        <v>26800</v>
      </c>
      <c r="AA70" s="62">
        <v>21440</v>
      </c>
      <c r="AB70" s="63">
        <v>5360</v>
      </c>
    </row>
    <row r="71" spans="1:28" s="30" customFormat="1" ht="22.5" x14ac:dyDescent="0.2">
      <c r="A71" s="31">
        <v>12000185011963</v>
      </c>
      <c r="B71" s="32" t="s">
        <v>73</v>
      </c>
      <c r="C71" s="33" t="s">
        <v>23</v>
      </c>
      <c r="D71" s="33" t="s">
        <v>117</v>
      </c>
      <c r="E71" s="33"/>
      <c r="F71" s="33">
        <v>1748</v>
      </c>
      <c r="G71" s="33">
        <v>1748</v>
      </c>
      <c r="H71" s="33">
        <v>1748</v>
      </c>
      <c r="I71" s="33">
        <v>7</v>
      </c>
      <c r="J71" s="33" t="s">
        <v>7</v>
      </c>
      <c r="K71" s="29">
        <f t="shared" ref="K71:L73" si="34">+P71*365</f>
        <v>14172.949999999999</v>
      </c>
      <c r="L71" s="29">
        <f t="shared" si="34"/>
        <v>438</v>
      </c>
      <c r="M71" s="29">
        <f>+R71*227</f>
        <v>2594.61</v>
      </c>
      <c r="N71" s="29">
        <f>+P71*90</f>
        <v>3494.7</v>
      </c>
      <c r="O71" s="29">
        <f t="shared" si="24"/>
        <v>20700.259999999998</v>
      </c>
      <c r="P71" s="29">
        <v>38.83</v>
      </c>
      <c r="Q71" s="29">
        <v>1.2</v>
      </c>
      <c r="R71" s="29">
        <v>11.43</v>
      </c>
      <c r="S71" s="29"/>
      <c r="T71" s="29"/>
      <c r="U71" s="29"/>
      <c r="V71" s="34">
        <f t="shared" si="25"/>
        <v>12.534190391811507</v>
      </c>
      <c r="W71" s="34">
        <f t="shared" si="26"/>
        <v>87.465809608188493</v>
      </c>
      <c r="X71" s="29">
        <f t="shared" si="31"/>
        <v>5580.2599999999984</v>
      </c>
      <c r="Y71" s="34">
        <f t="shared" si="32"/>
        <v>11.842254004576658</v>
      </c>
      <c r="Z71" s="62">
        <v>10000</v>
      </c>
      <c r="AA71" s="62">
        <v>8500</v>
      </c>
      <c r="AB71" s="63">
        <v>1500</v>
      </c>
    </row>
    <row r="72" spans="1:28" s="30" customFormat="1" ht="22.5" x14ac:dyDescent="0.2">
      <c r="A72" s="31">
        <v>12000185011963</v>
      </c>
      <c r="B72" s="32" t="s">
        <v>73</v>
      </c>
      <c r="C72" s="33" t="s">
        <v>23</v>
      </c>
      <c r="D72" s="33" t="s">
        <v>117</v>
      </c>
      <c r="E72" s="33"/>
      <c r="F72" s="33">
        <v>1748</v>
      </c>
      <c r="G72" s="33">
        <v>1748</v>
      </c>
      <c r="H72" s="33">
        <v>1748</v>
      </c>
      <c r="I72" s="33">
        <v>5</v>
      </c>
      <c r="J72" s="33" t="s">
        <v>6</v>
      </c>
      <c r="K72" s="29">
        <f t="shared" si="34"/>
        <v>14972.300000000001</v>
      </c>
      <c r="L72" s="29">
        <f t="shared" si="34"/>
        <v>448.95</v>
      </c>
      <c r="M72" s="29">
        <f t="shared" ref="M72:M74" si="35">+R72*227</f>
        <v>2594.61</v>
      </c>
      <c r="N72" s="29">
        <f t="shared" ref="N72" si="36">+P72*90</f>
        <v>3691.8</v>
      </c>
      <c r="O72" s="29">
        <f t="shared" si="24"/>
        <v>21707.66</v>
      </c>
      <c r="P72" s="29">
        <v>41.02</v>
      </c>
      <c r="Q72" s="29">
        <v>1.23</v>
      </c>
      <c r="R72" s="29">
        <v>11.43</v>
      </c>
      <c r="S72" s="29"/>
      <c r="T72" s="29"/>
      <c r="U72" s="29"/>
      <c r="V72" s="34">
        <f t="shared" si="25"/>
        <v>11.952508930027465</v>
      </c>
      <c r="W72" s="34">
        <f t="shared" si="26"/>
        <v>88.047491069972551</v>
      </c>
      <c r="X72" s="29">
        <f t="shared" si="31"/>
        <v>6587.66</v>
      </c>
      <c r="Y72" s="34">
        <f t="shared" si="32"/>
        <v>12.418569794050343</v>
      </c>
      <c r="Z72" s="62">
        <v>10000</v>
      </c>
      <c r="AA72" s="62">
        <v>8500</v>
      </c>
      <c r="AB72" s="63">
        <v>1500</v>
      </c>
    </row>
    <row r="73" spans="1:28" s="30" customFormat="1" ht="22.5" x14ac:dyDescent="0.2">
      <c r="A73" s="31">
        <v>12000185011963</v>
      </c>
      <c r="B73" s="32" t="s">
        <v>73</v>
      </c>
      <c r="C73" s="33" t="s">
        <v>23</v>
      </c>
      <c r="D73" s="33" t="s">
        <v>117</v>
      </c>
      <c r="E73" s="33"/>
      <c r="F73" s="33">
        <v>1748</v>
      </c>
      <c r="G73" s="33">
        <v>1748</v>
      </c>
      <c r="H73" s="33">
        <v>1748</v>
      </c>
      <c r="I73" s="33">
        <v>5</v>
      </c>
      <c r="J73" s="33" t="s">
        <v>8</v>
      </c>
      <c r="K73" s="29">
        <f>+P73*12</f>
        <v>14970</v>
      </c>
      <c r="L73" s="29">
        <f t="shared" si="34"/>
        <v>448.95</v>
      </c>
      <c r="M73" s="29">
        <f t="shared" si="35"/>
        <v>2594.61</v>
      </c>
      <c r="N73" s="29">
        <f>+P73*3</f>
        <v>3742.5</v>
      </c>
      <c r="O73" s="29">
        <f t="shared" si="24"/>
        <v>21756.06</v>
      </c>
      <c r="P73" s="29">
        <v>1247.5</v>
      </c>
      <c r="Q73" s="29">
        <v>1.23</v>
      </c>
      <c r="R73" s="29">
        <v>11.43</v>
      </c>
      <c r="S73" s="29"/>
      <c r="T73" s="29"/>
      <c r="U73" s="29"/>
      <c r="V73" s="34">
        <f t="shared" si="25"/>
        <v>11.92591857165314</v>
      </c>
      <c r="W73" s="34">
        <f t="shared" si="26"/>
        <v>88.074081428346858</v>
      </c>
      <c r="X73" s="29">
        <f t="shared" si="31"/>
        <v>6636.0600000000013</v>
      </c>
      <c r="Y73" s="34">
        <f t="shared" si="32"/>
        <v>12.446258581235698</v>
      </c>
      <c r="Z73" s="62">
        <v>10000</v>
      </c>
      <c r="AA73" s="62">
        <v>8500</v>
      </c>
      <c r="AB73" s="63">
        <v>1500</v>
      </c>
    </row>
    <row r="74" spans="1:28" s="30" customFormat="1" ht="22.5" x14ac:dyDescent="0.2">
      <c r="A74" s="31">
        <v>12000185011963</v>
      </c>
      <c r="B74" s="32" t="s">
        <v>73</v>
      </c>
      <c r="C74" s="33" t="s">
        <v>23</v>
      </c>
      <c r="D74" s="33" t="s">
        <v>117</v>
      </c>
      <c r="E74" s="33"/>
      <c r="F74" s="33">
        <v>1748</v>
      </c>
      <c r="G74" s="33">
        <v>1748</v>
      </c>
      <c r="H74" s="33">
        <v>1748</v>
      </c>
      <c r="I74" s="33">
        <v>1</v>
      </c>
      <c r="J74" s="33" t="s">
        <v>9</v>
      </c>
      <c r="K74" s="29">
        <f>+P74*12</f>
        <v>17241.72</v>
      </c>
      <c r="L74" s="29">
        <f>+Q74*365</f>
        <v>0</v>
      </c>
      <c r="M74" s="29">
        <f t="shared" si="35"/>
        <v>2594.61</v>
      </c>
      <c r="N74" s="29">
        <f>+P74*3</f>
        <v>4310.43</v>
      </c>
      <c r="O74" s="29">
        <f t="shared" si="24"/>
        <v>24146.760000000002</v>
      </c>
      <c r="P74" s="29">
        <v>1436.81</v>
      </c>
      <c r="Q74" s="29">
        <v>0</v>
      </c>
      <c r="R74" s="29">
        <v>11.43</v>
      </c>
      <c r="S74" s="29"/>
      <c r="T74" s="29"/>
      <c r="U74" s="29"/>
      <c r="V74" s="34">
        <f t="shared" si="25"/>
        <v>10.74516829587075</v>
      </c>
      <c r="W74" s="34">
        <f t="shared" si="26"/>
        <v>89.254831704129245</v>
      </c>
      <c r="X74" s="29">
        <f t="shared" si="31"/>
        <v>9026.760000000002</v>
      </c>
      <c r="Y74" s="34">
        <f t="shared" si="32"/>
        <v>13.813935926773457</v>
      </c>
      <c r="Z74" s="62">
        <v>10000</v>
      </c>
      <c r="AA74" s="62">
        <v>8500</v>
      </c>
      <c r="AB74" s="63">
        <v>1500</v>
      </c>
    </row>
    <row r="75" spans="1:28" s="30" customFormat="1" ht="11.25" x14ac:dyDescent="0.2">
      <c r="A75" s="31">
        <v>51000245011991</v>
      </c>
      <c r="B75" s="32" t="s">
        <v>82</v>
      </c>
      <c r="C75" s="33" t="s">
        <v>81</v>
      </c>
      <c r="D75" s="33" t="s">
        <v>121</v>
      </c>
      <c r="E75" s="33"/>
      <c r="F75" s="30">
        <v>1826</v>
      </c>
      <c r="G75" s="30">
        <v>1826</v>
      </c>
      <c r="H75" s="30">
        <v>1826</v>
      </c>
      <c r="I75" s="33">
        <v>4</v>
      </c>
      <c r="J75" s="33" t="s">
        <v>7</v>
      </c>
      <c r="K75" s="29">
        <f>+P75*12</f>
        <v>11680.44</v>
      </c>
      <c r="L75" s="29">
        <f>+Q75*12</f>
        <v>3166.32</v>
      </c>
      <c r="M75" s="29">
        <f>+R75*227</f>
        <v>0</v>
      </c>
      <c r="N75" s="29">
        <f>+P75*2</f>
        <v>1946.74</v>
      </c>
      <c r="O75" s="29">
        <f t="shared" si="24"/>
        <v>16793.5</v>
      </c>
      <c r="P75" s="29">
        <v>973.37</v>
      </c>
      <c r="Q75" s="29">
        <v>263.86</v>
      </c>
      <c r="R75" s="29"/>
      <c r="S75" s="29" t="s">
        <v>125</v>
      </c>
      <c r="T75" s="29"/>
      <c r="U75" s="29"/>
      <c r="X75" s="29">
        <f t="shared" si="31"/>
        <v>1673.5</v>
      </c>
      <c r="Y75" s="34">
        <f t="shared" si="32"/>
        <v>9.1968784227820368</v>
      </c>
      <c r="Z75" s="62">
        <v>320</v>
      </c>
      <c r="AA75" s="62">
        <v>280</v>
      </c>
      <c r="AB75" s="63">
        <v>40</v>
      </c>
    </row>
    <row r="76" spans="1:28" s="30" customFormat="1" ht="11.25" x14ac:dyDescent="0.2">
      <c r="A76" s="31">
        <v>51000245011991</v>
      </c>
      <c r="B76" s="32" t="s">
        <v>82</v>
      </c>
      <c r="C76" s="33" t="s">
        <v>81</v>
      </c>
      <c r="D76" s="33" t="s">
        <v>121</v>
      </c>
      <c r="E76" s="33"/>
      <c r="F76" s="30">
        <v>1826</v>
      </c>
      <c r="G76" s="30">
        <v>1826</v>
      </c>
      <c r="H76" s="30">
        <v>1826</v>
      </c>
      <c r="I76" s="33">
        <v>2</v>
      </c>
      <c r="J76" s="33" t="s">
        <v>6</v>
      </c>
      <c r="K76" s="29">
        <f t="shared" ref="K76:K78" si="37">+P76*12</f>
        <v>11961.84</v>
      </c>
      <c r="L76" s="29">
        <f t="shared" ref="L76:L78" si="38">+Q76*12</f>
        <v>2990.3999999999996</v>
      </c>
      <c r="M76" s="29">
        <f t="shared" ref="M76:M78" si="39">+R76*227</f>
        <v>0</v>
      </c>
      <c r="N76" s="29">
        <f>+P76*2</f>
        <v>1993.64</v>
      </c>
      <c r="O76" s="29">
        <f t="shared" si="24"/>
        <v>16945.88</v>
      </c>
      <c r="P76" s="29">
        <v>996.82</v>
      </c>
      <c r="Q76" s="29">
        <v>249.2</v>
      </c>
      <c r="R76" s="29"/>
      <c r="S76" s="29" t="s">
        <v>125</v>
      </c>
      <c r="T76" s="29"/>
      <c r="U76" s="29"/>
      <c r="X76" s="29">
        <f t="shared" si="31"/>
        <v>1825.880000000001</v>
      </c>
      <c r="Y76" s="34">
        <f t="shared" si="32"/>
        <v>9.2803285870755747</v>
      </c>
      <c r="Z76" s="62">
        <v>320</v>
      </c>
      <c r="AA76" s="62">
        <v>280</v>
      </c>
      <c r="AB76" s="63">
        <v>40</v>
      </c>
    </row>
    <row r="77" spans="1:28" s="30" customFormat="1" ht="11.25" x14ac:dyDescent="0.2">
      <c r="A77" s="31">
        <v>51000245011991</v>
      </c>
      <c r="B77" s="32" t="s">
        <v>82</v>
      </c>
      <c r="C77" s="33" t="s">
        <v>81</v>
      </c>
      <c r="D77" s="33" t="s">
        <v>121</v>
      </c>
      <c r="E77" s="33"/>
      <c r="F77" s="30">
        <v>1826</v>
      </c>
      <c r="G77" s="30">
        <v>1826</v>
      </c>
      <c r="H77" s="30">
        <v>1826</v>
      </c>
      <c r="I77" s="33">
        <v>2</v>
      </c>
      <c r="J77" s="33" t="s">
        <v>8</v>
      </c>
      <c r="K77" s="29">
        <f t="shared" si="37"/>
        <v>11961.84</v>
      </c>
      <c r="L77" s="29">
        <f t="shared" si="38"/>
        <v>2990.3999999999996</v>
      </c>
      <c r="M77" s="29">
        <f t="shared" si="39"/>
        <v>0</v>
      </c>
      <c r="N77" s="29">
        <f>+P77*3</f>
        <v>2990.46</v>
      </c>
      <c r="O77" s="29">
        <f t="shared" si="24"/>
        <v>17942.7</v>
      </c>
      <c r="P77" s="29">
        <v>996.82</v>
      </c>
      <c r="Q77" s="29">
        <v>249.2</v>
      </c>
      <c r="R77" s="29"/>
      <c r="S77" s="29" t="s">
        <v>125</v>
      </c>
      <c r="T77" s="29"/>
      <c r="U77" s="29"/>
      <c r="X77" s="29">
        <f t="shared" si="31"/>
        <v>2822.7000000000007</v>
      </c>
      <c r="Y77" s="34">
        <f t="shared" si="32"/>
        <v>9.826232201533406</v>
      </c>
      <c r="Z77" s="62">
        <v>320</v>
      </c>
      <c r="AA77" s="62">
        <v>280</v>
      </c>
      <c r="AB77" s="63">
        <v>40</v>
      </c>
    </row>
    <row r="78" spans="1:28" s="30" customFormat="1" ht="11.25" x14ac:dyDescent="0.2">
      <c r="A78" s="31">
        <v>51000245011991</v>
      </c>
      <c r="B78" s="32" t="s">
        <v>82</v>
      </c>
      <c r="C78" s="33" t="s">
        <v>81</v>
      </c>
      <c r="D78" s="33" t="s">
        <v>121</v>
      </c>
      <c r="E78" s="33"/>
      <c r="F78" s="30">
        <v>1826</v>
      </c>
      <c r="G78" s="30">
        <v>1826</v>
      </c>
      <c r="H78" s="30">
        <v>1826</v>
      </c>
      <c r="I78" s="33">
        <v>1</v>
      </c>
      <c r="J78" s="33" t="s">
        <v>9</v>
      </c>
      <c r="K78" s="29">
        <f t="shared" si="37"/>
        <v>12665.400000000001</v>
      </c>
      <c r="L78" s="29">
        <f t="shared" si="38"/>
        <v>3166.32</v>
      </c>
      <c r="M78" s="29">
        <f t="shared" si="39"/>
        <v>0</v>
      </c>
      <c r="N78" s="29">
        <f>+P78*3</f>
        <v>3166.3500000000004</v>
      </c>
      <c r="O78" s="29">
        <f t="shared" si="24"/>
        <v>18998.07</v>
      </c>
      <c r="P78" s="29">
        <v>1055.45</v>
      </c>
      <c r="Q78" s="29">
        <v>263.86</v>
      </c>
      <c r="R78" s="29"/>
      <c r="S78" s="29" t="s">
        <v>125</v>
      </c>
      <c r="T78" s="29"/>
      <c r="U78" s="29"/>
      <c r="X78" s="29">
        <f t="shared" si="31"/>
        <v>3878.0699999999997</v>
      </c>
      <c r="Y78" s="34">
        <f t="shared" si="32"/>
        <v>10.404200438116101</v>
      </c>
      <c r="Z78" s="62">
        <v>320</v>
      </c>
      <c r="AA78" s="62">
        <v>280</v>
      </c>
      <c r="AB78" s="63">
        <v>40</v>
      </c>
    </row>
    <row r="79" spans="1:28" s="30" customFormat="1" ht="11.25" x14ac:dyDescent="0.2">
      <c r="A79" s="31">
        <v>13000345011982</v>
      </c>
      <c r="B79" s="32" t="s">
        <v>83</v>
      </c>
      <c r="C79" s="33" t="s">
        <v>24</v>
      </c>
      <c r="D79" s="33" t="s">
        <v>119</v>
      </c>
      <c r="E79" s="33"/>
      <c r="F79" s="33">
        <v>1766</v>
      </c>
      <c r="G79" s="33">
        <v>1766</v>
      </c>
      <c r="H79" s="33"/>
      <c r="I79" s="33">
        <v>13</v>
      </c>
      <c r="J79" s="33" t="s">
        <v>7</v>
      </c>
      <c r="K79" s="29">
        <f>+P79*365</f>
        <v>14282.45</v>
      </c>
      <c r="L79" s="29">
        <f>+Q79*15</f>
        <v>1981.9499999999998</v>
      </c>
      <c r="M79" s="29">
        <f>+R79*15</f>
        <v>0</v>
      </c>
      <c r="N79" s="29">
        <f>+P79*90</f>
        <v>3521.7000000000003</v>
      </c>
      <c r="O79" s="29">
        <f t="shared" si="24"/>
        <v>19786.100000000002</v>
      </c>
      <c r="P79" s="29">
        <v>39.130000000000003</v>
      </c>
      <c r="Q79" s="29">
        <v>132.13</v>
      </c>
      <c r="R79" s="29"/>
      <c r="S79" s="29"/>
      <c r="T79" s="29"/>
      <c r="U79" s="29"/>
      <c r="V79" s="34">
        <f t="shared" ref="V79:V86" si="40">+M79/O79*100</f>
        <v>0</v>
      </c>
      <c r="W79" s="34">
        <f t="shared" ref="W79:W86" si="41">(K79+L79+N79)/O79*100</f>
        <v>100</v>
      </c>
      <c r="X79" s="29">
        <f t="shared" si="31"/>
        <v>4666.1000000000022</v>
      </c>
      <c r="Y79" s="34">
        <f t="shared" si="32"/>
        <v>11.203907134767839</v>
      </c>
      <c r="Z79" s="62">
        <v>15000</v>
      </c>
      <c r="AA79" s="62">
        <v>11000</v>
      </c>
      <c r="AB79" s="63">
        <v>4000</v>
      </c>
    </row>
    <row r="80" spans="1:28" s="30" customFormat="1" ht="11.25" x14ac:dyDescent="0.2">
      <c r="A80" s="31">
        <v>13000345011982</v>
      </c>
      <c r="B80" s="32" t="s">
        <v>83</v>
      </c>
      <c r="C80" s="33" t="s">
        <v>24</v>
      </c>
      <c r="D80" s="33" t="s">
        <v>119</v>
      </c>
      <c r="E80" s="33"/>
      <c r="F80" s="33">
        <v>1766</v>
      </c>
      <c r="G80" s="33">
        <v>1766</v>
      </c>
      <c r="H80" s="33"/>
      <c r="I80" s="33">
        <v>9</v>
      </c>
      <c r="J80" s="33" t="s">
        <v>6</v>
      </c>
      <c r="K80" s="29">
        <f>+P80*365</f>
        <v>14862.8</v>
      </c>
      <c r="L80" s="29">
        <f t="shared" ref="L80:L82" si="42">+Q80*15</f>
        <v>1981.9499999999998</v>
      </c>
      <c r="M80" s="29">
        <f t="shared" ref="M80:M82" si="43">+R80*15</f>
        <v>0</v>
      </c>
      <c r="N80" s="29">
        <f>+P80*90</f>
        <v>3664.7999999999997</v>
      </c>
      <c r="O80" s="29">
        <f t="shared" si="24"/>
        <v>20509.55</v>
      </c>
      <c r="P80" s="29">
        <v>40.72</v>
      </c>
      <c r="Q80" s="29">
        <v>132.13</v>
      </c>
      <c r="R80" s="29"/>
      <c r="S80" s="29"/>
      <c r="T80" s="29"/>
      <c r="U80" s="29"/>
      <c r="V80" s="34">
        <f t="shared" si="40"/>
        <v>0</v>
      </c>
      <c r="W80" s="34">
        <f t="shared" si="41"/>
        <v>100</v>
      </c>
      <c r="X80" s="29">
        <f t="shared" si="31"/>
        <v>5389.5499999999993</v>
      </c>
      <c r="Y80" s="34">
        <f t="shared" si="32"/>
        <v>11.613561721404302</v>
      </c>
      <c r="Z80" s="62">
        <v>15000</v>
      </c>
      <c r="AA80" s="62">
        <v>11000</v>
      </c>
      <c r="AB80" s="63">
        <v>4000</v>
      </c>
    </row>
    <row r="81" spans="1:28" s="30" customFormat="1" ht="11.25" x14ac:dyDescent="0.2">
      <c r="A81" s="31">
        <v>13000345011982</v>
      </c>
      <c r="B81" s="32" t="s">
        <v>83</v>
      </c>
      <c r="C81" s="33" t="s">
        <v>24</v>
      </c>
      <c r="D81" s="33" t="s">
        <v>119</v>
      </c>
      <c r="E81" s="33"/>
      <c r="F81" s="33">
        <v>1766</v>
      </c>
      <c r="G81" s="33">
        <v>1766</v>
      </c>
      <c r="H81" s="33"/>
      <c r="I81" s="33">
        <v>4</v>
      </c>
      <c r="J81" s="33" t="s">
        <v>8</v>
      </c>
      <c r="K81" s="29">
        <f>+P81*12</f>
        <v>15149.04</v>
      </c>
      <c r="L81" s="29">
        <f t="shared" si="42"/>
        <v>1981.9499999999998</v>
      </c>
      <c r="M81" s="29">
        <f t="shared" si="43"/>
        <v>0</v>
      </c>
      <c r="N81" s="29">
        <f>+P81*3</f>
        <v>3787.26</v>
      </c>
      <c r="O81" s="29">
        <f t="shared" si="24"/>
        <v>20918.25</v>
      </c>
      <c r="P81" s="29">
        <v>1262.42</v>
      </c>
      <c r="Q81" s="29">
        <v>132.13</v>
      </c>
      <c r="R81" s="29"/>
      <c r="S81" s="29"/>
      <c r="T81" s="29"/>
      <c r="U81" s="29"/>
      <c r="V81" s="34">
        <f t="shared" si="40"/>
        <v>0</v>
      </c>
      <c r="W81" s="34">
        <f t="shared" si="41"/>
        <v>100</v>
      </c>
      <c r="X81" s="29">
        <f t="shared" si="31"/>
        <v>5798.25</v>
      </c>
      <c r="Y81" s="34">
        <f t="shared" si="32"/>
        <v>11.844988674971688</v>
      </c>
      <c r="Z81" s="62">
        <v>15000</v>
      </c>
      <c r="AA81" s="62">
        <v>11000</v>
      </c>
      <c r="AB81" s="63">
        <v>4000</v>
      </c>
    </row>
    <row r="82" spans="1:28" s="30" customFormat="1" ht="11.25" x14ac:dyDescent="0.2">
      <c r="A82" s="31">
        <v>13000345011982</v>
      </c>
      <c r="B82" s="32" t="s">
        <v>83</v>
      </c>
      <c r="C82" s="33" t="s">
        <v>24</v>
      </c>
      <c r="D82" s="33" t="s">
        <v>119</v>
      </c>
      <c r="E82" s="33"/>
      <c r="F82" s="33">
        <v>1766</v>
      </c>
      <c r="G82" s="33">
        <v>1766</v>
      </c>
      <c r="H82" s="33"/>
      <c r="I82" s="33">
        <v>1</v>
      </c>
      <c r="J82" s="33" t="s">
        <v>9</v>
      </c>
      <c r="K82" s="29">
        <f>+P82*12</f>
        <v>16512.48</v>
      </c>
      <c r="L82" s="29">
        <f t="shared" si="42"/>
        <v>1981.9499999999998</v>
      </c>
      <c r="M82" s="29">
        <f t="shared" si="43"/>
        <v>0</v>
      </c>
      <c r="N82" s="29">
        <f>+P82*3</f>
        <v>4128.12</v>
      </c>
      <c r="O82" s="29">
        <f t="shared" si="24"/>
        <v>22622.55</v>
      </c>
      <c r="P82" s="29">
        <v>1376.04</v>
      </c>
      <c r="Q82" s="29">
        <v>132.13</v>
      </c>
      <c r="R82" s="29"/>
      <c r="S82" s="29"/>
      <c r="T82" s="29"/>
      <c r="U82" s="29"/>
      <c r="V82" s="34">
        <f t="shared" si="40"/>
        <v>0</v>
      </c>
      <c r="W82" s="34">
        <f t="shared" si="41"/>
        <v>100</v>
      </c>
      <c r="X82" s="29">
        <f t="shared" si="31"/>
        <v>7502.5499999999993</v>
      </c>
      <c r="Y82" s="34">
        <f t="shared" si="32"/>
        <v>12.810050962627406</v>
      </c>
      <c r="Z82" s="62">
        <v>15000</v>
      </c>
      <c r="AA82" s="62">
        <v>11000</v>
      </c>
      <c r="AB82" s="63">
        <v>4000</v>
      </c>
    </row>
    <row r="83" spans="1:28" s="30" customFormat="1" ht="11.25" x14ac:dyDescent="0.2">
      <c r="A83" s="31">
        <v>14000145011982</v>
      </c>
      <c r="B83" s="32" t="s">
        <v>84</v>
      </c>
      <c r="C83" s="33" t="s">
        <v>25</v>
      </c>
      <c r="D83" s="33" t="s">
        <v>117</v>
      </c>
      <c r="E83" s="33"/>
      <c r="F83" s="33">
        <v>1758</v>
      </c>
      <c r="G83" s="33">
        <v>1758</v>
      </c>
      <c r="H83" s="33">
        <v>1758</v>
      </c>
      <c r="I83" s="33">
        <v>7</v>
      </c>
      <c r="J83" s="33" t="s">
        <v>7</v>
      </c>
      <c r="K83" s="29">
        <f>+P83*14</f>
        <v>18494.419999999998</v>
      </c>
      <c r="L83" s="29">
        <f>+Q83*12</f>
        <v>3214.32</v>
      </c>
      <c r="M83" s="29">
        <f>+R83*228.57</f>
        <v>598.85339999999997</v>
      </c>
      <c r="N83" s="29">
        <f>+(S83 +P83)*3</f>
        <v>4126.68</v>
      </c>
      <c r="O83" s="29">
        <f t="shared" si="24"/>
        <v>26434.273399999998</v>
      </c>
      <c r="P83" s="29">
        <v>1321.03</v>
      </c>
      <c r="Q83" s="29">
        <v>267.86</v>
      </c>
      <c r="R83" s="29">
        <v>2.62</v>
      </c>
      <c r="S83" s="29">
        <v>54.53</v>
      </c>
      <c r="T83" s="29"/>
      <c r="U83" s="29"/>
      <c r="V83" s="34">
        <f t="shared" si="40"/>
        <v>2.2654430138412658</v>
      </c>
      <c r="W83" s="34">
        <f t="shared" si="41"/>
        <v>97.734556986158736</v>
      </c>
      <c r="X83" s="29">
        <f t="shared" si="31"/>
        <v>11314.273399999998</v>
      </c>
      <c r="Y83" s="34">
        <f t="shared" si="32"/>
        <v>15.036560523321956</v>
      </c>
      <c r="Z83" s="62">
        <v>7000</v>
      </c>
      <c r="AA83" s="62">
        <v>5600</v>
      </c>
      <c r="AB83" s="63">
        <v>1400</v>
      </c>
    </row>
    <row r="84" spans="1:28" s="30" customFormat="1" ht="11.25" x14ac:dyDescent="0.2">
      <c r="A84" s="31">
        <v>14000145011982</v>
      </c>
      <c r="B84" s="32" t="s">
        <v>84</v>
      </c>
      <c r="C84" s="33" t="s">
        <v>25</v>
      </c>
      <c r="D84" s="33" t="s">
        <v>117</v>
      </c>
      <c r="E84" s="33"/>
      <c r="F84" s="33">
        <v>1758</v>
      </c>
      <c r="G84" s="33">
        <v>1758</v>
      </c>
      <c r="H84" s="33">
        <v>1758</v>
      </c>
      <c r="I84" s="33">
        <v>5</v>
      </c>
      <c r="J84" s="33" t="s">
        <v>6</v>
      </c>
      <c r="K84" s="29">
        <f>+P84*14</f>
        <v>19703.18</v>
      </c>
      <c r="L84" s="29">
        <f>+Q84*12</f>
        <v>3466.7999999999997</v>
      </c>
      <c r="M84" s="29">
        <f t="shared" ref="M84:M86" si="44">+R84*228.57</f>
        <v>598.85339999999997</v>
      </c>
      <c r="N84" s="29">
        <f t="shared" ref="N84:N86" si="45">+(S84 +P84)*3</f>
        <v>4385.7</v>
      </c>
      <c r="O84" s="29">
        <f t="shared" si="24"/>
        <v>28154.5334</v>
      </c>
      <c r="P84" s="29">
        <v>1407.37</v>
      </c>
      <c r="Q84" s="29">
        <v>288.89999999999998</v>
      </c>
      <c r="R84" s="29">
        <v>2.62</v>
      </c>
      <c r="S84" s="29">
        <v>54.53</v>
      </c>
      <c r="T84" s="29"/>
      <c r="U84" s="29"/>
      <c r="V84" s="34">
        <f t="shared" si="40"/>
        <v>2.1270229965878249</v>
      </c>
      <c r="W84" s="34">
        <f t="shared" si="41"/>
        <v>97.872977003412174</v>
      </c>
      <c r="X84" s="29">
        <f t="shared" si="31"/>
        <v>13034.5334</v>
      </c>
      <c r="Y84" s="34">
        <f t="shared" si="32"/>
        <v>16.015092946530149</v>
      </c>
      <c r="Z84" s="62">
        <v>7000</v>
      </c>
      <c r="AA84" s="62">
        <v>5600</v>
      </c>
      <c r="AB84" s="63">
        <v>1400</v>
      </c>
    </row>
    <row r="85" spans="1:28" s="30" customFormat="1" ht="11.25" x14ac:dyDescent="0.2">
      <c r="A85" s="31">
        <v>14000145011982</v>
      </c>
      <c r="B85" s="32" t="s">
        <v>84</v>
      </c>
      <c r="C85" s="33" t="s">
        <v>25</v>
      </c>
      <c r="D85" s="33" t="s">
        <v>117</v>
      </c>
      <c r="E85" s="33"/>
      <c r="F85" s="33">
        <v>1758</v>
      </c>
      <c r="G85" s="33">
        <v>1758</v>
      </c>
      <c r="H85" s="33">
        <v>1758</v>
      </c>
      <c r="I85" s="33">
        <v>5</v>
      </c>
      <c r="J85" s="33" t="s">
        <v>8</v>
      </c>
      <c r="K85" s="29">
        <f>+P85*14</f>
        <v>20892.48</v>
      </c>
      <c r="L85" s="29">
        <f t="shared" ref="L85" si="46">+Q85*12</f>
        <v>3714.84</v>
      </c>
      <c r="M85" s="29">
        <f t="shared" si="44"/>
        <v>598.85339999999997</v>
      </c>
      <c r="N85" s="29">
        <f t="shared" si="45"/>
        <v>4640.5499999999993</v>
      </c>
      <c r="O85" s="29">
        <f t="shared" si="24"/>
        <v>29846.723399999999</v>
      </c>
      <c r="P85" s="29">
        <v>1492.32</v>
      </c>
      <c r="Q85" s="29">
        <v>309.57</v>
      </c>
      <c r="R85" s="29">
        <v>2.62</v>
      </c>
      <c r="S85" s="29">
        <v>54.53</v>
      </c>
      <c r="T85" s="29"/>
      <c r="U85" s="29"/>
      <c r="V85" s="34">
        <f t="shared" si="40"/>
        <v>2.0064292886501569</v>
      </c>
      <c r="W85" s="34">
        <f t="shared" si="41"/>
        <v>97.993570711349847</v>
      </c>
      <c r="X85" s="29">
        <f t="shared" si="31"/>
        <v>14726.723399999999</v>
      </c>
      <c r="Y85" s="34">
        <f t="shared" si="32"/>
        <v>16.977658361774743</v>
      </c>
      <c r="Z85" s="62">
        <v>7000</v>
      </c>
      <c r="AA85" s="62">
        <v>5600</v>
      </c>
      <c r="AB85" s="63">
        <v>1400</v>
      </c>
    </row>
    <row r="86" spans="1:28" s="30" customFormat="1" ht="11.25" x14ac:dyDescent="0.2">
      <c r="A86" s="31">
        <v>14000145011982</v>
      </c>
      <c r="B86" s="32" t="s">
        <v>84</v>
      </c>
      <c r="C86" s="33" t="s">
        <v>25</v>
      </c>
      <c r="D86" s="33" t="s">
        <v>117</v>
      </c>
      <c r="E86" s="33"/>
      <c r="F86" s="33">
        <v>1758</v>
      </c>
      <c r="G86" s="33">
        <v>1758</v>
      </c>
      <c r="H86" s="33">
        <v>1758</v>
      </c>
      <c r="I86" s="33">
        <v>1</v>
      </c>
      <c r="J86" s="33" t="s">
        <v>9</v>
      </c>
      <c r="K86" s="29">
        <f>+P86*14</f>
        <v>26272.12</v>
      </c>
      <c r="L86" s="29">
        <f>+Q86*12</f>
        <v>4839.24</v>
      </c>
      <c r="M86" s="29">
        <f t="shared" si="44"/>
        <v>598.85339999999997</v>
      </c>
      <c r="N86" s="29">
        <f t="shared" si="45"/>
        <v>5793.33</v>
      </c>
      <c r="O86" s="29">
        <f t="shared" si="24"/>
        <v>37503.543400000002</v>
      </c>
      <c r="P86" s="29">
        <v>1876.58</v>
      </c>
      <c r="Q86" s="29">
        <v>403.27</v>
      </c>
      <c r="R86" s="29">
        <v>2.62</v>
      </c>
      <c r="S86" s="29">
        <v>54.53</v>
      </c>
      <c r="T86" s="29"/>
      <c r="U86" s="29"/>
      <c r="V86" s="34">
        <f t="shared" si="40"/>
        <v>1.5967915181049266</v>
      </c>
      <c r="W86" s="34">
        <f t="shared" si="41"/>
        <v>98.403208481895078</v>
      </c>
      <c r="X86" s="29">
        <f t="shared" si="31"/>
        <v>22383.543400000002</v>
      </c>
      <c r="Y86" s="34">
        <f t="shared" si="32"/>
        <v>21.333073606370878</v>
      </c>
      <c r="Z86" s="62">
        <v>7000</v>
      </c>
      <c r="AA86" s="62">
        <v>5600</v>
      </c>
      <c r="AB86" s="63">
        <v>1400</v>
      </c>
    </row>
    <row r="87" spans="1:28" s="8" customFormat="1" ht="22.5" x14ac:dyDescent="0.2">
      <c r="A87" s="16">
        <v>15000825011982</v>
      </c>
      <c r="B87" s="17" t="s">
        <v>73</v>
      </c>
      <c r="C87" s="14" t="s">
        <v>57</v>
      </c>
      <c r="D87" s="50" t="s">
        <v>130</v>
      </c>
      <c r="E87" s="51">
        <v>1760</v>
      </c>
      <c r="F87" s="51">
        <v>1752</v>
      </c>
      <c r="G87" s="51">
        <v>1752</v>
      </c>
      <c r="H87" s="50"/>
      <c r="I87" s="50">
        <v>6</v>
      </c>
      <c r="J87" s="52" t="s">
        <v>7</v>
      </c>
      <c r="K87" s="53">
        <f>+P87*12</f>
        <v>18386.28</v>
      </c>
      <c r="L87" s="53">
        <f>+Q87*299</f>
        <v>1614.6000000000001</v>
      </c>
      <c r="M87" s="53">
        <f>+R87*11</f>
        <v>0</v>
      </c>
      <c r="N87" s="53">
        <f>+(P87)*2</f>
        <v>3064.38</v>
      </c>
      <c r="O87" s="53">
        <f>+K87+L87+M87+N87+270</f>
        <v>23335.26</v>
      </c>
      <c r="P87" s="18">
        <v>1532.19</v>
      </c>
      <c r="Q87" s="18">
        <v>5.4</v>
      </c>
      <c r="R87" s="54"/>
      <c r="S87" s="54"/>
      <c r="T87" s="54"/>
      <c r="U87" s="54" t="s">
        <v>133</v>
      </c>
      <c r="V87" s="55" t="e">
        <f>+#REF!/O87*100</f>
        <v>#REF!</v>
      </c>
      <c r="W87" s="55">
        <f>(K87+M87+N87)/O87*100</f>
        <v>91.923809719711727</v>
      </c>
      <c r="X87" s="29">
        <f t="shared" si="31"/>
        <v>8215.2599999999984</v>
      </c>
      <c r="Y87" s="34">
        <f t="shared" si="32"/>
        <v>13.319212328767122</v>
      </c>
      <c r="Z87" s="62">
        <v>16000</v>
      </c>
      <c r="AA87" s="62">
        <v>15200</v>
      </c>
      <c r="AB87" s="63">
        <v>800</v>
      </c>
    </row>
    <row r="88" spans="1:28" s="8" customFormat="1" ht="22.5" x14ac:dyDescent="0.2">
      <c r="A88" s="16">
        <v>15000825011982</v>
      </c>
      <c r="B88" s="17" t="s">
        <v>73</v>
      </c>
      <c r="C88" s="14" t="s">
        <v>57</v>
      </c>
      <c r="D88" s="50" t="s">
        <v>130</v>
      </c>
      <c r="E88" s="51">
        <v>1760</v>
      </c>
      <c r="F88" s="51">
        <v>1752</v>
      </c>
      <c r="G88" s="51">
        <v>1752</v>
      </c>
      <c r="H88" s="50"/>
      <c r="I88" s="50">
        <v>5</v>
      </c>
      <c r="J88" s="52" t="s">
        <v>6</v>
      </c>
      <c r="K88" s="53">
        <f>+P88*12</f>
        <v>19017</v>
      </c>
      <c r="L88" s="53">
        <f>+Q88*299</f>
        <v>1614.6000000000001</v>
      </c>
      <c r="M88" s="53">
        <f>+R88*11</f>
        <v>0</v>
      </c>
      <c r="N88" s="53">
        <f>+(P88)*2</f>
        <v>3169.5</v>
      </c>
      <c r="O88" s="53">
        <f t="shared" ref="O88:O90" si="47">+K88+L88+M88+N88+270</f>
        <v>24071.1</v>
      </c>
      <c r="P88" s="18">
        <v>1584.75</v>
      </c>
      <c r="Q88" s="18">
        <v>5.4</v>
      </c>
      <c r="R88" s="54"/>
      <c r="S88" s="54"/>
      <c r="T88" s="54"/>
      <c r="U88" s="54" t="s">
        <v>133</v>
      </c>
      <c r="V88" s="55" t="e">
        <f>+#REF!/O88*100</f>
        <v>#REF!</v>
      </c>
      <c r="W88" s="55">
        <f>(K88+M88+N88)/O88*100</f>
        <v>92.170694318082695</v>
      </c>
      <c r="X88" s="29">
        <f t="shared" si="31"/>
        <v>8951.0999999999985</v>
      </c>
      <c r="Y88" s="34">
        <f t="shared" si="32"/>
        <v>13.739212328767122</v>
      </c>
      <c r="Z88" s="62">
        <v>16000</v>
      </c>
      <c r="AA88" s="62">
        <v>15200</v>
      </c>
      <c r="AB88" s="63">
        <v>800</v>
      </c>
    </row>
    <row r="89" spans="1:28" s="8" customFormat="1" ht="22.5" x14ac:dyDescent="0.2">
      <c r="A89" s="16">
        <v>15000825011982</v>
      </c>
      <c r="B89" s="17" t="s">
        <v>73</v>
      </c>
      <c r="C89" s="14" t="s">
        <v>57</v>
      </c>
      <c r="D89" s="50" t="s">
        <v>130</v>
      </c>
      <c r="E89" s="51">
        <v>1760</v>
      </c>
      <c r="F89" s="51">
        <v>1752</v>
      </c>
      <c r="G89" s="51">
        <v>1752</v>
      </c>
      <c r="H89" s="50"/>
      <c r="I89" s="50">
        <v>5</v>
      </c>
      <c r="J89" s="52" t="s">
        <v>8</v>
      </c>
      <c r="K89" s="53">
        <f>+P89*12</f>
        <v>20287.439999999999</v>
      </c>
      <c r="L89" s="53">
        <f>+Q89*299</f>
        <v>1614.6000000000001</v>
      </c>
      <c r="M89" s="53">
        <f>+R89*11</f>
        <v>0</v>
      </c>
      <c r="N89" s="53">
        <f>+(P89)*2</f>
        <v>3381.24</v>
      </c>
      <c r="O89" s="53">
        <f t="shared" si="47"/>
        <v>25553.279999999999</v>
      </c>
      <c r="P89" s="18">
        <v>1690.62</v>
      </c>
      <c r="Q89" s="18">
        <v>5.4</v>
      </c>
      <c r="R89" s="54"/>
      <c r="S89" s="54"/>
      <c r="T89" s="54"/>
      <c r="U89" s="54" t="s">
        <v>133</v>
      </c>
      <c r="V89" s="55" t="e">
        <f>+#REF!/O89*100</f>
        <v>#REF!</v>
      </c>
      <c r="W89" s="55">
        <f>(K89+M89+N89)/O89*100</f>
        <v>92.624821549327535</v>
      </c>
      <c r="X89" s="29">
        <f t="shared" si="31"/>
        <v>10433.279999999999</v>
      </c>
      <c r="Y89" s="34">
        <f t="shared" si="32"/>
        <v>14.585205479452053</v>
      </c>
      <c r="Z89" s="62">
        <v>16000</v>
      </c>
      <c r="AA89" s="62">
        <v>15200</v>
      </c>
      <c r="AB89" s="63">
        <v>800</v>
      </c>
    </row>
    <row r="90" spans="1:28" s="8" customFormat="1" ht="22.5" x14ac:dyDescent="0.2">
      <c r="A90" s="16">
        <v>15000825011982</v>
      </c>
      <c r="B90" s="17" t="s">
        <v>73</v>
      </c>
      <c r="C90" s="14" t="s">
        <v>57</v>
      </c>
      <c r="D90" s="50" t="s">
        <v>130</v>
      </c>
      <c r="E90" s="51">
        <v>1760</v>
      </c>
      <c r="F90" s="51">
        <v>1752</v>
      </c>
      <c r="G90" s="51">
        <v>1752</v>
      </c>
      <c r="H90" s="50"/>
      <c r="I90" s="50">
        <v>1</v>
      </c>
      <c r="J90" s="52" t="s">
        <v>9</v>
      </c>
      <c r="K90" s="53">
        <f>+P90*12</f>
        <v>26329.800000000003</v>
      </c>
      <c r="L90" s="53">
        <f>+Q90*299</f>
        <v>1614.6000000000001</v>
      </c>
      <c r="M90" s="53">
        <f>+R90*11</f>
        <v>0</v>
      </c>
      <c r="N90" s="53">
        <f>+(P90)*2</f>
        <v>4388.3</v>
      </c>
      <c r="O90" s="53">
        <f t="shared" si="47"/>
        <v>32602.7</v>
      </c>
      <c r="P90" s="18">
        <v>2194.15</v>
      </c>
      <c r="Q90" s="18">
        <v>5.4</v>
      </c>
      <c r="R90" s="54"/>
      <c r="S90" s="54"/>
      <c r="T90" s="54"/>
      <c r="U90" s="54" t="s">
        <v>133</v>
      </c>
      <c r="V90" s="55" t="e">
        <f>+#REF!/O90*100</f>
        <v>#REF!</v>
      </c>
      <c r="W90" s="55">
        <f>(K90+M90+N90)/O90*100</f>
        <v>94.219497158210828</v>
      </c>
      <c r="X90" s="29">
        <f t="shared" si="31"/>
        <v>17482.7</v>
      </c>
      <c r="Y90" s="34">
        <f t="shared" si="32"/>
        <v>18.608847031963471</v>
      </c>
      <c r="Z90" s="62">
        <v>16000</v>
      </c>
      <c r="AA90" s="62">
        <v>15200</v>
      </c>
      <c r="AB90" s="63">
        <v>800</v>
      </c>
    </row>
    <row r="91" spans="1:28" s="8" customFormat="1" ht="11.25" x14ac:dyDescent="0.2">
      <c r="A91" s="16">
        <v>16000185011981</v>
      </c>
      <c r="B91" s="17" t="s">
        <v>85</v>
      </c>
      <c r="C91" s="14" t="s">
        <v>26</v>
      </c>
      <c r="D91" s="50" t="s">
        <v>130</v>
      </c>
      <c r="E91" s="50">
        <v>1774</v>
      </c>
      <c r="F91" s="50">
        <v>1774</v>
      </c>
      <c r="G91" s="50">
        <v>1774</v>
      </c>
      <c r="H91" s="14"/>
      <c r="I91" s="14">
        <v>6</v>
      </c>
      <c r="J91" s="52" t="s">
        <v>7</v>
      </c>
      <c r="K91" s="53">
        <f>P91*12</f>
        <v>10425.960000000001</v>
      </c>
      <c r="L91" s="53">
        <f>Q91*12</f>
        <v>1240.32</v>
      </c>
      <c r="M91" s="53">
        <f>R91*225</f>
        <v>1075.5</v>
      </c>
      <c r="N91" s="53">
        <f>(P91+Q91)*3</f>
        <v>2916.57</v>
      </c>
      <c r="O91" s="53">
        <f>K91+L91+M91+N91</f>
        <v>15658.35</v>
      </c>
      <c r="P91" s="18">
        <v>868.83</v>
      </c>
      <c r="Q91" s="18">
        <v>103.36</v>
      </c>
      <c r="R91" s="18">
        <v>4.78</v>
      </c>
      <c r="S91" s="18"/>
      <c r="T91" s="18"/>
      <c r="U91" s="18" t="s">
        <v>134</v>
      </c>
      <c r="V91" s="19">
        <f t="shared" ref="V91:V114" si="48">+M91/O91*100</f>
        <v>6.8685397886750517</v>
      </c>
      <c r="W91" s="19">
        <f t="shared" ref="W91:W114" si="49">(K91+L91+N91)/O91*100</f>
        <v>93.131460211324949</v>
      </c>
      <c r="X91" s="29">
        <f t="shared" si="31"/>
        <v>538.35000000000036</v>
      </c>
      <c r="Y91" s="34">
        <f t="shared" si="32"/>
        <v>8.8265783540022547</v>
      </c>
      <c r="Z91" s="63">
        <v>4000</v>
      </c>
      <c r="AA91" s="63">
        <v>3600</v>
      </c>
      <c r="AB91" s="63">
        <v>400</v>
      </c>
    </row>
    <row r="92" spans="1:28" s="8" customFormat="1" ht="11.25" x14ac:dyDescent="0.2">
      <c r="A92" s="16">
        <v>16000185011981</v>
      </c>
      <c r="B92" s="17" t="s">
        <v>85</v>
      </c>
      <c r="C92" s="14" t="s">
        <v>26</v>
      </c>
      <c r="D92" s="50" t="s">
        <v>130</v>
      </c>
      <c r="E92" s="50">
        <v>1774</v>
      </c>
      <c r="F92" s="50">
        <v>1774</v>
      </c>
      <c r="G92" s="50">
        <v>1774</v>
      </c>
      <c r="H92" s="14"/>
      <c r="I92" s="14">
        <v>5</v>
      </c>
      <c r="J92" s="52" t="s">
        <v>6</v>
      </c>
      <c r="K92" s="53">
        <f t="shared" ref="K92:L94" si="50">P92*12</f>
        <v>11491.68</v>
      </c>
      <c r="L92" s="53">
        <f t="shared" si="50"/>
        <v>1344</v>
      </c>
      <c r="M92" s="53">
        <f t="shared" ref="M92:M94" si="51">R92*225</f>
        <v>1228.5</v>
      </c>
      <c r="N92" s="53">
        <f t="shared" ref="N92:N94" si="52">(P92+Q92)*3</f>
        <v>3208.9199999999996</v>
      </c>
      <c r="O92" s="53">
        <f t="shared" ref="O92:O94" si="53">K92+L92+M92+N92</f>
        <v>17273.099999999999</v>
      </c>
      <c r="P92" s="18">
        <v>957.64</v>
      </c>
      <c r="Q92" s="18">
        <v>112</v>
      </c>
      <c r="R92" s="18">
        <v>5.46</v>
      </c>
      <c r="S92" s="18"/>
      <c r="T92" s="18"/>
      <c r="U92" s="18" t="s">
        <v>134</v>
      </c>
      <c r="V92" s="19">
        <f t="shared" si="48"/>
        <v>7.1122149469406191</v>
      </c>
      <c r="W92" s="19">
        <f t="shared" si="49"/>
        <v>92.887785053059389</v>
      </c>
      <c r="X92" s="29">
        <f t="shared" si="31"/>
        <v>2153.0999999999985</v>
      </c>
      <c r="Y92" s="34">
        <f t="shared" si="32"/>
        <v>9.7368094701240135</v>
      </c>
      <c r="Z92" s="63">
        <v>4000</v>
      </c>
      <c r="AA92" s="63">
        <v>3600</v>
      </c>
      <c r="AB92" s="63">
        <v>400</v>
      </c>
    </row>
    <row r="93" spans="1:28" s="8" customFormat="1" ht="11.25" x14ac:dyDescent="0.2">
      <c r="A93" s="16">
        <v>16000185011981</v>
      </c>
      <c r="B93" s="17" t="s">
        <v>85</v>
      </c>
      <c r="C93" s="14" t="s">
        <v>26</v>
      </c>
      <c r="D93" s="50" t="s">
        <v>130</v>
      </c>
      <c r="E93" s="50">
        <v>1774</v>
      </c>
      <c r="F93" s="50">
        <v>1774</v>
      </c>
      <c r="G93" s="50">
        <v>1774</v>
      </c>
      <c r="H93" s="14"/>
      <c r="I93" s="14">
        <v>5</v>
      </c>
      <c r="J93" s="52" t="s">
        <v>8</v>
      </c>
      <c r="K93" s="53">
        <f t="shared" si="50"/>
        <v>11641.08</v>
      </c>
      <c r="L93" s="53">
        <f t="shared" si="50"/>
        <v>1373.04</v>
      </c>
      <c r="M93" s="53">
        <f t="shared" si="51"/>
        <v>1244.25</v>
      </c>
      <c r="N93" s="53">
        <f t="shared" si="52"/>
        <v>3253.5299999999997</v>
      </c>
      <c r="O93" s="53">
        <f t="shared" si="53"/>
        <v>17511.899999999998</v>
      </c>
      <c r="P93" s="18">
        <v>970.09</v>
      </c>
      <c r="Q93" s="18">
        <v>114.42</v>
      </c>
      <c r="R93" s="18">
        <v>5.53</v>
      </c>
      <c r="S93" s="18"/>
      <c r="T93" s="18"/>
      <c r="U93" s="18" t="s">
        <v>134</v>
      </c>
      <c r="V93" s="19">
        <f t="shared" si="48"/>
        <v>7.1051684854299078</v>
      </c>
      <c r="W93" s="19">
        <f t="shared" si="49"/>
        <v>92.894831514570086</v>
      </c>
      <c r="X93" s="29">
        <f t="shared" si="31"/>
        <v>2391.8999999999978</v>
      </c>
      <c r="Y93" s="34">
        <f t="shared" si="32"/>
        <v>9.8714205186020276</v>
      </c>
      <c r="Z93" s="63">
        <v>4000</v>
      </c>
      <c r="AA93" s="63">
        <v>3600</v>
      </c>
      <c r="AB93" s="63">
        <v>400</v>
      </c>
    </row>
    <row r="94" spans="1:28" s="8" customFormat="1" ht="11.25" x14ac:dyDescent="0.2">
      <c r="A94" s="16">
        <v>16000185011981</v>
      </c>
      <c r="B94" s="17" t="s">
        <v>85</v>
      </c>
      <c r="C94" s="14" t="s">
        <v>26</v>
      </c>
      <c r="D94" s="50" t="s">
        <v>130</v>
      </c>
      <c r="E94" s="50">
        <v>1774</v>
      </c>
      <c r="F94" s="50">
        <v>1774</v>
      </c>
      <c r="G94" s="50">
        <v>1774</v>
      </c>
      <c r="H94" s="14"/>
      <c r="I94" s="14">
        <v>1</v>
      </c>
      <c r="J94" s="52" t="s">
        <v>9</v>
      </c>
      <c r="K94" s="53">
        <f t="shared" si="50"/>
        <v>13684.439999999999</v>
      </c>
      <c r="L94" s="53">
        <f t="shared" si="50"/>
        <v>1500.1200000000001</v>
      </c>
      <c r="M94" s="53">
        <f t="shared" si="51"/>
        <v>1453.5</v>
      </c>
      <c r="N94" s="53">
        <f t="shared" si="52"/>
        <v>3796.1399999999994</v>
      </c>
      <c r="O94" s="53">
        <f t="shared" si="53"/>
        <v>20434.199999999997</v>
      </c>
      <c r="P94" s="18">
        <v>1140.3699999999999</v>
      </c>
      <c r="Q94" s="18">
        <v>125.01</v>
      </c>
      <c r="R94" s="18">
        <v>6.46</v>
      </c>
      <c r="S94" s="18"/>
      <c r="T94" s="18"/>
      <c r="U94" s="18" t="s">
        <v>134</v>
      </c>
      <c r="V94" s="19">
        <f t="shared" si="48"/>
        <v>7.1130751387379991</v>
      </c>
      <c r="W94" s="19">
        <f t="shared" si="49"/>
        <v>92.886924861262003</v>
      </c>
      <c r="X94" s="29">
        <f t="shared" si="31"/>
        <v>5314.1999999999971</v>
      </c>
      <c r="Y94" s="34">
        <f t="shared" si="32"/>
        <v>11.518714768883877</v>
      </c>
      <c r="Z94" s="63">
        <v>4000</v>
      </c>
      <c r="AA94" s="63">
        <v>3600</v>
      </c>
      <c r="AB94" s="63">
        <v>400</v>
      </c>
    </row>
    <row r="95" spans="1:28" s="8" customFormat="1" ht="22.5" x14ac:dyDescent="0.2">
      <c r="A95" s="16">
        <v>17000305011994</v>
      </c>
      <c r="B95" s="17" t="s">
        <v>73</v>
      </c>
      <c r="C95" s="14" t="s">
        <v>27</v>
      </c>
      <c r="D95" s="50" t="s">
        <v>117</v>
      </c>
      <c r="E95" s="50">
        <v>1742</v>
      </c>
      <c r="F95" s="50">
        <v>1742</v>
      </c>
      <c r="G95" s="50">
        <v>1742</v>
      </c>
      <c r="H95" s="50">
        <v>1742</v>
      </c>
      <c r="I95" s="14">
        <v>7</v>
      </c>
      <c r="J95" s="52" t="s">
        <v>7</v>
      </c>
      <c r="K95" s="53"/>
      <c r="L95" s="53"/>
      <c r="M95" s="53"/>
      <c r="N95" s="53"/>
      <c r="O95" s="53">
        <v>19813.650000000001</v>
      </c>
      <c r="P95" s="18"/>
      <c r="Q95" s="18"/>
      <c r="R95" s="18"/>
      <c r="S95" s="18"/>
      <c r="T95" s="18"/>
      <c r="U95" s="18"/>
      <c r="V95" s="19">
        <f t="shared" si="48"/>
        <v>0</v>
      </c>
      <c r="W95" s="19">
        <f t="shared" si="49"/>
        <v>0</v>
      </c>
      <c r="X95" s="29">
        <f t="shared" si="31"/>
        <v>4693.6500000000015</v>
      </c>
      <c r="Y95" s="34">
        <f t="shared" si="32"/>
        <v>11.374081515499427</v>
      </c>
      <c r="Z95" s="62">
        <v>25840</v>
      </c>
      <c r="AA95" s="62">
        <v>21399</v>
      </c>
      <c r="AB95" s="63">
        <v>4441</v>
      </c>
    </row>
    <row r="96" spans="1:28" s="8" customFormat="1" ht="22.5" x14ac:dyDescent="0.2">
      <c r="A96" s="16">
        <v>17000305011994</v>
      </c>
      <c r="B96" s="17" t="s">
        <v>73</v>
      </c>
      <c r="C96" s="14" t="s">
        <v>27</v>
      </c>
      <c r="D96" s="50" t="s">
        <v>117</v>
      </c>
      <c r="E96" s="50">
        <v>1742</v>
      </c>
      <c r="F96" s="50">
        <v>1742</v>
      </c>
      <c r="G96" s="50">
        <v>1742</v>
      </c>
      <c r="H96" s="50">
        <v>1742</v>
      </c>
      <c r="I96" s="14">
        <v>5</v>
      </c>
      <c r="J96" s="52" t="s">
        <v>6</v>
      </c>
      <c r="K96" s="53"/>
      <c r="L96" s="53"/>
      <c r="M96" s="53"/>
      <c r="N96" s="53"/>
      <c r="O96" s="53">
        <v>23477.41</v>
      </c>
      <c r="P96" s="18"/>
      <c r="Q96" s="18"/>
      <c r="R96" s="18"/>
      <c r="S96" s="18"/>
      <c r="T96" s="18"/>
      <c r="U96" s="18"/>
      <c r="V96" s="19">
        <f t="shared" si="48"/>
        <v>0</v>
      </c>
      <c r="W96" s="19">
        <f t="shared" si="49"/>
        <v>0</v>
      </c>
      <c r="X96" s="29">
        <f t="shared" si="31"/>
        <v>8357.41</v>
      </c>
      <c r="Y96" s="34">
        <f t="shared" si="32"/>
        <v>13.477273249138921</v>
      </c>
      <c r="Z96" s="62">
        <v>25840</v>
      </c>
      <c r="AA96" s="62">
        <v>21399</v>
      </c>
      <c r="AB96" s="63">
        <v>4441</v>
      </c>
    </row>
    <row r="97" spans="1:28" s="8" customFormat="1" ht="22.5" x14ac:dyDescent="0.2">
      <c r="A97" s="16">
        <v>17000305011994</v>
      </c>
      <c r="B97" s="17" t="s">
        <v>73</v>
      </c>
      <c r="C97" s="14" t="s">
        <v>27</v>
      </c>
      <c r="D97" s="50" t="s">
        <v>117</v>
      </c>
      <c r="E97" s="50">
        <v>1742</v>
      </c>
      <c r="F97" s="50">
        <v>1742</v>
      </c>
      <c r="G97" s="50">
        <v>1742</v>
      </c>
      <c r="H97" s="50">
        <v>1742</v>
      </c>
      <c r="I97" s="14">
        <v>5</v>
      </c>
      <c r="J97" s="52" t="s">
        <v>8</v>
      </c>
      <c r="K97" s="53"/>
      <c r="L97" s="53"/>
      <c r="M97" s="53"/>
      <c r="N97" s="53"/>
      <c r="O97" s="53">
        <v>23477.41</v>
      </c>
      <c r="P97" s="18"/>
      <c r="Q97" s="18"/>
      <c r="R97" s="18"/>
      <c r="S97" s="18"/>
      <c r="T97" s="18"/>
      <c r="U97" s="18"/>
      <c r="V97" s="19">
        <f t="shared" si="48"/>
        <v>0</v>
      </c>
      <c r="W97" s="19">
        <f t="shared" si="49"/>
        <v>0</v>
      </c>
      <c r="X97" s="29">
        <f t="shared" si="31"/>
        <v>8357.41</v>
      </c>
      <c r="Y97" s="34">
        <f t="shared" si="32"/>
        <v>13.477273249138921</v>
      </c>
      <c r="Z97" s="62">
        <v>25840</v>
      </c>
      <c r="AA97" s="62">
        <v>21399</v>
      </c>
      <c r="AB97" s="63">
        <v>4441</v>
      </c>
    </row>
    <row r="98" spans="1:28" s="8" customFormat="1" ht="22.5" x14ac:dyDescent="0.2">
      <c r="A98" s="16">
        <v>17000305011994</v>
      </c>
      <c r="B98" s="17" t="s">
        <v>73</v>
      </c>
      <c r="C98" s="14" t="s">
        <v>27</v>
      </c>
      <c r="D98" s="50" t="s">
        <v>117</v>
      </c>
      <c r="E98" s="50">
        <v>1742</v>
      </c>
      <c r="F98" s="50">
        <v>1742</v>
      </c>
      <c r="G98" s="50">
        <v>1742</v>
      </c>
      <c r="H98" s="50">
        <v>1742</v>
      </c>
      <c r="I98" s="14">
        <v>2</v>
      </c>
      <c r="J98" s="52" t="s">
        <v>9</v>
      </c>
      <c r="K98" s="53"/>
      <c r="L98" s="53"/>
      <c r="M98" s="53"/>
      <c r="N98" s="53"/>
      <c r="O98" s="53">
        <v>36138.36</v>
      </c>
      <c r="P98" s="18"/>
      <c r="Q98" s="18"/>
      <c r="R98" s="18"/>
      <c r="S98" s="18"/>
      <c r="T98" s="18"/>
      <c r="U98" s="18"/>
      <c r="V98" s="19">
        <f t="shared" si="48"/>
        <v>0</v>
      </c>
      <c r="W98" s="19">
        <f t="shared" si="49"/>
        <v>0</v>
      </c>
      <c r="X98" s="29">
        <f t="shared" si="31"/>
        <v>21018.36</v>
      </c>
      <c r="Y98" s="34">
        <f t="shared" si="32"/>
        <v>20.74532721010333</v>
      </c>
      <c r="Z98" s="62">
        <v>25840</v>
      </c>
      <c r="AA98" s="62">
        <v>21399</v>
      </c>
      <c r="AB98" s="63">
        <v>4441</v>
      </c>
    </row>
    <row r="99" spans="1:28" s="8" customFormat="1" ht="22.5" x14ac:dyDescent="0.2">
      <c r="A99" s="20">
        <v>18000305011981</v>
      </c>
      <c r="B99" s="21" t="s">
        <v>73</v>
      </c>
      <c r="C99" s="14" t="s">
        <v>28</v>
      </c>
      <c r="D99" s="50" t="s">
        <v>117</v>
      </c>
      <c r="E99" s="50">
        <v>1760</v>
      </c>
      <c r="F99" s="50">
        <v>1760</v>
      </c>
      <c r="G99" s="50">
        <v>1760</v>
      </c>
      <c r="H99" s="50">
        <v>1760</v>
      </c>
      <c r="I99" s="14"/>
      <c r="J99" s="52" t="s">
        <v>7</v>
      </c>
      <c r="K99" s="53">
        <f t="shared" ref="K99:K104" si="54">+P99*365</f>
        <v>17348.45</v>
      </c>
      <c r="L99" s="53">
        <f>+Q99*299</f>
        <v>0</v>
      </c>
      <c r="M99" s="53">
        <f>+R99*11</f>
        <v>0</v>
      </c>
      <c r="N99" s="53">
        <f>+(P99)*60</f>
        <v>2851.8</v>
      </c>
      <c r="O99" s="53">
        <f t="shared" ref="O99:O110" si="55">+K99+L99+M99+N99</f>
        <v>20200.25</v>
      </c>
      <c r="P99" s="18">
        <v>47.53</v>
      </c>
      <c r="Q99" s="18"/>
      <c r="R99" s="18"/>
      <c r="S99" s="18"/>
      <c r="T99" s="18"/>
      <c r="U99" s="18"/>
      <c r="V99" s="19">
        <f t="shared" si="48"/>
        <v>0</v>
      </c>
      <c r="W99" s="19">
        <f t="shared" si="49"/>
        <v>100</v>
      </c>
      <c r="X99" s="29">
        <f t="shared" si="31"/>
        <v>5080.25</v>
      </c>
      <c r="Y99" s="34">
        <f t="shared" si="32"/>
        <v>11.477414772727272</v>
      </c>
      <c r="Z99" s="63">
        <v>8425</v>
      </c>
      <c r="AA99" s="63">
        <v>6740</v>
      </c>
      <c r="AB99" s="63">
        <v>1685</v>
      </c>
    </row>
    <row r="100" spans="1:28" s="8" customFormat="1" ht="22.5" x14ac:dyDescent="0.2">
      <c r="A100" s="20">
        <v>18000305011981</v>
      </c>
      <c r="B100" s="21" t="s">
        <v>73</v>
      </c>
      <c r="C100" s="14" t="s">
        <v>28</v>
      </c>
      <c r="D100" s="50" t="s">
        <v>117</v>
      </c>
      <c r="E100" s="50">
        <v>1760</v>
      </c>
      <c r="F100" s="50">
        <v>1760</v>
      </c>
      <c r="G100" s="50">
        <v>1760</v>
      </c>
      <c r="H100" s="50">
        <v>1760</v>
      </c>
      <c r="I100" s="14"/>
      <c r="J100" s="52" t="s">
        <v>6</v>
      </c>
      <c r="K100" s="53">
        <f t="shared" si="54"/>
        <v>17614.899999999998</v>
      </c>
      <c r="L100" s="53">
        <f>+Q100*299</f>
        <v>0</v>
      </c>
      <c r="M100" s="53">
        <f>+R100*11</f>
        <v>0</v>
      </c>
      <c r="N100" s="53">
        <f>+(P100)*60</f>
        <v>2895.6</v>
      </c>
      <c r="O100" s="53">
        <f t="shared" si="55"/>
        <v>20510.499999999996</v>
      </c>
      <c r="P100" s="18">
        <v>48.26</v>
      </c>
      <c r="Q100" s="18"/>
      <c r="R100" s="18"/>
      <c r="S100" s="18"/>
      <c r="T100" s="18"/>
      <c r="U100" s="18"/>
      <c r="V100" s="19">
        <f t="shared" si="48"/>
        <v>0</v>
      </c>
      <c r="W100" s="19">
        <f t="shared" si="49"/>
        <v>100</v>
      </c>
      <c r="X100" s="29">
        <f t="shared" si="31"/>
        <v>5390.4999999999964</v>
      </c>
      <c r="Y100" s="34">
        <f t="shared" si="32"/>
        <v>11.653693181818181</v>
      </c>
      <c r="Z100" s="63">
        <v>8425</v>
      </c>
      <c r="AA100" s="63">
        <v>6740</v>
      </c>
      <c r="AB100" s="63">
        <v>1685</v>
      </c>
    </row>
    <row r="101" spans="1:28" s="8" customFormat="1" ht="22.5" x14ac:dyDescent="0.2">
      <c r="A101" s="20">
        <v>18000305011981</v>
      </c>
      <c r="B101" s="21" t="s">
        <v>73</v>
      </c>
      <c r="C101" s="14" t="s">
        <v>28</v>
      </c>
      <c r="D101" s="50" t="s">
        <v>117</v>
      </c>
      <c r="E101" s="50">
        <v>1760</v>
      </c>
      <c r="F101" s="50">
        <v>1760</v>
      </c>
      <c r="G101" s="50">
        <v>1760</v>
      </c>
      <c r="H101" s="50">
        <v>1760</v>
      </c>
      <c r="I101" s="14"/>
      <c r="J101" s="52" t="s">
        <v>8</v>
      </c>
      <c r="K101" s="53">
        <f t="shared" si="54"/>
        <v>18209.849999999999</v>
      </c>
      <c r="L101" s="53">
        <f>+Q101*299</f>
        <v>0</v>
      </c>
      <c r="M101" s="53">
        <f>+R101*11</f>
        <v>0</v>
      </c>
      <c r="N101" s="53">
        <f>+(P101)*60</f>
        <v>2993.4</v>
      </c>
      <c r="O101" s="53">
        <f t="shared" si="55"/>
        <v>21203.25</v>
      </c>
      <c r="P101" s="18">
        <v>49.89</v>
      </c>
      <c r="Q101" s="18"/>
      <c r="R101" s="18"/>
      <c r="S101" s="18"/>
      <c r="T101" s="18"/>
      <c r="U101" s="18"/>
      <c r="V101" s="19">
        <f t="shared" si="48"/>
        <v>0</v>
      </c>
      <c r="W101" s="19">
        <f t="shared" si="49"/>
        <v>100</v>
      </c>
      <c r="X101" s="29">
        <f t="shared" si="31"/>
        <v>6083.25</v>
      </c>
      <c r="Y101" s="34">
        <f t="shared" si="32"/>
        <v>12.047301136363636</v>
      </c>
      <c r="Z101" s="63">
        <v>8425</v>
      </c>
      <c r="AA101" s="63">
        <v>6740</v>
      </c>
      <c r="AB101" s="63">
        <v>1685</v>
      </c>
    </row>
    <row r="102" spans="1:28" s="8" customFormat="1" ht="22.5" x14ac:dyDescent="0.2">
      <c r="A102" s="20">
        <v>18000305011981</v>
      </c>
      <c r="B102" s="21" t="s">
        <v>73</v>
      </c>
      <c r="C102" s="14" t="s">
        <v>28</v>
      </c>
      <c r="D102" s="50" t="s">
        <v>117</v>
      </c>
      <c r="E102" s="50">
        <v>1760</v>
      </c>
      <c r="F102" s="50">
        <v>1760</v>
      </c>
      <c r="G102" s="50">
        <v>1760</v>
      </c>
      <c r="H102" s="50">
        <v>1760</v>
      </c>
      <c r="I102" s="14"/>
      <c r="J102" s="52" t="s">
        <v>9</v>
      </c>
      <c r="K102" s="53">
        <f t="shared" si="54"/>
        <v>23422.05</v>
      </c>
      <c r="L102" s="53">
        <f>+Q102*299</f>
        <v>0</v>
      </c>
      <c r="M102" s="53">
        <f>+R102*11</f>
        <v>0</v>
      </c>
      <c r="N102" s="53">
        <f>+(P102)*60</f>
        <v>3850.2000000000003</v>
      </c>
      <c r="O102" s="53">
        <f t="shared" si="55"/>
        <v>27272.25</v>
      </c>
      <c r="P102" s="18">
        <v>64.17</v>
      </c>
      <c r="Q102" s="18"/>
      <c r="R102" s="18"/>
      <c r="S102" s="18"/>
      <c r="T102" s="18"/>
      <c r="U102" s="18"/>
      <c r="V102" s="19">
        <f t="shared" si="48"/>
        <v>0</v>
      </c>
      <c r="W102" s="19">
        <f t="shared" si="49"/>
        <v>100</v>
      </c>
      <c r="X102" s="29">
        <f t="shared" si="31"/>
        <v>12152.25</v>
      </c>
      <c r="Y102" s="34">
        <f t="shared" si="32"/>
        <v>15.495596590909091</v>
      </c>
      <c r="Z102" s="63">
        <v>8425</v>
      </c>
      <c r="AA102" s="63">
        <v>6740</v>
      </c>
      <c r="AB102" s="63">
        <v>1685</v>
      </c>
    </row>
    <row r="103" spans="1:28" s="8" customFormat="1" ht="22.5" x14ac:dyDescent="0.2">
      <c r="A103" s="20">
        <v>19000285011981</v>
      </c>
      <c r="B103" s="21" t="s">
        <v>73</v>
      </c>
      <c r="C103" s="14" t="s">
        <v>29</v>
      </c>
      <c r="D103" s="50" t="s">
        <v>124</v>
      </c>
      <c r="E103" s="50">
        <v>1760</v>
      </c>
      <c r="F103" s="50">
        <v>1760</v>
      </c>
      <c r="G103" s="50"/>
      <c r="H103" s="50"/>
      <c r="I103" s="14">
        <v>6</v>
      </c>
      <c r="J103" s="52" t="s">
        <v>7</v>
      </c>
      <c r="K103" s="53">
        <f t="shared" si="54"/>
        <v>10344.1</v>
      </c>
      <c r="L103" s="53">
        <f>+Q103*365+1.48*265</f>
        <v>3870.6499999999996</v>
      </c>
      <c r="M103" s="53">
        <f>+R103*14</f>
        <v>938.84</v>
      </c>
      <c r="N103" s="53">
        <f>(P103+Q103)*60</f>
        <v>2272.1999999999998</v>
      </c>
      <c r="O103" s="53">
        <f t="shared" si="55"/>
        <v>17425.79</v>
      </c>
      <c r="P103" s="18">
        <v>28.34</v>
      </c>
      <c r="Q103" s="18">
        <v>9.5299999999999994</v>
      </c>
      <c r="R103" s="18">
        <v>67.06</v>
      </c>
      <c r="S103" s="18"/>
      <c r="T103" s="54">
        <v>17422.580000000002</v>
      </c>
      <c r="U103" s="18" t="s">
        <v>135</v>
      </c>
      <c r="V103" s="19">
        <f t="shared" si="48"/>
        <v>5.3876467006660818</v>
      </c>
      <c r="W103" s="19">
        <f t="shared" si="49"/>
        <v>94.612353299333918</v>
      </c>
      <c r="X103" s="29">
        <f t="shared" si="31"/>
        <v>2305.7900000000009</v>
      </c>
      <c r="Y103" s="34">
        <f t="shared" si="32"/>
        <v>9.9010170454545463</v>
      </c>
      <c r="Z103" s="62">
        <v>5000</v>
      </c>
      <c r="AA103" s="62">
        <v>4500</v>
      </c>
      <c r="AB103" s="63">
        <v>500</v>
      </c>
    </row>
    <row r="104" spans="1:28" s="8" customFormat="1" ht="22.5" x14ac:dyDescent="0.2">
      <c r="A104" s="20">
        <v>19000285011981</v>
      </c>
      <c r="B104" s="21" t="s">
        <v>73</v>
      </c>
      <c r="C104" s="14" t="s">
        <v>29</v>
      </c>
      <c r="D104" s="50" t="s">
        <v>124</v>
      </c>
      <c r="E104" s="50">
        <v>1760</v>
      </c>
      <c r="F104" s="50">
        <v>1760</v>
      </c>
      <c r="G104" s="50"/>
      <c r="H104" s="50"/>
      <c r="I104" s="14">
        <v>5</v>
      </c>
      <c r="J104" s="52" t="s">
        <v>6</v>
      </c>
      <c r="K104" s="53">
        <f t="shared" si="54"/>
        <v>10486.45</v>
      </c>
      <c r="L104" s="53">
        <f>+Q104*365+1.48*265</f>
        <v>4505.75</v>
      </c>
      <c r="M104" s="53">
        <f>+R104*14</f>
        <v>938.84</v>
      </c>
      <c r="N104" s="53">
        <f>(P104+Q104)*60</f>
        <v>2400</v>
      </c>
      <c r="O104" s="53">
        <f t="shared" si="55"/>
        <v>18331.04</v>
      </c>
      <c r="P104" s="18">
        <v>28.73</v>
      </c>
      <c r="Q104" s="18">
        <v>11.27</v>
      </c>
      <c r="R104" s="18">
        <v>67.06</v>
      </c>
      <c r="S104" s="18"/>
      <c r="T104" s="54">
        <v>18332</v>
      </c>
      <c r="U104" s="18" t="s">
        <v>136</v>
      </c>
      <c r="V104" s="19">
        <f t="shared" si="48"/>
        <v>5.1215861184089935</v>
      </c>
      <c r="W104" s="19">
        <f t="shared" si="49"/>
        <v>94.878413881591001</v>
      </c>
      <c r="X104" s="29">
        <f t="shared" si="31"/>
        <v>3211.0400000000009</v>
      </c>
      <c r="Y104" s="34">
        <f t="shared" si="32"/>
        <v>10.415363636363637</v>
      </c>
      <c r="Z104" s="62">
        <v>5000</v>
      </c>
      <c r="AA104" s="62">
        <v>4500</v>
      </c>
      <c r="AB104" s="63">
        <v>500</v>
      </c>
    </row>
    <row r="105" spans="1:28" s="8" customFormat="1" ht="22.5" x14ac:dyDescent="0.2">
      <c r="A105" s="20">
        <v>19000285011981</v>
      </c>
      <c r="B105" s="21" t="s">
        <v>73</v>
      </c>
      <c r="C105" s="14" t="s">
        <v>29</v>
      </c>
      <c r="D105" s="50" t="s">
        <v>124</v>
      </c>
      <c r="E105" s="50">
        <v>1760</v>
      </c>
      <c r="F105" s="50">
        <v>1760</v>
      </c>
      <c r="G105" s="50"/>
      <c r="H105" s="50"/>
      <c r="I105" s="14">
        <v>5</v>
      </c>
      <c r="J105" s="52" t="s">
        <v>8</v>
      </c>
      <c r="K105" s="53">
        <f>+P105*12</f>
        <v>10570.2</v>
      </c>
      <c r="L105" s="53">
        <f>+Q105*12+1.48*265</f>
        <v>7862.5599999999995</v>
      </c>
      <c r="M105" s="53">
        <f>+R105*14</f>
        <v>938.84</v>
      </c>
      <c r="N105" s="53">
        <f>(P105+Q105)*2</f>
        <v>3006.76</v>
      </c>
      <c r="O105" s="53">
        <f t="shared" si="55"/>
        <v>22378.36</v>
      </c>
      <c r="P105" s="18">
        <v>880.85</v>
      </c>
      <c r="Q105" s="18">
        <v>622.53</v>
      </c>
      <c r="R105" s="18">
        <v>67.06</v>
      </c>
      <c r="S105" s="18"/>
      <c r="T105" s="54">
        <v>22376.97</v>
      </c>
      <c r="U105" s="18" t="s">
        <v>137</v>
      </c>
      <c r="V105" s="19">
        <f t="shared" si="48"/>
        <v>4.195302962326104</v>
      </c>
      <c r="W105" s="19">
        <f t="shared" si="49"/>
        <v>95.804697037673918</v>
      </c>
      <c r="X105" s="29">
        <f t="shared" si="31"/>
        <v>7258.3600000000006</v>
      </c>
      <c r="Y105" s="34">
        <f t="shared" si="32"/>
        <v>12.714977272727273</v>
      </c>
      <c r="Z105" s="62">
        <v>5000</v>
      </c>
      <c r="AA105" s="62">
        <v>4500</v>
      </c>
      <c r="AB105" s="63">
        <v>500</v>
      </c>
    </row>
    <row r="106" spans="1:28" s="8" customFormat="1" ht="22.5" x14ac:dyDescent="0.2">
      <c r="A106" s="20">
        <v>19000285011981</v>
      </c>
      <c r="B106" s="21" t="s">
        <v>73</v>
      </c>
      <c r="C106" s="14" t="s">
        <v>29</v>
      </c>
      <c r="D106" s="50" t="s">
        <v>124</v>
      </c>
      <c r="E106" s="50">
        <v>1760</v>
      </c>
      <c r="F106" s="50">
        <v>1760</v>
      </c>
      <c r="G106" s="50"/>
      <c r="H106" s="50"/>
      <c r="I106" s="14">
        <v>1</v>
      </c>
      <c r="J106" s="52" t="s">
        <v>9</v>
      </c>
      <c r="K106" s="53">
        <f>+P106*12</f>
        <v>11553.72</v>
      </c>
      <c r="L106" s="53">
        <f>+Q106*12+1.48*265</f>
        <v>15807.16</v>
      </c>
      <c r="M106" s="53">
        <f>+(R106*14)</f>
        <v>938.84</v>
      </c>
      <c r="N106" s="53">
        <f>(P106+Q106)*2</f>
        <v>4494.78</v>
      </c>
      <c r="O106" s="53">
        <f t="shared" si="55"/>
        <v>32794.5</v>
      </c>
      <c r="P106" s="18">
        <v>962.81</v>
      </c>
      <c r="Q106" s="18">
        <v>1284.58</v>
      </c>
      <c r="R106" s="18">
        <v>67.06</v>
      </c>
      <c r="S106" s="18"/>
      <c r="T106" s="54">
        <v>32793.050000000003</v>
      </c>
      <c r="U106" s="18" t="s">
        <v>138</v>
      </c>
      <c r="V106" s="19">
        <f t="shared" si="48"/>
        <v>2.8627971153699554</v>
      </c>
      <c r="W106" s="19">
        <f t="shared" si="49"/>
        <v>97.137202884630042</v>
      </c>
      <c r="X106" s="29">
        <f t="shared" si="31"/>
        <v>17674.5</v>
      </c>
      <c r="Y106" s="34">
        <f t="shared" si="32"/>
        <v>18.633238636363636</v>
      </c>
      <c r="Z106" s="62">
        <v>5000</v>
      </c>
      <c r="AA106" s="62">
        <v>4500</v>
      </c>
      <c r="AB106" s="63">
        <v>500</v>
      </c>
    </row>
    <row r="107" spans="1:28" s="8" customFormat="1" ht="22.5" x14ac:dyDescent="0.2">
      <c r="A107" s="20">
        <v>20001095011981</v>
      </c>
      <c r="B107" s="21" t="s">
        <v>73</v>
      </c>
      <c r="C107" s="14" t="s">
        <v>30</v>
      </c>
      <c r="D107" s="50" t="s">
        <v>121</v>
      </c>
      <c r="E107" s="50"/>
      <c r="F107" s="50">
        <v>1682</v>
      </c>
      <c r="G107" s="50">
        <v>1680</v>
      </c>
      <c r="H107" s="50">
        <v>1680</v>
      </c>
      <c r="I107" s="50"/>
      <c r="J107" s="52" t="s">
        <v>7</v>
      </c>
      <c r="K107" s="53">
        <f>+P107*365</f>
        <v>5818.0999999999995</v>
      </c>
      <c r="L107" s="53">
        <f>+Q107*303</f>
        <v>13707.720000000001</v>
      </c>
      <c r="M107" s="53">
        <f>+R107*303</f>
        <v>2593.6800000000003</v>
      </c>
      <c r="N107" s="53">
        <f>+(P107+Q107)*60</f>
        <v>3670.8</v>
      </c>
      <c r="O107" s="53">
        <f t="shared" si="55"/>
        <v>25790.3</v>
      </c>
      <c r="P107" s="18">
        <v>15.94</v>
      </c>
      <c r="Q107" s="18">
        <v>45.24</v>
      </c>
      <c r="R107" s="18">
        <v>8.56</v>
      </c>
      <c r="S107" s="18" t="s">
        <v>68</v>
      </c>
      <c r="T107" s="18">
        <v>25738.01</v>
      </c>
      <c r="U107" s="18" t="s">
        <v>139</v>
      </c>
      <c r="V107" s="55">
        <f t="shared" si="48"/>
        <v>10.056804302392761</v>
      </c>
      <c r="W107" s="55">
        <f t="shared" si="49"/>
        <v>89.943195697607237</v>
      </c>
      <c r="X107" s="29">
        <f t="shared" si="31"/>
        <v>10670.3</v>
      </c>
      <c r="Y107" s="34">
        <f t="shared" si="32"/>
        <v>15.333115338882283</v>
      </c>
      <c r="Z107" s="62">
        <v>3600</v>
      </c>
      <c r="AA107" s="62">
        <v>3000</v>
      </c>
      <c r="AB107" s="63">
        <v>600</v>
      </c>
    </row>
    <row r="108" spans="1:28" s="8" customFormat="1" ht="22.5" x14ac:dyDescent="0.2">
      <c r="A108" s="20">
        <v>20001095011981</v>
      </c>
      <c r="B108" s="21" t="s">
        <v>73</v>
      </c>
      <c r="C108" s="14" t="s">
        <v>30</v>
      </c>
      <c r="D108" s="50" t="s">
        <v>121</v>
      </c>
      <c r="E108" s="14"/>
      <c r="F108" s="50">
        <v>1682</v>
      </c>
      <c r="G108" s="50">
        <v>1680</v>
      </c>
      <c r="H108" s="50">
        <v>1680</v>
      </c>
      <c r="I108" s="14"/>
      <c r="J108" s="52" t="s">
        <v>6</v>
      </c>
      <c r="K108" s="53">
        <f>+P108*365</f>
        <v>6679.5</v>
      </c>
      <c r="L108" s="53">
        <f>+Q108*303</f>
        <v>15019.710000000001</v>
      </c>
      <c r="M108" s="53">
        <f>+R108*303</f>
        <v>2879.1060000000002</v>
      </c>
      <c r="N108" s="53">
        <f>+(P108+Q108)*60</f>
        <v>4072.2000000000003</v>
      </c>
      <c r="O108" s="53">
        <f t="shared" si="55"/>
        <v>28650.516</v>
      </c>
      <c r="P108" s="18">
        <v>18.3</v>
      </c>
      <c r="Q108" s="18">
        <v>49.57</v>
      </c>
      <c r="R108" s="18">
        <v>9.5020000000000007</v>
      </c>
      <c r="S108" s="18"/>
      <c r="T108" s="18">
        <v>28591.439999999999</v>
      </c>
      <c r="U108" s="18" t="s">
        <v>139</v>
      </c>
      <c r="V108" s="19">
        <f t="shared" si="48"/>
        <v>10.049054613885488</v>
      </c>
      <c r="W108" s="19">
        <f t="shared" si="49"/>
        <v>89.950945386114512</v>
      </c>
      <c r="X108" s="29">
        <f t="shared" si="31"/>
        <v>13530.516</v>
      </c>
      <c r="Y108" s="34">
        <f t="shared" si="32"/>
        <v>17.033600475624258</v>
      </c>
      <c r="Z108" s="62">
        <v>3600</v>
      </c>
      <c r="AA108" s="62">
        <v>3000</v>
      </c>
      <c r="AB108" s="63">
        <v>600</v>
      </c>
    </row>
    <row r="109" spans="1:28" s="8" customFormat="1" ht="22.5" x14ac:dyDescent="0.2">
      <c r="A109" s="20">
        <v>20001095011981</v>
      </c>
      <c r="B109" s="21" t="s">
        <v>73</v>
      </c>
      <c r="C109" s="14" t="s">
        <v>30</v>
      </c>
      <c r="D109" s="50" t="s">
        <v>121</v>
      </c>
      <c r="E109" s="14"/>
      <c r="F109" s="50">
        <v>1682</v>
      </c>
      <c r="G109" s="50">
        <v>1680</v>
      </c>
      <c r="H109" s="50">
        <v>1680</v>
      </c>
      <c r="I109" s="14"/>
      <c r="J109" s="52" t="s">
        <v>8</v>
      </c>
      <c r="K109" s="53">
        <f>+P109*12</f>
        <v>7441.32</v>
      </c>
      <c r="L109" s="53">
        <f t="shared" ref="L109:M110" si="56">+Q109*303</f>
        <v>16137.779999999999</v>
      </c>
      <c r="M109" s="53">
        <f t="shared" si="56"/>
        <v>3126.0509999999999</v>
      </c>
      <c r="N109" s="53">
        <f>+(2*P109)+(60*Q109)</f>
        <v>4435.82</v>
      </c>
      <c r="O109" s="53">
        <f t="shared" si="55"/>
        <v>31140.970999999998</v>
      </c>
      <c r="P109" s="18">
        <v>620.11</v>
      </c>
      <c r="Q109" s="18">
        <v>53.26</v>
      </c>
      <c r="R109" s="18">
        <v>10.317</v>
      </c>
      <c r="S109" s="18"/>
      <c r="T109" s="18">
        <v>31077.39</v>
      </c>
      <c r="U109" s="18" t="s">
        <v>139</v>
      </c>
      <c r="V109" s="19">
        <f t="shared" si="48"/>
        <v>10.038386407411638</v>
      </c>
      <c r="W109" s="19">
        <f t="shared" si="49"/>
        <v>89.961613592588364</v>
      </c>
      <c r="X109" s="29">
        <f t="shared" si="31"/>
        <v>16020.970999999998</v>
      </c>
      <c r="Y109" s="34">
        <f t="shared" si="32"/>
        <v>18.514251486325801</v>
      </c>
      <c r="Z109" s="62">
        <v>3600</v>
      </c>
      <c r="AA109" s="62">
        <v>3000</v>
      </c>
      <c r="AB109" s="63">
        <v>600</v>
      </c>
    </row>
    <row r="110" spans="1:28" s="8" customFormat="1" ht="22.5" x14ac:dyDescent="0.2">
      <c r="A110" s="20">
        <v>20001095011981</v>
      </c>
      <c r="B110" s="21" t="s">
        <v>73</v>
      </c>
      <c r="C110" s="14" t="s">
        <v>30</v>
      </c>
      <c r="D110" s="50" t="s">
        <v>121</v>
      </c>
      <c r="E110" s="14"/>
      <c r="F110" s="50">
        <v>1682</v>
      </c>
      <c r="G110" s="50">
        <v>1680</v>
      </c>
      <c r="H110" s="50">
        <v>1680</v>
      </c>
      <c r="I110" s="14"/>
      <c r="J110" s="52" t="s">
        <v>9</v>
      </c>
      <c r="K110" s="53">
        <f>+P110*12</f>
        <v>12091.32</v>
      </c>
      <c r="L110" s="53">
        <f t="shared" si="56"/>
        <v>21358.469999999998</v>
      </c>
      <c r="M110" s="53">
        <f t="shared" si="56"/>
        <v>4398.0450000000001</v>
      </c>
      <c r="N110" s="53">
        <f>+(2*P110)+(60*Q110)</f>
        <v>6244.62</v>
      </c>
      <c r="O110" s="53">
        <f t="shared" si="55"/>
        <v>44092.454999999994</v>
      </c>
      <c r="P110" s="18">
        <v>1007.61</v>
      </c>
      <c r="Q110" s="18">
        <v>70.489999999999995</v>
      </c>
      <c r="R110" s="18">
        <v>14.515000000000001</v>
      </c>
      <c r="S110" s="18"/>
      <c r="T110" s="18">
        <v>44007.45</v>
      </c>
      <c r="U110" s="18" t="s">
        <v>139</v>
      </c>
      <c r="V110" s="19">
        <f t="shared" si="48"/>
        <v>9.9745976947756727</v>
      </c>
      <c r="W110" s="19">
        <f t="shared" si="49"/>
        <v>90.025402305224333</v>
      </c>
      <c r="X110" s="29">
        <f t="shared" si="31"/>
        <v>28972.454999999994</v>
      </c>
      <c r="Y110" s="34">
        <f t="shared" si="32"/>
        <v>26.214301426872769</v>
      </c>
      <c r="Z110" s="62">
        <v>3600</v>
      </c>
      <c r="AA110" s="62">
        <v>3000</v>
      </c>
      <c r="AB110" s="63">
        <v>600</v>
      </c>
    </row>
    <row r="111" spans="1:28" s="8" customFormat="1" ht="11.25" x14ac:dyDescent="0.2">
      <c r="A111" s="22">
        <v>21001925012001</v>
      </c>
      <c r="B111" s="23" t="s">
        <v>86</v>
      </c>
      <c r="C111" s="14" t="s">
        <v>31</v>
      </c>
      <c r="D111" s="50" t="s">
        <v>119</v>
      </c>
      <c r="E111" s="50">
        <v>1738</v>
      </c>
      <c r="F111" s="50">
        <v>1738</v>
      </c>
      <c r="G111" s="50">
        <v>1738</v>
      </c>
      <c r="H111" s="50"/>
      <c r="I111" s="14">
        <v>6</v>
      </c>
      <c r="J111" s="52" t="s">
        <v>7</v>
      </c>
      <c r="K111" s="53">
        <f>P111*365</f>
        <v>10274.75</v>
      </c>
      <c r="L111" s="53">
        <f>Q111*455</f>
        <v>10269.35</v>
      </c>
      <c r="M111" s="53"/>
      <c r="N111" s="53">
        <f>P111*90</f>
        <v>2533.5</v>
      </c>
      <c r="O111" s="53">
        <f>K111+L111+M111+N111</f>
        <v>23077.599999999999</v>
      </c>
      <c r="P111" s="56">
        <v>28.15</v>
      </c>
      <c r="Q111" s="56">
        <v>22.57</v>
      </c>
      <c r="R111" s="18"/>
      <c r="S111" s="18"/>
      <c r="T111" s="18"/>
      <c r="U111" s="18" t="s">
        <v>140</v>
      </c>
      <c r="V111" s="19">
        <f t="shared" si="48"/>
        <v>0</v>
      </c>
      <c r="W111" s="19">
        <f t="shared" si="49"/>
        <v>100</v>
      </c>
      <c r="X111" s="29">
        <f t="shared" si="31"/>
        <v>7957.5999999999985</v>
      </c>
      <c r="Y111" s="34">
        <f t="shared" si="32"/>
        <v>13.27825086306099</v>
      </c>
      <c r="Z111" s="62">
        <v>6000</v>
      </c>
      <c r="AA111" s="62">
        <v>5700</v>
      </c>
      <c r="AB111" s="63">
        <v>300</v>
      </c>
    </row>
    <row r="112" spans="1:28" s="8" customFormat="1" ht="11.25" x14ac:dyDescent="0.2">
      <c r="A112" s="22">
        <v>21001925012001</v>
      </c>
      <c r="B112" s="23" t="s">
        <v>86</v>
      </c>
      <c r="C112" s="14" t="s">
        <v>31</v>
      </c>
      <c r="D112" s="50" t="s">
        <v>119</v>
      </c>
      <c r="E112" s="50">
        <v>1738</v>
      </c>
      <c r="F112" s="50">
        <v>1738</v>
      </c>
      <c r="G112" s="50">
        <v>1738</v>
      </c>
      <c r="H112" s="50"/>
      <c r="I112" s="14">
        <v>5</v>
      </c>
      <c r="J112" s="52" t="s">
        <v>6</v>
      </c>
      <c r="K112" s="53">
        <f>P112*365</f>
        <v>10625.15</v>
      </c>
      <c r="L112" s="53">
        <f>Q112*455</f>
        <v>11684.4</v>
      </c>
      <c r="M112" s="53"/>
      <c r="N112" s="53">
        <f>P112*90</f>
        <v>2619.9</v>
      </c>
      <c r="O112" s="53">
        <f t="shared" ref="O112:O114" si="57">K112+L112+M112+N112</f>
        <v>24929.45</v>
      </c>
      <c r="P112" s="56">
        <v>29.11</v>
      </c>
      <c r="Q112" s="56">
        <v>25.68</v>
      </c>
      <c r="R112" s="18"/>
      <c r="S112" s="18"/>
      <c r="T112" s="18"/>
      <c r="U112" s="18" t="s">
        <v>140</v>
      </c>
      <c r="V112" s="19">
        <f t="shared" si="48"/>
        <v>0</v>
      </c>
      <c r="W112" s="19">
        <f t="shared" si="49"/>
        <v>100</v>
      </c>
      <c r="X112" s="29">
        <f t="shared" si="31"/>
        <v>9809.4500000000007</v>
      </c>
      <c r="Y112" s="34">
        <f t="shared" si="32"/>
        <v>14.343757192174914</v>
      </c>
      <c r="Z112" s="62">
        <v>6000</v>
      </c>
      <c r="AA112" s="62">
        <v>5700</v>
      </c>
      <c r="AB112" s="63">
        <v>300</v>
      </c>
    </row>
    <row r="113" spans="1:28" s="8" customFormat="1" ht="11.25" x14ac:dyDescent="0.2">
      <c r="A113" s="22">
        <v>21001925012001</v>
      </c>
      <c r="B113" s="23" t="s">
        <v>86</v>
      </c>
      <c r="C113" s="14" t="s">
        <v>31</v>
      </c>
      <c r="D113" s="50" t="s">
        <v>119</v>
      </c>
      <c r="E113" s="50">
        <v>1738</v>
      </c>
      <c r="F113" s="50">
        <v>1738</v>
      </c>
      <c r="G113" s="50">
        <v>1738</v>
      </c>
      <c r="H113" s="50"/>
      <c r="I113" s="14">
        <v>3</v>
      </c>
      <c r="J113" s="52" t="s">
        <v>8</v>
      </c>
      <c r="K113" s="53">
        <f>P113*12</f>
        <v>13612.800000000001</v>
      </c>
      <c r="L113" s="53">
        <f>Q113*15</f>
        <v>8732.85</v>
      </c>
      <c r="M113" s="53"/>
      <c r="N113" s="53">
        <f>P113*3</f>
        <v>3403.2000000000003</v>
      </c>
      <c r="O113" s="53">
        <f t="shared" si="57"/>
        <v>25748.850000000002</v>
      </c>
      <c r="P113" s="56">
        <v>1134.4000000000001</v>
      </c>
      <c r="Q113" s="56">
        <v>582.19000000000005</v>
      </c>
      <c r="R113" s="18"/>
      <c r="S113" s="18"/>
      <c r="T113" s="18"/>
      <c r="U113" s="18" t="s">
        <v>140</v>
      </c>
      <c r="V113" s="19">
        <f t="shared" si="48"/>
        <v>0</v>
      </c>
      <c r="W113" s="19">
        <f t="shared" si="49"/>
        <v>100</v>
      </c>
      <c r="X113" s="29">
        <f t="shared" si="31"/>
        <v>10628.850000000002</v>
      </c>
      <c r="Y113" s="34">
        <f t="shared" si="32"/>
        <v>14.815218642117378</v>
      </c>
      <c r="Z113" s="62">
        <v>6000</v>
      </c>
      <c r="AA113" s="62">
        <v>5700</v>
      </c>
      <c r="AB113" s="63">
        <v>300</v>
      </c>
    </row>
    <row r="114" spans="1:28" s="8" customFormat="1" ht="11.25" x14ac:dyDescent="0.2">
      <c r="A114" s="22">
        <v>21001925012001</v>
      </c>
      <c r="B114" s="23" t="s">
        <v>86</v>
      </c>
      <c r="C114" s="14" t="s">
        <v>31</v>
      </c>
      <c r="D114" s="50" t="s">
        <v>119</v>
      </c>
      <c r="E114" s="50">
        <v>1738</v>
      </c>
      <c r="F114" s="50">
        <v>1738</v>
      </c>
      <c r="G114" s="50">
        <v>1738</v>
      </c>
      <c r="H114" s="50"/>
      <c r="I114" s="14">
        <v>1</v>
      </c>
      <c r="J114" s="52" t="s">
        <v>9</v>
      </c>
      <c r="K114" s="53">
        <f>P114*12</f>
        <v>17442.96</v>
      </c>
      <c r="L114" s="53">
        <f>Q114*15</f>
        <v>8732.85</v>
      </c>
      <c r="M114" s="53"/>
      <c r="N114" s="53">
        <f>P114*3</f>
        <v>4360.74</v>
      </c>
      <c r="O114" s="53">
        <f t="shared" si="57"/>
        <v>30536.549999999996</v>
      </c>
      <c r="P114" s="56">
        <v>1453.58</v>
      </c>
      <c r="Q114" s="56">
        <v>582.19000000000005</v>
      </c>
      <c r="R114" s="18"/>
      <c r="S114" s="18"/>
      <c r="T114" s="18"/>
      <c r="U114" s="18" t="s">
        <v>140</v>
      </c>
      <c r="V114" s="19">
        <f t="shared" si="48"/>
        <v>0</v>
      </c>
      <c r="W114" s="19">
        <f t="shared" si="49"/>
        <v>100</v>
      </c>
      <c r="X114" s="29">
        <f t="shared" si="31"/>
        <v>15416.549999999996</v>
      </c>
      <c r="Y114" s="34">
        <f t="shared" si="32"/>
        <v>17.569936708860759</v>
      </c>
      <c r="Z114" s="62">
        <v>6000</v>
      </c>
      <c r="AA114" s="62">
        <v>5700</v>
      </c>
      <c r="AB114" s="63">
        <v>300</v>
      </c>
    </row>
    <row r="115" spans="1:28" s="8" customFormat="1" ht="11.25" x14ac:dyDescent="0.2">
      <c r="A115" s="22">
        <v>21001915012001</v>
      </c>
      <c r="B115" s="23" t="s">
        <v>87</v>
      </c>
      <c r="C115" s="14" t="s">
        <v>31</v>
      </c>
      <c r="D115" s="50" t="s">
        <v>124</v>
      </c>
      <c r="E115" s="50">
        <v>1736</v>
      </c>
      <c r="F115" s="50">
        <v>1736</v>
      </c>
      <c r="G115" s="50"/>
      <c r="H115" s="14"/>
      <c r="I115" s="14"/>
      <c r="J115" s="52" t="s">
        <v>7</v>
      </c>
      <c r="K115" s="53">
        <f>P115*365</f>
        <v>9712.65</v>
      </c>
      <c r="L115" s="53">
        <f>Q115*455</f>
        <v>9755.2000000000007</v>
      </c>
      <c r="M115" s="53"/>
      <c r="N115" s="53">
        <f>P115*90</f>
        <v>2394.9</v>
      </c>
      <c r="O115" s="53">
        <f>K115+L115+M115+N115</f>
        <v>21862.75</v>
      </c>
      <c r="P115" s="53">
        <v>26.61</v>
      </c>
      <c r="Q115" s="53">
        <v>21.44</v>
      </c>
      <c r="R115" s="18"/>
      <c r="S115" s="18"/>
      <c r="T115" s="18"/>
      <c r="U115" s="18" t="s">
        <v>140</v>
      </c>
      <c r="X115" s="29">
        <f t="shared" si="31"/>
        <v>6742.75</v>
      </c>
      <c r="Y115" s="34">
        <f t="shared" si="32"/>
        <v>12.59375</v>
      </c>
      <c r="Z115" s="62">
        <v>5000</v>
      </c>
      <c r="AA115" s="62">
        <v>4500</v>
      </c>
      <c r="AB115" s="63">
        <v>500</v>
      </c>
    </row>
    <row r="116" spans="1:28" s="8" customFormat="1" ht="11.25" x14ac:dyDescent="0.2">
      <c r="A116" s="22">
        <v>21001915012001</v>
      </c>
      <c r="B116" s="23" t="s">
        <v>87</v>
      </c>
      <c r="C116" s="14" t="s">
        <v>31</v>
      </c>
      <c r="D116" s="50" t="s">
        <v>124</v>
      </c>
      <c r="E116" s="50">
        <v>1736</v>
      </c>
      <c r="F116" s="50">
        <v>1736</v>
      </c>
      <c r="G116" s="50"/>
      <c r="H116" s="14"/>
      <c r="I116" s="14"/>
      <c r="J116" s="52" t="s">
        <v>6</v>
      </c>
      <c r="K116" s="53">
        <f>P116*365</f>
        <v>10110.5</v>
      </c>
      <c r="L116" s="53">
        <f>Q116*455</f>
        <v>11115.65</v>
      </c>
      <c r="M116" s="53"/>
      <c r="N116" s="53">
        <f>P116*90</f>
        <v>2493</v>
      </c>
      <c r="O116" s="53">
        <f t="shared" ref="O116:O118" si="58">K116+L116+M116+N116</f>
        <v>23719.15</v>
      </c>
      <c r="P116" s="53">
        <v>27.7</v>
      </c>
      <c r="Q116" s="53">
        <v>24.43</v>
      </c>
      <c r="R116" s="18"/>
      <c r="S116" s="18"/>
      <c r="T116" s="18"/>
      <c r="U116" s="18" t="s">
        <v>140</v>
      </c>
      <c r="X116" s="29">
        <f t="shared" si="31"/>
        <v>8599.1500000000015</v>
      </c>
      <c r="Y116" s="34">
        <f t="shared" si="32"/>
        <v>13.663104838709678</v>
      </c>
      <c r="Z116" s="62">
        <v>5000</v>
      </c>
      <c r="AA116" s="62">
        <v>4500</v>
      </c>
      <c r="AB116" s="63">
        <v>500</v>
      </c>
    </row>
    <row r="117" spans="1:28" s="8" customFormat="1" ht="11.25" x14ac:dyDescent="0.2">
      <c r="A117" s="22">
        <v>21001915012001</v>
      </c>
      <c r="B117" s="23" t="s">
        <v>87</v>
      </c>
      <c r="C117" s="14" t="s">
        <v>31</v>
      </c>
      <c r="D117" s="50" t="s">
        <v>124</v>
      </c>
      <c r="E117" s="50">
        <v>1736</v>
      </c>
      <c r="F117" s="50">
        <v>1736</v>
      </c>
      <c r="G117" s="50"/>
      <c r="H117" s="14"/>
      <c r="I117" s="14"/>
      <c r="J117" s="52" t="s">
        <v>8</v>
      </c>
      <c r="K117" s="53">
        <f>P117*12</f>
        <v>12938.400000000001</v>
      </c>
      <c r="L117" s="53">
        <f>Q117*15</f>
        <v>8299.9500000000007</v>
      </c>
      <c r="M117" s="53"/>
      <c r="N117" s="53">
        <f>P117*3</f>
        <v>3234.6000000000004</v>
      </c>
      <c r="O117" s="53">
        <f t="shared" si="58"/>
        <v>24472.950000000004</v>
      </c>
      <c r="P117" s="53">
        <v>1078.2</v>
      </c>
      <c r="Q117" s="53">
        <v>553.33000000000004</v>
      </c>
      <c r="R117" s="18"/>
      <c r="S117" s="18"/>
      <c r="T117" s="18"/>
      <c r="U117" s="18" t="s">
        <v>140</v>
      </c>
      <c r="X117" s="29">
        <f t="shared" si="31"/>
        <v>9352.9500000000044</v>
      </c>
      <c r="Y117" s="34">
        <f t="shared" si="32"/>
        <v>14.097321428571432</v>
      </c>
      <c r="Z117" s="62">
        <v>5000</v>
      </c>
      <c r="AA117" s="62">
        <v>4500</v>
      </c>
      <c r="AB117" s="63">
        <v>500</v>
      </c>
    </row>
    <row r="118" spans="1:28" s="8" customFormat="1" ht="11.25" x14ac:dyDescent="0.2">
      <c r="A118" s="22">
        <v>21001915012001</v>
      </c>
      <c r="B118" s="23" t="s">
        <v>87</v>
      </c>
      <c r="C118" s="14" t="s">
        <v>31</v>
      </c>
      <c r="D118" s="50" t="s">
        <v>124</v>
      </c>
      <c r="E118" s="50">
        <v>1736</v>
      </c>
      <c r="F118" s="50">
        <v>1736</v>
      </c>
      <c r="G118" s="50"/>
      <c r="H118" s="14"/>
      <c r="I118" s="50" t="s">
        <v>141</v>
      </c>
      <c r="J118" s="52" t="s">
        <v>9</v>
      </c>
      <c r="K118" s="53">
        <f>P118*12</f>
        <v>13565.880000000001</v>
      </c>
      <c r="L118" s="53">
        <f>Q118*15</f>
        <v>8299.9500000000007</v>
      </c>
      <c r="M118" s="53"/>
      <c r="N118" s="53">
        <f>P118*3</f>
        <v>3391.4700000000003</v>
      </c>
      <c r="O118" s="53">
        <f t="shared" si="58"/>
        <v>25257.300000000003</v>
      </c>
      <c r="P118" s="53">
        <v>1130.49</v>
      </c>
      <c r="Q118" s="53">
        <v>553.33000000000004</v>
      </c>
      <c r="R118" s="18"/>
      <c r="S118" s="18"/>
      <c r="T118" s="18"/>
      <c r="U118" s="18" t="s">
        <v>142</v>
      </c>
      <c r="X118" s="29">
        <f t="shared" si="31"/>
        <v>10137.300000000003</v>
      </c>
      <c r="Y118" s="34">
        <f t="shared" si="32"/>
        <v>14.549135944700463</v>
      </c>
      <c r="Z118" s="62">
        <v>5000</v>
      </c>
      <c r="AA118" s="62">
        <v>4500</v>
      </c>
      <c r="AB118" s="63">
        <v>500</v>
      </c>
    </row>
    <row r="119" spans="1:28" s="8" customFormat="1" ht="33.75" x14ac:dyDescent="0.2">
      <c r="A119" s="22">
        <v>22000275012003</v>
      </c>
      <c r="B119" s="24" t="s">
        <v>88</v>
      </c>
      <c r="C119" s="14" t="s">
        <v>32</v>
      </c>
      <c r="D119" s="14" t="s">
        <v>121</v>
      </c>
      <c r="E119" s="14"/>
      <c r="F119" s="14">
        <v>1760</v>
      </c>
      <c r="G119" s="14">
        <v>1752</v>
      </c>
      <c r="H119" s="14">
        <v>1752</v>
      </c>
      <c r="I119" s="14"/>
      <c r="J119" s="52" t="s">
        <v>7</v>
      </c>
      <c r="K119" s="53"/>
      <c r="L119" s="53"/>
      <c r="M119" s="53"/>
      <c r="N119" s="53"/>
      <c r="O119" s="53">
        <v>18987.23</v>
      </c>
      <c r="P119" s="18"/>
      <c r="Q119" s="18"/>
      <c r="R119" s="18"/>
      <c r="S119" s="18"/>
      <c r="T119" s="18">
        <v>18987.23</v>
      </c>
      <c r="U119" s="18" t="s">
        <v>143</v>
      </c>
      <c r="V119" s="19">
        <f>+M119/O119*100</f>
        <v>0</v>
      </c>
      <c r="W119" s="19">
        <f>(K119+L119+N119)/O119*100</f>
        <v>0</v>
      </c>
      <c r="X119" s="29">
        <f t="shared" ref="X119:X169" si="59">O119-15120</f>
        <v>3867.2299999999996</v>
      </c>
      <c r="Y119" s="34">
        <f t="shared" ref="Y119:Y169" si="60">O119/F119</f>
        <v>10.788198863636364</v>
      </c>
      <c r="Z119" s="62">
        <v>5679</v>
      </c>
      <c r="AA119" s="62">
        <v>4090</v>
      </c>
      <c r="AB119" s="63">
        <v>1589</v>
      </c>
    </row>
    <row r="120" spans="1:28" s="8" customFormat="1" ht="33.75" x14ac:dyDescent="0.2">
      <c r="A120" s="22">
        <v>22000275012003</v>
      </c>
      <c r="B120" s="24" t="s">
        <v>88</v>
      </c>
      <c r="C120" s="14" t="s">
        <v>32</v>
      </c>
      <c r="D120" s="14" t="s">
        <v>121</v>
      </c>
      <c r="E120" s="14"/>
      <c r="F120" s="14">
        <v>1760</v>
      </c>
      <c r="G120" s="14">
        <v>1752</v>
      </c>
      <c r="H120" s="14">
        <v>1752</v>
      </c>
      <c r="I120" s="14"/>
      <c r="J120" s="52" t="s">
        <v>6</v>
      </c>
      <c r="K120" s="53"/>
      <c r="L120" s="53"/>
      <c r="M120" s="53"/>
      <c r="N120" s="53"/>
      <c r="O120" s="53">
        <v>20423.09</v>
      </c>
      <c r="P120" s="18"/>
      <c r="Q120" s="18"/>
      <c r="R120" s="18"/>
      <c r="S120" s="18"/>
      <c r="T120" s="18">
        <v>20423.09</v>
      </c>
      <c r="U120" s="18" t="s">
        <v>143</v>
      </c>
      <c r="V120" s="19">
        <f>+M120/O120*100</f>
        <v>0</v>
      </c>
      <c r="W120" s="19">
        <f>(K120+L120+N120)/O120*100</f>
        <v>0</v>
      </c>
      <c r="X120" s="29">
        <f t="shared" si="59"/>
        <v>5303.09</v>
      </c>
      <c r="Y120" s="34">
        <f t="shared" si="60"/>
        <v>11.60402840909091</v>
      </c>
      <c r="Z120" s="62">
        <v>5679</v>
      </c>
      <c r="AA120" s="62">
        <v>4090</v>
      </c>
      <c r="AB120" s="63">
        <v>1589</v>
      </c>
    </row>
    <row r="121" spans="1:28" s="8" customFormat="1" ht="33.75" x14ac:dyDescent="0.2">
      <c r="A121" s="22">
        <v>22000275012003</v>
      </c>
      <c r="B121" s="24" t="s">
        <v>88</v>
      </c>
      <c r="C121" s="14" t="s">
        <v>32</v>
      </c>
      <c r="D121" s="14" t="s">
        <v>121</v>
      </c>
      <c r="E121" s="14"/>
      <c r="F121" s="14">
        <v>1760</v>
      </c>
      <c r="G121" s="14">
        <v>1752</v>
      </c>
      <c r="H121" s="14">
        <v>1752</v>
      </c>
      <c r="I121" s="14"/>
      <c r="J121" s="52" t="s">
        <v>8</v>
      </c>
      <c r="K121" s="53"/>
      <c r="L121" s="53"/>
      <c r="M121" s="53"/>
      <c r="N121" s="53"/>
      <c r="O121" s="53">
        <v>22005.51</v>
      </c>
      <c r="P121" s="18"/>
      <c r="Q121" s="18"/>
      <c r="R121" s="18"/>
      <c r="S121" s="18"/>
      <c r="T121" s="18">
        <v>22005.51</v>
      </c>
      <c r="U121" s="18" t="s">
        <v>143</v>
      </c>
      <c r="V121" s="19">
        <f>+M121/O121*100</f>
        <v>0</v>
      </c>
      <c r="W121" s="19">
        <f>(K121+L121+N121)/O121*100</f>
        <v>0</v>
      </c>
      <c r="X121" s="29">
        <f t="shared" si="59"/>
        <v>6885.5099999999984</v>
      </c>
      <c r="Y121" s="34">
        <f t="shared" si="60"/>
        <v>12.503130681818181</v>
      </c>
      <c r="Z121" s="62">
        <v>5679</v>
      </c>
      <c r="AA121" s="62">
        <v>4090</v>
      </c>
      <c r="AB121" s="63">
        <v>1589</v>
      </c>
    </row>
    <row r="122" spans="1:28" s="8" customFormat="1" ht="33.75" x14ac:dyDescent="0.2">
      <c r="A122" s="22">
        <v>22000275012003</v>
      </c>
      <c r="B122" s="24" t="s">
        <v>88</v>
      </c>
      <c r="C122" s="14" t="s">
        <v>32</v>
      </c>
      <c r="D122" s="14" t="s">
        <v>121</v>
      </c>
      <c r="E122" s="14"/>
      <c r="F122" s="14">
        <v>1760</v>
      </c>
      <c r="G122" s="14">
        <v>1752</v>
      </c>
      <c r="H122" s="14">
        <v>1752</v>
      </c>
      <c r="I122" s="14"/>
      <c r="J122" s="52" t="s">
        <v>9</v>
      </c>
      <c r="K122" s="53"/>
      <c r="L122" s="53"/>
      <c r="M122" s="53"/>
      <c r="N122" s="53"/>
      <c r="O122" s="53">
        <v>30044.52</v>
      </c>
      <c r="P122" s="18"/>
      <c r="Q122" s="18"/>
      <c r="R122" s="18"/>
      <c r="S122" s="18"/>
      <c r="T122" s="18">
        <v>30044.52</v>
      </c>
      <c r="U122" s="18" t="s">
        <v>143</v>
      </c>
      <c r="V122" s="19">
        <f>+M122/O122*100</f>
        <v>0</v>
      </c>
      <c r="W122" s="19">
        <f>(K122+L122+N122)/O122*100</f>
        <v>0</v>
      </c>
      <c r="X122" s="29">
        <f t="shared" si="59"/>
        <v>14924.52</v>
      </c>
      <c r="Y122" s="34">
        <f t="shared" si="60"/>
        <v>17.07075</v>
      </c>
      <c r="Z122" s="62">
        <v>5679</v>
      </c>
      <c r="AA122" s="62">
        <v>4090</v>
      </c>
      <c r="AB122" s="63">
        <v>1589</v>
      </c>
    </row>
    <row r="123" spans="1:28" s="8" customFormat="1" ht="56.25" customHeight="1" x14ac:dyDescent="0.2">
      <c r="A123" s="22">
        <v>23000075011982</v>
      </c>
      <c r="B123" s="23" t="s">
        <v>73</v>
      </c>
      <c r="C123" s="14" t="s">
        <v>33</v>
      </c>
      <c r="D123" s="14" t="s">
        <v>117</v>
      </c>
      <c r="E123" s="14"/>
      <c r="F123" s="14">
        <v>1766</v>
      </c>
      <c r="G123" s="14">
        <v>1766</v>
      </c>
      <c r="H123" s="14">
        <v>1766</v>
      </c>
      <c r="I123" s="14">
        <v>6</v>
      </c>
      <c r="J123" s="52" t="s">
        <v>7</v>
      </c>
      <c r="K123" s="53">
        <f>+P123*365</f>
        <v>10198.1</v>
      </c>
      <c r="L123" s="53">
        <f>+Q123</f>
        <v>4167.04</v>
      </c>
      <c r="M123" s="53">
        <f>R123</f>
        <v>2060.11</v>
      </c>
      <c r="N123" s="53">
        <f>+(P123*60)+(8.32*60)</f>
        <v>2175.6000000000004</v>
      </c>
      <c r="O123" s="53">
        <f t="shared" ref="O123:O130" si="61">+K123+L123+M123+N123</f>
        <v>18600.849999999999</v>
      </c>
      <c r="P123" s="18">
        <v>27.94</v>
      </c>
      <c r="Q123" s="18">
        <f>(8.32*365)+0.64*1766</f>
        <v>4167.04</v>
      </c>
      <c r="R123" s="18">
        <f>+(6.89*299)</f>
        <v>2060.11</v>
      </c>
      <c r="S123" s="18"/>
      <c r="T123" s="53">
        <v>18600.849999999999</v>
      </c>
      <c r="U123" s="57" t="s">
        <v>144</v>
      </c>
      <c r="V123" s="19"/>
      <c r="W123" s="19"/>
      <c r="X123" s="29">
        <f t="shared" si="59"/>
        <v>3480.8499999999985</v>
      </c>
      <c r="Y123" s="34">
        <f t="shared" si="60"/>
        <v>10.53275764439411</v>
      </c>
      <c r="Z123" s="62">
        <v>8000</v>
      </c>
      <c r="AA123" s="62">
        <v>7000</v>
      </c>
      <c r="AB123" s="63">
        <v>1000</v>
      </c>
    </row>
    <row r="124" spans="1:28" s="8" customFormat="1" ht="22.5" x14ac:dyDescent="0.2">
      <c r="A124" s="22">
        <v>23000075011982</v>
      </c>
      <c r="B124" s="23" t="s">
        <v>73</v>
      </c>
      <c r="C124" s="14" t="s">
        <v>33</v>
      </c>
      <c r="D124" s="14" t="s">
        <v>117</v>
      </c>
      <c r="E124" s="14"/>
      <c r="F124" s="14">
        <v>1766</v>
      </c>
      <c r="G124" s="14">
        <v>1766</v>
      </c>
      <c r="H124" s="14">
        <v>1766</v>
      </c>
      <c r="I124" s="14">
        <v>5</v>
      </c>
      <c r="J124" s="52" t="s">
        <v>6</v>
      </c>
      <c r="K124" s="53">
        <f>+P124*365</f>
        <v>10435.35</v>
      </c>
      <c r="L124" s="53">
        <f>+Q124</f>
        <v>4202.3600000000006</v>
      </c>
      <c r="M124" s="53">
        <f t="shared" ref="M124:M126" si="62">R124</f>
        <v>2060.11</v>
      </c>
      <c r="N124" s="53">
        <f t="shared" ref="N124" si="63">+(P124*60)+(8.32*60)</f>
        <v>2214.6000000000004</v>
      </c>
      <c r="O124" s="53">
        <f t="shared" si="61"/>
        <v>18912.419999999998</v>
      </c>
      <c r="P124" s="18">
        <v>28.59</v>
      </c>
      <c r="Q124" s="18">
        <f>(8.32*365)+0.66*1766</f>
        <v>4202.3600000000006</v>
      </c>
      <c r="R124" s="18">
        <f t="shared" ref="R124:R126" si="64">+(6.89*299)</f>
        <v>2060.11</v>
      </c>
      <c r="S124" s="18"/>
      <c r="T124" s="53">
        <v>18912.419999999998</v>
      </c>
      <c r="U124" s="18"/>
      <c r="V124" s="19"/>
      <c r="W124" s="19"/>
      <c r="X124" s="29">
        <f t="shared" si="59"/>
        <v>3792.4199999999983</v>
      </c>
      <c r="Y124" s="34">
        <f t="shared" si="60"/>
        <v>10.709184597961494</v>
      </c>
      <c r="Z124" s="62">
        <v>8000</v>
      </c>
      <c r="AA124" s="62">
        <v>7000</v>
      </c>
      <c r="AB124" s="63">
        <v>1000</v>
      </c>
    </row>
    <row r="125" spans="1:28" s="8" customFormat="1" ht="22.5" x14ac:dyDescent="0.2">
      <c r="A125" s="22">
        <v>23000075011982</v>
      </c>
      <c r="B125" s="23" t="s">
        <v>73</v>
      </c>
      <c r="C125" s="14" t="s">
        <v>33</v>
      </c>
      <c r="D125" s="14" t="s">
        <v>117</v>
      </c>
      <c r="E125" s="14"/>
      <c r="F125" s="14">
        <v>1766</v>
      </c>
      <c r="G125" s="14">
        <v>1766</v>
      </c>
      <c r="H125" s="14">
        <v>1766</v>
      </c>
      <c r="I125" s="14">
        <v>5</v>
      </c>
      <c r="J125" s="52" t="s">
        <v>8</v>
      </c>
      <c r="K125" s="53">
        <f>+P125*12</f>
        <v>10710</v>
      </c>
      <c r="L125" s="53">
        <f>+Q125</f>
        <v>4220.0200000000004</v>
      </c>
      <c r="M125" s="53">
        <f t="shared" si="62"/>
        <v>2060.11</v>
      </c>
      <c r="N125" s="53">
        <f>+(P125*2)+(8.32*60)</f>
        <v>2284.1999999999998</v>
      </c>
      <c r="O125" s="53">
        <f t="shared" si="61"/>
        <v>19274.330000000002</v>
      </c>
      <c r="P125" s="18">
        <v>892.5</v>
      </c>
      <c r="Q125" s="18">
        <f>(8.32*365)+0.67*1766</f>
        <v>4220.0200000000004</v>
      </c>
      <c r="R125" s="18">
        <f t="shared" si="64"/>
        <v>2060.11</v>
      </c>
      <c r="S125" s="18"/>
      <c r="T125" s="53">
        <v>19274.330000000002</v>
      </c>
      <c r="U125" s="18"/>
      <c r="V125" s="19"/>
      <c r="W125" s="19"/>
      <c r="X125" s="29">
        <f t="shared" si="59"/>
        <v>4154.3300000000017</v>
      </c>
      <c r="Y125" s="34">
        <f t="shared" si="60"/>
        <v>10.914116647791621</v>
      </c>
      <c r="Z125" s="62">
        <v>8000</v>
      </c>
      <c r="AA125" s="62">
        <v>7000</v>
      </c>
      <c r="AB125" s="63">
        <v>1000</v>
      </c>
    </row>
    <row r="126" spans="1:28" s="8" customFormat="1" ht="22.5" x14ac:dyDescent="0.2">
      <c r="A126" s="22">
        <v>23000075011982</v>
      </c>
      <c r="B126" s="23" t="s">
        <v>73</v>
      </c>
      <c r="C126" s="14" t="s">
        <v>33</v>
      </c>
      <c r="D126" s="14" t="s">
        <v>117</v>
      </c>
      <c r="E126" s="14"/>
      <c r="F126" s="14">
        <v>1766</v>
      </c>
      <c r="G126" s="14">
        <v>1766</v>
      </c>
      <c r="H126" s="14">
        <v>1766</v>
      </c>
      <c r="I126" s="14">
        <v>1</v>
      </c>
      <c r="J126" s="52" t="s">
        <v>9</v>
      </c>
      <c r="K126" s="53">
        <f>+P126*12</f>
        <v>12224.52</v>
      </c>
      <c r="L126" s="53">
        <f>+Q126</f>
        <v>4343.6400000000003</v>
      </c>
      <c r="M126" s="53">
        <f t="shared" si="62"/>
        <v>2060.11</v>
      </c>
      <c r="N126" s="53">
        <f>+(P126*2)+(8.32*60)</f>
        <v>2536.62</v>
      </c>
      <c r="O126" s="53">
        <f t="shared" si="61"/>
        <v>21164.89</v>
      </c>
      <c r="P126" s="18">
        <v>1018.71</v>
      </c>
      <c r="Q126" s="18">
        <f>(8.32*365)+0.74*1766</f>
        <v>4343.6400000000003</v>
      </c>
      <c r="R126" s="18">
        <f t="shared" si="64"/>
        <v>2060.11</v>
      </c>
      <c r="S126" s="18"/>
      <c r="T126" s="53">
        <v>21164.89</v>
      </c>
      <c r="U126" s="18"/>
      <c r="V126" s="19"/>
      <c r="W126" s="19"/>
      <c r="X126" s="29">
        <f t="shared" si="59"/>
        <v>6044.8899999999994</v>
      </c>
      <c r="Y126" s="34">
        <f t="shared" si="60"/>
        <v>11.984648924122309</v>
      </c>
      <c r="Z126" s="62">
        <v>8000</v>
      </c>
      <c r="AA126" s="62">
        <v>7000</v>
      </c>
      <c r="AB126" s="63">
        <v>1000</v>
      </c>
    </row>
    <row r="127" spans="1:28" s="8" customFormat="1" ht="22.5" x14ac:dyDescent="0.2">
      <c r="A127" s="22">
        <v>24004405011979</v>
      </c>
      <c r="B127" s="17" t="s">
        <v>73</v>
      </c>
      <c r="C127" s="14" t="s">
        <v>34</v>
      </c>
      <c r="D127" s="50" t="s">
        <v>145</v>
      </c>
      <c r="E127" s="50">
        <v>1752</v>
      </c>
      <c r="F127" s="50">
        <v>1752</v>
      </c>
      <c r="G127" s="50">
        <v>1752</v>
      </c>
      <c r="H127" s="50"/>
      <c r="I127" s="14"/>
      <c r="J127" s="52" t="s">
        <v>7</v>
      </c>
      <c r="K127" s="53">
        <f>+P127*12</f>
        <v>13578.84</v>
      </c>
      <c r="L127" s="53">
        <f>Q127</f>
        <v>0</v>
      </c>
      <c r="M127" s="53">
        <f>R127</f>
        <v>3581.76</v>
      </c>
      <c r="N127" s="53">
        <f>+P127*3</f>
        <v>3394.71</v>
      </c>
      <c r="O127" s="53">
        <f t="shared" si="61"/>
        <v>20555.309999999998</v>
      </c>
      <c r="P127" s="53">
        <v>1131.57</v>
      </c>
      <c r="Q127" s="53">
        <v>0</v>
      </c>
      <c r="R127" s="18">
        <f>11.48*312</f>
        <v>3581.76</v>
      </c>
      <c r="S127" s="18"/>
      <c r="T127" s="18">
        <v>20555.309999999998</v>
      </c>
      <c r="U127" s="54" t="s">
        <v>146</v>
      </c>
      <c r="V127" s="19"/>
      <c r="W127" s="19"/>
      <c r="X127" s="29">
        <f t="shared" si="59"/>
        <v>5435.3099999999977</v>
      </c>
      <c r="Y127" s="34">
        <f t="shared" si="60"/>
        <v>11.732482876712327</v>
      </c>
      <c r="Z127" s="62">
        <v>8000</v>
      </c>
      <c r="AA127" s="62">
        <v>6288</v>
      </c>
      <c r="AB127" s="63">
        <v>1712</v>
      </c>
    </row>
    <row r="128" spans="1:28" s="8" customFormat="1" ht="22.5" x14ac:dyDescent="0.2">
      <c r="A128" s="22">
        <v>24004405011979</v>
      </c>
      <c r="B128" s="17" t="s">
        <v>73</v>
      </c>
      <c r="C128" s="14" t="s">
        <v>34</v>
      </c>
      <c r="D128" s="50" t="s">
        <v>145</v>
      </c>
      <c r="E128" s="50">
        <v>1752</v>
      </c>
      <c r="F128" s="50">
        <v>1752</v>
      </c>
      <c r="G128" s="50">
        <v>1752</v>
      </c>
      <c r="H128" s="50"/>
      <c r="I128" s="14"/>
      <c r="J128" s="52" t="s">
        <v>6</v>
      </c>
      <c r="K128" s="53">
        <f t="shared" ref="K128:K130" si="65">+P128*12</f>
        <v>14480.880000000001</v>
      </c>
      <c r="L128" s="53">
        <f>Q128</f>
        <v>341.09999999999997</v>
      </c>
      <c r="M128" s="53">
        <f t="shared" ref="M128:M130" si="66">R128</f>
        <v>3581.76</v>
      </c>
      <c r="N128" s="53">
        <f t="shared" ref="N128:N130" si="67">+P128*3</f>
        <v>3620.2200000000003</v>
      </c>
      <c r="O128" s="53">
        <f t="shared" si="61"/>
        <v>22023.960000000003</v>
      </c>
      <c r="P128" s="53">
        <v>1206.74</v>
      </c>
      <c r="Q128" s="53">
        <f>22.74*15</f>
        <v>341.09999999999997</v>
      </c>
      <c r="R128" s="18">
        <f t="shared" ref="R128:R130" si="68">11.48*312</f>
        <v>3581.76</v>
      </c>
      <c r="S128" s="18"/>
      <c r="T128" s="18">
        <v>22023.960000000003</v>
      </c>
      <c r="U128" s="54" t="s">
        <v>146</v>
      </c>
      <c r="V128" s="19"/>
      <c r="W128" s="19"/>
      <c r="X128" s="29">
        <f t="shared" si="59"/>
        <v>6903.9600000000028</v>
      </c>
      <c r="Y128" s="34">
        <f t="shared" si="60"/>
        <v>12.570753424657536</v>
      </c>
      <c r="Z128" s="62">
        <v>8000</v>
      </c>
      <c r="AA128" s="62">
        <v>6288</v>
      </c>
      <c r="AB128" s="63">
        <v>1712</v>
      </c>
    </row>
    <row r="129" spans="1:28" s="8" customFormat="1" ht="22.5" x14ac:dyDescent="0.2">
      <c r="A129" s="22">
        <v>24004405011979</v>
      </c>
      <c r="B129" s="17" t="s">
        <v>73</v>
      </c>
      <c r="C129" s="14" t="s">
        <v>34</v>
      </c>
      <c r="D129" s="50" t="s">
        <v>145</v>
      </c>
      <c r="E129" s="50">
        <v>1752</v>
      </c>
      <c r="F129" s="50">
        <v>1752</v>
      </c>
      <c r="G129" s="50">
        <v>1752</v>
      </c>
      <c r="H129" s="50"/>
      <c r="I129" s="14"/>
      <c r="J129" s="52" t="s">
        <v>8</v>
      </c>
      <c r="K129" s="53">
        <f t="shared" si="65"/>
        <v>15063.48</v>
      </c>
      <c r="L129" s="53">
        <f t="shared" ref="L129:L130" si="69">Q129</f>
        <v>145.19999999999999</v>
      </c>
      <c r="M129" s="53">
        <f t="shared" si="66"/>
        <v>3581.76</v>
      </c>
      <c r="N129" s="53">
        <f t="shared" si="67"/>
        <v>3765.87</v>
      </c>
      <c r="O129" s="53">
        <f t="shared" si="61"/>
        <v>22556.31</v>
      </c>
      <c r="P129" s="53">
        <v>1255.29</v>
      </c>
      <c r="Q129" s="53">
        <f>9.68*15</f>
        <v>145.19999999999999</v>
      </c>
      <c r="R129" s="18">
        <f t="shared" si="68"/>
        <v>3581.76</v>
      </c>
      <c r="S129" s="18"/>
      <c r="T129" s="18">
        <v>22556.309999999998</v>
      </c>
      <c r="U129" s="54" t="s">
        <v>146</v>
      </c>
      <c r="V129" s="19"/>
      <c r="W129" s="19"/>
      <c r="X129" s="29">
        <f t="shared" si="59"/>
        <v>7436.3100000000013</v>
      </c>
      <c r="Y129" s="34">
        <f t="shared" si="60"/>
        <v>12.874606164383563</v>
      </c>
      <c r="Z129" s="62">
        <v>8000</v>
      </c>
      <c r="AA129" s="62">
        <v>6288</v>
      </c>
      <c r="AB129" s="63">
        <v>1712</v>
      </c>
    </row>
    <row r="130" spans="1:28" s="8" customFormat="1" ht="22.5" x14ac:dyDescent="0.2">
      <c r="A130" s="22">
        <v>24004405011979</v>
      </c>
      <c r="B130" s="17" t="s">
        <v>73</v>
      </c>
      <c r="C130" s="14" t="s">
        <v>34</v>
      </c>
      <c r="D130" s="50" t="s">
        <v>145</v>
      </c>
      <c r="E130" s="50">
        <v>1752</v>
      </c>
      <c r="F130" s="50">
        <v>1752</v>
      </c>
      <c r="G130" s="50">
        <v>1752</v>
      </c>
      <c r="H130" s="50"/>
      <c r="I130" s="14"/>
      <c r="J130" s="52" t="s">
        <v>9</v>
      </c>
      <c r="K130" s="53">
        <f t="shared" si="65"/>
        <v>26224.92</v>
      </c>
      <c r="L130" s="53">
        <f t="shared" si="69"/>
        <v>0</v>
      </c>
      <c r="M130" s="53">
        <f t="shared" si="66"/>
        <v>3581.76</v>
      </c>
      <c r="N130" s="53">
        <f t="shared" si="67"/>
        <v>6556.23</v>
      </c>
      <c r="O130" s="53">
        <f t="shared" si="61"/>
        <v>36362.910000000003</v>
      </c>
      <c r="P130" s="53">
        <v>2185.41</v>
      </c>
      <c r="Q130" s="53"/>
      <c r="R130" s="18">
        <f t="shared" si="68"/>
        <v>3581.76</v>
      </c>
      <c r="S130" s="18"/>
      <c r="T130" s="18">
        <v>36362.910000000003</v>
      </c>
      <c r="U130" s="54" t="s">
        <v>146</v>
      </c>
      <c r="V130" s="19"/>
      <c r="W130" s="19"/>
      <c r="X130" s="29">
        <f t="shared" si="59"/>
        <v>21242.910000000003</v>
      </c>
      <c r="Y130" s="34">
        <f t="shared" si="60"/>
        <v>20.755085616438357</v>
      </c>
      <c r="Z130" s="62">
        <v>8000</v>
      </c>
      <c r="AA130" s="62">
        <v>6288</v>
      </c>
      <c r="AB130" s="63">
        <v>1712</v>
      </c>
    </row>
    <row r="131" spans="1:28" s="8" customFormat="1" ht="22.5" x14ac:dyDescent="0.2">
      <c r="A131" s="22">
        <v>25000245011993</v>
      </c>
      <c r="B131" s="17" t="s">
        <v>73</v>
      </c>
      <c r="C131" s="14" t="s">
        <v>35</v>
      </c>
      <c r="D131" s="50" t="s">
        <v>147</v>
      </c>
      <c r="E131" s="50">
        <v>1769</v>
      </c>
      <c r="F131" s="50">
        <v>1763</v>
      </c>
      <c r="G131" s="50"/>
      <c r="H131" s="50"/>
      <c r="I131" s="14"/>
      <c r="J131" s="52" t="s">
        <v>7</v>
      </c>
      <c r="K131" s="53"/>
      <c r="L131" s="53"/>
      <c r="M131" s="53"/>
      <c r="N131" s="53"/>
      <c r="O131" s="53">
        <v>17453.02</v>
      </c>
      <c r="P131" s="18"/>
      <c r="Q131" s="18"/>
      <c r="R131" s="18"/>
      <c r="S131" s="18">
        <f>1234.97</f>
        <v>1234.97</v>
      </c>
      <c r="T131" s="18"/>
      <c r="U131" s="18"/>
      <c r="V131" s="19">
        <f>+M131/O131*100</f>
        <v>0</v>
      </c>
      <c r="W131" s="19">
        <f>(K131+L131+N131)/O131*100</f>
        <v>0</v>
      </c>
      <c r="X131" s="29">
        <f t="shared" si="59"/>
        <v>2333.0200000000004</v>
      </c>
      <c r="Y131" s="34">
        <f t="shared" si="60"/>
        <v>9.8996142938173577</v>
      </c>
      <c r="Z131" s="62">
        <v>150000</v>
      </c>
      <c r="AA131" s="62">
        <v>75000</v>
      </c>
      <c r="AB131" s="63">
        <v>75000</v>
      </c>
    </row>
    <row r="132" spans="1:28" s="8" customFormat="1" ht="22.5" x14ac:dyDescent="0.2">
      <c r="A132" s="22">
        <v>25000245011993</v>
      </c>
      <c r="B132" s="17" t="s">
        <v>73</v>
      </c>
      <c r="C132" s="14" t="s">
        <v>35</v>
      </c>
      <c r="D132" s="50" t="s">
        <v>147</v>
      </c>
      <c r="E132" s="50">
        <v>1769</v>
      </c>
      <c r="F132" s="50">
        <v>1763</v>
      </c>
      <c r="G132" s="50"/>
      <c r="H132" s="50"/>
      <c r="I132" s="14"/>
      <c r="J132" s="52" t="s">
        <v>6</v>
      </c>
      <c r="K132" s="53"/>
      <c r="L132" s="53"/>
      <c r="M132" s="53"/>
      <c r="N132" s="53"/>
      <c r="O132" s="53">
        <v>18651.96</v>
      </c>
      <c r="P132" s="18"/>
      <c r="Q132" s="18"/>
      <c r="R132" s="18"/>
      <c r="S132" s="18">
        <v>1407.46</v>
      </c>
      <c r="T132" s="18"/>
      <c r="U132" s="18"/>
      <c r="V132" s="19">
        <f>+M132/O132*100</f>
        <v>0</v>
      </c>
      <c r="W132" s="19">
        <f>(K132+L132+N132)/O132*100</f>
        <v>0</v>
      </c>
      <c r="X132" s="29">
        <f t="shared" si="59"/>
        <v>3531.9599999999991</v>
      </c>
      <c r="Y132" s="34">
        <f t="shared" si="60"/>
        <v>10.579671015314803</v>
      </c>
      <c r="Z132" s="62">
        <v>150000</v>
      </c>
      <c r="AA132" s="62">
        <v>75000</v>
      </c>
      <c r="AB132" s="63">
        <v>75000</v>
      </c>
    </row>
    <row r="133" spans="1:28" s="8" customFormat="1" ht="22.5" x14ac:dyDescent="0.2">
      <c r="A133" s="22">
        <v>25000245011993</v>
      </c>
      <c r="B133" s="17" t="s">
        <v>73</v>
      </c>
      <c r="C133" s="14" t="s">
        <v>35</v>
      </c>
      <c r="D133" s="50" t="s">
        <v>147</v>
      </c>
      <c r="E133" s="50">
        <v>1769</v>
      </c>
      <c r="F133" s="50">
        <v>1763</v>
      </c>
      <c r="G133" s="50"/>
      <c r="H133" s="50"/>
      <c r="I133" s="14"/>
      <c r="J133" s="52" t="s">
        <v>8</v>
      </c>
      <c r="K133" s="53"/>
      <c r="L133" s="53"/>
      <c r="M133" s="53"/>
      <c r="N133" s="53"/>
      <c r="O133" s="53">
        <v>18651.96</v>
      </c>
      <c r="P133" s="18"/>
      <c r="Q133" s="18"/>
      <c r="R133" s="18"/>
      <c r="S133" s="18">
        <v>1394.61</v>
      </c>
      <c r="T133" s="18"/>
      <c r="U133" s="18"/>
      <c r="V133" s="19">
        <f>+M133/O133*100</f>
        <v>0</v>
      </c>
      <c r="W133" s="19">
        <f>(K133+L133+N133)/O133*100</f>
        <v>0</v>
      </c>
      <c r="X133" s="29">
        <f t="shared" si="59"/>
        <v>3531.9599999999991</v>
      </c>
      <c r="Y133" s="34">
        <f t="shared" si="60"/>
        <v>10.579671015314803</v>
      </c>
      <c r="Z133" s="62">
        <v>150000</v>
      </c>
      <c r="AA133" s="62">
        <v>75000</v>
      </c>
      <c r="AB133" s="63">
        <v>75000</v>
      </c>
    </row>
    <row r="134" spans="1:28" s="8" customFormat="1" ht="22.5" x14ac:dyDescent="0.2">
      <c r="A134" s="22">
        <v>25000245011993</v>
      </c>
      <c r="B134" s="17" t="s">
        <v>73</v>
      </c>
      <c r="C134" s="14" t="s">
        <v>35</v>
      </c>
      <c r="D134" s="50" t="s">
        <v>147</v>
      </c>
      <c r="E134" s="50">
        <v>1769</v>
      </c>
      <c r="F134" s="50">
        <v>1763</v>
      </c>
      <c r="G134" s="50"/>
      <c r="H134" s="50"/>
      <c r="I134" s="14"/>
      <c r="J134" s="52" t="s">
        <v>9</v>
      </c>
      <c r="K134" s="53"/>
      <c r="L134" s="53"/>
      <c r="M134" s="53"/>
      <c r="N134" s="53"/>
      <c r="O134" s="53">
        <v>21756.62</v>
      </c>
      <c r="P134" s="18"/>
      <c r="Q134" s="18"/>
      <c r="R134" s="18"/>
      <c r="S134" s="18">
        <v>2157.65</v>
      </c>
      <c r="T134" s="18"/>
      <c r="U134" s="18"/>
      <c r="V134" s="19">
        <f>+M134/O134*100</f>
        <v>0</v>
      </c>
      <c r="W134" s="19">
        <f>(K134+L134+N134)/O134*100</f>
        <v>0</v>
      </c>
      <c r="X134" s="29">
        <f t="shared" si="59"/>
        <v>6636.619999999999</v>
      </c>
      <c r="Y134" s="34">
        <f t="shared" si="60"/>
        <v>12.34068065796937</v>
      </c>
      <c r="Z134" s="62">
        <v>150000</v>
      </c>
      <c r="AA134" s="62">
        <v>75000</v>
      </c>
      <c r="AB134" s="63">
        <v>75000</v>
      </c>
    </row>
    <row r="135" spans="1:28" s="8" customFormat="1" ht="22.5" x14ac:dyDescent="0.2">
      <c r="A135" s="22">
        <v>27000475011982</v>
      </c>
      <c r="B135" s="17" t="s">
        <v>73</v>
      </c>
      <c r="C135" s="14" t="s">
        <v>89</v>
      </c>
      <c r="D135" s="58" t="s">
        <v>123</v>
      </c>
      <c r="E135" s="50">
        <v>1772</v>
      </c>
      <c r="F135" s="50">
        <v>1778</v>
      </c>
      <c r="G135" s="50">
        <v>1778</v>
      </c>
      <c r="H135" s="50">
        <v>1778</v>
      </c>
      <c r="I135" s="14">
        <v>6</v>
      </c>
      <c r="J135" s="52" t="s">
        <v>7</v>
      </c>
      <c r="K135" s="53">
        <f>P135*12</f>
        <v>12302.04</v>
      </c>
      <c r="L135" s="53">
        <f t="shared" ref="L135:L137" si="70">Q135*14</f>
        <v>1166.76</v>
      </c>
      <c r="M135" s="53">
        <f>R135*12</f>
        <v>4402.7999999999993</v>
      </c>
      <c r="N135" s="53">
        <f>S135</f>
        <v>2050.34</v>
      </c>
      <c r="O135" s="53">
        <f>SUM(K135:N135)</f>
        <v>19921.939999999999</v>
      </c>
      <c r="P135" s="18">
        <v>1025.17</v>
      </c>
      <c r="Q135" s="18">
        <f>83.34</f>
        <v>83.34</v>
      </c>
      <c r="R135" s="18">
        <v>366.9</v>
      </c>
      <c r="S135" s="18">
        <f>P135*2</f>
        <v>2050.34</v>
      </c>
      <c r="T135" s="18">
        <v>19921.940000000002</v>
      </c>
      <c r="U135" s="18" t="s">
        <v>148</v>
      </c>
      <c r="V135" s="19"/>
      <c r="W135" s="19"/>
      <c r="X135" s="29">
        <f t="shared" si="59"/>
        <v>4801.9399999999987</v>
      </c>
      <c r="Y135" s="34">
        <f t="shared" si="60"/>
        <v>11.204690663667041</v>
      </c>
      <c r="Z135" s="62">
        <v>2296</v>
      </c>
      <c r="AA135" s="62">
        <v>1561</v>
      </c>
      <c r="AB135" s="63">
        <v>735</v>
      </c>
    </row>
    <row r="136" spans="1:28" s="8" customFormat="1" ht="22.5" x14ac:dyDescent="0.2">
      <c r="A136" s="22">
        <v>27000475011982</v>
      </c>
      <c r="B136" s="17" t="s">
        <v>73</v>
      </c>
      <c r="C136" s="14" t="s">
        <v>36</v>
      </c>
      <c r="D136" s="58" t="s">
        <v>123</v>
      </c>
      <c r="E136" s="50">
        <v>1772</v>
      </c>
      <c r="F136" s="50">
        <v>1778</v>
      </c>
      <c r="G136" s="50">
        <v>1778</v>
      </c>
      <c r="H136" s="50">
        <v>1778</v>
      </c>
      <c r="I136" s="14">
        <v>5</v>
      </c>
      <c r="J136" s="52" t="s">
        <v>6</v>
      </c>
      <c r="K136" s="53">
        <f t="shared" ref="K136:K138" si="71">P136*12</f>
        <v>12612.84</v>
      </c>
      <c r="L136" s="53">
        <f t="shared" si="70"/>
        <v>1214.5</v>
      </c>
      <c r="M136" s="53">
        <f t="shared" ref="M136:M138" si="72">R136*12</f>
        <v>5079.24</v>
      </c>
      <c r="N136" s="53">
        <f t="shared" ref="N136:N138" si="73">S136</f>
        <v>2102.14</v>
      </c>
      <c r="O136" s="53">
        <f t="shared" ref="O136:O138" si="74">SUM(K136:N136)</f>
        <v>21008.720000000001</v>
      </c>
      <c r="P136" s="18">
        <v>1051.07</v>
      </c>
      <c r="Q136" s="18">
        <f>86.75</f>
        <v>86.75</v>
      </c>
      <c r="R136" s="18">
        <v>423.27</v>
      </c>
      <c r="S136" s="18">
        <f t="shared" ref="S136:S138" si="75">P136*2</f>
        <v>2102.14</v>
      </c>
      <c r="T136" s="18">
        <v>21008.720000000001</v>
      </c>
      <c r="U136" s="18" t="s">
        <v>148</v>
      </c>
      <c r="V136" s="19"/>
      <c r="W136" s="19"/>
      <c r="X136" s="29">
        <f t="shared" si="59"/>
        <v>5888.7200000000012</v>
      </c>
      <c r="Y136" s="34">
        <f t="shared" si="60"/>
        <v>11.815928008998876</v>
      </c>
      <c r="Z136" s="62">
        <v>2296</v>
      </c>
      <c r="AA136" s="62">
        <v>1561</v>
      </c>
      <c r="AB136" s="63">
        <v>735</v>
      </c>
    </row>
    <row r="137" spans="1:28" s="8" customFormat="1" ht="22.5" x14ac:dyDescent="0.2">
      <c r="A137" s="22">
        <v>27000475011982</v>
      </c>
      <c r="B137" s="17" t="s">
        <v>73</v>
      </c>
      <c r="C137" s="14" t="s">
        <v>36</v>
      </c>
      <c r="D137" s="58" t="s">
        <v>123</v>
      </c>
      <c r="E137" s="50">
        <v>1772</v>
      </c>
      <c r="F137" s="50">
        <v>1778</v>
      </c>
      <c r="G137" s="50">
        <v>1778</v>
      </c>
      <c r="H137" s="50">
        <v>1778</v>
      </c>
      <c r="I137" s="14">
        <v>5</v>
      </c>
      <c r="J137" s="52" t="s">
        <v>8</v>
      </c>
      <c r="K137" s="53">
        <f t="shared" si="71"/>
        <v>12612.84</v>
      </c>
      <c r="L137" s="53">
        <f t="shared" si="70"/>
        <v>1214.5</v>
      </c>
      <c r="M137" s="53">
        <f t="shared" si="72"/>
        <v>5079.24</v>
      </c>
      <c r="N137" s="53">
        <f t="shared" si="73"/>
        <v>2102.14</v>
      </c>
      <c r="O137" s="53">
        <f t="shared" si="74"/>
        <v>21008.720000000001</v>
      </c>
      <c r="P137" s="18">
        <v>1051.07</v>
      </c>
      <c r="Q137" s="18">
        <f>86.75</f>
        <v>86.75</v>
      </c>
      <c r="R137" s="18">
        <v>423.27</v>
      </c>
      <c r="S137" s="18">
        <f t="shared" si="75"/>
        <v>2102.14</v>
      </c>
      <c r="T137" s="18">
        <v>21008.720000000001</v>
      </c>
      <c r="U137" s="18" t="s">
        <v>148</v>
      </c>
      <c r="V137" s="19"/>
      <c r="W137" s="19"/>
      <c r="X137" s="29">
        <f t="shared" si="59"/>
        <v>5888.7200000000012</v>
      </c>
      <c r="Y137" s="34">
        <f t="shared" si="60"/>
        <v>11.815928008998876</v>
      </c>
      <c r="Z137" s="62">
        <v>2296</v>
      </c>
      <c r="AA137" s="62">
        <v>1561</v>
      </c>
      <c r="AB137" s="63">
        <v>735</v>
      </c>
    </row>
    <row r="138" spans="1:28" s="8" customFormat="1" ht="22.5" x14ac:dyDescent="0.2">
      <c r="A138" s="22">
        <v>27000475011982</v>
      </c>
      <c r="B138" s="17" t="s">
        <v>73</v>
      </c>
      <c r="C138" s="14" t="s">
        <v>36</v>
      </c>
      <c r="D138" s="58" t="s">
        <v>123</v>
      </c>
      <c r="E138" s="50">
        <v>1772</v>
      </c>
      <c r="F138" s="50">
        <v>1778</v>
      </c>
      <c r="G138" s="50">
        <v>1778</v>
      </c>
      <c r="H138" s="50">
        <v>1778</v>
      </c>
      <c r="I138" s="14">
        <v>1</v>
      </c>
      <c r="J138" s="52" t="s">
        <v>9</v>
      </c>
      <c r="K138" s="53">
        <f t="shared" si="71"/>
        <v>13225.560000000001</v>
      </c>
      <c r="L138" s="53">
        <f>Q138*14</f>
        <v>1438.22</v>
      </c>
      <c r="M138" s="53">
        <f t="shared" si="72"/>
        <v>7687.7999999999993</v>
      </c>
      <c r="N138" s="53">
        <f t="shared" si="73"/>
        <v>2204.2600000000002</v>
      </c>
      <c r="O138" s="53">
        <f t="shared" si="74"/>
        <v>24555.840000000004</v>
      </c>
      <c r="P138" s="18">
        <v>1102.1300000000001</v>
      </c>
      <c r="Q138" s="18">
        <f>102.73</f>
        <v>102.73</v>
      </c>
      <c r="R138" s="18">
        <v>640.65</v>
      </c>
      <c r="S138" s="18">
        <f t="shared" si="75"/>
        <v>2204.2600000000002</v>
      </c>
      <c r="T138" s="18">
        <v>24555.840000000004</v>
      </c>
      <c r="U138" s="18" t="s">
        <v>148</v>
      </c>
      <c r="V138" s="19"/>
      <c r="W138" s="19"/>
      <c r="X138" s="29">
        <f t="shared" si="59"/>
        <v>9435.8400000000038</v>
      </c>
      <c r="Y138" s="34">
        <f t="shared" si="60"/>
        <v>13.810933633295841</v>
      </c>
      <c r="Z138" s="62">
        <v>2296</v>
      </c>
      <c r="AA138" s="62">
        <v>1561</v>
      </c>
      <c r="AB138" s="63">
        <v>735</v>
      </c>
    </row>
    <row r="139" spans="1:28" s="8" customFormat="1" ht="33.75" x14ac:dyDescent="0.2">
      <c r="A139" s="22">
        <v>28003715011982</v>
      </c>
      <c r="B139" s="17" t="s">
        <v>90</v>
      </c>
      <c r="C139" s="14" t="s">
        <v>37</v>
      </c>
      <c r="D139" s="50" t="s">
        <v>124</v>
      </c>
      <c r="E139" s="50">
        <v>1764</v>
      </c>
      <c r="F139" s="50">
        <v>1764</v>
      </c>
      <c r="G139" s="50"/>
      <c r="H139" s="50"/>
      <c r="I139" s="14">
        <v>7</v>
      </c>
      <c r="J139" s="52" t="s">
        <v>7</v>
      </c>
      <c r="K139" s="53">
        <f>P139*12</f>
        <v>16386.48</v>
      </c>
      <c r="L139" s="53"/>
      <c r="M139" s="53"/>
      <c r="N139" s="59">
        <f>P139*2</f>
        <v>2731.08</v>
      </c>
      <c r="O139" s="59">
        <f>SUM(K139:N139)</f>
        <v>19117.559999999998</v>
      </c>
      <c r="P139" s="18">
        <v>1365.54</v>
      </c>
      <c r="Q139" s="18"/>
      <c r="R139" s="18"/>
      <c r="S139" s="18">
        <f>2*P139</f>
        <v>2731.08</v>
      </c>
      <c r="T139" s="18">
        <v>19117.57</v>
      </c>
      <c r="U139" s="18"/>
      <c r="V139" s="19"/>
      <c r="W139" s="19"/>
      <c r="X139" s="29">
        <f t="shared" si="59"/>
        <v>3997.5599999999977</v>
      </c>
      <c r="Y139" s="34">
        <f t="shared" si="60"/>
        <v>10.837619047619047</v>
      </c>
      <c r="Z139" s="62">
        <v>182623</v>
      </c>
      <c r="AA139" s="62">
        <v>107623</v>
      </c>
      <c r="AB139" s="63">
        <v>75000</v>
      </c>
    </row>
    <row r="140" spans="1:28" s="8" customFormat="1" ht="33.75" x14ac:dyDescent="0.2">
      <c r="A140" s="22">
        <v>28003715011982</v>
      </c>
      <c r="B140" s="17" t="s">
        <v>90</v>
      </c>
      <c r="C140" s="14" t="s">
        <v>37</v>
      </c>
      <c r="D140" s="50" t="s">
        <v>124</v>
      </c>
      <c r="E140" s="50">
        <v>1764</v>
      </c>
      <c r="F140" s="50">
        <v>1764</v>
      </c>
      <c r="G140" s="50"/>
      <c r="H140" s="50"/>
      <c r="I140" s="14">
        <v>5</v>
      </c>
      <c r="J140" s="52" t="s">
        <v>6</v>
      </c>
      <c r="K140" s="53">
        <f t="shared" ref="K140:K142" si="76">P140*12</f>
        <v>17634.96</v>
      </c>
      <c r="L140" s="53"/>
      <c r="M140" s="53"/>
      <c r="N140" s="59">
        <f t="shared" ref="N140:N142" si="77">P140*2</f>
        <v>2939.16</v>
      </c>
      <c r="O140" s="59">
        <v>20574.169999999998</v>
      </c>
      <c r="P140" s="18">
        <v>1469.58</v>
      </c>
      <c r="Q140" s="18"/>
      <c r="R140" s="18"/>
      <c r="S140" s="18">
        <f t="shared" ref="S140:S142" si="78">2*P140</f>
        <v>2939.16</v>
      </c>
      <c r="T140" s="18">
        <v>20574.169999999998</v>
      </c>
      <c r="U140" s="18"/>
      <c r="V140" s="19"/>
      <c r="W140" s="19"/>
      <c r="X140" s="29">
        <f t="shared" si="59"/>
        <v>5454.1699999999983</v>
      </c>
      <c r="Y140" s="34">
        <f t="shared" si="60"/>
        <v>11.663361678004534</v>
      </c>
      <c r="Z140" s="62">
        <v>182623</v>
      </c>
      <c r="AA140" s="62">
        <v>107623</v>
      </c>
      <c r="AB140" s="63">
        <v>75000</v>
      </c>
    </row>
    <row r="141" spans="1:28" s="8" customFormat="1" ht="33.75" x14ac:dyDescent="0.2">
      <c r="A141" s="22">
        <v>28003715011982</v>
      </c>
      <c r="B141" s="17" t="s">
        <v>90</v>
      </c>
      <c r="C141" s="14" t="s">
        <v>37</v>
      </c>
      <c r="D141" s="50" t="s">
        <v>124</v>
      </c>
      <c r="E141" s="50">
        <v>1764</v>
      </c>
      <c r="F141" s="50">
        <v>1764</v>
      </c>
      <c r="G141" s="50"/>
      <c r="H141" s="50"/>
      <c r="I141" s="14">
        <v>4</v>
      </c>
      <c r="J141" s="52" t="s">
        <v>8</v>
      </c>
      <c r="K141" s="53">
        <f t="shared" si="76"/>
        <v>18955.439999999999</v>
      </c>
      <c r="L141" s="53"/>
      <c r="M141" s="53"/>
      <c r="N141" s="59">
        <f t="shared" si="77"/>
        <v>3159.24</v>
      </c>
      <c r="O141" s="59">
        <v>22114.639999999999</v>
      </c>
      <c r="P141" s="18">
        <v>1579.62</v>
      </c>
      <c r="Q141" s="18"/>
      <c r="R141" s="18"/>
      <c r="S141" s="18">
        <f t="shared" si="78"/>
        <v>3159.24</v>
      </c>
      <c r="T141" s="18">
        <v>22114.639999999999</v>
      </c>
      <c r="U141" s="18"/>
      <c r="V141" s="19"/>
      <c r="W141" s="19"/>
      <c r="X141" s="29">
        <f t="shared" si="59"/>
        <v>6994.6399999999994</v>
      </c>
      <c r="Y141" s="34">
        <f t="shared" si="60"/>
        <v>12.536643990929704</v>
      </c>
      <c r="Z141" s="62">
        <v>182623</v>
      </c>
      <c r="AA141" s="62">
        <v>107623</v>
      </c>
      <c r="AB141" s="63">
        <v>75000</v>
      </c>
    </row>
    <row r="142" spans="1:28" s="8" customFormat="1" ht="33.75" x14ac:dyDescent="0.2">
      <c r="A142" s="22">
        <v>28003715011982</v>
      </c>
      <c r="B142" s="17" t="s">
        <v>90</v>
      </c>
      <c r="C142" s="14" t="s">
        <v>37</v>
      </c>
      <c r="D142" s="50" t="s">
        <v>124</v>
      </c>
      <c r="E142" s="50">
        <v>1764</v>
      </c>
      <c r="F142" s="50">
        <v>1764</v>
      </c>
      <c r="G142" s="50"/>
      <c r="H142" s="50"/>
      <c r="I142" s="14">
        <v>1</v>
      </c>
      <c r="J142" s="52" t="s">
        <v>9</v>
      </c>
      <c r="K142" s="53">
        <f t="shared" si="76"/>
        <v>28023.600000000002</v>
      </c>
      <c r="L142" s="53"/>
      <c r="M142" s="53"/>
      <c r="N142" s="59">
        <f t="shared" si="77"/>
        <v>4670.6000000000004</v>
      </c>
      <c r="O142" s="59">
        <v>32694.17</v>
      </c>
      <c r="P142" s="18">
        <v>2335.3000000000002</v>
      </c>
      <c r="Q142" s="18"/>
      <c r="R142" s="18"/>
      <c r="S142" s="18">
        <f t="shared" si="78"/>
        <v>4670.6000000000004</v>
      </c>
      <c r="T142" s="18">
        <v>32694.17</v>
      </c>
      <c r="U142" s="18"/>
      <c r="V142" s="19"/>
      <c r="W142" s="19"/>
      <c r="X142" s="29">
        <f t="shared" si="59"/>
        <v>17574.169999999998</v>
      </c>
      <c r="Y142" s="34">
        <f t="shared" si="60"/>
        <v>18.534109977324263</v>
      </c>
      <c r="Z142" s="62">
        <v>182623</v>
      </c>
      <c r="AA142" s="62">
        <v>107623</v>
      </c>
      <c r="AB142" s="63">
        <v>75000</v>
      </c>
    </row>
    <row r="143" spans="1:28" s="8" customFormat="1" ht="22.5" x14ac:dyDescent="0.2">
      <c r="A143" s="22">
        <v>29000145011982</v>
      </c>
      <c r="B143" s="17" t="s">
        <v>73</v>
      </c>
      <c r="C143" s="14" t="s">
        <v>38</v>
      </c>
      <c r="D143" s="50" t="s">
        <v>149</v>
      </c>
      <c r="E143" s="50">
        <v>1756</v>
      </c>
      <c r="F143" s="50">
        <v>1756</v>
      </c>
      <c r="G143" s="50">
        <v>1756</v>
      </c>
      <c r="H143" s="50"/>
      <c r="I143" s="14"/>
      <c r="J143" s="52" t="s">
        <v>7</v>
      </c>
      <c r="K143" s="53">
        <f>+P143*365</f>
        <v>14928.5</v>
      </c>
      <c r="L143" s="53">
        <f>+Q143*365</f>
        <v>1606.0000000000002</v>
      </c>
      <c r="M143" s="53">
        <f>+R143</f>
        <v>850.03</v>
      </c>
      <c r="N143" s="53">
        <f>((P143+Q143)*60)</f>
        <v>2718</v>
      </c>
      <c r="O143" s="53">
        <f>+K143+L143+M143+N143</f>
        <v>20102.53</v>
      </c>
      <c r="P143" s="18">
        <v>40.9</v>
      </c>
      <c r="Q143" s="18">
        <v>4.4000000000000004</v>
      </c>
      <c r="R143" s="18">
        <v>850.03</v>
      </c>
      <c r="S143" s="18">
        <f>(P143+Q143)*60</f>
        <v>2718</v>
      </c>
      <c r="T143" s="18">
        <v>20102.53</v>
      </c>
      <c r="U143" s="18"/>
      <c r="V143" s="19"/>
      <c r="W143" s="19"/>
      <c r="X143" s="29">
        <f t="shared" si="59"/>
        <v>4982.5299999999988</v>
      </c>
      <c r="Y143" s="34">
        <f t="shared" si="60"/>
        <v>11.447910022779043</v>
      </c>
      <c r="Z143" s="62">
        <v>8000</v>
      </c>
      <c r="AA143" s="62">
        <v>7000</v>
      </c>
      <c r="AB143" s="63">
        <v>1000</v>
      </c>
    </row>
    <row r="144" spans="1:28" s="8" customFormat="1" ht="22.5" x14ac:dyDescent="0.2">
      <c r="A144" s="22">
        <v>29000145011982</v>
      </c>
      <c r="B144" s="17" t="s">
        <v>73</v>
      </c>
      <c r="C144" s="14" t="s">
        <v>38</v>
      </c>
      <c r="D144" s="50" t="s">
        <v>149</v>
      </c>
      <c r="E144" s="50">
        <v>1756</v>
      </c>
      <c r="F144" s="50">
        <v>1756</v>
      </c>
      <c r="G144" s="50">
        <v>1756</v>
      </c>
      <c r="H144" s="50"/>
      <c r="I144" s="14"/>
      <c r="J144" s="52" t="s">
        <v>6</v>
      </c>
      <c r="K144" s="53">
        <f>+P144*365</f>
        <v>16056.35</v>
      </c>
      <c r="L144" s="53">
        <f>+Q144*365</f>
        <v>1730.1000000000001</v>
      </c>
      <c r="M144" s="53">
        <f>+R144</f>
        <v>850.03</v>
      </c>
      <c r="N144" s="53">
        <f>(P144+Q144)*60</f>
        <v>2923.8</v>
      </c>
      <c r="O144" s="53">
        <f>+K144+L144+M144+N144</f>
        <v>21560.28</v>
      </c>
      <c r="P144" s="18">
        <v>43.99</v>
      </c>
      <c r="Q144" s="18">
        <v>4.74</v>
      </c>
      <c r="R144" s="18">
        <v>850.03</v>
      </c>
      <c r="S144" s="18">
        <f t="shared" ref="S144" si="79">(P144+Q144)*60</f>
        <v>2923.8</v>
      </c>
      <c r="T144" s="18">
        <v>21560.28</v>
      </c>
      <c r="U144" s="18"/>
      <c r="V144" s="19"/>
      <c r="W144" s="19"/>
      <c r="X144" s="29">
        <f t="shared" si="59"/>
        <v>6440.2799999999988</v>
      </c>
      <c r="Y144" s="34">
        <f t="shared" si="60"/>
        <v>12.278063781321183</v>
      </c>
      <c r="Z144" s="62">
        <v>8000</v>
      </c>
      <c r="AA144" s="62">
        <v>7000</v>
      </c>
      <c r="AB144" s="63">
        <v>1000</v>
      </c>
    </row>
    <row r="145" spans="1:28" s="8" customFormat="1" ht="22.5" x14ac:dyDescent="0.2">
      <c r="A145" s="22">
        <v>29000145011982</v>
      </c>
      <c r="B145" s="17" t="s">
        <v>73</v>
      </c>
      <c r="C145" s="14" t="s">
        <v>38</v>
      </c>
      <c r="D145" s="50" t="s">
        <v>149</v>
      </c>
      <c r="E145" s="50">
        <v>1756</v>
      </c>
      <c r="F145" s="50">
        <v>1756</v>
      </c>
      <c r="G145" s="50">
        <v>1756</v>
      </c>
      <c r="H145" s="50"/>
      <c r="I145" s="14"/>
      <c r="J145" s="52" t="s">
        <v>8</v>
      </c>
      <c r="K145" s="53">
        <f>+P145*12</f>
        <v>15244.68</v>
      </c>
      <c r="L145" s="53">
        <f>+Q145*12</f>
        <v>1630.56</v>
      </c>
      <c r="M145" s="53">
        <f>+R145</f>
        <v>850.03</v>
      </c>
      <c r="N145" s="53">
        <f>((P145+Q145)*2)</f>
        <v>2812.54</v>
      </c>
      <c r="O145" s="53">
        <f>+K145+L145+M145+N145</f>
        <v>20537.810000000001</v>
      </c>
      <c r="P145" s="18">
        <v>1270.3900000000001</v>
      </c>
      <c r="Q145" s="18">
        <v>135.88</v>
      </c>
      <c r="R145" s="18">
        <v>850.03</v>
      </c>
      <c r="S145" s="18">
        <f>(P145+Q145)*2</f>
        <v>2812.54</v>
      </c>
      <c r="T145" s="18">
        <v>20537.810000000001</v>
      </c>
      <c r="U145" s="18"/>
      <c r="V145" s="19"/>
      <c r="W145" s="19"/>
      <c r="X145" s="29">
        <f t="shared" si="59"/>
        <v>5417.8100000000013</v>
      </c>
      <c r="Y145" s="34">
        <f t="shared" si="60"/>
        <v>11.695791571753986</v>
      </c>
      <c r="Z145" s="62">
        <v>8000</v>
      </c>
      <c r="AA145" s="62">
        <v>7000</v>
      </c>
      <c r="AB145" s="63">
        <v>1000</v>
      </c>
    </row>
    <row r="146" spans="1:28" s="8" customFormat="1" ht="22.5" x14ac:dyDescent="0.2">
      <c r="A146" s="22">
        <v>29000145011982</v>
      </c>
      <c r="B146" s="17" t="s">
        <v>73</v>
      </c>
      <c r="C146" s="14" t="s">
        <v>38</v>
      </c>
      <c r="D146" s="50" t="s">
        <v>149</v>
      </c>
      <c r="E146" s="50">
        <v>1756</v>
      </c>
      <c r="F146" s="50">
        <v>1756</v>
      </c>
      <c r="G146" s="50">
        <v>1756</v>
      </c>
      <c r="H146" s="50"/>
      <c r="I146" s="14"/>
      <c r="J146" s="52" t="s">
        <v>9</v>
      </c>
      <c r="K146" s="53">
        <f>+P146*12</f>
        <v>19099.560000000001</v>
      </c>
      <c r="L146" s="53">
        <f>+Q146*12</f>
        <v>8208.119999999999</v>
      </c>
      <c r="M146" s="53">
        <f>+R146</f>
        <v>850.03</v>
      </c>
      <c r="N146" s="53">
        <f>((P146+Q146)*2)</f>
        <v>4551.2800000000007</v>
      </c>
      <c r="O146" s="53">
        <f>+K146+L146+M146+N146</f>
        <v>32708.989999999998</v>
      </c>
      <c r="P146" s="18">
        <v>1591.63</v>
      </c>
      <c r="Q146" s="18">
        <v>684.01</v>
      </c>
      <c r="R146" s="18">
        <v>850.03</v>
      </c>
      <c r="S146" s="18">
        <f>(P146+Q146)*2</f>
        <v>4551.2800000000007</v>
      </c>
      <c r="T146" s="18">
        <v>32708.99</v>
      </c>
      <c r="U146" s="18"/>
      <c r="V146" s="19"/>
      <c r="W146" s="19"/>
      <c r="X146" s="29">
        <f t="shared" si="59"/>
        <v>17588.989999999998</v>
      </c>
      <c r="Y146" s="34">
        <f t="shared" si="60"/>
        <v>18.626987471526196</v>
      </c>
      <c r="Z146" s="62">
        <v>8000</v>
      </c>
      <c r="AA146" s="62">
        <v>7000</v>
      </c>
      <c r="AB146" s="63">
        <v>1000</v>
      </c>
    </row>
    <row r="147" spans="1:28" s="8" customFormat="1" ht="11.25" x14ac:dyDescent="0.2">
      <c r="A147" s="22">
        <v>29000425011981</v>
      </c>
      <c r="B147" s="17" t="s">
        <v>87</v>
      </c>
      <c r="C147" s="14" t="s">
        <v>38</v>
      </c>
      <c r="D147" s="50" t="s">
        <v>150</v>
      </c>
      <c r="E147" s="50">
        <v>1756</v>
      </c>
      <c r="F147" s="50">
        <v>1756</v>
      </c>
      <c r="G147" s="50"/>
      <c r="H147" s="50"/>
      <c r="I147" s="14"/>
      <c r="J147" s="52" t="s">
        <v>7</v>
      </c>
      <c r="K147" s="53">
        <f>P147*365</f>
        <v>19523.850000000002</v>
      </c>
      <c r="L147" s="53">
        <f t="shared" ref="L147:L150" si="80">Q147*12</f>
        <v>0</v>
      </c>
      <c r="M147" s="53"/>
      <c r="N147" s="53">
        <f>P147*60</f>
        <v>3209.4</v>
      </c>
      <c r="O147" s="53">
        <f>+K147+L147+M147+N147</f>
        <v>22733.250000000004</v>
      </c>
      <c r="P147" s="18">
        <v>53.49</v>
      </c>
      <c r="Q147" s="18">
        <v>0</v>
      </c>
      <c r="R147" s="18"/>
      <c r="S147" s="18">
        <f>P147*60</f>
        <v>3209.4</v>
      </c>
      <c r="T147" s="18">
        <v>22732.27</v>
      </c>
      <c r="U147" s="18">
        <f t="shared" ref="U147:U150" si="81">+T147-O147</f>
        <v>-0.98000000000320142</v>
      </c>
      <c r="X147" s="29">
        <f t="shared" si="59"/>
        <v>7613.2500000000036</v>
      </c>
      <c r="Y147" s="34">
        <f t="shared" si="60"/>
        <v>12.94604214123007</v>
      </c>
      <c r="Z147" s="62">
        <v>6500</v>
      </c>
      <c r="AA147" s="62">
        <v>6000</v>
      </c>
      <c r="AB147" s="63">
        <v>500</v>
      </c>
    </row>
    <row r="148" spans="1:28" s="8" customFormat="1" ht="11.25" x14ac:dyDescent="0.2">
      <c r="A148" s="22">
        <v>29000425011981</v>
      </c>
      <c r="B148" s="17" t="s">
        <v>87</v>
      </c>
      <c r="C148" s="14" t="s">
        <v>38</v>
      </c>
      <c r="D148" s="50" t="s">
        <v>150</v>
      </c>
      <c r="E148" s="50">
        <v>1756</v>
      </c>
      <c r="F148" s="50">
        <v>1756</v>
      </c>
      <c r="G148" s="50"/>
      <c r="H148" s="50"/>
      <c r="I148" s="14"/>
      <c r="J148" s="52" t="s">
        <v>6</v>
      </c>
      <c r="K148" s="53">
        <f>P148*365</f>
        <v>21104.3</v>
      </c>
      <c r="L148" s="53">
        <f t="shared" si="80"/>
        <v>0</v>
      </c>
      <c r="M148" s="53"/>
      <c r="N148" s="53">
        <f>P148*60</f>
        <v>3469.2</v>
      </c>
      <c r="O148" s="53">
        <f t="shared" ref="O148:O150" si="82">+K148+L148+M148+N148</f>
        <v>24573.5</v>
      </c>
      <c r="P148" s="18">
        <v>57.82</v>
      </c>
      <c r="Q148" s="18"/>
      <c r="R148" s="18"/>
      <c r="S148" s="18">
        <f>P148*60</f>
        <v>3469.2</v>
      </c>
      <c r="T148" s="18">
        <v>24573.45</v>
      </c>
      <c r="U148" s="18">
        <f t="shared" si="81"/>
        <v>-4.9999999999272404E-2</v>
      </c>
      <c r="X148" s="29">
        <f t="shared" si="59"/>
        <v>9453.5</v>
      </c>
      <c r="Y148" s="34">
        <f t="shared" si="60"/>
        <v>13.994020501138952</v>
      </c>
      <c r="Z148" s="62">
        <v>6500</v>
      </c>
      <c r="AA148" s="62">
        <v>6000</v>
      </c>
      <c r="AB148" s="63">
        <v>500</v>
      </c>
    </row>
    <row r="149" spans="1:28" s="8" customFormat="1" ht="11.25" x14ac:dyDescent="0.2">
      <c r="A149" s="22">
        <v>29000425011981</v>
      </c>
      <c r="B149" s="17" t="s">
        <v>87</v>
      </c>
      <c r="C149" s="14" t="s">
        <v>38</v>
      </c>
      <c r="D149" s="50" t="s">
        <v>150</v>
      </c>
      <c r="E149" s="50">
        <v>1756</v>
      </c>
      <c r="F149" s="50">
        <v>1756</v>
      </c>
      <c r="G149" s="50"/>
      <c r="H149" s="50"/>
      <c r="I149" s="14"/>
      <c r="J149" s="52" t="s">
        <v>8</v>
      </c>
      <c r="K149" s="53">
        <f t="shared" ref="K149:K150" si="83">P149*12</f>
        <v>21475.56</v>
      </c>
      <c r="L149" s="53">
        <f t="shared" si="80"/>
        <v>0</v>
      </c>
      <c r="M149" s="53"/>
      <c r="N149" s="53">
        <f t="shared" ref="N149:N150" si="84">P149*2</f>
        <v>3579.26</v>
      </c>
      <c r="O149" s="53">
        <f t="shared" si="82"/>
        <v>25054.82</v>
      </c>
      <c r="P149" s="18">
        <v>1789.63</v>
      </c>
      <c r="Q149" s="18"/>
      <c r="R149" s="18"/>
      <c r="S149" s="18">
        <f>P149*2</f>
        <v>3579.26</v>
      </c>
      <c r="T149" s="18">
        <v>25054.86</v>
      </c>
      <c r="U149" s="18">
        <f t="shared" si="81"/>
        <v>4.0000000000873115E-2</v>
      </c>
      <c r="X149" s="29">
        <f t="shared" si="59"/>
        <v>9934.82</v>
      </c>
      <c r="Y149" s="34">
        <f t="shared" si="60"/>
        <v>14.268120728929384</v>
      </c>
      <c r="Z149" s="62">
        <v>6500</v>
      </c>
      <c r="AA149" s="62">
        <v>6000</v>
      </c>
      <c r="AB149" s="63">
        <v>500</v>
      </c>
    </row>
    <row r="150" spans="1:28" s="8" customFormat="1" ht="11.25" x14ac:dyDescent="0.2">
      <c r="A150" s="22">
        <v>29000425011981</v>
      </c>
      <c r="B150" s="17" t="s">
        <v>87</v>
      </c>
      <c r="C150" s="14" t="s">
        <v>38</v>
      </c>
      <c r="D150" s="50" t="s">
        <v>150</v>
      </c>
      <c r="E150" s="50">
        <v>1756</v>
      </c>
      <c r="F150" s="50">
        <v>1756</v>
      </c>
      <c r="G150" s="50"/>
      <c r="H150" s="50"/>
      <c r="I150" s="14"/>
      <c r="J150" s="52" t="s">
        <v>9</v>
      </c>
      <c r="K150" s="53">
        <f t="shared" si="83"/>
        <v>24093.360000000001</v>
      </c>
      <c r="L150" s="53">
        <f t="shared" si="80"/>
        <v>7860.7199999999993</v>
      </c>
      <c r="M150" s="53"/>
      <c r="N150" s="53">
        <f t="shared" si="84"/>
        <v>4015.56</v>
      </c>
      <c r="O150" s="53">
        <f t="shared" si="82"/>
        <v>35969.64</v>
      </c>
      <c r="P150" s="18">
        <v>2007.78</v>
      </c>
      <c r="Q150" s="18">
        <v>655.05999999999995</v>
      </c>
      <c r="R150" s="18"/>
      <c r="S150" s="18">
        <f>P150*2</f>
        <v>4015.56</v>
      </c>
      <c r="T150" s="18">
        <v>35969.67</v>
      </c>
      <c r="U150" s="18">
        <f t="shared" si="81"/>
        <v>2.9999999998835847E-2</v>
      </c>
      <c r="X150" s="29">
        <f t="shared" si="59"/>
        <v>20849.64</v>
      </c>
      <c r="Y150" s="34">
        <f t="shared" si="60"/>
        <v>20.483849658314352</v>
      </c>
      <c r="Z150" s="62">
        <v>6500</v>
      </c>
      <c r="AA150" s="62">
        <v>6000</v>
      </c>
      <c r="AB150" s="63">
        <v>500</v>
      </c>
    </row>
    <row r="151" spans="1:28" s="8" customFormat="1" ht="11.25" x14ac:dyDescent="0.2">
      <c r="A151" s="22">
        <v>52000205011991</v>
      </c>
      <c r="B151" s="17" t="s">
        <v>83</v>
      </c>
      <c r="C151" s="14" t="s">
        <v>91</v>
      </c>
      <c r="D151" s="14" t="s">
        <v>151</v>
      </c>
      <c r="E151" s="50"/>
      <c r="F151" s="50"/>
      <c r="G151" s="50"/>
      <c r="H151" s="50"/>
      <c r="I151" s="14"/>
      <c r="J151" s="14" t="s">
        <v>7</v>
      </c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X151" s="29"/>
      <c r="Y151" s="34" t="e">
        <f t="shared" si="60"/>
        <v>#DIV/0!</v>
      </c>
      <c r="Z151" s="62">
        <v>600</v>
      </c>
      <c r="AA151" s="62">
        <v>500</v>
      </c>
      <c r="AB151" s="63">
        <v>100</v>
      </c>
    </row>
    <row r="152" spans="1:28" s="8" customFormat="1" ht="11.25" x14ac:dyDescent="0.2">
      <c r="A152" s="22">
        <v>52000205011991</v>
      </c>
      <c r="B152" s="17" t="s">
        <v>83</v>
      </c>
      <c r="C152" s="14" t="s">
        <v>91</v>
      </c>
      <c r="D152" s="14" t="s">
        <v>151</v>
      </c>
      <c r="E152" s="50"/>
      <c r="F152" s="50"/>
      <c r="G152" s="50"/>
      <c r="H152" s="50"/>
      <c r="I152" s="14"/>
      <c r="J152" s="14" t="s">
        <v>6</v>
      </c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X152" s="29"/>
      <c r="Y152" s="34" t="e">
        <f t="shared" si="60"/>
        <v>#DIV/0!</v>
      </c>
      <c r="Z152" s="62">
        <v>600</v>
      </c>
      <c r="AA152" s="62">
        <v>500</v>
      </c>
      <c r="AB152" s="63">
        <v>100</v>
      </c>
    </row>
    <row r="153" spans="1:28" s="8" customFormat="1" ht="11.25" x14ac:dyDescent="0.2">
      <c r="A153" s="22">
        <v>52000205011991</v>
      </c>
      <c r="B153" s="17" t="s">
        <v>83</v>
      </c>
      <c r="C153" s="14" t="s">
        <v>91</v>
      </c>
      <c r="D153" s="14" t="s">
        <v>151</v>
      </c>
      <c r="E153" s="50"/>
      <c r="F153" s="50"/>
      <c r="G153" s="50"/>
      <c r="H153" s="50"/>
      <c r="I153" s="14"/>
      <c r="J153" s="14" t="s">
        <v>8</v>
      </c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X153" s="29"/>
      <c r="Y153" s="34" t="e">
        <f t="shared" si="60"/>
        <v>#DIV/0!</v>
      </c>
      <c r="Z153" s="62">
        <v>600</v>
      </c>
      <c r="AA153" s="62">
        <v>500</v>
      </c>
      <c r="AB153" s="63">
        <v>100</v>
      </c>
    </row>
    <row r="154" spans="1:28" s="8" customFormat="1" ht="11.25" x14ac:dyDescent="0.2">
      <c r="A154" s="22">
        <v>52000205011991</v>
      </c>
      <c r="B154" s="17" t="s">
        <v>83</v>
      </c>
      <c r="C154" s="14" t="s">
        <v>91</v>
      </c>
      <c r="D154" s="14" t="s">
        <v>151</v>
      </c>
      <c r="E154" s="50"/>
      <c r="F154" s="50"/>
      <c r="G154" s="50"/>
      <c r="H154" s="50"/>
      <c r="I154" s="14"/>
      <c r="J154" s="14" t="s">
        <v>9</v>
      </c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X154" s="29"/>
      <c r="Y154" s="34" t="e">
        <f t="shared" si="60"/>
        <v>#DIV/0!</v>
      </c>
      <c r="Z154" s="62">
        <v>600</v>
      </c>
      <c r="AA154" s="62">
        <v>500</v>
      </c>
      <c r="AB154" s="63">
        <v>100</v>
      </c>
    </row>
    <row r="155" spans="1:28" s="8" customFormat="1" ht="22.5" x14ac:dyDescent="0.2">
      <c r="A155" s="22">
        <v>30001245011981</v>
      </c>
      <c r="B155" s="17" t="s">
        <v>92</v>
      </c>
      <c r="C155" s="14" t="s">
        <v>39</v>
      </c>
      <c r="D155" s="50" t="s">
        <v>117</v>
      </c>
      <c r="E155" s="50"/>
      <c r="F155" s="50">
        <v>1759</v>
      </c>
      <c r="G155" s="50">
        <v>1759</v>
      </c>
      <c r="H155" s="50">
        <v>1759</v>
      </c>
      <c r="I155" s="14"/>
      <c r="J155" s="52" t="s">
        <v>7</v>
      </c>
      <c r="K155" s="53">
        <f>P155*365</f>
        <v>13337.1</v>
      </c>
      <c r="L155" s="53">
        <f>Q155*365</f>
        <v>3233.8999999999996</v>
      </c>
      <c r="M155" s="53"/>
      <c r="N155" s="53">
        <f>(P155+Q155)*60</f>
        <v>2724</v>
      </c>
      <c r="O155" s="59">
        <f>SUM(K155:N155)</f>
        <v>19295</v>
      </c>
      <c r="P155" s="18">
        <v>36.54</v>
      </c>
      <c r="Q155" s="18">
        <v>8.86</v>
      </c>
      <c r="R155" s="18"/>
      <c r="S155" s="18"/>
      <c r="T155" s="18">
        <v>19295</v>
      </c>
      <c r="U155" s="18">
        <f t="shared" ref="U155:U158" si="85">+T155-O155</f>
        <v>0</v>
      </c>
      <c r="V155" s="19">
        <f t="shared" ref="V155:V162" si="86">+M155/O155*100</f>
        <v>0</v>
      </c>
      <c r="W155" s="19">
        <f t="shared" ref="W155:W162" si="87">(K155+L155+N155)/O155*100</f>
        <v>100</v>
      </c>
      <c r="X155" s="29">
        <f t="shared" si="59"/>
        <v>4175</v>
      </c>
      <c r="Y155" s="34">
        <f t="shared" si="60"/>
        <v>10.969300739056282</v>
      </c>
      <c r="Z155" s="62">
        <v>20000</v>
      </c>
      <c r="AA155" s="62">
        <v>17000</v>
      </c>
      <c r="AB155" s="63">
        <v>3000</v>
      </c>
    </row>
    <row r="156" spans="1:28" s="8" customFormat="1" ht="22.5" x14ac:dyDescent="0.2">
      <c r="A156" s="22">
        <v>30001245011981</v>
      </c>
      <c r="B156" s="17" t="s">
        <v>92</v>
      </c>
      <c r="C156" s="14" t="s">
        <v>39</v>
      </c>
      <c r="D156" s="50" t="s">
        <v>117</v>
      </c>
      <c r="E156" s="50"/>
      <c r="F156" s="50">
        <v>1759</v>
      </c>
      <c r="G156" s="50">
        <v>1759</v>
      </c>
      <c r="H156" s="50">
        <v>1759</v>
      </c>
      <c r="I156" s="14"/>
      <c r="J156" s="52" t="s">
        <v>6</v>
      </c>
      <c r="K156" s="53">
        <f>P156*365</f>
        <v>13796.999999999998</v>
      </c>
      <c r="L156" s="53">
        <f>Q156*365</f>
        <v>3233.8999999999996</v>
      </c>
      <c r="M156" s="53"/>
      <c r="N156" s="53">
        <f>(P156+Q156)*60</f>
        <v>2799.6</v>
      </c>
      <c r="O156" s="59">
        <f>SUM(K156:N156)</f>
        <v>19830.499999999996</v>
      </c>
      <c r="P156" s="18">
        <v>37.799999999999997</v>
      </c>
      <c r="Q156" s="18">
        <v>8.86</v>
      </c>
      <c r="R156" s="18"/>
      <c r="S156" s="18"/>
      <c r="T156" s="18">
        <v>19830.5</v>
      </c>
      <c r="U156" s="18">
        <f t="shared" si="85"/>
        <v>0</v>
      </c>
      <c r="V156" s="19">
        <f t="shared" si="86"/>
        <v>0</v>
      </c>
      <c r="W156" s="19">
        <f t="shared" si="87"/>
        <v>100</v>
      </c>
      <c r="X156" s="29">
        <f t="shared" si="59"/>
        <v>4710.4999999999964</v>
      </c>
      <c r="Y156" s="34">
        <f t="shared" si="60"/>
        <v>11.273735076748149</v>
      </c>
      <c r="Z156" s="62">
        <v>20000</v>
      </c>
      <c r="AA156" s="62">
        <v>17000</v>
      </c>
      <c r="AB156" s="63">
        <v>3000</v>
      </c>
    </row>
    <row r="157" spans="1:28" s="8" customFormat="1" ht="22.5" x14ac:dyDescent="0.2">
      <c r="A157" s="22">
        <v>30001245011981</v>
      </c>
      <c r="B157" s="17" t="s">
        <v>92</v>
      </c>
      <c r="C157" s="14" t="s">
        <v>39</v>
      </c>
      <c r="D157" s="50" t="s">
        <v>117</v>
      </c>
      <c r="E157" s="50"/>
      <c r="F157" s="50">
        <v>1759</v>
      </c>
      <c r="G157" s="50">
        <v>1759</v>
      </c>
      <c r="H157" s="50">
        <v>1759</v>
      </c>
      <c r="I157" s="14"/>
      <c r="J157" s="52" t="s">
        <v>8</v>
      </c>
      <c r="K157" s="53">
        <f>P157*12</f>
        <v>14194.32</v>
      </c>
      <c r="L157" s="53">
        <f>Q157*12</f>
        <v>3204.12</v>
      </c>
      <c r="M157" s="53"/>
      <c r="N157" s="53">
        <f>(P157+Q157)*2</f>
        <v>2899.74</v>
      </c>
      <c r="O157" s="59">
        <f t="shared" ref="O157:O158" si="88">SUM(K157:N157)</f>
        <v>20298.18</v>
      </c>
      <c r="P157" s="18">
        <v>1182.8599999999999</v>
      </c>
      <c r="Q157" s="18">
        <v>267.01</v>
      </c>
      <c r="R157" s="18"/>
      <c r="S157" s="18"/>
      <c r="T157" s="18">
        <v>20298.18</v>
      </c>
      <c r="U157" s="18">
        <f t="shared" si="85"/>
        <v>0</v>
      </c>
      <c r="V157" s="19">
        <f t="shared" si="86"/>
        <v>0</v>
      </c>
      <c r="W157" s="19">
        <f t="shared" si="87"/>
        <v>100</v>
      </c>
      <c r="X157" s="29">
        <f t="shared" si="59"/>
        <v>5178.18</v>
      </c>
      <c r="Y157" s="34">
        <f t="shared" si="60"/>
        <v>11.539613416714042</v>
      </c>
      <c r="Z157" s="62">
        <v>20000</v>
      </c>
      <c r="AA157" s="62">
        <v>17000</v>
      </c>
      <c r="AB157" s="63">
        <v>3000</v>
      </c>
    </row>
    <row r="158" spans="1:28" s="8" customFormat="1" ht="22.5" x14ac:dyDescent="0.2">
      <c r="A158" s="22">
        <v>30001245011981</v>
      </c>
      <c r="B158" s="17" t="s">
        <v>92</v>
      </c>
      <c r="C158" s="14" t="s">
        <v>39</v>
      </c>
      <c r="D158" s="50" t="s">
        <v>117</v>
      </c>
      <c r="E158" s="50"/>
      <c r="F158" s="50">
        <v>1759</v>
      </c>
      <c r="G158" s="50">
        <v>1759</v>
      </c>
      <c r="H158" s="50">
        <v>1759</v>
      </c>
      <c r="I158" s="14"/>
      <c r="J158" s="52" t="s">
        <v>9</v>
      </c>
      <c r="K158" s="53">
        <f>P158*12</f>
        <v>16904.760000000002</v>
      </c>
      <c r="L158" s="53">
        <f>Q158*12</f>
        <v>3204.12</v>
      </c>
      <c r="M158" s="53"/>
      <c r="N158" s="53">
        <f>(P158+Q158)*2</f>
        <v>3351.48</v>
      </c>
      <c r="O158" s="59">
        <f t="shared" si="88"/>
        <v>23460.36</v>
      </c>
      <c r="P158" s="18">
        <v>1408.73</v>
      </c>
      <c r="Q158" s="18">
        <v>267.01</v>
      </c>
      <c r="R158" s="18"/>
      <c r="S158" s="18"/>
      <c r="T158" s="18">
        <v>23460.36</v>
      </c>
      <c r="U158" s="18">
        <f t="shared" si="85"/>
        <v>0</v>
      </c>
      <c r="V158" s="19">
        <f t="shared" si="86"/>
        <v>0</v>
      </c>
      <c r="W158" s="19">
        <f t="shared" si="87"/>
        <v>100</v>
      </c>
      <c r="X158" s="29">
        <f t="shared" si="59"/>
        <v>8340.36</v>
      </c>
      <c r="Y158" s="34">
        <f t="shared" si="60"/>
        <v>13.337328027288232</v>
      </c>
      <c r="Z158" s="62">
        <v>20000</v>
      </c>
      <c r="AA158" s="62">
        <v>17000</v>
      </c>
      <c r="AB158" s="63">
        <v>3000</v>
      </c>
    </row>
    <row r="159" spans="1:28" s="8" customFormat="1" ht="22.5" x14ac:dyDescent="0.2">
      <c r="A159" s="22">
        <v>31006805011981</v>
      </c>
      <c r="B159" s="17" t="s">
        <v>73</v>
      </c>
      <c r="C159" s="14" t="s">
        <v>40</v>
      </c>
      <c r="D159" s="41" t="s">
        <v>128</v>
      </c>
      <c r="E159" s="41">
        <v>1695</v>
      </c>
      <c r="F159" s="41">
        <v>1695</v>
      </c>
      <c r="G159" s="41">
        <v>1695</v>
      </c>
      <c r="H159" s="41">
        <v>1695</v>
      </c>
      <c r="I159" s="41"/>
      <c r="J159" s="41" t="s">
        <v>7</v>
      </c>
      <c r="K159" s="42">
        <v>23559.84</v>
      </c>
      <c r="L159" s="42">
        <f>+Q159*365</f>
        <v>0</v>
      </c>
      <c r="M159" s="42">
        <v>0</v>
      </c>
      <c r="N159" s="42">
        <f>+(P159+Q159)*60</f>
        <v>0</v>
      </c>
      <c r="O159" s="42">
        <f t="shared" ref="O159:O164" si="89">+K159+L159+M159+N159</f>
        <v>23559.84</v>
      </c>
      <c r="P159" s="43"/>
      <c r="Q159" s="43"/>
      <c r="R159" s="43"/>
      <c r="S159" s="43"/>
      <c r="T159" s="43"/>
      <c r="U159" s="43"/>
      <c r="V159" s="44">
        <f t="shared" si="86"/>
        <v>0</v>
      </c>
      <c r="W159" s="44">
        <f t="shared" si="87"/>
        <v>100</v>
      </c>
      <c r="X159" s="29">
        <f t="shared" si="59"/>
        <v>8439.84</v>
      </c>
      <c r="Y159" s="34">
        <f t="shared" si="60"/>
        <v>13.899610619469026</v>
      </c>
      <c r="Z159" s="62">
        <v>20000</v>
      </c>
      <c r="AA159" s="62">
        <v>15000</v>
      </c>
      <c r="AB159" s="63">
        <v>5000</v>
      </c>
    </row>
    <row r="160" spans="1:28" s="8" customFormat="1" ht="22.5" x14ac:dyDescent="0.2">
      <c r="A160" s="22">
        <v>31006805011981</v>
      </c>
      <c r="B160" s="17" t="s">
        <v>73</v>
      </c>
      <c r="C160" s="14" t="s">
        <v>40</v>
      </c>
      <c r="D160" s="41" t="s">
        <v>128</v>
      </c>
      <c r="E160" s="41">
        <v>1695</v>
      </c>
      <c r="F160" s="41">
        <v>1695</v>
      </c>
      <c r="G160" s="41">
        <v>1695</v>
      </c>
      <c r="H160" s="41">
        <v>1695</v>
      </c>
      <c r="I160" s="41"/>
      <c r="J160" s="41" t="s">
        <v>6</v>
      </c>
      <c r="K160" s="42">
        <v>25439.67</v>
      </c>
      <c r="L160" s="42">
        <f>+Q160*365</f>
        <v>0</v>
      </c>
      <c r="M160" s="42">
        <v>0</v>
      </c>
      <c r="N160" s="42">
        <f>+(P160+Q160)*60</f>
        <v>0</v>
      </c>
      <c r="O160" s="42">
        <f t="shared" si="89"/>
        <v>25439.67</v>
      </c>
      <c r="P160" s="43"/>
      <c r="Q160" s="43"/>
      <c r="R160" s="43"/>
      <c r="S160" s="43"/>
      <c r="T160" s="43"/>
      <c r="U160" s="43"/>
      <c r="V160" s="44">
        <f t="shared" si="86"/>
        <v>0</v>
      </c>
      <c r="W160" s="44">
        <f t="shared" si="87"/>
        <v>100</v>
      </c>
      <c r="X160" s="29">
        <f t="shared" si="59"/>
        <v>10319.669999999998</v>
      </c>
      <c r="Y160" s="34">
        <f t="shared" si="60"/>
        <v>15.008654867256636</v>
      </c>
      <c r="Z160" s="62">
        <v>20000</v>
      </c>
      <c r="AA160" s="62">
        <v>15000</v>
      </c>
      <c r="AB160" s="63">
        <v>5000</v>
      </c>
    </row>
    <row r="161" spans="1:28" s="8" customFormat="1" ht="22.5" x14ac:dyDescent="0.2">
      <c r="A161" s="22">
        <v>31006805011981</v>
      </c>
      <c r="B161" s="17" t="s">
        <v>73</v>
      </c>
      <c r="C161" s="14" t="s">
        <v>40</v>
      </c>
      <c r="D161" s="41" t="s">
        <v>128</v>
      </c>
      <c r="E161" s="41">
        <v>1695</v>
      </c>
      <c r="F161" s="41">
        <v>1695</v>
      </c>
      <c r="G161" s="41">
        <v>1695</v>
      </c>
      <c r="H161" s="41">
        <v>1695</v>
      </c>
      <c r="I161" s="41"/>
      <c r="J161" s="41" t="s">
        <v>8</v>
      </c>
      <c r="K161" s="42">
        <v>25439.67</v>
      </c>
      <c r="L161" s="42">
        <f>+Q161*12</f>
        <v>0</v>
      </c>
      <c r="M161" s="42">
        <v>0</v>
      </c>
      <c r="N161" s="42">
        <f>+(P161+Q161)*2</f>
        <v>0</v>
      </c>
      <c r="O161" s="42">
        <f t="shared" si="89"/>
        <v>25439.67</v>
      </c>
      <c r="P161" s="43"/>
      <c r="Q161" s="43"/>
      <c r="R161" s="43"/>
      <c r="S161" s="43"/>
      <c r="T161" s="43"/>
      <c r="U161" s="43"/>
      <c r="V161" s="44">
        <f t="shared" si="86"/>
        <v>0</v>
      </c>
      <c r="W161" s="44">
        <f t="shared" si="87"/>
        <v>100</v>
      </c>
      <c r="X161" s="29">
        <f t="shared" si="59"/>
        <v>10319.669999999998</v>
      </c>
      <c r="Y161" s="34">
        <f t="shared" si="60"/>
        <v>15.008654867256636</v>
      </c>
      <c r="Z161" s="62">
        <v>20000</v>
      </c>
      <c r="AA161" s="62">
        <v>15000</v>
      </c>
      <c r="AB161" s="63">
        <v>5000</v>
      </c>
    </row>
    <row r="162" spans="1:28" s="8" customFormat="1" ht="22.5" x14ac:dyDescent="0.2">
      <c r="A162" s="22">
        <v>31006805011981</v>
      </c>
      <c r="B162" s="17" t="s">
        <v>73</v>
      </c>
      <c r="C162" s="14" t="s">
        <v>40</v>
      </c>
      <c r="D162" s="41" t="s">
        <v>128</v>
      </c>
      <c r="E162" s="41">
        <v>1695</v>
      </c>
      <c r="F162" s="41">
        <v>1695</v>
      </c>
      <c r="G162" s="41">
        <v>1695</v>
      </c>
      <c r="H162" s="41">
        <v>1695</v>
      </c>
      <c r="I162" s="41"/>
      <c r="J162" s="41" t="s">
        <v>9</v>
      </c>
      <c r="K162" s="42">
        <v>28647.54</v>
      </c>
      <c r="L162" s="42">
        <f>+Q162*12</f>
        <v>0</v>
      </c>
      <c r="M162" s="42">
        <v>0</v>
      </c>
      <c r="N162" s="42">
        <f>+(P162+Q162)*2</f>
        <v>0</v>
      </c>
      <c r="O162" s="42">
        <f t="shared" si="89"/>
        <v>28647.54</v>
      </c>
      <c r="P162" s="43"/>
      <c r="Q162" s="43"/>
      <c r="R162" s="43"/>
      <c r="S162" s="43"/>
      <c r="T162" s="43"/>
      <c r="U162" s="43"/>
      <c r="V162" s="44">
        <f t="shared" si="86"/>
        <v>0</v>
      </c>
      <c r="W162" s="44">
        <f t="shared" si="87"/>
        <v>100</v>
      </c>
      <c r="X162" s="29">
        <f t="shared" si="59"/>
        <v>13527.54</v>
      </c>
      <c r="Y162" s="34">
        <f t="shared" si="60"/>
        <v>16.901203539823008</v>
      </c>
      <c r="Z162" s="62">
        <v>20000</v>
      </c>
      <c r="AA162" s="62">
        <v>15000</v>
      </c>
      <c r="AB162" s="63">
        <v>5000</v>
      </c>
    </row>
    <row r="163" spans="1:28" s="8" customFormat="1" ht="22.5" x14ac:dyDescent="0.2">
      <c r="A163" s="22">
        <v>31007255011995</v>
      </c>
      <c r="B163" s="17" t="s">
        <v>93</v>
      </c>
      <c r="C163" s="14" t="s">
        <v>40</v>
      </c>
      <c r="D163" s="41" t="s">
        <v>119</v>
      </c>
      <c r="E163" s="41">
        <v>1720</v>
      </c>
      <c r="F163" s="41">
        <v>1720</v>
      </c>
      <c r="G163" s="41">
        <v>1720</v>
      </c>
      <c r="H163" s="41">
        <v>1720</v>
      </c>
      <c r="I163" s="43"/>
      <c r="J163" s="41" t="s">
        <v>7</v>
      </c>
      <c r="K163" s="42">
        <f>+P163*12</f>
        <v>14332.68</v>
      </c>
      <c r="L163" s="42">
        <f>+Q163*12</f>
        <v>7006.5599999999995</v>
      </c>
      <c r="M163" s="42">
        <v>0</v>
      </c>
      <c r="N163" s="42">
        <f>+(P163+Q163)*2</f>
        <v>3556.54</v>
      </c>
      <c r="O163" s="42">
        <f t="shared" si="89"/>
        <v>24895.78</v>
      </c>
      <c r="P163" s="42">
        <v>1194.3900000000001</v>
      </c>
      <c r="Q163" s="42">
        <v>583.88</v>
      </c>
      <c r="R163" s="43"/>
      <c r="S163" s="43"/>
      <c r="T163" s="43"/>
      <c r="U163" s="43"/>
      <c r="V163" s="44"/>
      <c r="W163" s="44"/>
      <c r="X163" s="29">
        <f t="shared" si="59"/>
        <v>9775.7799999999988</v>
      </c>
      <c r="Y163" s="34">
        <f t="shared" si="60"/>
        <v>14.474290697674418</v>
      </c>
      <c r="Z163" s="62">
        <v>4500</v>
      </c>
      <c r="AA163" s="62">
        <v>4275</v>
      </c>
      <c r="AB163" s="63">
        <v>225</v>
      </c>
    </row>
    <row r="164" spans="1:28" s="8" customFormat="1" ht="22.5" x14ac:dyDescent="0.2">
      <c r="A164" s="22">
        <v>31007255011995</v>
      </c>
      <c r="B164" s="17" t="s">
        <v>93</v>
      </c>
      <c r="C164" s="14" t="s">
        <v>40</v>
      </c>
      <c r="D164" s="41" t="s">
        <v>119</v>
      </c>
      <c r="E164" s="41">
        <v>1720</v>
      </c>
      <c r="F164" s="41">
        <v>1720</v>
      </c>
      <c r="G164" s="41">
        <v>1720</v>
      </c>
      <c r="H164" s="41">
        <v>1720</v>
      </c>
      <c r="I164" s="43"/>
      <c r="J164" s="41" t="s">
        <v>6</v>
      </c>
      <c r="K164" s="42">
        <f>+P164*12</f>
        <v>14894.28</v>
      </c>
      <c r="L164" s="42">
        <f>+Q164*12</f>
        <v>8509.7999999999993</v>
      </c>
      <c r="M164" s="42">
        <v>0</v>
      </c>
      <c r="N164" s="42">
        <f>+(P164+Q164)*2</f>
        <v>3900.6800000000003</v>
      </c>
      <c r="O164" s="42">
        <f t="shared" si="89"/>
        <v>27304.760000000002</v>
      </c>
      <c r="P164" s="42">
        <v>1241.19</v>
      </c>
      <c r="Q164" s="42">
        <v>709.15</v>
      </c>
      <c r="R164" s="43"/>
      <c r="S164" s="43"/>
      <c r="T164" s="43"/>
      <c r="U164" s="43"/>
      <c r="V164" s="44">
        <f>+M164/O164*100</f>
        <v>0</v>
      </c>
      <c r="W164" s="44">
        <f>(K164+L164+N164)/O164*100</f>
        <v>100</v>
      </c>
      <c r="X164" s="29">
        <f t="shared" si="59"/>
        <v>12184.760000000002</v>
      </c>
      <c r="Y164" s="34">
        <f t="shared" si="60"/>
        <v>15.87486046511628</v>
      </c>
      <c r="Z164" s="62">
        <v>4500</v>
      </c>
      <c r="AA164" s="62">
        <v>4275</v>
      </c>
      <c r="AB164" s="63">
        <v>225</v>
      </c>
    </row>
    <row r="165" spans="1:28" s="8" customFormat="1" ht="22.5" x14ac:dyDescent="0.2">
      <c r="A165" s="22">
        <v>31007255011995</v>
      </c>
      <c r="B165" s="17" t="s">
        <v>93</v>
      </c>
      <c r="C165" s="14" t="s">
        <v>40</v>
      </c>
      <c r="D165" s="41" t="s">
        <v>119</v>
      </c>
      <c r="E165" s="41">
        <v>1720</v>
      </c>
      <c r="F165" s="41">
        <v>1720</v>
      </c>
      <c r="G165" s="41">
        <v>1720</v>
      </c>
      <c r="H165" s="41">
        <v>1720</v>
      </c>
      <c r="I165" s="43"/>
      <c r="J165" s="41" t="s">
        <v>8</v>
      </c>
      <c r="K165" s="42">
        <f t="shared" ref="K165:L165" si="90">+P165*12</f>
        <v>14871.36</v>
      </c>
      <c r="L165" s="42">
        <f t="shared" si="90"/>
        <v>7398.48</v>
      </c>
      <c r="M165" s="42">
        <v>0</v>
      </c>
      <c r="N165" s="42">
        <f t="shared" ref="N165" si="91">+(P165+Q165)*2</f>
        <v>3711.64</v>
      </c>
      <c r="O165" s="42">
        <f t="shared" ref="O165" si="92">+K165+L165+M165+N165</f>
        <v>25981.48</v>
      </c>
      <c r="P165" s="42">
        <v>1239.28</v>
      </c>
      <c r="Q165" s="42">
        <v>616.54</v>
      </c>
      <c r="R165" s="43"/>
      <c r="S165" s="43"/>
      <c r="T165" s="43"/>
      <c r="U165" s="43"/>
      <c r="V165" s="45"/>
      <c r="W165" s="45"/>
      <c r="X165" s="29">
        <f t="shared" si="59"/>
        <v>10861.48</v>
      </c>
      <c r="Y165" s="34">
        <f t="shared" si="60"/>
        <v>15.105511627906976</v>
      </c>
      <c r="Z165" s="62">
        <v>4500</v>
      </c>
      <c r="AA165" s="62">
        <v>4275</v>
      </c>
      <c r="AB165" s="63">
        <v>225</v>
      </c>
    </row>
    <row r="166" spans="1:28" s="8" customFormat="1" ht="22.5" x14ac:dyDescent="0.2">
      <c r="A166" s="22">
        <v>31007255011995</v>
      </c>
      <c r="B166" s="17" t="s">
        <v>93</v>
      </c>
      <c r="C166" s="14" t="s">
        <v>40</v>
      </c>
      <c r="D166" s="41" t="s">
        <v>119</v>
      </c>
      <c r="E166" s="41">
        <v>1720</v>
      </c>
      <c r="F166" s="41">
        <v>1720</v>
      </c>
      <c r="G166" s="41">
        <v>1720</v>
      </c>
      <c r="H166" s="41">
        <v>1720</v>
      </c>
      <c r="I166" s="43"/>
      <c r="J166" s="41" t="s">
        <v>9</v>
      </c>
      <c r="K166" s="46" t="s">
        <v>132</v>
      </c>
      <c r="L166" s="46" t="s">
        <v>132</v>
      </c>
      <c r="M166" s="46" t="s">
        <v>132</v>
      </c>
      <c r="N166" s="46" t="s">
        <v>132</v>
      </c>
      <c r="O166" s="46" t="s">
        <v>132</v>
      </c>
      <c r="P166" s="46" t="s">
        <v>132</v>
      </c>
      <c r="Q166" s="46" t="s">
        <v>132</v>
      </c>
      <c r="R166" s="43"/>
      <c r="S166" s="43"/>
      <c r="T166" s="43"/>
      <c r="U166" s="43"/>
      <c r="V166" s="45"/>
      <c r="W166" s="45"/>
      <c r="X166" s="29" t="e">
        <f t="shared" si="59"/>
        <v>#VALUE!</v>
      </c>
      <c r="Y166" s="34" t="e">
        <f t="shared" si="60"/>
        <v>#VALUE!</v>
      </c>
      <c r="Z166" s="62">
        <v>4500</v>
      </c>
      <c r="AA166" s="62">
        <v>4275</v>
      </c>
      <c r="AB166" s="63">
        <v>225</v>
      </c>
    </row>
    <row r="167" spans="1:28" s="8" customFormat="1" ht="45" x14ac:dyDescent="0.2">
      <c r="A167" s="22">
        <v>32000305011981</v>
      </c>
      <c r="B167" s="17" t="s">
        <v>95</v>
      </c>
      <c r="C167" s="14" t="s">
        <v>94</v>
      </c>
      <c r="D167" s="41" t="s">
        <v>119</v>
      </c>
      <c r="E167" s="41">
        <v>1784</v>
      </c>
      <c r="F167" s="41">
        <v>1776</v>
      </c>
      <c r="G167" s="41">
        <v>1776</v>
      </c>
      <c r="H167" s="41" t="s">
        <v>127</v>
      </c>
      <c r="I167" s="41"/>
      <c r="J167" s="41" t="s">
        <v>7</v>
      </c>
      <c r="K167" s="42">
        <f t="shared" ref="K167:M170" si="93">+P167*12</f>
        <v>12726.84</v>
      </c>
      <c r="L167" s="42">
        <f t="shared" si="93"/>
        <v>2729.3999999999996</v>
      </c>
      <c r="M167" s="42">
        <f t="shared" si="93"/>
        <v>0</v>
      </c>
      <c r="N167" s="42">
        <f>+P167*2</f>
        <v>2121.14</v>
      </c>
      <c r="O167" s="42">
        <f t="shared" ref="O167:O174" si="94">+K167+L167+M167+N167</f>
        <v>17577.38</v>
      </c>
      <c r="P167" s="42">
        <v>1060.57</v>
      </c>
      <c r="Q167" s="42">
        <v>227.45</v>
      </c>
      <c r="R167" s="47"/>
      <c r="S167" s="43"/>
      <c r="T167" s="43"/>
      <c r="U167" s="43"/>
      <c r="V167" s="44">
        <f t="shared" ref="V167:V186" si="95">+M167/O167*100</f>
        <v>0</v>
      </c>
      <c r="W167" s="44">
        <f t="shared" ref="W167:W186" si="96">(K167+L167+N167)/O167*100</f>
        <v>100</v>
      </c>
      <c r="X167" s="29">
        <f t="shared" si="59"/>
        <v>2457.380000000001</v>
      </c>
      <c r="Y167" s="34">
        <f t="shared" si="60"/>
        <v>9.8971734234234248</v>
      </c>
      <c r="Z167" s="62">
        <v>10000</v>
      </c>
      <c r="AA167" s="62">
        <v>9000</v>
      </c>
      <c r="AB167" s="63">
        <v>1000</v>
      </c>
    </row>
    <row r="168" spans="1:28" s="8" customFormat="1" ht="45" x14ac:dyDescent="0.2">
      <c r="A168" s="22">
        <v>32000305011981</v>
      </c>
      <c r="B168" s="17" t="s">
        <v>95</v>
      </c>
      <c r="C168" s="14" t="s">
        <v>41</v>
      </c>
      <c r="D168" s="41" t="s">
        <v>119</v>
      </c>
      <c r="E168" s="41">
        <v>1784</v>
      </c>
      <c r="F168" s="41">
        <v>1776</v>
      </c>
      <c r="G168" s="41">
        <v>1776</v>
      </c>
      <c r="H168" s="41" t="s">
        <v>127</v>
      </c>
      <c r="I168" s="41"/>
      <c r="J168" s="41" t="s">
        <v>6</v>
      </c>
      <c r="K168" s="42">
        <f t="shared" si="93"/>
        <v>12787.199999999999</v>
      </c>
      <c r="L168" s="42">
        <f t="shared" si="93"/>
        <v>3613.7999999999997</v>
      </c>
      <c r="M168" s="42">
        <f t="shared" si="93"/>
        <v>0</v>
      </c>
      <c r="N168" s="42">
        <f>+P168*2</f>
        <v>2131.1999999999998</v>
      </c>
      <c r="O168" s="42">
        <f t="shared" si="94"/>
        <v>18532.2</v>
      </c>
      <c r="P168" s="42">
        <v>1065.5999999999999</v>
      </c>
      <c r="Q168" s="42">
        <v>301.14999999999998</v>
      </c>
      <c r="R168" s="47"/>
      <c r="S168" s="43"/>
      <c r="T168" s="43"/>
      <c r="U168" s="43"/>
      <c r="V168" s="44">
        <f t="shared" si="95"/>
        <v>0</v>
      </c>
      <c r="W168" s="44">
        <f t="shared" si="96"/>
        <v>100</v>
      </c>
      <c r="X168" s="29">
        <f t="shared" si="59"/>
        <v>3412.2000000000007</v>
      </c>
      <c r="Y168" s="34">
        <f t="shared" si="60"/>
        <v>10.434797297297298</v>
      </c>
      <c r="Z168" s="62">
        <v>10000</v>
      </c>
      <c r="AA168" s="62">
        <v>9000</v>
      </c>
      <c r="AB168" s="63">
        <v>1000</v>
      </c>
    </row>
    <row r="169" spans="1:28" s="8" customFormat="1" ht="45" x14ac:dyDescent="0.2">
      <c r="A169" s="22">
        <v>32000305011981</v>
      </c>
      <c r="B169" s="17" t="s">
        <v>95</v>
      </c>
      <c r="C169" s="14" t="s">
        <v>41</v>
      </c>
      <c r="D169" s="41" t="s">
        <v>119</v>
      </c>
      <c r="E169" s="41">
        <v>1784</v>
      </c>
      <c r="F169" s="41">
        <v>1776</v>
      </c>
      <c r="G169" s="41">
        <v>1776</v>
      </c>
      <c r="H169" s="41" t="s">
        <v>127</v>
      </c>
      <c r="I169" s="41"/>
      <c r="J169" s="41" t="s">
        <v>8</v>
      </c>
      <c r="K169" s="42">
        <f t="shared" si="93"/>
        <v>12787.199999999999</v>
      </c>
      <c r="L169" s="42">
        <f t="shared" si="93"/>
        <v>3613.7999999999997</v>
      </c>
      <c r="M169" s="42">
        <f t="shared" si="93"/>
        <v>0</v>
      </c>
      <c r="N169" s="42">
        <f>+P169*2</f>
        <v>2131.1999999999998</v>
      </c>
      <c r="O169" s="42">
        <f t="shared" si="94"/>
        <v>18532.2</v>
      </c>
      <c r="P169" s="42">
        <v>1065.5999999999999</v>
      </c>
      <c r="Q169" s="42">
        <v>301.14999999999998</v>
      </c>
      <c r="R169" s="47"/>
      <c r="S169" s="43"/>
      <c r="T169" s="43"/>
      <c r="U169" s="43"/>
      <c r="V169" s="44">
        <f t="shared" si="95"/>
        <v>0</v>
      </c>
      <c r="W169" s="44">
        <f t="shared" si="96"/>
        <v>100</v>
      </c>
      <c r="X169" s="29">
        <f t="shared" si="59"/>
        <v>3412.2000000000007</v>
      </c>
      <c r="Y169" s="34">
        <f t="shared" si="60"/>
        <v>10.434797297297298</v>
      </c>
      <c r="Z169" s="62">
        <v>10000</v>
      </c>
      <c r="AA169" s="62">
        <v>9000</v>
      </c>
      <c r="AB169" s="63">
        <v>1000</v>
      </c>
    </row>
    <row r="170" spans="1:28" s="8" customFormat="1" ht="45" x14ac:dyDescent="0.2">
      <c r="A170" s="22">
        <v>32000305011981</v>
      </c>
      <c r="B170" s="17" t="s">
        <v>95</v>
      </c>
      <c r="C170" s="14" t="s">
        <v>41</v>
      </c>
      <c r="D170" s="41" t="s">
        <v>119</v>
      </c>
      <c r="E170" s="41">
        <v>1784</v>
      </c>
      <c r="F170" s="41">
        <v>1776</v>
      </c>
      <c r="G170" s="41">
        <v>1776</v>
      </c>
      <c r="H170" s="41" t="s">
        <v>127</v>
      </c>
      <c r="I170" s="41"/>
      <c r="J170" s="41" t="s">
        <v>9</v>
      </c>
      <c r="K170" s="42">
        <f t="shared" si="93"/>
        <v>16720.199999999997</v>
      </c>
      <c r="L170" s="42">
        <f t="shared" si="93"/>
        <v>4824.3599999999997</v>
      </c>
      <c r="M170" s="42">
        <f t="shared" si="93"/>
        <v>0</v>
      </c>
      <c r="N170" s="42">
        <f>+P170*2</f>
        <v>2786.7</v>
      </c>
      <c r="O170" s="42">
        <f t="shared" si="94"/>
        <v>24331.26</v>
      </c>
      <c r="P170" s="42">
        <v>1393.35</v>
      </c>
      <c r="Q170" s="42">
        <v>402.03</v>
      </c>
      <c r="R170" s="47"/>
      <c r="S170" s="43"/>
      <c r="T170" s="43"/>
      <c r="U170" s="43"/>
      <c r="V170" s="44">
        <f t="shared" si="95"/>
        <v>0</v>
      </c>
      <c r="W170" s="44">
        <f t="shared" si="96"/>
        <v>100</v>
      </c>
      <c r="X170" s="29">
        <f t="shared" ref="X170:X220" si="97">O170-15120</f>
        <v>9211.2599999999984</v>
      </c>
      <c r="Y170" s="34">
        <f t="shared" ref="Y170:Y220" si="98">O170/F170</f>
        <v>13.700033783783782</v>
      </c>
      <c r="Z170" s="62">
        <v>10000</v>
      </c>
      <c r="AA170" s="62">
        <v>9000</v>
      </c>
      <c r="AB170" s="63">
        <v>1000</v>
      </c>
    </row>
    <row r="171" spans="1:28" s="8" customFormat="1" ht="22.5" x14ac:dyDescent="0.2">
      <c r="A171" s="22">
        <v>34000355011981</v>
      </c>
      <c r="B171" s="17" t="s">
        <v>96</v>
      </c>
      <c r="C171" s="14" t="s">
        <v>42</v>
      </c>
      <c r="D171" s="41" t="s">
        <v>117</v>
      </c>
      <c r="E171" s="41">
        <v>1752</v>
      </c>
      <c r="F171" s="41">
        <v>1752</v>
      </c>
      <c r="G171" s="41">
        <v>1748</v>
      </c>
      <c r="H171" s="41">
        <v>1748</v>
      </c>
      <c r="I171" s="41"/>
      <c r="J171" s="41" t="s">
        <v>7</v>
      </c>
      <c r="K171" s="42">
        <f t="shared" ref="K171:M174" si="99">+P171*12</f>
        <v>14385.24</v>
      </c>
      <c r="L171" s="42">
        <f t="shared" si="99"/>
        <v>1250.1600000000001</v>
      </c>
      <c r="M171" s="42">
        <f t="shared" si="99"/>
        <v>0</v>
      </c>
      <c r="N171" s="42">
        <f>S171*3</f>
        <v>3908.8500000000004</v>
      </c>
      <c r="O171" s="42">
        <f t="shared" si="94"/>
        <v>19544.25</v>
      </c>
      <c r="P171" s="42">
        <v>1198.77</v>
      </c>
      <c r="Q171" s="42">
        <v>104.18</v>
      </c>
      <c r="R171" s="42"/>
      <c r="S171" s="42">
        <v>1302.95</v>
      </c>
      <c r="T171" s="43"/>
      <c r="U171" s="43"/>
      <c r="V171" s="44">
        <f t="shared" si="95"/>
        <v>0</v>
      </c>
      <c r="W171" s="44">
        <f t="shared" si="96"/>
        <v>100</v>
      </c>
      <c r="X171" s="29">
        <f t="shared" si="97"/>
        <v>4424.25</v>
      </c>
      <c r="Y171" s="34">
        <f t="shared" si="98"/>
        <v>11.155393835616438</v>
      </c>
      <c r="Z171" s="62">
        <v>3050</v>
      </c>
      <c r="AA171" s="62">
        <v>2210</v>
      </c>
      <c r="AB171" s="63">
        <v>840</v>
      </c>
    </row>
    <row r="172" spans="1:28" s="8" customFormat="1" ht="22.5" x14ac:dyDescent="0.2">
      <c r="A172" s="22">
        <v>34000355011981</v>
      </c>
      <c r="B172" s="17" t="s">
        <v>96</v>
      </c>
      <c r="C172" s="14" t="s">
        <v>42</v>
      </c>
      <c r="D172" s="41" t="s">
        <v>117</v>
      </c>
      <c r="E172" s="41">
        <v>1752</v>
      </c>
      <c r="F172" s="41">
        <v>1752</v>
      </c>
      <c r="G172" s="41">
        <v>1748</v>
      </c>
      <c r="H172" s="41">
        <v>1748</v>
      </c>
      <c r="I172" s="41"/>
      <c r="J172" s="41" t="s">
        <v>6</v>
      </c>
      <c r="K172" s="42">
        <f t="shared" si="99"/>
        <v>14823.599999999999</v>
      </c>
      <c r="L172" s="42">
        <f t="shared" si="99"/>
        <v>1250.1600000000001</v>
      </c>
      <c r="M172" s="42">
        <f t="shared" si="99"/>
        <v>0</v>
      </c>
      <c r="N172" s="42">
        <f>S172*3</f>
        <v>4018.44</v>
      </c>
      <c r="O172" s="42">
        <f t="shared" si="94"/>
        <v>20092.199999999997</v>
      </c>
      <c r="P172" s="42">
        <v>1235.3</v>
      </c>
      <c r="Q172" s="42">
        <v>104.18</v>
      </c>
      <c r="R172" s="42"/>
      <c r="S172" s="42">
        <v>1339.48</v>
      </c>
      <c r="T172" s="43"/>
      <c r="U172" s="43"/>
      <c r="V172" s="44">
        <f t="shared" si="95"/>
        <v>0</v>
      </c>
      <c r="W172" s="44">
        <f t="shared" si="96"/>
        <v>100</v>
      </c>
      <c r="X172" s="29">
        <f t="shared" si="97"/>
        <v>4972.1999999999971</v>
      </c>
      <c r="Y172" s="34">
        <f t="shared" si="98"/>
        <v>11.468150684931505</v>
      </c>
      <c r="Z172" s="62">
        <v>3050</v>
      </c>
      <c r="AA172" s="62">
        <v>2210</v>
      </c>
      <c r="AB172" s="63">
        <v>840</v>
      </c>
    </row>
    <row r="173" spans="1:28" s="8" customFormat="1" ht="22.5" x14ac:dyDescent="0.2">
      <c r="A173" s="22">
        <v>34000355011981</v>
      </c>
      <c r="B173" s="17" t="s">
        <v>96</v>
      </c>
      <c r="C173" s="14" t="s">
        <v>42</v>
      </c>
      <c r="D173" s="41" t="s">
        <v>117</v>
      </c>
      <c r="E173" s="41">
        <v>1752</v>
      </c>
      <c r="F173" s="41">
        <v>1752</v>
      </c>
      <c r="G173" s="41">
        <v>1748</v>
      </c>
      <c r="H173" s="41">
        <v>1748</v>
      </c>
      <c r="I173" s="41"/>
      <c r="J173" s="41" t="s">
        <v>8</v>
      </c>
      <c r="K173" s="42">
        <f t="shared" si="99"/>
        <v>15739.079999999998</v>
      </c>
      <c r="L173" s="42">
        <f t="shared" si="99"/>
        <v>1250.1600000000001</v>
      </c>
      <c r="M173" s="42">
        <f t="shared" si="99"/>
        <v>0</v>
      </c>
      <c r="N173" s="42">
        <f>S173*3</f>
        <v>4247.3099999999995</v>
      </c>
      <c r="O173" s="42">
        <f t="shared" si="94"/>
        <v>21236.549999999996</v>
      </c>
      <c r="P173" s="42">
        <v>1311.59</v>
      </c>
      <c r="Q173" s="42">
        <v>104.18</v>
      </c>
      <c r="R173" s="42"/>
      <c r="S173" s="42">
        <v>1415.77</v>
      </c>
      <c r="T173" s="43"/>
      <c r="U173" s="43"/>
      <c r="V173" s="44">
        <f t="shared" si="95"/>
        <v>0</v>
      </c>
      <c r="W173" s="44">
        <f t="shared" si="96"/>
        <v>100</v>
      </c>
      <c r="X173" s="29">
        <f t="shared" si="97"/>
        <v>6116.5499999999956</v>
      </c>
      <c r="Y173" s="34">
        <f t="shared" si="98"/>
        <v>12.121318493150682</v>
      </c>
      <c r="Z173" s="62">
        <v>3050</v>
      </c>
      <c r="AA173" s="62">
        <v>2210</v>
      </c>
      <c r="AB173" s="63">
        <v>840</v>
      </c>
    </row>
    <row r="174" spans="1:28" s="8" customFormat="1" ht="22.5" x14ac:dyDescent="0.2">
      <c r="A174" s="22">
        <v>34000355011981</v>
      </c>
      <c r="B174" s="17" t="s">
        <v>96</v>
      </c>
      <c r="C174" s="14" t="s">
        <v>42</v>
      </c>
      <c r="D174" s="41" t="s">
        <v>117</v>
      </c>
      <c r="E174" s="41">
        <v>1752</v>
      </c>
      <c r="F174" s="41">
        <v>1752</v>
      </c>
      <c r="G174" s="41">
        <v>1748</v>
      </c>
      <c r="H174" s="41">
        <v>1748</v>
      </c>
      <c r="I174" s="41"/>
      <c r="J174" s="41" t="s">
        <v>9</v>
      </c>
      <c r="K174" s="42">
        <f>+P174*12</f>
        <v>20589.48</v>
      </c>
      <c r="L174" s="42">
        <f t="shared" si="99"/>
        <v>1250.1600000000001</v>
      </c>
      <c r="M174" s="42">
        <f t="shared" si="99"/>
        <v>0</v>
      </c>
      <c r="N174" s="42">
        <f>S174*3</f>
        <v>5459.91</v>
      </c>
      <c r="O174" s="42">
        <f t="shared" si="94"/>
        <v>27299.55</v>
      </c>
      <c r="P174" s="42">
        <v>1715.79</v>
      </c>
      <c r="Q174" s="42">
        <v>104.18</v>
      </c>
      <c r="R174" s="42"/>
      <c r="S174" s="42">
        <v>1819.97</v>
      </c>
      <c r="T174" s="43"/>
      <c r="U174" s="43"/>
      <c r="V174" s="44">
        <f t="shared" si="95"/>
        <v>0</v>
      </c>
      <c r="W174" s="44">
        <f t="shared" si="96"/>
        <v>100</v>
      </c>
      <c r="X174" s="29">
        <f t="shared" si="97"/>
        <v>12179.55</v>
      </c>
      <c r="Y174" s="34">
        <f t="shared" si="98"/>
        <v>15.581934931506849</v>
      </c>
      <c r="Z174" s="62">
        <v>3050</v>
      </c>
      <c r="AA174" s="62">
        <v>2210</v>
      </c>
      <c r="AB174" s="63">
        <v>840</v>
      </c>
    </row>
    <row r="175" spans="1:28" s="8" customFormat="1" ht="22.5" x14ac:dyDescent="0.2">
      <c r="A175" s="22">
        <v>35001005011981</v>
      </c>
      <c r="B175" s="17" t="s">
        <v>97</v>
      </c>
      <c r="C175" s="14" t="s">
        <v>59</v>
      </c>
      <c r="D175" s="41" t="s">
        <v>120</v>
      </c>
      <c r="E175" s="41">
        <v>1765</v>
      </c>
      <c r="F175" s="41">
        <v>1764</v>
      </c>
      <c r="G175" s="41">
        <v>1762</v>
      </c>
      <c r="H175" s="41" t="s">
        <v>127</v>
      </c>
      <c r="I175" s="43"/>
      <c r="J175" s="41" t="s">
        <v>7</v>
      </c>
      <c r="K175" s="42">
        <f>O175-L175</f>
        <v>15423.849999999999</v>
      </c>
      <c r="L175" s="42">
        <f>Q175*425</f>
        <v>1887.0000000000002</v>
      </c>
      <c r="M175" s="42">
        <f>+R175*299</f>
        <v>0</v>
      </c>
      <c r="N175" s="42"/>
      <c r="O175" s="42">
        <v>17310.849999999999</v>
      </c>
      <c r="P175" s="42"/>
      <c r="Q175" s="42">
        <v>4.4400000000000004</v>
      </c>
      <c r="R175" s="43"/>
      <c r="S175" s="43"/>
      <c r="T175" s="43"/>
      <c r="U175" s="43"/>
      <c r="V175" s="44">
        <f t="shared" si="95"/>
        <v>0</v>
      </c>
      <c r="W175" s="44">
        <f t="shared" si="96"/>
        <v>100</v>
      </c>
      <c r="X175" s="29">
        <f t="shared" si="97"/>
        <v>2190.8499999999985</v>
      </c>
      <c r="Y175" s="34">
        <f t="shared" si="98"/>
        <v>9.8134070294784568</v>
      </c>
      <c r="Z175" s="62">
        <v>20000</v>
      </c>
      <c r="AA175" s="62">
        <v>18000</v>
      </c>
      <c r="AB175" s="63">
        <v>2000</v>
      </c>
    </row>
    <row r="176" spans="1:28" s="8" customFormat="1" ht="22.5" x14ac:dyDescent="0.2">
      <c r="A176" s="22">
        <v>35001005011981</v>
      </c>
      <c r="B176" s="17" t="s">
        <v>97</v>
      </c>
      <c r="C176" s="14" t="s">
        <v>59</v>
      </c>
      <c r="D176" s="41" t="s">
        <v>120</v>
      </c>
      <c r="E176" s="41">
        <v>1765</v>
      </c>
      <c r="F176" s="41">
        <v>1764</v>
      </c>
      <c r="G176" s="41">
        <v>1762</v>
      </c>
      <c r="H176" s="41" t="s">
        <v>127</v>
      </c>
      <c r="I176" s="43"/>
      <c r="J176" s="41" t="s">
        <v>6</v>
      </c>
      <c r="K176" s="42">
        <v>18510.75</v>
      </c>
      <c r="L176" s="42">
        <f t="shared" ref="L176:L178" si="100">Q176*425</f>
        <v>2099.5</v>
      </c>
      <c r="M176" s="42">
        <f>+R176*299</f>
        <v>0</v>
      </c>
      <c r="N176" s="42"/>
      <c r="O176" s="42">
        <v>18510.75</v>
      </c>
      <c r="P176" s="42"/>
      <c r="Q176" s="42">
        <v>4.9400000000000004</v>
      </c>
      <c r="R176" s="43"/>
      <c r="S176" s="43"/>
      <c r="T176" s="43"/>
      <c r="U176" s="43"/>
      <c r="V176" s="44">
        <f t="shared" si="95"/>
        <v>0</v>
      </c>
      <c r="W176" s="44">
        <f t="shared" si="96"/>
        <v>111.3420579933282</v>
      </c>
      <c r="X176" s="29">
        <f t="shared" si="97"/>
        <v>3390.75</v>
      </c>
      <c r="Y176" s="34">
        <f t="shared" si="98"/>
        <v>10.493622448979592</v>
      </c>
      <c r="Z176" s="62">
        <v>20000</v>
      </c>
      <c r="AA176" s="62">
        <v>18000</v>
      </c>
      <c r="AB176" s="63">
        <v>2000</v>
      </c>
    </row>
    <row r="177" spans="1:28" s="8" customFormat="1" ht="22.5" x14ac:dyDescent="0.2">
      <c r="A177" s="22">
        <v>35001005011981</v>
      </c>
      <c r="B177" s="17" t="s">
        <v>97</v>
      </c>
      <c r="C177" s="14" t="s">
        <v>59</v>
      </c>
      <c r="D177" s="41" t="s">
        <v>120</v>
      </c>
      <c r="E177" s="41">
        <v>1765</v>
      </c>
      <c r="F177" s="41">
        <v>1764</v>
      </c>
      <c r="G177" s="41">
        <v>1762</v>
      </c>
      <c r="H177" s="41" t="s">
        <v>127</v>
      </c>
      <c r="I177" s="43"/>
      <c r="J177" s="41" t="s">
        <v>8</v>
      </c>
      <c r="K177" s="42">
        <v>19421.830000000002</v>
      </c>
      <c r="L177" s="42">
        <f t="shared" si="100"/>
        <v>2154.75</v>
      </c>
      <c r="M177" s="42">
        <f>+R177*299</f>
        <v>0</v>
      </c>
      <c r="N177" s="42"/>
      <c r="O177" s="42">
        <v>19421.830000000002</v>
      </c>
      <c r="P177" s="42"/>
      <c r="Q177" s="42">
        <v>5.07</v>
      </c>
      <c r="R177" s="43"/>
      <c r="S177" s="43"/>
      <c r="T177" s="43"/>
      <c r="U177" s="43"/>
      <c r="V177" s="44">
        <f t="shared" si="95"/>
        <v>0</v>
      </c>
      <c r="W177" s="44">
        <f t="shared" si="96"/>
        <v>111.09447461953894</v>
      </c>
      <c r="X177" s="29">
        <f t="shared" si="97"/>
        <v>4301.8300000000017</v>
      </c>
      <c r="Y177" s="34">
        <f t="shared" si="98"/>
        <v>11.010107709750567</v>
      </c>
      <c r="Z177" s="62">
        <v>20000</v>
      </c>
      <c r="AA177" s="62">
        <v>18000</v>
      </c>
      <c r="AB177" s="63">
        <v>2000</v>
      </c>
    </row>
    <row r="178" spans="1:28" s="8" customFormat="1" ht="22.5" x14ac:dyDescent="0.2">
      <c r="A178" s="22">
        <v>35001005011981</v>
      </c>
      <c r="B178" s="17" t="s">
        <v>97</v>
      </c>
      <c r="C178" s="14" t="s">
        <v>59</v>
      </c>
      <c r="D178" s="41" t="s">
        <v>120</v>
      </c>
      <c r="E178" s="41">
        <v>1765</v>
      </c>
      <c r="F178" s="41">
        <v>1764</v>
      </c>
      <c r="G178" s="41">
        <v>1762</v>
      </c>
      <c r="H178" s="41" t="s">
        <v>127</v>
      </c>
      <c r="I178" s="43"/>
      <c r="J178" s="41" t="s">
        <v>9</v>
      </c>
      <c r="K178" s="42">
        <v>23994.87</v>
      </c>
      <c r="L178" s="42">
        <f t="shared" si="100"/>
        <v>2707.25</v>
      </c>
      <c r="M178" s="42">
        <f>+R178*299</f>
        <v>0</v>
      </c>
      <c r="N178" s="42"/>
      <c r="O178" s="42">
        <v>23994.87</v>
      </c>
      <c r="P178" s="42"/>
      <c r="Q178" s="42">
        <v>6.37</v>
      </c>
      <c r="R178" s="43"/>
      <c r="S178" s="43"/>
      <c r="T178" s="43"/>
      <c r="U178" s="43"/>
      <c r="V178" s="44">
        <f t="shared" si="95"/>
        <v>0</v>
      </c>
      <c r="W178" s="44">
        <f t="shared" si="96"/>
        <v>111.28261999335692</v>
      </c>
      <c r="X178" s="29">
        <f t="shared" si="97"/>
        <v>8874.869999999999</v>
      </c>
      <c r="Y178" s="34">
        <f t="shared" si="98"/>
        <v>13.602534013605442</v>
      </c>
      <c r="Z178" s="62">
        <v>20000</v>
      </c>
      <c r="AA178" s="62">
        <v>18000</v>
      </c>
      <c r="AB178" s="63">
        <v>2000</v>
      </c>
    </row>
    <row r="179" spans="1:28" s="8" customFormat="1" ht="33.75" x14ac:dyDescent="0.2">
      <c r="A179" s="22">
        <v>36001155011981</v>
      </c>
      <c r="B179" s="17" t="s">
        <v>98</v>
      </c>
      <c r="C179" s="14" t="s">
        <v>43</v>
      </c>
      <c r="D179" s="41" t="s">
        <v>117</v>
      </c>
      <c r="E179" s="41">
        <v>1776</v>
      </c>
      <c r="F179" s="41">
        <v>1776</v>
      </c>
      <c r="G179" s="41">
        <v>1768</v>
      </c>
      <c r="H179" s="41">
        <v>1760</v>
      </c>
      <c r="I179" s="41"/>
      <c r="J179" s="41" t="s">
        <v>7</v>
      </c>
      <c r="K179" s="42">
        <f>P179*12</f>
        <v>17330.52</v>
      </c>
      <c r="L179" s="42">
        <f>+Q179*11</f>
        <v>0</v>
      </c>
      <c r="M179" s="42">
        <v>0</v>
      </c>
      <c r="N179" s="42">
        <f>+P179*2</f>
        <v>2888.42</v>
      </c>
      <c r="O179" s="42">
        <f t="shared" ref="O179:O187" si="101">+K179+L179+M179+N179</f>
        <v>20218.940000000002</v>
      </c>
      <c r="P179" s="42">
        <v>1444.21</v>
      </c>
      <c r="Q179" s="43"/>
      <c r="R179" s="43"/>
      <c r="S179" s="43"/>
      <c r="T179" s="43"/>
      <c r="U179" s="48"/>
      <c r="V179" s="44">
        <f t="shared" si="95"/>
        <v>0</v>
      </c>
      <c r="W179" s="44">
        <f t="shared" si="96"/>
        <v>100</v>
      </c>
      <c r="X179" s="29">
        <f t="shared" si="97"/>
        <v>5098.9400000000023</v>
      </c>
      <c r="Y179" s="34">
        <f t="shared" si="98"/>
        <v>11.38453828828829</v>
      </c>
      <c r="Z179" s="62">
        <v>29729</v>
      </c>
      <c r="AA179" s="62">
        <v>25177</v>
      </c>
      <c r="AB179" s="63">
        <v>4552</v>
      </c>
    </row>
    <row r="180" spans="1:28" s="8" customFormat="1" ht="33.75" x14ac:dyDescent="0.2">
      <c r="A180" s="22">
        <v>36001155011981</v>
      </c>
      <c r="B180" s="17" t="s">
        <v>98</v>
      </c>
      <c r="C180" s="14" t="s">
        <v>43</v>
      </c>
      <c r="D180" s="41" t="s">
        <v>117</v>
      </c>
      <c r="E180" s="41">
        <v>1776</v>
      </c>
      <c r="F180" s="41">
        <v>1776</v>
      </c>
      <c r="G180" s="41">
        <v>1768</v>
      </c>
      <c r="H180" s="41">
        <v>1760</v>
      </c>
      <c r="I180" s="41"/>
      <c r="J180" s="41" t="s">
        <v>6</v>
      </c>
      <c r="K180" s="42">
        <f>+P180*12</f>
        <v>20040.84</v>
      </c>
      <c r="L180" s="42">
        <f>+Q180*11</f>
        <v>0</v>
      </c>
      <c r="M180" s="42">
        <v>0</v>
      </c>
      <c r="N180" s="42">
        <f>+(P180*2)</f>
        <v>3340.14</v>
      </c>
      <c r="O180" s="42">
        <f t="shared" si="101"/>
        <v>23380.98</v>
      </c>
      <c r="P180" s="42">
        <v>1670.07</v>
      </c>
      <c r="Q180" s="43"/>
      <c r="R180" s="43"/>
      <c r="S180" s="43"/>
      <c r="T180" s="43"/>
      <c r="U180" s="48"/>
      <c r="V180" s="44">
        <f t="shared" si="95"/>
        <v>0</v>
      </c>
      <c r="W180" s="44">
        <f t="shared" si="96"/>
        <v>100</v>
      </c>
      <c r="X180" s="29">
        <f t="shared" si="97"/>
        <v>8260.98</v>
      </c>
      <c r="Y180" s="34">
        <f t="shared" si="98"/>
        <v>13.164966216216216</v>
      </c>
      <c r="Z180" s="62">
        <v>29729</v>
      </c>
      <c r="AA180" s="62">
        <v>25177</v>
      </c>
      <c r="AB180" s="63">
        <v>4552</v>
      </c>
    </row>
    <row r="181" spans="1:28" s="8" customFormat="1" ht="33.75" x14ac:dyDescent="0.2">
      <c r="A181" s="22">
        <v>36001155011981</v>
      </c>
      <c r="B181" s="17" t="s">
        <v>98</v>
      </c>
      <c r="C181" s="14" t="s">
        <v>43</v>
      </c>
      <c r="D181" s="41" t="s">
        <v>117</v>
      </c>
      <c r="E181" s="41">
        <v>1776</v>
      </c>
      <c r="F181" s="41">
        <v>1776</v>
      </c>
      <c r="G181" s="41">
        <v>1768</v>
      </c>
      <c r="H181" s="41">
        <v>1760</v>
      </c>
      <c r="I181" s="41"/>
      <c r="J181" s="41" t="s">
        <v>8</v>
      </c>
      <c r="K181" s="42">
        <f t="shared" ref="K181" si="102">+P181*12</f>
        <v>21512.52</v>
      </c>
      <c r="L181" s="42">
        <f>+Q181*11</f>
        <v>0</v>
      </c>
      <c r="M181" s="42">
        <v>0</v>
      </c>
      <c r="N181" s="42">
        <f>+(P181)*2</f>
        <v>3585.42</v>
      </c>
      <c r="O181" s="42">
        <f t="shared" si="101"/>
        <v>25097.940000000002</v>
      </c>
      <c r="P181" s="42">
        <v>1792.71</v>
      </c>
      <c r="Q181" s="43"/>
      <c r="R181" s="43"/>
      <c r="S181" s="43"/>
      <c r="T181" s="43"/>
      <c r="U181" s="48"/>
      <c r="V181" s="44">
        <f t="shared" si="95"/>
        <v>0</v>
      </c>
      <c r="W181" s="44">
        <f t="shared" si="96"/>
        <v>100</v>
      </c>
      <c r="X181" s="29">
        <f t="shared" si="97"/>
        <v>9977.9400000000023</v>
      </c>
      <c r="Y181" s="34">
        <f t="shared" si="98"/>
        <v>14.131722972972975</v>
      </c>
      <c r="Z181" s="62">
        <v>29729</v>
      </c>
      <c r="AA181" s="62">
        <v>25177</v>
      </c>
      <c r="AB181" s="63">
        <v>4552</v>
      </c>
    </row>
    <row r="182" spans="1:28" s="8" customFormat="1" ht="33.75" x14ac:dyDescent="0.2">
      <c r="A182" s="22">
        <v>36001155011981</v>
      </c>
      <c r="B182" s="17" t="s">
        <v>98</v>
      </c>
      <c r="C182" s="14" t="s">
        <v>43</v>
      </c>
      <c r="D182" s="41" t="s">
        <v>117</v>
      </c>
      <c r="E182" s="41">
        <v>1776</v>
      </c>
      <c r="F182" s="41">
        <v>1776</v>
      </c>
      <c r="G182" s="41">
        <v>1768</v>
      </c>
      <c r="H182" s="41">
        <v>1760</v>
      </c>
      <c r="I182" s="41"/>
      <c r="J182" s="41" t="s">
        <v>9</v>
      </c>
      <c r="K182" s="42">
        <f>+P182*12</f>
        <v>34401</v>
      </c>
      <c r="L182" s="42">
        <f>+Q182*11</f>
        <v>0</v>
      </c>
      <c r="M182" s="42">
        <v>0</v>
      </c>
      <c r="N182" s="42">
        <f>+(P182)*2</f>
        <v>5733.5</v>
      </c>
      <c r="O182" s="42">
        <f t="shared" si="101"/>
        <v>40134.5</v>
      </c>
      <c r="P182" s="42">
        <v>2866.75</v>
      </c>
      <c r="Q182" s="43"/>
      <c r="R182" s="43"/>
      <c r="S182" s="43"/>
      <c r="T182" s="43"/>
      <c r="U182" s="48"/>
      <c r="V182" s="44">
        <f t="shared" si="95"/>
        <v>0</v>
      </c>
      <c r="W182" s="44">
        <f t="shared" si="96"/>
        <v>100</v>
      </c>
      <c r="X182" s="29">
        <f t="shared" si="97"/>
        <v>25014.5</v>
      </c>
      <c r="Y182" s="34">
        <f t="shared" si="98"/>
        <v>22.598254504504503</v>
      </c>
      <c r="Z182" s="62">
        <v>29729</v>
      </c>
      <c r="AA182" s="62">
        <v>25177</v>
      </c>
      <c r="AB182" s="63">
        <v>4552</v>
      </c>
    </row>
    <row r="183" spans="1:28" s="8" customFormat="1" ht="22.5" x14ac:dyDescent="0.2">
      <c r="A183" s="22">
        <v>26000355011981</v>
      </c>
      <c r="B183" s="17" t="s">
        <v>96</v>
      </c>
      <c r="C183" s="14" t="s">
        <v>58</v>
      </c>
      <c r="D183" s="41" t="s">
        <v>124</v>
      </c>
      <c r="E183" s="41">
        <v>1750</v>
      </c>
      <c r="F183" s="41">
        <v>1750</v>
      </c>
      <c r="G183" s="41" t="s">
        <v>127</v>
      </c>
      <c r="H183" s="41" t="s">
        <v>127</v>
      </c>
      <c r="I183" s="41"/>
      <c r="J183" s="41" t="s">
        <v>7</v>
      </c>
      <c r="K183" s="42">
        <f>+P183*365</f>
        <v>13515.95</v>
      </c>
      <c r="L183" s="42">
        <f t="shared" ref="L183:M186" si="103">+Q183*349</f>
        <v>3231.74</v>
      </c>
      <c r="M183" s="42">
        <f t="shared" si="103"/>
        <v>0</v>
      </c>
      <c r="N183" s="42">
        <f>+P183*60</f>
        <v>2221.8000000000002</v>
      </c>
      <c r="O183" s="42">
        <f t="shared" si="101"/>
        <v>18969.490000000002</v>
      </c>
      <c r="P183" s="42">
        <v>37.03</v>
      </c>
      <c r="Q183" s="42">
        <v>9.26</v>
      </c>
      <c r="R183" s="43"/>
      <c r="S183" s="43"/>
      <c r="T183" s="43"/>
      <c r="U183" s="43"/>
      <c r="V183" s="44">
        <f t="shared" si="95"/>
        <v>0</v>
      </c>
      <c r="W183" s="44">
        <f t="shared" si="96"/>
        <v>100</v>
      </c>
      <c r="X183" s="29">
        <f t="shared" si="97"/>
        <v>3849.4900000000016</v>
      </c>
      <c r="Y183" s="34">
        <f t="shared" si="98"/>
        <v>10.839708571428572</v>
      </c>
      <c r="Z183" s="62">
        <v>2859</v>
      </c>
      <c r="AA183" s="62">
        <v>2059</v>
      </c>
      <c r="AB183" s="63">
        <v>800</v>
      </c>
    </row>
    <row r="184" spans="1:28" s="8" customFormat="1" ht="22.5" x14ac:dyDescent="0.2">
      <c r="A184" s="22">
        <v>26000355011981</v>
      </c>
      <c r="B184" s="17" t="s">
        <v>96</v>
      </c>
      <c r="C184" s="14" t="s">
        <v>58</v>
      </c>
      <c r="D184" s="41" t="s">
        <v>124</v>
      </c>
      <c r="E184" s="41">
        <v>1750</v>
      </c>
      <c r="F184" s="41">
        <v>1750</v>
      </c>
      <c r="G184" s="41" t="s">
        <v>127</v>
      </c>
      <c r="H184" s="41" t="s">
        <v>127</v>
      </c>
      <c r="I184" s="41"/>
      <c r="J184" s="41" t="s">
        <v>6</v>
      </c>
      <c r="K184" s="42">
        <f>+P184*365</f>
        <v>15297.15</v>
      </c>
      <c r="L184" s="42">
        <f t="shared" si="103"/>
        <v>3657.52</v>
      </c>
      <c r="M184" s="42">
        <f t="shared" si="103"/>
        <v>0</v>
      </c>
      <c r="N184" s="42">
        <f>+P184*60</f>
        <v>2514.6</v>
      </c>
      <c r="O184" s="42">
        <f t="shared" si="101"/>
        <v>21469.269999999997</v>
      </c>
      <c r="P184" s="42">
        <v>41.91</v>
      </c>
      <c r="Q184" s="42">
        <v>10.48</v>
      </c>
      <c r="R184" s="43"/>
      <c r="S184" s="43"/>
      <c r="T184" s="43"/>
      <c r="U184" s="43"/>
      <c r="V184" s="44">
        <f t="shared" si="95"/>
        <v>0</v>
      </c>
      <c r="W184" s="44">
        <f t="shared" si="96"/>
        <v>100</v>
      </c>
      <c r="X184" s="29">
        <f t="shared" si="97"/>
        <v>6349.2699999999968</v>
      </c>
      <c r="Y184" s="34">
        <f t="shared" si="98"/>
        <v>12.268154285714283</v>
      </c>
      <c r="Z184" s="62">
        <v>2859</v>
      </c>
      <c r="AA184" s="62">
        <v>2059</v>
      </c>
      <c r="AB184" s="63">
        <v>800</v>
      </c>
    </row>
    <row r="185" spans="1:28" s="8" customFormat="1" ht="22.5" x14ac:dyDescent="0.2">
      <c r="A185" s="22">
        <v>26000355011981</v>
      </c>
      <c r="B185" s="17" t="s">
        <v>96</v>
      </c>
      <c r="C185" s="14" t="s">
        <v>58</v>
      </c>
      <c r="D185" s="41" t="s">
        <v>124</v>
      </c>
      <c r="E185" s="41">
        <v>1750</v>
      </c>
      <c r="F185" s="41">
        <v>1750</v>
      </c>
      <c r="G185" s="41" t="s">
        <v>127</v>
      </c>
      <c r="H185" s="41" t="s">
        <v>127</v>
      </c>
      <c r="I185" s="41"/>
      <c r="J185" s="41" t="s">
        <v>8</v>
      </c>
      <c r="K185" s="42">
        <f>+P185*365</f>
        <v>15297.15</v>
      </c>
      <c r="L185" s="42">
        <f t="shared" si="103"/>
        <v>3657.52</v>
      </c>
      <c r="M185" s="42">
        <f t="shared" si="103"/>
        <v>0</v>
      </c>
      <c r="N185" s="42">
        <f>+P185*60</f>
        <v>2514.6</v>
      </c>
      <c r="O185" s="42">
        <f t="shared" si="101"/>
        <v>21469.269999999997</v>
      </c>
      <c r="P185" s="42">
        <v>41.91</v>
      </c>
      <c r="Q185" s="42">
        <v>10.48</v>
      </c>
      <c r="R185" s="43"/>
      <c r="S185" s="43"/>
      <c r="T185" s="43"/>
      <c r="U185" s="43"/>
      <c r="V185" s="44">
        <f t="shared" si="95"/>
        <v>0</v>
      </c>
      <c r="W185" s="44">
        <f t="shared" si="96"/>
        <v>100</v>
      </c>
      <c r="X185" s="29">
        <f t="shared" si="97"/>
        <v>6349.2699999999968</v>
      </c>
      <c r="Y185" s="34">
        <f t="shared" si="98"/>
        <v>12.268154285714283</v>
      </c>
      <c r="Z185" s="62">
        <v>2859</v>
      </c>
      <c r="AA185" s="62">
        <v>2059</v>
      </c>
      <c r="AB185" s="63">
        <v>800</v>
      </c>
    </row>
    <row r="186" spans="1:28" s="8" customFormat="1" ht="22.5" x14ac:dyDescent="0.2">
      <c r="A186" s="22">
        <v>26000355011981</v>
      </c>
      <c r="B186" s="17" t="s">
        <v>96</v>
      </c>
      <c r="C186" s="14" t="s">
        <v>58</v>
      </c>
      <c r="D186" s="41" t="s">
        <v>124</v>
      </c>
      <c r="E186" s="41">
        <v>1750</v>
      </c>
      <c r="F186" s="41">
        <v>1750</v>
      </c>
      <c r="G186" s="41" t="s">
        <v>127</v>
      </c>
      <c r="H186" s="41" t="s">
        <v>127</v>
      </c>
      <c r="I186" s="41"/>
      <c r="J186" s="41" t="s">
        <v>9</v>
      </c>
      <c r="K186" s="42">
        <f>+P186*365</f>
        <v>27020.95</v>
      </c>
      <c r="L186" s="42">
        <f t="shared" si="103"/>
        <v>6459.9900000000007</v>
      </c>
      <c r="M186" s="42">
        <f t="shared" si="103"/>
        <v>0</v>
      </c>
      <c r="N186" s="42">
        <f>+P186*60</f>
        <v>4441.8</v>
      </c>
      <c r="O186" s="42">
        <f t="shared" si="101"/>
        <v>37922.740000000005</v>
      </c>
      <c r="P186" s="42">
        <v>74.03</v>
      </c>
      <c r="Q186" s="42">
        <v>18.510000000000002</v>
      </c>
      <c r="R186" s="43"/>
      <c r="S186" s="43"/>
      <c r="T186" s="43"/>
      <c r="U186" s="43"/>
      <c r="V186" s="44">
        <f t="shared" si="95"/>
        <v>0</v>
      </c>
      <c r="W186" s="44">
        <f t="shared" si="96"/>
        <v>100</v>
      </c>
      <c r="X186" s="29">
        <f t="shared" si="97"/>
        <v>22802.740000000005</v>
      </c>
      <c r="Y186" s="34">
        <f t="shared" si="98"/>
        <v>21.670137142857147</v>
      </c>
      <c r="Z186" s="62">
        <v>2859</v>
      </c>
      <c r="AA186" s="62">
        <v>2059</v>
      </c>
      <c r="AB186" s="63">
        <v>800</v>
      </c>
    </row>
    <row r="187" spans="1:28" s="8" customFormat="1" ht="13.5" customHeight="1" x14ac:dyDescent="0.2">
      <c r="A187" s="22">
        <v>26000395011982</v>
      </c>
      <c r="B187" s="17" t="s">
        <v>99</v>
      </c>
      <c r="C187" s="14" t="s">
        <v>58</v>
      </c>
      <c r="D187" s="41" t="s">
        <v>123</v>
      </c>
      <c r="E187" s="41">
        <v>1765</v>
      </c>
      <c r="F187" s="41">
        <v>1765</v>
      </c>
      <c r="G187" s="41">
        <v>1765</v>
      </c>
      <c r="H187" s="41">
        <v>1765</v>
      </c>
      <c r="I187" s="41"/>
      <c r="J187" s="41" t="s">
        <v>7</v>
      </c>
      <c r="K187" s="42">
        <f>+P187*365</f>
        <v>13548.8</v>
      </c>
      <c r="L187" s="42">
        <f>+Q187*349</f>
        <v>3238.72</v>
      </c>
      <c r="M187" s="42">
        <f>+R187*349</f>
        <v>0</v>
      </c>
      <c r="N187" s="42">
        <f>+P187*60</f>
        <v>2227.1999999999998</v>
      </c>
      <c r="O187" s="42">
        <f t="shared" si="101"/>
        <v>19014.72</v>
      </c>
      <c r="P187" s="42">
        <v>37.119999999999997</v>
      </c>
      <c r="Q187" s="42">
        <v>9.2799999999999994</v>
      </c>
      <c r="R187" s="43"/>
      <c r="S187" s="43"/>
      <c r="T187" s="43"/>
      <c r="U187" s="43"/>
      <c r="V187" s="45"/>
      <c r="W187" s="45"/>
      <c r="X187" s="29">
        <f t="shared" si="97"/>
        <v>3894.7200000000012</v>
      </c>
      <c r="Y187" s="34">
        <f t="shared" si="98"/>
        <v>10.773212464589236</v>
      </c>
      <c r="Z187" s="64">
        <v>2000</v>
      </c>
      <c r="AA187" s="64">
        <v>1700</v>
      </c>
      <c r="AB187" s="65">
        <v>300</v>
      </c>
    </row>
    <row r="188" spans="1:28" s="8" customFormat="1" ht="13.5" customHeight="1" x14ac:dyDescent="0.2">
      <c r="A188" s="22">
        <v>26000395011982</v>
      </c>
      <c r="B188" s="17" t="s">
        <v>99</v>
      </c>
      <c r="C188" s="14" t="s">
        <v>58</v>
      </c>
      <c r="D188" s="41" t="s">
        <v>123</v>
      </c>
      <c r="E188" s="41">
        <v>1765</v>
      </c>
      <c r="F188" s="41">
        <v>1765</v>
      </c>
      <c r="G188" s="41">
        <v>1765</v>
      </c>
      <c r="H188" s="41">
        <v>1765</v>
      </c>
      <c r="I188" s="41"/>
      <c r="J188" s="41" t="s">
        <v>6</v>
      </c>
      <c r="K188" s="42">
        <f t="shared" ref="K188:K189" si="104">+P188*365</f>
        <v>15359.199999999999</v>
      </c>
      <c r="L188" s="42">
        <f t="shared" ref="L188:M190" si="105">+Q188*349</f>
        <v>3671.48</v>
      </c>
      <c r="M188" s="42">
        <f t="shared" si="105"/>
        <v>0</v>
      </c>
      <c r="N188" s="42">
        <f t="shared" ref="N188:N190" si="106">+P188*60</f>
        <v>2524.7999999999997</v>
      </c>
      <c r="O188" s="42">
        <f t="shared" ref="O188:O190" si="107">+K188+L188+M188+N188</f>
        <v>21555.48</v>
      </c>
      <c r="P188" s="42">
        <v>42.08</v>
      </c>
      <c r="Q188" s="42">
        <v>10.52</v>
      </c>
      <c r="R188" s="43"/>
      <c r="S188" s="43"/>
      <c r="T188" s="43"/>
      <c r="U188" s="43"/>
      <c r="V188" s="45"/>
      <c r="W188" s="45"/>
      <c r="X188" s="29">
        <f t="shared" si="97"/>
        <v>6435.48</v>
      </c>
      <c r="Y188" s="34">
        <f t="shared" si="98"/>
        <v>12.212736543909347</v>
      </c>
      <c r="Z188" s="64">
        <v>2000</v>
      </c>
      <c r="AA188" s="64">
        <v>1700</v>
      </c>
      <c r="AB188" s="65">
        <v>300</v>
      </c>
    </row>
    <row r="189" spans="1:28" s="8" customFormat="1" ht="13.5" customHeight="1" x14ac:dyDescent="0.2">
      <c r="A189" s="22">
        <v>26000395011982</v>
      </c>
      <c r="B189" s="17" t="s">
        <v>99</v>
      </c>
      <c r="C189" s="14" t="s">
        <v>58</v>
      </c>
      <c r="D189" s="41" t="s">
        <v>123</v>
      </c>
      <c r="E189" s="41">
        <v>1765</v>
      </c>
      <c r="F189" s="41">
        <v>1765</v>
      </c>
      <c r="G189" s="41">
        <v>1765</v>
      </c>
      <c r="H189" s="41">
        <v>1765</v>
      </c>
      <c r="I189" s="41"/>
      <c r="J189" s="41" t="s">
        <v>8</v>
      </c>
      <c r="K189" s="42">
        <f t="shared" si="104"/>
        <v>15359.199999999999</v>
      </c>
      <c r="L189" s="42">
        <f t="shared" si="105"/>
        <v>3671.48</v>
      </c>
      <c r="M189" s="42">
        <f t="shared" si="105"/>
        <v>0</v>
      </c>
      <c r="N189" s="42">
        <f t="shared" si="106"/>
        <v>2524.7999999999997</v>
      </c>
      <c r="O189" s="42">
        <f t="shared" si="107"/>
        <v>21555.48</v>
      </c>
      <c r="P189" s="42">
        <v>42.08</v>
      </c>
      <c r="Q189" s="42">
        <v>10.52</v>
      </c>
      <c r="R189" s="43"/>
      <c r="S189" s="43"/>
      <c r="T189" s="43"/>
      <c r="U189" s="43"/>
      <c r="V189" s="45"/>
      <c r="W189" s="45"/>
      <c r="X189" s="29">
        <f t="shared" si="97"/>
        <v>6435.48</v>
      </c>
      <c r="Y189" s="34">
        <f t="shared" si="98"/>
        <v>12.212736543909347</v>
      </c>
      <c r="Z189" s="64">
        <v>2000</v>
      </c>
      <c r="AA189" s="64">
        <v>1700</v>
      </c>
      <c r="AB189" s="65">
        <v>300</v>
      </c>
    </row>
    <row r="190" spans="1:28" s="8" customFormat="1" ht="13.5" customHeight="1" x14ac:dyDescent="0.2">
      <c r="A190" s="22">
        <v>26000395011982</v>
      </c>
      <c r="B190" s="17" t="s">
        <v>99</v>
      </c>
      <c r="C190" s="14" t="s">
        <v>58</v>
      </c>
      <c r="D190" s="41" t="s">
        <v>123</v>
      </c>
      <c r="E190" s="41">
        <v>1765</v>
      </c>
      <c r="F190" s="41">
        <v>1765</v>
      </c>
      <c r="G190" s="41">
        <v>1765</v>
      </c>
      <c r="H190" s="41">
        <v>1765</v>
      </c>
      <c r="I190" s="41"/>
      <c r="J190" s="41" t="s">
        <v>9</v>
      </c>
      <c r="K190" s="42">
        <f>+P190*365</f>
        <v>30981.199999999997</v>
      </c>
      <c r="L190" s="42">
        <f t="shared" si="105"/>
        <v>7405.78</v>
      </c>
      <c r="M190" s="42">
        <f t="shared" si="105"/>
        <v>0</v>
      </c>
      <c r="N190" s="42">
        <f t="shared" si="106"/>
        <v>5092.7999999999993</v>
      </c>
      <c r="O190" s="42">
        <f t="shared" si="107"/>
        <v>43479.78</v>
      </c>
      <c r="P190" s="42">
        <v>84.88</v>
      </c>
      <c r="Q190" s="42">
        <v>21.22</v>
      </c>
      <c r="R190" s="43"/>
      <c r="S190" s="43"/>
      <c r="T190" s="43"/>
      <c r="U190" s="43"/>
      <c r="V190" s="45"/>
      <c r="W190" s="45"/>
      <c r="X190" s="29">
        <f t="shared" si="97"/>
        <v>28359.78</v>
      </c>
      <c r="Y190" s="34">
        <f t="shared" si="98"/>
        <v>24.634436260623229</v>
      </c>
      <c r="Z190" s="64">
        <v>2000</v>
      </c>
      <c r="AA190" s="64">
        <v>1700</v>
      </c>
      <c r="AB190" s="65">
        <v>300</v>
      </c>
    </row>
    <row r="191" spans="1:28" s="8" customFormat="1" ht="22.5" x14ac:dyDescent="0.2">
      <c r="A191" s="22">
        <v>37000465011981</v>
      </c>
      <c r="B191" s="17" t="s">
        <v>100</v>
      </c>
      <c r="C191" s="14" t="s">
        <v>44</v>
      </c>
      <c r="D191" s="41" t="s">
        <v>129</v>
      </c>
      <c r="E191" s="41">
        <v>1754</v>
      </c>
      <c r="F191" s="41">
        <v>1754</v>
      </c>
      <c r="G191" s="41" t="s">
        <v>127</v>
      </c>
      <c r="H191" s="41" t="s">
        <v>127</v>
      </c>
      <c r="I191" s="41"/>
      <c r="J191" s="41" t="s">
        <v>7</v>
      </c>
      <c r="K191" s="42">
        <f>+P191*12</f>
        <v>13713.599999999999</v>
      </c>
      <c r="L191" s="42">
        <f>+Q191*12</f>
        <v>1172.6399999999999</v>
      </c>
      <c r="M191" s="42">
        <v>0</v>
      </c>
      <c r="N191" s="42">
        <f>P191*2+S191</f>
        <v>3231.6</v>
      </c>
      <c r="O191" s="42">
        <f t="shared" ref="O191:O210" si="108">+K191+L191+M191+N191</f>
        <v>18117.839999999997</v>
      </c>
      <c r="P191" s="42">
        <v>1142.8</v>
      </c>
      <c r="Q191" s="42">
        <v>97.72</v>
      </c>
      <c r="R191" s="43"/>
      <c r="S191" s="42">
        <v>946</v>
      </c>
      <c r="T191" s="43"/>
      <c r="U191" s="43"/>
      <c r="V191" s="44">
        <f t="shared" ref="V191:V222" si="109">+M191/O191*100</f>
        <v>0</v>
      </c>
      <c r="W191" s="44">
        <f t="shared" ref="W191:W222" si="110">(K191+L191+N191)/O191*100</f>
        <v>100</v>
      </c>
      <c r="X191" s="29">
        <f t="shared" si="97"/>
        <v>2997.8399999999965</v>
      </c>
      <c r="Y191" s="34">
        <f t="shared" si="98"/>
        <v>10.329441277080956</v>
      </c>
      <c r="Z191" s="64">
        <v>4900</v>
      </c>
      <c r="AA191" s="64">
        <v>3675</v>
      </c>
      <c r="AB191" s="65">
        <v>1225</v>
      </c>
    </row>
    <row r="192" spans="1:28" s="8" customFormat="1" ht="22.5" x14ac:dyDescent="0.2">
      <c r="A192" s="22">
        <v>37000465011981</v>
      </c>
      <c r="B192" s="17" t="s">
        <v>100</v>
      </c>
      <c r="C192" s="14" t="s">
        <v>44</v>
      </c>
      <c r="D192" s="41" t="s">
        <v>129</v>
      </c>
      <c r="E192" s="41">
        <v>1754</v>
      </c>
      <c r="F192" s="41">
        <v>1754</v>
      </c>
      <c r="G192" s="41" t="s">
        <v>127</v>
      </c>
      <c r="H192" s="41" t="s">
        <v>127</v>
      </c>
      <c r="I192" s="41"/>
      <c r="J192" s="41" t="s">
        <v>6</v>
      </c>
      <c r="K192" s="42">
        <f t="shared" ref="K192:L194" si="111">+P192*12</f>
        <v>14496.119999999999</v>
      </c>
      <c r="L192" s="42">
        <f t="shared" si="111"/>
        <v>1172.6399999999999</v>
      </c>
      <c r="M192" s="42">
        <v>0</v>
      </c>
      <c r="N192" s="42">
        <f t="shared" ref="N192:N194" si="112">P192*2+S192</f>
        <v>3362.02</v>
      </c>
      <c r="O192" s="42">
        <f t="shared" si="108"/>
        <v>19030.78</v>
      </c>
      <c r="P192" s="42">
        <v>1208.01</v>
      </c>
      <c r="Q192" s="42">
        <v>97.72</v>
      </c>
      <c r="R192" s="43"/>
      <c r="S192" s="42">
        <v>946</v>
      </c>
      <c r="T192" s="43"/>
      <c r="U192" s="43"/>
      <c r="V192" s="44">
        <f t="shared" si="109"/>
        <v>0</v>
      </c>
      <c r="W192" s="44">
        <f t="shared" si="110"/>
        <v>100</v>
      </c>
      <c r="X192" s="29">
        <f t="shared" si="97"/>
        <v>3910.7799999999988</v>
      </c>
      <c r="Y192" s="34">
        <f t="shared" si="98"/>
        <v>10.849931584948688</v>
      </c>
      <c r="Z192" s="64">
        <v>4900</v>
      </c>
      <c r="AA192" s="64">
        <v>3675</v>
      </c>
      <c r="AB192" s="65">
        <v>1225</v>
      </c>
    </row>
    <row r="193" spans="1:28" s="8" customFormat="1" ht="22.5" x14ac:dyDescent="0.2">
      <c r="A193" s="22">
        <v>37000465011981</v>
      </c>
      <c r="B193" s="17" t="s">
        <v>100</v>
      </c>
      <c r="C193" s="14" t="s">
        <v>44</v>
      </c>
      <c r="D193" s="41" t="s">
        <v>129</v>
      </c>
      <c r="E193" s="41">
        <v>1754</v>
      </c>
      <c r="F193" s="41">
        <v>1754</v>
      </c>
      <c r="G193" s="41" t="s">
        <v>127</v>
      </c>
      <c r="H193" s="41" t="s">
        <v>127</v>
      </c>
      <c r="I193" s="41"/>
      <c r="J193" s="41" t="s">
        <v>8</v>
      </c>
      <c r="K193" s="42">
        <f t="shared" si="111"/>
        <v>15265.920000000002</v>
      </c>
      <c r="L193" s="42">
        <f t="shared" si="111"/>
        <v>1172.6399999999999</v>
      </c>
      <c r="M193" s="42">
        <v>0</v>
      </c>
      <c r="N193" s="42">
        <f t="shared" si="112"/>
        <v>3490.32</v>
      </c>
      <c r="O193" s="42">
        <f t="shared" si="108"/>
        <v>19928.88</v>
      </c>
      <c r="P193" s="42">
        <v>1272.1600000000001</v>
      </c>
      <c r="Q193" s="42">
        <v>97.72</v>
      </c>
      <c r="R193" s="43"/>
      <c r="S193" s="42">
        <v>946</v>
      </c>
      <c r="T193" s="43"/>
      <c r="U193" s="43"/>
      <c r="V193" s="44">
        <f t="shared" si="109"/>
        <v>0</v>
      </c>
      <c r="W193" s="44">
        <f t="shared" si="110"/>
        <v>100</v>
      </c>
      <c r="X193" s="29">
        <f t="shared" si="97"/>
        <v>4808.880000000001</v>
      </c>
      <c r="Y193" s="34">
        <f t="shared" si="98"/>
        <v>11.361961231470925</v>
      </c>
      <c r="Z193" s="64">
        <v>4900</v>
      </c>
      <c r="AA193" s="64">
        <v>3675</v>
      </c>
      <c r="AB193" s="65">
        <v>1225</v>
      </c>
    </row>
    <row r="194" spans="1:28" s="8" customFormat="1" ht="22.5" x14ac:dyDescent="0.2">
      <c r="A194" s="22">
        <v>37000465011981</v>
      </c>
      <c r="B194" s="17" t="s">
        <v>100</v>
      </c>
      <c r="C194" s="14" t="s">
        <v>44</v>
      </c>
      <c r="D194" s="41" t="s">
        <v>129</v>
      </c>
      <c r="E194" s="41">
        <v>1754</v>
      </c>
      <c r="F194" s="41">
        <v>1754</v>
      </c>
      <c r="G194" s="41" t="s">
        <v>127</v>
      </c>
      <c r="H194" s="41" t="s">
        <v>127</v>
      </c>
      <c r="I194" s="41"/>
      <c r="J194" s="41" t="s">
        <v>9</v>
      </c>
      <c r="K194" s="42">
        <f t="shared" si="111"/>
        <v>20192.64</v>
      </c>
      <c r="L194" s="42">
        <f t="shared" si="111"/>
        <v>1172.6399999999999</v>
      </c>
      <c r="M194" s="42">
        <v>0</v>
      </c>
      <c r="N194" s="42">
        <f t="shared" si="112"/>
        <v>4311.4400000000005</v>
      </c>
      <c r="O194" s="42">
        <f t="shared" si="108"/>
        <v>25676.720000000001</v>
      </c>
      <c r="P194" s="42">
        <v>1682.72</v>
      </c>
      <c r="Q194" s="42">
        <v>97.72</v>
      </c>
      <c r="R194" s="43"/>
      <c r="S194" s="42">
        <v>946</v>
      </c>
      <c r="T194" s="43"/>
      <c r="U194" s="43"/>
      <c r="V194" s="44">
        <f t="shared" si="109"/>
        <v>0</v>
      </c>
      <c r="W194" s="44">
        <f t="shared" si="110"/>
        <v>100</v>
      </c>
      <c r="X194" s="29">
        <f t="shared" si="97"/>
        <v>10556.720000000001</v>
      </c>
      <c r="Y194" s="34">
        <f t="shared" si="98"/>
        <v>14.638950969213228</v>
      </c>
      <c r="Z194" s="64">
        <v>4900</v>
      </c>
      <c r="AA194" s="64">
        <v>3675</v>
      </c>
      <c r="AB194" s="65">
        <v>1225</v>
      </c>
    </row>
    <row r="195" spans="1:28" s="8" customFormat="1" ht="22.5" x14ac:dyDescent="0.2">
      <c r="A195" s="22">
        <v>40000335011981</v>
      </c>
      <c r="B195" s="17" t="s">
        <v>73</v>
      </c>
      <c r="C195" s="14" t="s">
        <v>45</v>
      </c>
      <c r="D195" s="41" t="s">
        <v>124</v>
      </c>
      <c r="E195" s="41">
        <v>1756</v>
      </c>
      <c r="F195" s="41">
        <v>1756</v>
      </c>
      <c r="G195" s="41" t="s">
        <v>127</v>
      </c>
      <c r="H195" s="41" t="s">
        <v>127</v>
      </c>
      <c r="I195" s="41"/>
      <c r="J195" s="41" t="s">
        <v>7</v>
      </c>
      <c r="K195" s="42">
        <f>+P195*365</f>
        <v>15578.2</v>
      </c>
      <c r="L195" s="42">
        <f>+Q195*226</f>
        <v>494.94</v>
      </c>
      <c r="M195" s="42">
        <v>0</v>
      </c>
      <c r="N195" s="42">
        <f>+P195*60</f>
        <v>2560.8000000000002</v>
      </c>
      <c r="O195" s="42">
        <f t="shared" si="108"/>
        <v>18633.940000000002</v>
      </c>
      <c r="P195" s="42">
        <v>42.68</v>
      </c>
      <c r="Q195" s="42">
        <v>2.19</v>
      </c>
      <c r="R195" s="43"/>
      <c r="S195" s="43"/>
      <c r="T195" s="43"/>
      <c r="U195" s="43"/>
      <c r="V195" s="44">
        <f t="shared" si="109"/>
        <v>0</v>
      </c>
      <c r="W195" s="44">
        <f t="shared" si="110"/>
        <v>100</v>
      </c>
      <c r="X195" s="29">
        <f t="shared" si="97"/>
        <v>3513.9400000000023</v>
      </c>
      <c r="Y195" s="34">
        <f t="shared" si="98"/>
        <v>10.611583143507975</v>
      </c>
      <c r="Z195" s="64">
        <v>1787</v>
      </c>
      <c r="AA195" s="64">
        <v>1693</v>
      </c>
      <c r="AB195" s="65">
        <v>94</v>
      </c>
    </row>
    <row r="196" spans="1:28" s="8" customFormat="1" ht="22.5" x14ac:dyDescent="0.2">
      <c r="A196" s="22">
        <v>40000335011981</v>
      </c>
      <c r="B196" s="17" t="s">
        <v>73</v>
      </c>
      <c r="C196" s="14" t="s">
        <v>45</v>
      </c>
      <c r="D196" s="41" t="s">
        <v>124</v>
      </c>
      <c r="E196" s="41">
        <v>1756</v>
      </c>
      <c r="F196" s="41">
        <v>1756</v>
      </c>
      <c r="G196" s="41" t="s">
        <v>127</v>
      </c>
      <c r="H196" s="41" t="s">
        <v>127</v>
      </c>
      <c r="I196" s="41"/>
      <c r="J196" s="41" t="s">
        <v>6</v>
      </c>
      <c r="K196" s="42">
        <f>+P196*365</f>
        <v>19501.95</v>
      </c>
      <c r="L196" s="42">
        <f>+Q196*226</f>
        <v>497.20000000000005</v>
      </c>
      <c r="M196" s="42">
        <v>0</v>
      </c>
      <c r="N196" s="42">
        <f>+P196*60</f>
        <v>3205.8</v>
      </c>
      <c r="O196" s="42">
        <f t="shared" si="108"/>
        <v>23204.95</v>
      </c>
      <c r="P196" s="42">
        <v>53.43</v>
      </c>
      <c r="Q196" s="42">
        <v>2.2000000000000002</v>
      </c>
      <c r="R196" s="43"/>
      <c r="S196" s="43"/>
      <c r="T196" s="43"/>
      <c r="U196" s="43"/>
      <c r="V196" s="44">
        <f t="shared" si="109"/>
        <v>0</v>
      </c>
      <c r="W196" s="44">
        <f t="shared" si="110"/>
        <v>100</v>
      </c>
      <c r="X196" s="29">
        <f t="shared" si="97"/>
        <v>8084.9500000000007</v>
      </c>
      <c r="Y196" s="34">
        <f t="shared" si="98"/>
        <v>13.214664009111617</v>
      </c>
      <c r="Z196" s="64">
        <v>1787</v>
      </c>
      <c r="AA196" s="64">
        <v>1693</v>
      </c>
      <c r="AB196" s="65">
        <v>94</v>
      </c>
    </row>
    <row r="197" spans="1:28" s="8" customFormat="1" ht="22.5" x14ac:dyDescent="0.2">
      <c r="A197" s="22">
        <v>40000335011981</v>
      </c>
      <c r="B197" s="17" t="s">
        <v>73</v>
      </c>
      <c r="C197" s="14" t="s">
        <v>45</v>
      </c>
      <c r="D197" s="41" t="s">
        <v>124</v>
      </c>
      <c r="E197" s="41">
        <v>1756</v>
      </c>
      <c r="F197" s="41">
        <v>1756</v>
      </c>
      <c r="G197" s="41" t="s">
        <v>127</v>
      </c>
      <c r="H197" s="41" t="s">
        <v>127</v>
      </c>
      <c r="I197" s="41"/>
      <c r="J197" s="41" t="s">
        <v>8</v>
      </c>
      <c r="K197" s="42">
        <f>+P197*12</f>
        <v>19289.400000000001</v>
      </c>
      <c r="L197" s="42">
        <f>+Q197*226</f>
        <v>551.43999999999994</v>
      </c>
      <c r="M197" s="42">
        <v>0</v>
      </c>
      <c r="N197" s="42">
        <f>+P197*2</f>
        <v>3214.9</v>
      </c>
      <c r="O197" s="42">
        <f t="shared" si="108"/>
        <v>23055.74</v>
      </c>
      <c r="P197" s="42">
        <v>1607.45</v>
      </c>
      <c r="Q197" s="42">
        <v>2.44</v>
      </c>
      <c r="R197" s="43"/>
      <c r="S197" s="43"/>
      <c r="T197" s="43"/>
      <c r="U197" s="43"/>
      <c r="V197" s="44">
        <f t="shared" si="109"/>
        <v>0</v>
      </c>
      <c r="W197" s="44">
        <f t="shared" si="110"/>
        <v>100</v>
      </c>
      <c r="X197" s="29">
        <f t="shared" si="97"/>
        <v>7935.7400000000016</v>
      </c>
      <c r="Y197" s="34">
        <f t="shared" si="98"/>
        <v>13.129692482915718</v>
      </c>
      <c r="Z197" s="64">
        <v>1787</v>
      </c>
      <c r="AA197" s="64">
        <v>1693</v>
      </c>
      <c r="AB197" s="65">
        <v>94</v>
      </c>
    </row>
    <row r="198" spans="1:28" s="8" customFormat="1" ht="22.5" x14ac:dyDescent="0.2">
      <c r="A198" s="22">
        <v>40000335011981</v>
      </c>
      <c r="B198" s="17" t="s">
        <v>73</v>
      </c>
      <c r="C198" s="14" t="s">
        <v>45</v>
      </c>
      <c r="D198" s="41" t="s">
        <v>124</v>
      </c>
      <c r="E198" s="41">
        <v>1756</v>
      </c>
      <c r="F198" s="41">
        <v>1756</v>
      </c>
      <c r="G198" s="41" t="s">
        <v>127</v>
      </c>
      <c r="H198" s="41" t="s">
        <v>127</v>
      </c>
      <c r="I198" s="41"/>
      <c r="J198" s="41" t="s">
        <v>9</v>
      </c>
      <c r="K198" s="42">
        <f>+P198*12</f>
        <v>24486.12</v>
      </c>
      <c r="L198" s="42">
        <f>+Q198*226</f>
        <v>693.81999999999994</v>
      </c>
      <c r="M198" s="42">
        <v>0</v>
      </c>
      <c r="N198" s="42">
        <f>+P198*2</f>
        <v>4081.02</v>
      </c>
      <c r="O198" s="42">
        <f t="shared" si="108"/>
        <v>29260.959999999999</v>
      </c>
      <c r="P198" s="42">
        <v>2040.51</v>
      </c>
      <c r="Q198" s="42">
        <v>3.07</v>
      </c>
      <c r="R198" s="43"/>
      <c r="S198" s="43"/>
      <c r="T198" s="43"/>
      <c r="U198" s="43"/>
      <c r="V198" s="44">
        <f t="shared" si="109"/>
        <v>0</v>
      </c>
      <c r="W198" s="44">
        <f t="shared" si="110"/>
        <v>100</v>
      </c>
      <c r="X198" s="29">
        <f t="shared" si="97"/>
        <v>14140.96</v>
      </c>
      <c r="Y198" s="34">
        <f t="shared" si="98"/>
        <v>16.663416856492027</v>
      </c>
      <c r="Z198" s="64">
        <v>1787</v>
      </c>
      <c r="AA198" s="64">
        <v>1693</v>
      </c>
      <c r="AB198" s="65">
        <v>94</v>
      </c>
    </row>
    <row r="199" spans="1:28" s="8" customFormat="1" ht="22.5" x14ac:dyDescent="0.2">
      <c r="A199" s="22">
        <v>41002445011982</v>
      </c>
      <c r="B199" s="17" t="s">
        <v>73</v>
      </c>
      <c r="C199" s="14" t="s">
        <v>46</v>
      </c>
      <c r="D199" s="41" t="s">
        <v>124</v>
      </c>
      <c r="E199" s="41">
        <v>1759</v>
      </c>
      <c r="F199" s="41">
        <v>1759</v>
      </c>
      <c r="G199" s="41" t="s">
        <v>127</v>
      </c>
      <c r="H199" s="41" t="s">
        <v>127</v>
      </c>
      <c r="I199" s="41"/>
      <c r="J199" s="41" t="s">
        <v>7</v>
      </c>
      <c r="K199" s="42">
        <f t="shared" ref="K199:K204" si="113">+P199*365</f>
        <v>12296.849999999999</v>
      </c>
      <c r="L199" s="42">
        <f>+Q199*299</f>
        <v>2012.2700000000002</v>
      </c>
      <c r="M199" s="42">
        <f>+R199*299</f>
        <v>2879.3700000000003</v>
      </c>
      <c r="N199" s="42">
        <f>+(P199+Q199+R199)*60</f>
        <v>3003.0000000000005</v>
      </c>
      <c r="O199" s="42">
        <f t="shared" si="108"/>
        <v>20191.489999999998</v>
      </c>
      <c r="P199" s="42">
        <v>33.69</v>
      </c>
      <c r="Q199" s="42">
        <v>6.73</v>
      </c>
      <c r="R199" s="42">
        <v>9.6300000000000008</v>
      </c>
      <c r="S199" s="42"/>
      <c r="T199" s="43"/>
      <c r="U199" s="43"/>
      <c r="V199" s="44">
        <f t="shared" si="109"/>
        <v>14.260314617692901</v>
      </c>
      <c r="W199" s="44">
        <f t="shared" si="110"/>
        <v>85.739685382307101</v>
      </c>
      <c r="X199" s="29">
        <f t="shared" si="97"/>
        <v>5071.489999999998</v>
      </c>
      <c r="Y199" s="34">
        <f t="shared" si="98"/>
        <v>11.478959636156906</v>
      </c>
      <c r="Z199" s="64">
        <v>72547</v>
      </c>
      <c r="AA199" s="64">
        <v>58047</v>
      </c>
      <c r="AB199" s="65">
        <v>14500</v>
      </c>
    </row>
    <row r="200" spans="1:28" s="8" customFormat="1" ht="22.5" x14ac:dyDescent="0.2">
      <c r="A200" s="22">
        <v>41002445011982</v>
      </c>
      <c r="B200" s="17" t="s">
        <v>73</v>
      </c>
      <c r="C200" s="14" t="s">
        <v>46</v>
      </c>
      <c r="D200" s="41" t="s">
        <v>124</v>
      </c>
      <c r="E200" s="41">
        <v>1759</v>
      </c>
      <c r="F200" s="41">
        <v>1759</v>
      </c>
      <c r="G200" s="41" t="s">
        <v>127</v>
      </c>
      <c r="H200" s="41" t="s">
        <v>127</v>
      </c>
      <c r="I200" s="41"/>
      <c r="J200" s="41" t="s">
        <v>6</v>
      </c>
      <c r="K200" s="42">
        <f t="shared" si="113"/>
        <v>13450.25</v>
      </c>
      <c r="L200" s="42">
        <f>+Q200*299</f>
        <v>2149.81</v>
      </c>
      <c r="M200" s="42">
        <f t="shared" ref="M200:M202" si="114">+R200*299</f>
        <v>3178.3700000000003</v>
      </c>
      <c r="N200" s="42">
        <f>+(P200+Q200+R200)*60</f>
        <v>3280.2000000000003</v>
      </c>
      <c r="O200" s="42">
        <f t="shared" si="108"/>
        <v>22058.63</v>
      </c>
      <c r="P200" s="42">
        <v>36.85</v>
      </c>
      <c r="Q200" s="42">
        <v>7.19</v>
      </c>
      <c r="R200" s="42">
        <v>10.63</v>
      </c>
      <c r="S200" s="42"/>
      <c r="T200" s="43"/>
      <c r="U200" s="43"/>
      <c r="V200" s="44">
        <f t="shared" si="109"/>
        <v>14.408737079319977</v>
      </c>
      <c r="W200" s="44">
        <f t="shared" si="110"/>
        <v>85.591262920680009</v>
      </c>
      <c r="X200" s="29">
        <f t="shared" si="97"/>
        <v>6938.630000000001</v>
      </c>
      <c r="Y200" s="34">
        <f t="shared" si="98"/>
        <v>12.540437748720866</v>
      </c>
      <c r="Z200" s="64">
        <v>72547</v>
      </c>
      <c r="AA200" s="64">
        <v>58047</v>
      </c>
      <c r="AB200" s="65">
        <v>14500</v>
      </c>
    </row>
    <row r="201" spans="1:28" s="8" customFormat="1" ht="22.5" x14ac:dyDescent="0.2">
      <c r="A201" s="22">
        <v>41002445011982</v>
      </c>
      <c r="B201" s="17" t="s">
        <v>73</v>
      </c>
      <c r="C201" s="14" t="s">
        <v>46</v>
      </c>
      <c r="D201" s="41" t="s">
        <v>124</v>
      </c>
      <c r="E201" s="41">
        <v>1759</v>
      </c>
      <c r="F201" s="41">
        <v>1759</v>
      </c>
      <c r="G201" s="41" t="s">
        <v>127</v>
      </c>
      <c r="H201" s="41" t="s">
        <v>127</v>
      </c>
      <c r="I201" s="41"/>
      <c r="J201" s="41" t="s">
        <v>8</v>
      </c>
      <c r="K201" s="42">
        <f t="shared" si="113"/>
        <v>14815.35</v>
      </c>
      <c r="L201" s="42">
        <f>+Q201*299</f>
        <v>2377.0500000000002</v>
      </c>
      <c r="M201" s="42">
        <f t="shared" si="114"/>
        <v>3468.4</v>
      </c>
      <c r="N201" s="42">
        <f>+(P201+Q201+R201)*60</f>
        <v>3608.4000000000005</v>
      </c>
      <c r="O201" s="42">
        <f t="shared" si="108"/>
        <v>24269.200000000004</v>
      </c>
      <c r="P201" s="42">
        <v>40.590000000000003</v>
      </c>
      <c r="Q201" s="42">
        <v>7.95</v>
      </c>
      <c r="R201" s="42">
        <v>11.6</v>
      </c>
      <c r="S201" s="42"/>
      <c r="T201" s="43"/>
      <c r="U201" s="43"/>
      <c r="V201" s="44">
        <f t="shared" si="109"/>
        <v>14.29136518715079</v>
      </c>
      <c r="W201" s="44">
        <f t="shared" si="110"/>
        <v>85.708634812849198</v>
      </c>
      <c r="X201" s="29">
        <f t="shared" si="97"/>
        <v>9149.2000000000044</v>
      </c>
      <c r="Y201" s="34">
        <f t="shared" si="98"/>
        <v>13.797157475838548</v>
      </c>
      <c r="Z201" s="64">
        <v>72547</v>
      </c>
      <c r="AA201" s="64">
        <v>58047</v>
      </c>
      <c r="AB201" s="65">
        <v>14500</v>
      </c>
    </row>
    <row r="202" spans="1:28" s="8" customFormat="1" ht="22.5" x14ac:dyDescent="0.2">
      <c r="A202" s="22">
        <v>41002445011982</v>
      </c>
      <c r="B202" s="17" t="s">
        <v>73</v>
      </c>
      <c r="C202" s="14" t="s">
        <v>46</v>
      </c>
      <c r="D202" s="41" t="s">
        <v>124</v>
      </c>
      <c r="E202" s="41">
        <v>1759</v>
      </c>
      <c r="F202" s="41">
        <v>1759</v>
      </c>
      <c r="G202" s="41" t="s">
        <v>127</v>
      </c>
      <c r="H202" s="41" t="s">
        <v>127</v>
      </c>
      <c r="I202" s="41"/>
      <c r="J202" s="41" t="s">
        <v>9</v>
      </c>
      <c r="K202" s="42">
        <f t="shared" si="113"/>
        <v>23071.65</v>
      </c>
      <c r="L202" s="42">
        <f>+Q202*299</f>
        <v>3731.52</v>
      </c>
      <c r="M202" s="42">
        <f t="shared" si="114"/>
        <v>5340.1399999999994</v>
      </c>
      <c r="N202" s="42">
        <f>+(P202+Q202+R202)*60</f>
        <v>5613</v>
      </c>
      <c r="O202" s="42">
        <f t="shared" si="108"/>
        <v>37756.31</v>
      </c>
      <c r="P202" s="42">
        <v>63.21</v>
      </c>
      <c r="Q202" s="42">
        <v>12.48</v>
      </c>
      <c r="R202" s="42">
        <v>17.86</v>
      </c>
      <c r="S202" s="42"/>
      <c r="T202" s="43"/>
      <c r="U202" s="43"/>
      <c r="V202" s="44">
        <f t="shared" si="109"/>
        <v>14.143702072580716</v>
      </c>
      <c r="W202" s="44">
        <f t="shared" si="110"/>
        <v>85.856297927419291</v>
      </c>
      <c r="X202" s="29">
        <f t="shared" si="97"/>
        <v>22636.309999999998</v>
      </c>
      <c r="Y202" s="34">
        <f t="shared" si="98"/>
        <v>21.464644684479818</v>
      </c>
      <c r="Z202" s="64">
        <v>72547</v>
      </c>
      <c r="AA202" s="64">
        <v>58047</v>
      </c>
      <c r="AB202" s="65">
        <v>14500</v>
      </c>
    </row>
    <row r="203" spans="1:28" s="8" customFormat="1" ht="22.5" x14ac:dyDescent="0.2">
      <c r="A203" s="22">
        <v>42000155011981</v>
      </c>
      <c r="B203" s="17" t="s">
        <v>73</v>
      </c>
      <c r="C203" s="14" t="s">
        <v>47</v>
      </c>
      <c r="D203" s="41" t="s">
        <v>117</v>
      </c>
      <c r="E203" s="41">
        <v>1742</v>
      </c>
      <c r="F203" s="41">
        <v>1742</v>
      </c>
      <c r="G203" s="41">
        <v>1742</v>
      </c>
      <c r="H203" s="41">
        <v>1742</v>
      </c>
      <c r="I203" s="41"/>
      <c r="J203" s="41" t="s">
        <v>7</v>
      </c>
      <c r="K203" s="42">
        <f t="shared" si="113"/>
        <v>12975.749999999998</v>
      </c>
      <c r="L203" s="42">
        <f>Q203</f>
        <v>3000</v>
      </c>
      <c r="M203" s="42">
        <v>0</v>
      </c>
      <c r="N203" s="42">
        <f>+P203*60</f>
        <v>2133</v>
      </c>
      <c r="O203" s="42">
        <f t="shared" si="108"/>
        <v>18108.75</v>
      </c>
      <c r="P203" s="42">
        <v>35.549999999999997</v>
      </c>
      <c r="Q203" s="42">
        <v>3000</v>
      </c>
      <c r="R203" s="43"/>
      <c r="S203" s="43"/>
      <c r="T203" s="43"/>
      <c r="U203" s="43"/>
      <c r="V203" s="44">
        <f t="shared" si="109"/>
        <v>0</v>
      </c>
      <c r="W203" s="44">
        <f t="shared" si="110"/>
        <v>100</v>
      </c>
      <c r="X203" s="29">
        <f t="shared" si="97"/>
        <v>2988.75</v>
      </c>
      <c r="Y203" s="34">
        <f t="shared" si="98"/>
        <v>10.395378874856487</v>
      </c>
      <c r="Z203" s="64">
        <v>4100</v>
      </c>
      <c r="AA203" s="64">
        <v>2450</v>
      </c>
      <c r="AB203" s="65">
        <v>1650</v>
      </c>
    </row>
    <row r="204" spans="1:28" s="8" customFormat="1" ht="22.5" x14ac:dyDescent="0.2">
      <c r="A204" s="22">
        <v>42000155011981</v>
      </c>
      <c r="B204" s="17" t="s">
        <v>73</v>
      </c>
      <c r="C204" s="14" t="s">
        <v>47</v>
      </c>
      <c r="D204" s="41" t="s">
        <v>117</v>
      </c>
      <c r="E204" s="41">
        <v>1742</v>
      </c>
      <c r="F204" s="41">
        <v>1742</v>
      </c>
      <c r="G204" s="41">
        <v>1742</v>
      </c>
      <c r="H204" s="41">
        <v>1742</v>
      </c>
      <c r="I204" s="41"/>
      <c r="J204" s="41" t="s">
        <v>6</v>
      </c>
      <c r="K204" s="42">
        <f t="shared" si="113"/>
        <v>13891.900000000001</v>
      </c>
      <c r="L204" s="42">
        <f t="shared" ref="L204:L205" si="115">Q204</f>
        <v>3221.05</v>
      </c>
      <c r="M204" s="42">
        <v>0</v>
      </c>
      <c r="N204" s="42">
        <f>+P204*60</f>
        <v>2283.6000000000004</v>
      </c>
      <c r="O204" s="42">
        <f t="shared" si="108"/>
        <v>19396.550000000003</v>
      </c>
      <c r="P204" s="42">
        <v>38.06</v>
      </c>
      <c r="Q204" s="42">
        <v>3221.05</v>
      </c>
      <c r="R204" s="43"/>
      <c r="S204" s="43"/>
      <c r="T204" s="43"/>
      <c r="U204" s="43"/>
      <c r="V204" s="44">
        <f t="shared" si="109"/>
        <v>0</v>
      </c>
      <c r="W204" s="44">
        <f t="shared" si="110"/>
        <v>100</v>
      </c>
      <c r="X204" s="29">
        <f t="shared" si="97"/>
        <v>4276.5500000000029</v>
      </c>
      <c r="Y204" s="34">
        <f t="shared" si="98"/>
        <v>11.13464408725603</v>
      </c>
      <c r="Z204" s="64">
        <v>4100</v>
      </c>
      <c r="AA204" s="64">
        <v>2450</v>
      </c>
      <c r="AB204" s="65">
        <v>1650</v>
      </c>
    </row>
    <row r="205" spans="1:28" s="8" customFormat="1" ht="22.5" x14ac:dyDescent="0.2">
      <c r="A205" s="22">
        <v>42000155011981</v>
      </c>
      <c r="B205" s="17" t="s">
        <v>73</v>
      </c>
      <c r="C205" s="14" t="s">
        <v>47</v>
      </c>
      <c r="D205" s="41" t="s">
        <v>117</v>
      </c>
      <c r="E205" s="41">
        <v>1742</v>
      </c>
      <c r="F205" s="41">
        <v>1742</v>
      </c>
      <c r="G205" s="41">
        <v>1742</v>
      </c>
      <c r="H205" s="41">
        <v>1742</v>
      </c>
      <c r="I205" s="41"/>
      <c r="J205" s="41" t="s">
        <v>8</v>
      </c>
      <c r="K205" s="42">
        <f>+P205*12</f>
        <v>13740.48</v>
      </c>
      <c r="L205" s="42">
        <f t="shared" si="115"/>
        <v>3347.43</v>
      </c>
      <c r="M205" s="42">
        <v>0</v>
      </c>
      <c r="N205" s="42">
        <f>+P205*2</f>
        <v>2290.08</v>
      </c>
      <c r="O205" s="42">
        <f t="shared" si="108"/>
        <v>19377.989999999998</v>
      </c>
      <c r="P205" s="42">
        <v>1145.04</v>
      </c>
      <c r="Q205" s="42">
        <v>3347.43</v>
      </c>
      <c r="R205" s="43"/>
      <c r="S205" s="43"/>
      <c r="T205" s="43"/>
      <c r="U205" s="43"/>
      <c r="V205" s="44">
        <f t="shared" si="109"/>
        <v>0</v>
      </c>
      <c r="W205" s="44">
        <f t="shared" si="110"/>
        <v>100</v>
      </c>
      <c r="X205" s="29">
        <f t="shared" si="97"/>
        <v>4257.989999999998</v>
      </c>
      <c r="Y205" s="34">
        <f t="shared" si="98"/>
        <v>11.123989667049367</v>
      </c>
      <c r="Z205" s="64">
        <v>4100</v>
      </c>
      <c r="AA205" s="64">
        <v>2450</v>
      </c>
      <c r="AB205" s="65">
        <v>1650</v>
      </c>
    </row>
    <row r="206" spans="1:28" s="8" customFormat="1" ht="22.5" x14ac:dyDescent="0.2">
      <c r="A206" s="22">
        <v>42000155011981</v>
      </c>
      <c r="B206" s="17" t="s">
        <v>73</v>
      </c>
      <c r="C206" s="14" t="s">
        <v>47</v>
      </c>
      <c r="D206" s="41" t="s">
        <v>117</v>
      </c>
      <c r="E206" s="41">
        <v>1742</v>
      </c>
      <c r="F206" s="41">
        <v>1742</v>
      </c>
      <c r="G206" s="41">
        <v>1742</v>
      </c>
      <c r="H206" s="41">
        <v>1742</v>
      </c>
      <c r="I206" s="41"/>
      <c r="J206" s="41" t="s">
        <v>9</v>
      </c>
      <c r="K206" s="42">
        <f>+P206*12</f>
        <v>17866.560000000001</v>
      </c>
      <c r="L206" s="42">
        <f>Q206</f>
        <v>3694.74</v>
      </c>
      <c r="M206" s="42">
        <f>R206*1742</f>
        <v>0</v>
      </c>
      <c r="N206" s="42">
        <f>+P206*2</f>
        <v>2977.76</v>
      </c>
      <c r="O206" s="42">
        <f t="shared" si="108"/>
        <v>24539.060000000005</v>
      </c>
      <c r="P206" s="42">
        <v>1488.88</v>
      </c>
      <c r="Q206" s="42">
        <v>3694.74</v>
      </c>
      <c r="R206" s="43"/>
      <c r="S206" s="43"/>
      <c r="T206" s="43"/>
      <c r="U206" s="43"/>
      <c r="V206" s="44">
        <f t="shared" si="109"/>
        <v>0</v>
      </c>
      <c r="W206" s="44">
        <f t="shared" si="110"/>
        <v>100</v>
      </c>
      <c r="X206" s="29">
        <f t="shared" si="97"/>
        <v>9419.0600000000049</v>
      </c>
      <c r="Y206" s="34">
        <f t="shared" si="98"/>
        <v>14.08671641791045</v>
      </c>
      <c r="Z206" s="64">
        <v>4100</v>
      </c>
      <c r="AA206" s="64">
        <v>2450</v>
      </c>
      <c r="AB206" s="65">
        <v>1650</v>
      </c>
    </row>
    <row r="207" spans="1:28" s="8" customFormat="1" ht="22.5" x14ac:dyDescent="0.2">
      <c r="A207" s="22">
        <v>43000405011993</v>
      </c>
      <c r="B207" s="17" t="s">
        <v>73</v>
      </c>
      <c r="C207" s="14" t="s">
        <v>48</v>
      </c>
      <c r="D207" s="41" t="s">
        <v>123</v>
      </c>
      <c r="E207" s="41">
        <v>1752</v>
      </c>
      <c r="F207" s="41">
        <v>1744</v>
      </c>
      <c r="G207" s="41">
        <v>1744</v>
      </c>
      <c r="H207" s="41">
        <v>1744</v>
      </c>
      <c r="I207" s="41"/>
      <c r="J207" s="41" t="s">
        <v>7</v>
      </c>
      <c r="K207" s="48">
        <f>P207*12</f>
        <v>5035.5599999999995</v>
      </c>
      <c r="L207" s="48">
        <f>+Q207*425</f>
        <v>13068.75</v>
      </c>
      <c r="M207" s="48">
        <v>0</v>
      </c>
      <c r="N207" s="48">
        <f>+P207*2</f>
        <v>839.26</v>
      </c>
      <c r="O207" s="48">
        <f t="shared" si="108"/>
        <v>18943.569999999996</v>
      </c>
      <c r="P207" s="48">
        <v>419.63</v>
      </c>
      <c r="Q207" s="48">
        <v>30.75</v>
      </c>
      <c r="R207" s="43"/>
      <c r="S207" s="43"/>
      <c r="T207" s="43"/>
      <c r="U207" s="43"/>
      <c r="V207" s="44">
        <f t="shared" si="109"/>
        <v>0</v>
      </c>
      <c r="W207" s="44">
        <f t="shared" si="110"/>
        <v>100</v>
      </c>
      <c r="X207" s="29">
        <f t="shared" si="97"/>
        <v>3823.5699999999961</v>
      </c>
      <c r="Y207" s="34">
        <f t="shared" si="98"/>
        <v>10.862138761467888</v>
      </c>
      <c r="Z207" s="64">
        <v>16000</v>
      </c>
      <c r="AA207" s="64">
        <v>10000</v>
      </c>
      <c r="AB207" s="65">
        <v>6000</v>
      </c>
    </row>
    <row r="208" spans="1:28" s="8" customFormat="1" ht="22.5" x14ac:dyDescent="0.2">
      <c r="A208" s="22">
        <v>43000405011993</v>
      </c>
      <c r="B208" s="17" t="s">
        <v>73</v>
      </c>
      <c r="C208" s="14" t="s">
        <v>48</v>
      </c>
      <c r="D208" s="41" t="s">
        <v>123</v>
      </c>
      <c r="E208" s="41">
        <v>1752</v>
      </c>
      <c r="F208" s="41">
        <v>1744</v>
      </c>
      <c r="G208" s="41">
        <v>1744</v>
      </c>
      <c r="H208" s="41">
        <v>1744</v>
      </c>
      <c r="I208" s="41"/>
      <c r="J208" s="41" t="s">
        <v>6</v>
      </c>
      <c r="K208" s="48">
        <f>P208*12</f>
        <v>5887.08</v>
      </c>
      <c r="L208" s="48">
        <f>+Q208*425</f>
        <v>13510.75</v>
      </c>
      <c r="M208" s="48">
        <v>0</v>
      </c>
      <c r="N208" s="48">
        <f t="shared" ref="N208:N210" si="116">+P208*2</f>
        <v>981.18</v>
      </c>
      <c r="O208" s="48">
        <f t="shared" si="108"/>
        <v>20379.010000000002</v>
      </c>
      <c r="P208" s="48">
        <v>490.59</v>
      </c>
      <c r="Q208" s="48">
        <v>31.79</v>
      </c>
      <c r="R208" s="43"/>
      <c r="S208" s="43"/>
      <c r="T208" s="43"/>
      <c r="U208" s="43"/>
      <c r="V208" s="44">
        <f t="shared" si="109"/>
        <v>0</v>
      </c>
      <c r="W208" s="44">
        <f t="shared" si="110"/>
        <v>100</v>
      </c>
      <c r="X208" s="29">
        <f t="shared" si="97"/>
        <v>5259.010000000002</v>
      </c>
      <c r="Y208" s="34">
        <f t="shared" si="98"/>
        <v>11.685212155963304</v>
      </c>
      <c r="Z208" s="64">
        <v>16000</v>
      </c>
      <c r="AA208" s="64">
        <v>10000</v>
      </c>
      <c r="AB208" s="65">
        <v>6000</v>
      </c>
    </row>
    <row r="209" spans="1:28" s="8" customFormat="1" ht="22.5" x14ac:dyDescent="0.2">
      <c r="A209" s="22">
        <v>43000405011993</v>
      </c>
      <c r="B209" s="17" t="s">
        <v>73</v>
      </c>
      <c r="C209" s="14" t="s">
        <v>48</v>
      </c>
      <c r="D209" s="41" t="s">
        <v>123</v>
      </c>
      <c r="E209" s="41">
        <v>1752</v>
      </c>
      <c r="F209" s="41">
        <v>1744</v>
      </c>
      <c r="G209" s="41">
        <v>1744</v>
      </c>
      <c r="H209" s="41">
        <v>1744</v>
      </c>
      <c r="I209" s="41"/>
      <c r="J209" s="41" t="s">
        <v>8</v>
      </c>
      <c r="K209" s="48">
        <f>P209*12</f>
        <v>8017.2000000000007</v>
      </c>
      <c r="L209" s="48">
        <f>+Q209*14</f>
        <v>14570.64</v>
      </c>
      <c r="M209" s="48">
        <v>0</v>
      </c>
      <c r="N209" s="48">
        <f t="shared" si="116"/>
        <v>1336.2</v>
      </c>
      <c r="O209" s="48">
        <f t="shared" si="108"/>
        <v>23924.04</v>
      </c>
      <c r="P209" s="48">
        <v>668.1</v>
      </c>
      <c r="Q209" s="48">
        <v>1040.76</v>
      </c>
      <c r="R209" s="43"/>
      <c r="S209" s="43"/>
      <c r="T209" s="43"/>
      <c r="U209" s="43"/>
      <c r="V209" s="44">
        <f t="shared" si="109"/>
        <v>0</v>
      </c>
      <c r="W209" s="44">
        <f t="shared" si="110"/>
        <v>100</v>
      </c>
      <c r="X209" s="29">
        <f t="shared" si="97"/>
        <v>8804.0400000000009</v>
      </c>
      <c r="Y209" s="34">
        <f t="shared" si="98"/>
        <v>13.717912844036698</v>
      </c>
      <c r="Z209" s="64">
        <v>16000</v>
      </c>
      <c r="AA209" s="64">
        <v>10000</v>
      </c>
      <c r="AB209" s="65">
        <v>6000</v>
      </c>
    </row>
    <row r="210" spans="1:28" s="8" customFormat="1" ht="22.5" x14ac:dyDescent="0.2">
      <c r="A210" s="22">
        <v>43000405011993</v>
      </c>
      <c r="B210" s="17" t="s">
        <v>73</v>
      </c>
      <c r="C210" s="14" t="s">
        <v>48</v>
      </c>
      <c r="D210" s="41" t="s">
        <v>123</v>
      </c>
      <c r="E210" s="41">
        <v>1752</v>
      </c>
      <c r="F210" s="41">
        <v>1744</v>
      </c>
      <c r="G210" s="41">
        <v>1744</v>
      </c>
      <c r="H210" s="41">
        <v>1744</v>
      </c>
      <c r="I210" s="41"/>
      <c r="J210" s="41" t="s">
        <v>9</v>
      </c>
      <c r="K210" s="48">
        <f>P210*12</f>
        <v>10818.84</v>
      </c>
      <c r="L210" s="48">
        <f>+Q210*14</f>
        <v>15782.899999999998</v>
      </c>
      <c r="M210" s="48">
        <v>0</v>
      </c>
      <c r="N210" s="48">
        <f t="shared" si="116"/>
        <v>1803.14</v>
      </c>
      <c r="O210" s="48">
        <f t="shared" si="108"/>
        <v>28404.879999999997</v>
      </c>
      <c r="P210" s="48">
        <v>901.57</v>
      </c>
      <c r="Q210" s="48">
        <v>1127.3499999999999</v>
      </c>
      <c r="R210" s="43"/>
      <c r="S210" s="43"/>
      <c r="T210" s="43"/>
      <c r="U210" s="43"/>
      <c r="V210" s="44">
        <f t="shared" si="109"/>
        <v>0</v>
      </c>
      <c r="W210" s="44">
        <f t="shared" si="110"/>
        <v>100</v>
      </c>
      <c r="X210" s="29">
        <f t="shared" si="97"/>
        <v>13284.879999999997</v>
      </c>
      <c r="Y210" s="34">
        <f t="shared" si="98"/>
        <v>16.287201834862383</v>
      </c>
      <c r="Z210" s="64">
        <v>16000</v>
      </c>
      <c r="AA210" s="64">
        <v>10000</v>
      </c>
      <c r="AB210" s="65">
        <v>6000</v>
      </c>
    </row>
    <row r="211" spans="1:28" s="8" customFormat="1" ht="22.5" x14ac:dyDescent="0.2">
      <c r="A211" s="25">
        <v>38001255011982</v>
      </c>
      <c r="B211" s="17" t="s">
        <v>101</v>
      </c>
      <c r="C211" s="14" t="s">
        <v>50</v>
      </c>
      <c r="D211" s="41" t="s">
        <v>130</v>
      </c>
      <c r="E211" s="41">
        <v>1768</v>
      </c>
      <c r="F211" s="41">
        <v>1768</v>
      </c>
      <c r="G211" s="41">
        <v>1768</v>
      </c>
      <c r="H211" s="41" t="s">
        <v>127</v>
      </c>
      <c r="I211" s="41"/>
      <c r="J211" s="41" t="s">
        <v>7</v>
      </c>
      <c r="K211" s="42">
        <f>+P211*12</f>
        <v>10537.44</v>
      </c>
      <c r="L211" s="42">
        <f>+Q211*12</f>
        <v>2013.72</v>
      </c>
      <c r="M211" s="42">
        <v>0</v>
      </c>
      <c r="N211" s="42">
        <f>(P211*4)+(Q211*4)</f>
        <v>4183.72</v>
      </c>
      <c r="O211" s="42">
        <f>+K211+L211+M211+N211+S211</f>
        <v>16734.88</v>
      </c>
      <c r="P211" s="42">
        <v>878.12</v>
      </c>
      <c r="Q211" s="42">
        <v>167.81</v>
      </c>
      <c r="R211" s="43"/>
      <c r="S211" s="42"/>
      <c r="T211" s="43"/>
      <c r="U211" s="43"/>
      <c r="V211" s="44">
        <f t="shared" si="109"/>
        <v>0</v>
      </c>
      <c r="W211" s="44">
        <f t="shared" si="110"/>
        <v>100</v>
      </c>
      <c r="X211" s="29">
        <f t="shared" si="97"/>
        <v>1614.880000000001</v>
      </c>
      <c r="Y211" s="34">
        <f t="shared" si="98"/>
        <v>9.4654298642533945</v>
      </c>
      <c r="Z211" s="64">
        <v>10000</v>
      </c>
      <c r="AA211" s="64">
        <v>8500</v>
      </c>
      <c r="AB211" s="65">
        <v>1500</v>
      </c>
    </row>
    <row r="212" spans="1:28" s="8" customFormat="1" ht="22.5" x14ac:dyDescent="0.2">
      <c r="A212" s="25">
        <v>38001255011982</v>
      </c>
      <c r="B212" s="17" t="s">
        <v>101</v>
      </c>
      <c r="C212" s="14" t="s">
        <v>50</v>
      </c>
      <c r="D212" s="41" t="s">
        <v>130</v>
      </c>
      <c r="E212" s="41">
        <v>1768</v>
      </c>
      <c r="F212" s="41">
        <v>1768</v>
      </c>
      <c r="G212" s="41">
        <v>1768</v>
      </c>
      <c r="H212" s="41" t="s">
        <v>127</v>
      </c>
      <c r="I212" s="41"/>
      <c r="J212" s="41" t="s">
        <v>6</v>
      </c>
      <c r="K212" s="42">
        <f t="shared" ref="K212:L214" si="117">+P212*12</f>
        <v>11678.76</v>
      </c>
      <c r="L212" s="42">
        <f>+Q212*12</f>
        <v>2226</v>
      </c>
      <c r="M212" s="42">
        <v>0</v>
      </c>
      <c r="N212" s="42">
        <f t="shared" ref="N212:N214" si="118">(P212*4)+(Q212*4)</f>
        <v>4634.92</v>
      </c>
      <c r="O212" s="42">
        <f>+K212+L212+M212+N212+S212</f>
        <v>18539.68</v>
      </c>
      <c r="P212" s="42">
        <v>973.23</v>
      </c>
      <c r="Q212" s="42">
        <v>185.5</v>
      </c>
      <c r="R212" s="43"/>
      <c r="S212" s="42"/>
      <c r="T212" s="43"/>
      <c r="U212" s="43"/>
      <c r="V212" s="44">
        <f t="shared" si="109"/>
        <v>0</v>
      </c>
      <c r="W212" s="44">
        <f t="shared" si="110"/>
        <v>100</v>
      </c>
      <c r="X212" s="29">
        <f t="shared" si="97"/>
        <v>3419.6800000000003</v>
      </c>
      <c r="Y212" s="34">
        <f t="shared" si="98"/>
        <v>10.486244343891403</v>
      </c>
      <c r="Z212" s="64">
        <v>10000</v>
      </c>
      <c r="AA212" s="64">
        <v>8500</v>
      </c>
      <c r="AB212" s="65">
        <v>1500</v>
      </c>
    </row>
    <row r="213" spans="1:28" s="8" customFormat="1" ht="22.5" x14ac:dyDescent="0.2">
      <c r="A213" s="25">
        <v>38001255011982</v>
      </c>
      <c r="B213" s="17" t="s">
        <v>101</v>
      </c>
      <c r="C213" s="14" t="s">
        <v>50</v>
      </c>
      <c r="D213" s="41" t="s">
        <v>130</v>
      </c>
      <c r="E213" s="41">
        <v>1768</v>
      </c>
      <c r="F213" s="41">
        <v>1768</v>
      </c>
      <c r="G213" s="41">
        <v>1768</v>
      </c>
      <c r="H213" s="41" t="s">
        <v>127</v>
      </c>
      <c r="I213" s="41"/>
      <c r="J213" s="41" t="s">
        <v>8</v>
      </c>
      <c r="K213" s="42">
        <f t="shared" si="117"/>
        <v>12497.52</v>
      </c>
      <c r="L213" s="42">
        <f t="shared" si="117"/>
        <v>2379.2400000000002</v>
      </c>
      <c r="M213" s="42">
        <v>0</v>
      </c>
      <c r="N213" s="42">
        <f t="shared" si="118"/>
        <v>4958.92</v>
      </c>
      <c r="O213" s="42">
        <f>+K213+L213+M213+N213+S213</f>
        <v>19835.68</v>
      </c>
      <c r="P213" s="42">
        <v>1041.46</v>
      </c>
      <c r="Q213" s="42">
        <v>198.27</v>
      </c>
      <c r="R213" s="43"/>
      <c r="S213" s="42"/>
      <c r="T213" s="43"/>
      <c r="U213" s="43"/>
      <c r="V213" s="44">
        <f t="shared" si="109"/>
        <v>0</v>
      </c>
      <c r="W213" s="44">
        <f t="shared" si="110"/>
        <v>100</v>
      </c>
      <c r="X213" s="29">
        <f t="shared" si="97"/>
        <v>4715.68</v>
      </c>
      <c r="Y213" s="34">
        <f t="shared" si="98"/>
        <v>11.219276018099547</v>
      </c>
      <c r="Z213" s="64">
        <v>10000</v>
      </c>
      <c r="AA213" s="64">
        <v>8500</v>
      </c>
      <c r="AB213" s="65">
        <v>1500</v>
      </c>
    </row>
    <row r="214" spans="1:28" s="8" customFormat="1" ht="22.5" x14ac:dyDescent="0.2">
      <c r="A214" s="25">
        <v>38001255011982</v>
      </c>
      <c r="B214" s="17" t="s">
        <v>101</v>
      </c>
      <c r="C214" s="14" t="s">
        <v>50</v>
      </c>
      <c r="D214" s="41" t="s">
        <v>130</v>
      </c>
      <c r="E214" s="41">
        <v>1768</v>
      </c>
      <c r="F214" s="41">
        <v>1768</v>
      </c>
      <c r="G214" s="41">
        <v>1768</v>
      </c>
      <c r="H214" s="41" t="s">
        <v>127</v>
      </c>
      <c r="I214" s="41"/>
      <c r="J214" s="41" t="s">
        <v>9</v>
      </c>
      <c r="K214" s="42">
        <f t="shared" si="117"/>
        <v>17079</v>
      </c>
      <c r="L214" s="42">
        <f t="shared" si="117"/>
        <v>3234</v>
      </c>
      <c r="M214" s="42">
        <v>0</v>
      </c>
      <c r="N214" s="42">
        <f t="shared" si="118"/>
        <v>6771</v>
      </c>
      <c r="O214" s="42">
        <f>+K214+L214+M214+N214+S214</f>
        <v>27084</v>
      </c>
      <c r="P214" s="42">
        <v>1423.25</v>
      </c>
      <c r="Q214" s="42">
        <v>269.5</v>
      </c>
      <c r="R214" s="43"/>
      <c r="S214" s="42"/>
      <c r="T214" s="43"/>
      <c r="U214" s="43"/>
      <c r="V214" s="44">
        <f t="shared" si="109"/>
        <v>0</v>
      </c>
      <c r="W214" s="44">
        <f t="shared" si="110"/>
        <v>100</v>
      </c>
      <c r="X214" s="29">
        <f t="shared" si="97"/>
        <v>11964</v>
      </c>
      <c r="Y214" s="34">
        <f t="shared" si="98"/>
        <v>15.319004524886878</v>
      </c>
      <c r="Z214" s="64">
        <v>10000</v>
      </c>
      <c r="AA214" s="64">
        <v>8500</v>
      </c>
      <c r="AB214" s="65">
        <v>1500</v>
      </c>
    </row>
    <row r="215" spans="1:28" s="8" customFormat="1" ht="33.75" x14ac:dyDescent="0.2">
      <c r="A215" s="25">
        <v>44000235011981</v>
      </c>
      <c r="B215" s="17" t="s">
        <v>103</v>
      </c>
      <c r="C215" s="14" t="s">
        <v>102</v>
      </c>
      <c r="D215" s="41" t="s">
        <v>129</v>
      </c>
      <c r="E215" s="41">
        <v>1758</v>
      </c>
      <c r="F215" s="41">
        <v>1758</v>
      </c>
      <c r="G215" s="41" t="s">
        <v>127</v>
      </c>
      <c r="H215" s="41" t="s">
        <v>127</v>
      </c>
      <c r="I215" s="41"/>
      <c r="J215" s="41" t="s">
        <v>7</v>
      </c>
      <c r="K215" s="42">
        <f>+P215*365</f>
        <v>15016.1</v>
      </c>
      <c r="L215" s="42">
        <f t="shared" ref="L215:L220" si="119">+Q215*299</f>
        <v>2039.18</v>
      </c>
      <c r="M215" s="42">
        <f>+R215*226</f>
        <v>0</v>
      </c>
      <c r="N215" s="42">
        <f>+P215*60</f>
        <v>2468.4</v>
      </c>
      <c r="O215" s="42">
        <f t="shared" ref="O215:O231" si="120">+K215+L215+M215+N215</f>
        <v>19523.68</v>
      </c>
      <c r="P215" s="42">
        <v>41.14</v>
      </c>
      <c r="Q215" s="42">
        <v>6.82</v>
      </c>
      <c r="R215" s="43"/>
      <c r="S215" s="43"/>
      <c r="T215" s="43"/>
      <c r="U215" s="43"/>
      <c r="V215" s="44">
        <f t="shared" si="109"/>
        <v>0</v>
      </c>
      <c r="W215" s="44">
        <f t="shared" si="110"/>
        <v>100</v>
      </c>
      <c r="X215" s="29">
        <f t="shared" si="97"/>
        <v>4403.68</v>
      </c>
      <c r="Y215" s="34">
        <f t="shared" si="98"/>
        <v>11.105620022753129</v>
      </c>
      <c r="Z215" s="64">
        <v>4500</v>
      </c>
      <c r="AA215" s="64">
        <v>4000</v>
      </c>
      <c r="AB215" s="65">
        <v>500</v>
      </c>
    </row>
    <row r="216" spans="1:28" s="8" customFormat="1" ht="33.75" x14ac:dyDescent="0.2">
      <c r="A216" s="25">
        <v>44000235011981</v>
      </c>
      <c r="B216" s="17" t="s">
        <v>103</v>
      </c>
      <c r="C216" s="14" t="s">
        <v>49</v>
      </c>
      <c r="D216" s="41" t="s">
        <v>129</v>
      </c>
      <c r="E216" s="41">
        <v>1758</v>
      </c>
      <c r="F216" s="41">
        <v>1758</v>
      </c>
      <c r="G216" s="41" t="s">
        <v>127</v>
      </c>
      <c r="H216" s="41" t="s">
        <v>127</v>
      </c>
      <c r="I216" s="41"/>
      <c r="J216" s="41" t="s">
        <v>6</v>
      </c>
      <c r="K216" s="42">
        <f>+P216*365</f>
        <v>16476.099999999999</v>
      </c>
      <c r="L216" s="42">
        <f t="shared" si="119"/>
        <v>2039.18</v>
      </c>
      <c r="M216" s="42">
        <f>+R216*226</f>
        <v>0</v>
      </c>
      <c r="N216" s="42">
        <f>+P216*60</f>
        <v>2708.4</v>
      </c>
      <c r="O216" s="42">
        <f t="shared" si="120"/>
        <v>21223.68</v>
      </c>
      <c r="P216" s="42">
        <v>45.14</v>
      </c>
      <c r="Q216" s="42">
        <v>6.82</v>
      </c>
      <c r="R216" s="43"/>
      <c r="S216" s="43"/>
      <c r="T216" s="43"/>
      <c r="U216" s="43"/>
      <c r="V216" s="44">
        <f t="shared" si="109"/>
        <v>0</v>
      </c>
      <c r="W216" s="44">
        <f t="shared" si="110"/>
        <v>100</v>
      </c>
      <c r="X216" s="29">
        <f t="shared" si="97"/>
        <v>6103.68</v>
      </c>
      <c r="Y216" s="34">
        <f t="shared" si="98"/>
        <v>12.072627986348124</v>
      </c>
      <c r="Z216" s="64">
        <v>4500</v>
      </c>
      <c r="AA216" s="64">
        <v>4000</v>
      </c>
      <c r="AB216" s="65">
        <v>500</v>
      </c>
    </row>
    <row r="217" spans="1:28" s="8" customFormat="1" ht="33.75" x14ac:dyDescent="0.2">
      <c r="A217" s="25">
        <v>44000235011981</v>
      </c>
      <c r="B217" s="17" t="s">
        <v>103</v>
      </c>
      <c r="C217" s="14" t="s">
        <v>49</v>
      </c>
      <c r="D217" s="41" t="s">
        <v>129</v>
      </c>
      <c r="E217" s="41">
        <v>1758</v>
      </c>
      <c r="F217" s="41">
        <v>1758</v>
      </c>
      <c r="G217" s="41" t="s">
        <v>127</v>
      </c>
      <c r="H217" s="41" t="s">
        <v>127</v>
      </c>
      <c r="I217" s="41"/>
      <c r="J217" s="41" t="s">
        <v>8</v>
      </c>
      <c r="K217" s="42">
        <f>+P217*12</f>
        <v>17796.72</v>
      </c>
      <c r="L217" s="42">
        <f t="shared" si="119"/>
        <v>2039.18</v>
      </c>
      <c r="M217" s="42">
        <f>+R217*226</f>
        <v>0</v>
      </c>
      <c r="N217" s="42">
        <f>+P217*2</f>
        <v>2966.12</v>
      </c>
      <c r="O217" s="42">
        <f t="shared" si="120"/>
        <v>22802.02</v>
      </c>
      <c r="P217" s="42">
        <v>1483.06</v>
      </c>
      <c r="Q217" s="42">
        <v>6.82</v>
      </c>
      <c r="R217" s="43"/>
      <c r="S217" s="43"/>
      <c r="T217" s="43"/>
      <c r="U217" s="43"/>
      <c r="V217" s="44">
        <f t="shared" si="109"/>
        <v>0</v>
      </c>
      <c r="W217" s="44">
        <f t="shared" si="110"/>
        <v>100</v>
      </c>
      <c r="X217" s="29">
        <f t="shared" si="97"/>
        <v>7682.02</v>
      </c>
      <c r="Y217" s="34">
        <f t="shared" si="98"/>
        <v>12.970432309442549</v>
      </c>
      <c r="Z217" s="64">
        <v>4500</v>
      </c>
      <c r="AA217" s="64">
        <v>4000</v>
      </c>
      <c r="AB217" s="65">
        <v>500</v>
      </c>
    </row>
    <row r="218" spans="1:28" s="8" customFormat="1" ht="33.75" x14ac:dyDescent="0.2">
      <c r="A218" s="25">
        <v>44000235011981</v>
      </c>
      <c r="B218" s="17" t="s">
        <v>103</v>
      </c>
      <c r="C218" s="14" t="s">
        <v>49</v>
      </c>
      <c r="D218" s="41" t="s">
        <v>129</v>
      </c>
      <c r="E218" s="41">
        <v>1758</v>
      </c>
      <c r="F218" s="41">
        <v>1758</v>
      </c>
      <c r="G218" s="41" t="s">
        <v>127</v>
      </c>
      <c r="H218" s="41" t="s">
        <v>127</v>
      </c>
      <c r="I218" s="41"/>
      <c r="J218" s="41" t="s">
        <v>9</v>
      </c>
      <c r="K218" s="42">
        <f>+P218*12</f>
        <v>24732.840000000004</v>
      </c>
      <c r="L218" s="42">
        <f t="shared" si="119"/>
        <v>2039.18</v>
      </c>
      <c r="M218" s="42">
        <f>+R218*226</f>
        <v>0</v>
      </c>
      <c r="N218" s="42">
        <f>+P218*2</f>
        <v>4122.1400000000003</v>
      </c>
      <c r="O218" s="42">
        <f t="shared" si="120"/>
        <v>30894.160000000003</v>
      </c>
      <c r="P218" s="42">
        <v>2061.0700000000002</v>
      </c>
      <c r="Q218" s="42">
        <v>6.82</v>
      </c>
      <c r="R218" s="43"/>
      <c r="S218" s="43"/>
      <c r="T218" s="43"/>
      <c r="U218" s="43"/>
      <c r="V218" s="44">
        <f t="shared" si="109"/>
        <v>0</v>
      </c>
      <c r="W218" s="44">
        <f t="shared" si="110"/>
        <v>100</v>
      </c>
      <c r="X218" s="29">
        <f t="shared" si="97"/>
        <v>15774.160000000003</v>
      </c>
      <c r="Y218" s="34">
        <f t="shared" si="98"/>
        <v>17.573469852104665</v>
      </c>
      <c r="Z218" s="64">
        <v>4500</v>
      </c>
      <c r="AA218" s="64">
        <v>4000</v>
      </c>
      <c r="AB218" s="65">
        <v>500</v>
      </c>
    </row>
    <row r="219" spans="1:28" s="8" customFormat="1" ht="22.5" x14ac:dyDescent="0.2">
      <c r="A219" s="26">
        <v>45000305011981</v>
      </c>
      <c r="B219" s="17" t="s">
        <v>96</v>
      </c>
      <c r="C219" s="14" t="s">
        <v>51</v>
      </c>
      <c r="D219" s="41" t="s">
        <v>120</v>
      </c>
      <c r="E219" s="41">
        <v>1760</v>
      </c>
      <c r="F219" s="41">
        <v>1760</v>
      </c>
      <c r="G219" s="41">
        <v>1760</v>
      </c>
      <c r="H219" s="41" t="s">
        <v>127</v>
      </c>
      <c r="I219" s="41"/>
      <c r="J219" s="41" t="s">
        <v>7</v>
      </c>
      <c r="K219" s="42">
        <f>+P219*365</f>
        <v>14019.65</v>
      </c>
      <c r="L219" s="42">
        <f t="shared" si="119"/>
        <v>1303.6400000000001</v>
      </c>
      <c r="M219" s="42">
        <f>+R219*299</f>
        <v>0</v>
      </c>
      <c r="N219" s="42">
        <f>60*P219+S219</f>
        <v>2934.6499999999996</v>
      </c>
      <c r="O219" s="42">
        <f t="shared" si="120"/>
        <v>18257.939999999999</v>
      </c>
      <c r="P219" s="42">
        <v>38.409999999999997</v>
      </c>
      <c r="Q219" s="42">
        <v>4.3600000000000003</v>
      </c>
      <c r="R219" s="43"/>
      <c r="S219" s="42">
        <v>630.04999999999995</v>
      </c>
      <c r="T219" s="43"/>
      <c r="U219" s="43"/>
      <c r="V219" s="44">
        <f t="shared" si="109"/>
        <v>0</v>
      </c>
      <c r="W219" s="44">
        <f t="shared" si="110"/>
        <v>100</v>
      </c>
      <c r="X219" s="29">
        <f t="shared" si="97"/>
        <v>3137.9399999999987</v>
      </c>
      <c r="Y219" s="34">
        <f t="shared" si="98"/>
        <v>10.373829545454544</v>
      </c>
      <c r="Z219" s="64">
        <v>12556</v>
      </c>
      <c r="AA219" s="64">
        <v>9556</v>
      </c>
      <c r="AB219" s="65">
        <v>3000</v>
      </c>
    </row>
    <row r="220" spans="1:28" s="8" customFormat="1" ht="22.5" x14ac:dyDescent="0.2">
      <c r="A220" s="26">
        <v>45000305011981</v>
      </c>
      <c r="B220" s="17" t="s">
        <v>96</v>
      </c>
      <c r="C220" s="14" t="s">
        <v>51</v>
      </c>
      <c r="D220" s="41" t="s">
        <v>120</v>
      </c>
      <c r="E220" s="41">
        <v>1760</v>
      </c>
      <c r="F220" s="41">
        <v>1760</v>
      </c>
      <c r="G220" s="41">
        <v>1760</v>
      </c>
      <c r="H220" s="41" t="s">
        <v>127</v>
      </c>
      <c r="I220" s="41"/>
      <c r="J220" s="41" t="s">
        <v>6</v>
      </c>
      <c r="K220" s="42">
        <f>+P220*365</f>
        <v>15976.050000000001</v>
      </c>
      <c r="L220" s="42">
        <f t="shared" si="119"/>
        <v>1369.42</v>
      </c>
      <c r="M220" s="42">
        <f>+R220*299</f>
        <v>0</v>
      </c>
      <c r="N220" s="42">
        <f>60*P220+S220</f>
        <v>3256.25</v>
      </c>
      <c r="O220" s="42">
        <f t="shared" si="120"/>
        <v>20601.72</v>
      </c>
      <c r="P220" s="42">
        <v>43.77</v>
      </c>
      <c r="Q220" s="42">
        <v>4.58</v>
      </c>
      <c r="R220" s="43"/>
      <c r="S220" s="42">
        <v>630.04999999999995</v>
      </c>
      <c r="T220" s="43"/>
      <c r="U220" s="43"/>
      <c r="V220" s="44">
        <f t="shared" si="109"/>
        <v>0</v>
      </c>
      <c r="W220" s="44">
        <f t="shared" si="110"/>
        <v>100</v>
      </c>
      <c r="X220" s="29">
        <f t="shared" si="97"/>
        <v>5481.7200000000012</v>
      </c>
      <c r="Y220" s="34">
        <f t="shared" si="98"/>
        <v>11.705522727272728</v>
      </c>
      <c r="Z220" s="64">
        <v>12556</v>
      </c>
      <c r="AA220" s="64">
        <v>9556</v>
      </c>
      <c r="AB220" s="65">
        <v>3000</v>
      </c>
    </row>
    <row r="221" spans="1:28" s="8" customFormat="1" ht="22.5" x14ac:dyDescent="0.2">
      <c r="A221" s="26">
        <v>45000305011981</v>
      </c>
      <c r="B221" s="17" t="s">
        <v>96</v>
      </c>
      <c r="C221" s="14" t="s">
        <v>51</v>
      </c>
      <c r="D221" s="41" t="s">
        <v>120</v>
      </c>
      <c r="E221" s="41">
        <v>1760</v>
      </c>
      <c r="F221" s="41">
        <v>1760</v>
      </c>
      <c r="G221" s="41">
        <v>1760</v>
      </c>
      <c r="H221" s="41" t="s">
        <v>127</v>
      </c>
      <c r="I221" s="41"/>
      <c r="J221" s="41" t="s">
        <v>8</v>
      </c>
      <c r="K221" s="42">
        <f>+P221*12</f>
        <v>16135.68</v>
      </c>
      <c r="L221" s="42">
        <f>+Q221*12</f>
        <v>1364.8799999999999</v>
      </c>
      <c r="M221" s="42">
        <f>+R221*225</f>
        <v>0</v>
      </c>
      <c r="N221" s="42">
        <f>2*P221+S221</f>
        <v>3319.33</v>
      </c>
      <c r="O221" s="42">
        <f t="shared" si="120"/>
        <v>20819.89</v>
      </c>
      <c r="P221" s="42">
        <v>1344.64</v>
      </c>
      <c r="Q221" s="42">
        <v>113.74</v>
      </c>
      <c r="R221" s="43"/>
      <c r="S221" s="42">
        <v>630.04999999999995</v>
      </c>
      <c r="T221" s="43"/>
      <c r="U221" s="43"/>
      <c r="V221" s="44">
        <f t="shared" si="109"/>
        <v>0</v>
      </c>
      <c r="W221" s="44">
        <f t="shared" si="110"/>
        <v>100</v>
      </c>
      <c r="X221" s="29">
        <f t="shared" ref="X221:X242" si="121">O221-15120</f>
        <v>5699.8899999999994</v>
      </c>
      <c r="Y221" s="34">
        <f t="shared" ref="Y221:Y242" si="122">O221/F221</f>
        <v>11.829482954545455</v>
      </c>
      <c r="Z221" s="64">
        <v>12556</v>
      </c>
      <c r="AA221" s="64">
        <v>9556</v>
      </c>
      <c r="AB221" s="65">
        <v>3000</v>
      </c>
    </row>
    <row r="222" spans="1:28" s="8" customFormat="1" ht="22.5" x14ac:dyDescent="0.2">
      <c r="A222" s="26">
        <v>45000305011981</v>
      </c>
      <c r="B222" s="17" t="s">
        <v>96</v>
      </c>
      <c r="C222" s="14" t="s">
        <v>51</v>
      </c>
      <c r="D222" s="41" t="s">
        <v>120</v>
      </c>
      <c r="E222" s="41">
        <v>1760</v>
      </c>
      <c r="F222" s="41">
        <v>1760</v>
      </c>
      <c r="G222" s="41">
        <v>1760</v>
      </c>
      <c r="H222" s="41" t="s">
        <v>127</v>
      </c>
      <c r="I222" s="41"/>
      <c r="J222" s="41" t="s">
        <v>9</v>
      </c>
      <c r="K222" s="42">
        <f>+P222*12</f>
        <v>21846.239999999998</v>
      </c>
      <c r="L222" s="42">
        <f>+Q222*12</f>
        <v>1866.72</v>
      </c>
      <c r="M222" s="42">
        <f>+R222*225</f>
        <v>0</v>
      </c>
      <c r="N222" s="42">
        <f>2*P222+S222</f>
        <v>4271.09</v>
      </c>
      <c r="O222" s="42">
        <f t="shared" si="120"/>
        <v>27984.05</v>
      </c>
      <c r="P222" s="42">
        <v>1820.52</v>
      </c>
      <c r="Q222" s="42">
        <v>155.56</v>
      </c>
      <c r="R222" s="43"/>
      <c r="S222" s="42">
        <v>630.04999999999995</v>
      </c>
      <c r="T222" s="43"/>
      <c r="U222" s="43"/>
      <c r="V222" s="44">
        <f t="shared" si="109"/>
        <v>0</v>
      </c>
      <c r="W222" s="44">
        <f t="shared" si="110"/>
        <v>100</v>
      </c>
      <c r="X222" s="29">
        <f t="shared" si="121"/>
        <v>12864.05</v>
      </c>
      <c r="Y222" s="34">
        <f t="shared" si="122"/>
        <v>15.900028409090909</v>
      </c>
      <c r="Z222" s="64">
        <v>12556</v>
      </c>
      <c r="AA222" s="64">
        <v>9556</v>
      </c>
      <c r="AB222" s="65">
        <v>3000</v>
      </c>
    </row>
    <row r="223" spans="1:28" s="8" customFormat="1" ht="33.75" x14ac:dyDescent="0.2">
      <c r="A223" s="26">
        <v>46000105011981</v>
      </c>
      <c r="B223" s="17" t="s">
        <v>104</v>
      </c>
      <c r="C223" s="14" t="s">
        <v>52</v>
      </c>
      <c r="D223" s="41" t="s">
        <v>121</v>
      </c>
      <c r="E223" s="41">
        <v>1752</v>
      </c>
      <c r="F223" s="41">
        <v>1752</v>
      </c>
      <c r="G223" s="41">
        <v>1752</v>
      </c>
      <c r="H223" s="41">
        <v>1752</v>
      </c>
      <c r="I223" s="41"/>
      <c r="J223" s="41" t="s">
        <v>7</v>
      </c>
      <c r="K223" s="42">
        <f>+P223*365</f>
        <v>14913.9</v>
      </c>
      <c r="L223" s="42">
        <f>+Q223*299</f>
        <v>1982.37</v>
      </c>
      <c r="M223" s="42">
        <v>0</v>
      </c>
      <c r="N223" s="42">
        <f>60*P223+S223</f>
        <v>3146.22</v>
      </c>
      <c r="O223" s="42">
        <f t="shared" si="120"/>
        <v>20042.490000000002</v>
      </c>
      <c r="P223" s="42">
        <v>40.86</v>
      </c>
      <c r="Q223" s="42">
        <v>6.63</v>
      </c>
      <c r="R223" s="43"/>
      <c r="S223" s="42">
        <v>694.62</v>
      </c>
      <c r="T223" s="43"/>
      <c r="U223" s="43"/>
      <c r="V223" s="44">
        <f t="shared" ref="V223:V242" si="123">+M223/O223*100</f>
        <v>0</v>
      </c>
      <c r="W223" s="44">
        <f t="shared" ref="W223:W242" si="124">(K223+L223+N223)/O223*100</f>
        <v>100</v>
      </c>
      <c r="X223" s="29">
        <f t="shared" si="121"/>
        <v>4922.4900000000016</v>
      </c>
      <c r="Y223" s="34">
        <f t="shared" si="122"/>
        <v>11.439777397260276</v>
      </c>
      <c r="Z223" s="64">
        <v>85331</v>
      </c>
      <c r="AA223" s="64">
        <v>70824</v>
      </c>
      <c r="AB223" s="65">
        <v>14507</v>
      </c>
    </row>
    <row r="224" spans="1:28" s="8" customFormat="1" ht="33.75" x14ac:dyDescent="0.2">
      <c r="A224" s="26">
        <v>46000105011981</v>
      </c>
      <c r="B224" s="17" t="s">
        <v>104</v>
      </c>
      <c r="C224" s="14" t="s">
        <v>52</v>
      </c>
      <c r="D224" s="41" t="s">
        <v>121</v>
      </c>
      <c r="E224" s="41">
        <v>1752</v>
      </c>
      <c r="F224" s="41">
        <v>1752</v>
      </c>
      <c r="G224" s="41">
        <v>1752</v>
      </c>
      <c r="H224" s="41">
        <v>1752</v>
      </c>
      <c r="I224" s="41"/>
      <c r="J224" s="41" t="s">
        <v>6</v>
      </c>
      <c r="K224" s="42">
        <f>+P224*365</f>
        <v>16133.000000000002</v>
      </c>
      <c r="L224" s="42">
        <f>+Q224*299</f>
        <v>1898.6499999999999</v>
      </c>
      <c r="M224" s="42">
        <v>0</v>
      </c>
      <c r="N224" s="42">
        <f>60*P224+S224</f>
        <v>3403.4</v>
      </c>
      <c r="O224" s="42">
        <f t="shared" si="120"/>
        <v>21435.050000000003</v>
      </c>
      <c r="P224" s="42">
        <v>44.2</v>
      </c>
      <c r="Q224" s="42">
        <v>6.35</v>
      </c>
      <c r="R224" s="43"/>
      <c r="S224" s="42">
        <v>751.4</v>
      </c>
      <c r="T224" s="43"/>
      <c r="U224" s="43"/>
      <c r="V224" s="44">
        <f t="shared" si="123"/>
        <v>0</v>
      </c>
      <c r="W224" s="44">
        <f t="shared" si="124"/>
        <v>100</v>
      </c>
      <c r="X224" s="29">
        <f t="shared" si="121"/>
        <v>6315.0500000000029</v>
      </c>
      <c r="Y224" s="34">
        <f t="shared" si="122"/>
        <v>12.234617579908678</v>
      </c>
      <c r="Z224" s="64">
        <v>85331</v>
      </c>
      <c r="AA224" s="64">
        <v>70824</v>
      </c>
      <c r="AB224" s="65">
        <v>14507</v>
      </c>
    </row>
    <row r="225" spans="1:28" s="8" customFormat="1" ht="33.75" x14ac:dyDescent="0.2">
      <c r="A225" s="26">
        <v>46000105011981</v>
      </c>
      <c r="B225" s="17" t="s">
        <v>104</v>
      </c>
      <c r="C225" s="14" t="s">
        <v>52</v>
      </c>
      <c r="D225" s="41" t="s">
        <v>121</v>
      </c>
      <c r="E225" s="41">
        <v>1752</v>
      </c>
      <c r="F225" s="41">
        <v>1752</v>
      </c>
      <c r="G225" s="41">
        <v>1752</v>
      </c>
      <c r="H225" s="41">
        <v>1752</v>
      </c>
      <c r="I225" s="41"/>
      <c r="J225" s="41" t="s">
        <v>8</v>
      </c>
      <c r="K225" s="42">
        <f>+P225*12</f>
        <v>15745.560000000001</v>
      </c>
      <c r="L225" s="42">
        <f>+Q225*12+R225</f>
        <v>2602.64</v>
      </c>
      <c r="M225" s="42">
        <v>0</v>
      </c>
      <c r="N225" s="42">
        <f>2*P225+S225</f>
        <v>3357.61</v>
      </c>
      <c r="O225" s="42">
        <f t="shared" si="120"/>
        <v>21705.81</v>
      </c>
      <c r="P225" s="42">
        <v>1312.13</v>
      </c>
      <c r="Q225" s="42">
        <v>158.25</v>
      </c>
      <c r="R225" s="42">
        <v>703.64</v>
      </c>
      <c r="S225" s="42">
        <v>733.35</v>
      </c>
      <c r="T225" s="43"/>
      <c r="U225" s="43"/>
      <c r="V225" s="44">
        <f t="shared" si="123"/>
        <v>0</v>
      </c>
      <c r="W225" s="44">
        <f t="shared" si="124"/>
        <v>100</v>
      </c>
      <c r="X225" s="29">
        <f t="shared" si="121"/>
        <v>6585.8100000000013</v>
      </c>
      <c r="Y225" s="34">
        <f t="shared" si="122"/>
        <v>12.38916095890411</v>
      </c>
      <c r="Z225" s="64">
        <v>85331</v>
      </c>
      <c r="AA225" s="64">
        <v>70824</v>
      </c>
      <c r="AB225" s="65">
        <v>14507</v>
      </c>
    </row>
    <row r="226" spans="1:28" s="8" customFormat="1" ht="33.75" x14ac:dyDescent="0.2">
      <c r="A226" s="26">
        <v>46000105011981</v>
      </c>
      <c r="B226" s="17" t="s">
        <v>104</v>
      </c>
      <c r="C226" s="14" t="s">
        <v>52</v>
      </c>
      <c r="D226" s="41" t="s">
        <v>121</v>
      </c>
      <c r="E226" s="41">
        <v>1752</v>
      </c>
      <c r="F226" s="41">
        <v>1752</v>
      </c>
      <c r="G226" s="41">
        <v>1752</v>
      </c>
      <c r="H226" s="41">
        <v>1752</v>
      </c>
      <c r="I226" s="41"/>
      <c r="J226" s="41" t="s">
        <v>9</v>
      </c>
      <c r="K226" s="42">
        <f>+P226*12</f>
        <v>25542</v>
      </c>
      <c r="L226" s="42">
        <f>+Q226*12</f>
        <v>1661.3999999999999</v>
      </c>
      <c r="M226" s="42">
        <v>0</v>
      </c>
      <c r="N226" s="42">
        <f>2*P226+S226</f>
        <v>5446.62</v>
      </c>
      <c r="O226" s="42">
        <f t="shared" si="120"/>
        <v>32650.02</v>
      </c>
      <c r="P226" s="42">
        <v>2128.5</v>
      </c>
      <c r="Q226" s="42">
        <v>138.44999999999999</v>
      </c>
      <c r="R226" s="43"/>
      <c r="S226" s="42">
        <v>1189.6199999999999</v>
      </c>
      <c r="T226" s="43"/>
      <c r="U226" s="43"/>
      <c r="V226" s="44">
        <f t="shared" si="123"/>
        <v>0</v>
      </c>
      <c r="W226" s="44">
        <f t="shared" si="124"/>
        <v>100</v>
      </c>
      <c r="X226" s="29">
        <f t="shared" si="121"/>
        <v>17530.02</v>
      </c>
      <c r="Y226" s="34">
        <f t="shared" si="122"/>
        <v>18.635856164383561</v>
      </c>
      <c r="Z226" s="64">
        <v>85331</v>
      </c>
      <c r="AA226" s="64">
        <v>70824</v>
      </c>
      <c r="AB226" s="65">
        <v>14507</v>
      </c>
    </row>
    <row r="227" spans="1:28" s="8" customFormat="1" ht="22.5" x14ac:dyDescent="0.2">
      <c r="A227" s="26">
        <v>47000455011981</v>
      </c>
      <c r="B227" s="17" t="s">
        <v>73</v>
      </c>
      <c r="C227" s="14" t="s">
        <v>53</v>
      </c>
      <c r="D227" s="41" t="s">
        <v>117</v>
      </c>
      <c r="E227" s="41">
        <v>1744</v>
      </c>
      <c r="F227" s="41">
        <v>1744</v>
      </c>
      <c r="G227" s="41">
        <v>1744</v>
      </c>
      <c r="H227" s="41">
        <v>1744</v>
      </c>
      <c r="I227" s="41"/>
      <c r="J227" s="41" t="s">
        <v>7</v>
      </c>
      <c r="K227" s="42">
        <f>+P227*365</f>
        <v>9570.2999999999993</v>
      </c>
      <c r="L227" s="42">
        <f>+Q227*365</f>
        <v>6051.7</v>
      </c>
      <c r="M227" s="42">
        <f>+R227*299</f>
        <v>0</v>
      </c>
      <c r="N227" s="42">
        <f>60*P227+60*Q227</f>
        <v>2568</v>
      </c>
      <c r="O227" s="42">
        <f t="shared" si="120"/>
        <v>18190</v>
      </c>
      <c r="P227" s="42">
        <v>26.22</v>
      </c>
      <c r="Q227" s="42">
        <v>16.579999999999998</v>
      </c>
      <c r="R227" s="43"/>
      <c r="S227" s="43"/>
      <c r="T227" s="43"/>
      <c r="U227" s="43"/>
      <c r="V227" s="44">
        <f t="shared" si="123"/>
        <v>0</v>
      </c>
      <c r="W227" s="44">
        <f t="shared" si="124"/>
        <v>100</v>
      </c>
      <c r="X227" s="29">
        <f t="shared" si="121"/>
        <v>3070</v>
      </c>
      <c r="Y227" s="34">
        <f t="shared" si="122"/>
        <v>10.430045871559633</v>
      </c>
      <c r="Z227" s="64">
        <v>20000</v>
      </c>
      <c r="AA227" s="64">
        <v>15000</v>
      </c>
      <c r="AB227" s="65">
        <v>5000</v>
      </c>
    </row>
    <row r="228" spans="1:28" s="8" customFormat="1" ht="22.5" x14ac:dyDescent="0.2">
      <c r="A228" s="26">
        <v>47000455011981</v>
      </c>
      <c r="B228" s="17" t="s">
        <v>73</v>
      </c>
      <c r="C228" s="14" t="s">
        <v>53</v>
      </c>
      <c r="D228" s="41" t="s">
        <v>117</v>
      </c>
      <c r="E228" s="41">
        <v>1744</v>
      </c>
      <c r="F228" s="41">
        <v>1744</v>
      </c>
      <c r="G228" s="41">
        <v>1744</v>
      </c>
      <c r="H228" s="41">
        <v>1744</v>
      </c>
      <c r="I228" s="41"/>
      <c r="J228" s="41" t="s">
        <v>6</v>
      </c>
      <c r="K228" s="42">
        <f>+P228*365</f>
        <v>9723.6</v>
      </c>
      <c r="L228" s="42">
        <f>+Q228*365</f>
        <v>7891.3</v>
      </c>
      <c r="M228" s="42">
        <f>+R228*299</f>
        <v>0</v>
      </c>
      <c r="N228" s="42">
        <f>60*P228+60*Q228</f>
        <v>2895.6000000000004</v>
      </c>
      <c r="O228" s="42">
        <f t="shared" si="120"/>
        <v>20510.5</v>
      </c>
      <c r="P228" s="42">
        <v>26.64</v>
      </c>
      <c r="Q228" s="42">
        <v>21.62</v>
      </c>
      <c r="R228" s="43"/>
      <c r="S228" s="43"/>
      <c r="T228" s="43"/>
      <c r="U228" s="43"/>
      <c r="V228" s="44">
        <f t="shared" si="123"/>
        <v>0</v>
      </c>
      <c r="W228" s="44">
        <f t="shared" si="124"/>
        <v>100</v>
      </c>
      <c r="X228" s="29">
        <f t="shared" si="121"/>
        <v>5390.5</v>
      </c>
      <c r="Y228" s="34">
        <f t="shared" si="122"/>
        <v>11.760607798165138</v>
      </c>
      <c r="Z228" s="64">
        <v>20000</v>
      </c>
      <c r="AA228" s="64">
        <v>15000</v>
      </c>
      <c r="AB228" s="65">
        <v>5000</v>
      </c>
    </row>
    <row r="229" spans="1:28" s="8" customFormat="1" ht="22.5" x14ac:dyDescent="0.2">
      <c r="A229" s="26">
        <v>47000455011981</v>
      </c>
      <c r="B229" s="17" t="s">
        <v>73</v>
      </c>
      <c r="C229" s="14" t="s">
        <v>53</v>
      </c>
      <c r="D229" s="41" t="s">
        <v>117</v>
      </c>
      <c r="E229" s="41">
        <v>1744</v>
      </c>
      <c r="F229" s="41">
        <v>1744</v>
      </c>
      <c r="G229" s="41">
        <v>1744</v>
      </c>
      <c r="H229" s="41">
        <v>1744</v>
      </c>
      <c r="I229" s="41"/>
      <c r="J229" s="41" t="s">
        <v>8</v>
      </c>
      <c r="K229" s="42">
        <f>+P229*12</f>
        <v>9705.5999999999985</v>
      </c>
      <c r="L229" s="42">
        <f>+Q229*12</f>
        <v>9247.2000000000007</v>
      </c>
      <c r="M229" s="42">
        <f>+R229*225</f>
        <v>0</v>
      </c>
      <c r="N229" s="42">
        <f>2*P229+2*Q229</f>
        <v>3158.8</v>
      </c>
      <c r="O229" s="42">
        <f t="shared" si="120"/>
        <v>22111.599999999999</v>
      </c>
      <c r="P229" s="42">
        <v>808.8</v>
      </c>
      <c r="Q229" s="42">
        <v>770.6</v>
      </c>
      <c r="R229" s="43"/>
      <c r="S229" s="43"/>
      <c r="T229" s="43"/>
      <c r="U229" s="43"/>
      <c r="V229" s="44">
        <f t="shared" si="123"/>
        <v>0</v>
      </c>
      <c r="W229" s="44">
        <f t="shared" si="124"/>
        <v>100</v>
      </c>
      <c r="X229" s="29">
        <f t="shared" si="121"/>
        <v>6991.5999999999985</v>
      </c>
      <c r="Y229" s="34">
        <f t="shared" si="122"/>
        <v>12.678669724770641</v>
      </c>
      <c r="Z229" s="64">
        <v>20000</v>
      </c>
      <c r="AA229" s="64">
        <v>15000</v>
      </c>
      <c r="AB229" s="65">
        <v>5000</v>
      </c>
    </row>
    <row r="230" spans="1:28" s="8" customFormat="1" ht="22.5" x14ac:dyDescent="0.2">
      <c r="A230" s="26">
        <v>47000455011981</v>
      </c>
      <c r="B230" s="17" t="s">
        <v>73</v>
      </c>
      <c r="C230" s="14" t="s">
        <v>53</v>
      </c>
      <c r="D230" s="41" t="s">
        <v>117</v>
      </c>
      <c r="E230" s="41">
        <v>1744</v>
      </c>
      <c r="F230" s="41">
        <v>1744</v>
      </c>
      <c r="G230" s="41">
        <v>1744</v>
      </c>
      <c r="H230" s="41">
        <v>1744</v>
      </c>
      <c r="I230" s="41"/>
      <c r="J230" s="41" t="s">
        <v>9</v>
      </c>
      <c r="K230" s="42">
        <f>+P230*12</f>
        <v>10346.16</v>
      </c>
      <c r="L230" s="42">
        <f>+Q230*12</f>
        <v>16077.96</v>
      </c>
      <c r="M230" s="42">
        <f>+R230*225</f>
        <v>0</v>
      </c>
      <c r="N230" s="42">
        <f>2*P230+2*Q230</f>
        <v>4404.0199999999995</v>
      </c>
      <c r="O230" s="42">
        <f t="shared" si="120"/>
        <v>30828.14</v>
      </c>
      <c r="P230" s="42">
        <v>862.18</v>
      </c>
      <c r="Q230" s="42">
        <v>1339.83</v>
      </c>
      <c r="R230" s="43"/>
      <c r="S230" s="43"/>
      <c r="T230" s="43"/>
      <c r="U230" s="43"/>
      <c r="V230" s="44">
        <f t="shared" si="123"/>
        <v>0</v>
      </c>
      <c r="W230" s="44">
        <f t="shared" si="124"/>
        <v>100</v>
      </c>
      <c r="X230" s="29">
        <f t="shared" si="121"/>
        <v>15708.14</v>
      </c>
      <c r="Y230" s="34">
        <f t="shared" si="122"/>
        <v>17.676685779816513</v>
      </c>
      <c r="Z230" s="64">
        <v>20000</v>
      </c>
      <c r="AA230" s="64">
        <v>15000</v>
      </c>
      <c r="AB230" s="65">
        <v>5000</v>
      </c>
    </row>
    <row r="231" spans="1:28" s="8" customFormat="1" ht="22.5" x14ac:dyDescent="0.2">
      <c r="A231" s="26">
        <v>48001985011981</v>
      </c>
      <c r="B231" s="17" t="s">
        <v>73</v>
      </c>
      <c r="C231" s="14" t="s">
        <v>54</v>
      </c>
      <c r="D231" s="41" t="s">
        <v>123</v>
      </c>
      <c r="E231" s="49">
        <v>1688</v>
      </c>
      <c r="F231" s="49">
        <v>1688</v>
      </c>
      <c r="G231" s="49">
        <v>1688</v>
      </c>
      <c r="H231" s="49">
        <v>1688</v>
      </c>
      <c r="I231" s="41"/>
      <c r="J231" s="41" t="s">
        <v>7</v>
      </c>
      <c r="K231" s="42">
        <f>P231*365</f>
        <v>11669.05</v>
      </c>
      <c r="L231" s="42">
        <f>Q231*299+S231</f>
        <v>7488.38</v>
      </c>
      <c r="M231" s="42">
        <v>0</v>
      </c>
      <c r="N231" s="42">
        <f>P231*60</f>
        <v>1918.1999999999998</v>
      </c>
      <c r="O231" s="42">
        <f t="shared" si="120"/>
        <v>21075.63</v>
      </c>
      <c r="P231" s="42">
        <v>31.97</v>
      </c>
      <c r="Q231" s="42">
        <v>18.29</v>
      </c>
      <c r="R231" s="42"/>
      <c r="S231" s="42">
        <v>2019.67</v>
      </c>
      <c r="T231" s="43"/>
      <c r="U231" s="43"/>
      <c r="V231" s="44">
        <f t="shared" si="123"/>
        <v>0</v>
      </c>
      <c r="W231" s="44">
        <f t="shared" si="124"/>
        <v>100</v>
      </c>
      <c r="X231" s="29">
        <f t="shared" si="121"/>
        <v>5955.630000000001</v>
      </c>
      <c r="Y231" s="34">
        <f t="shared" si="122"/>
        <v>12.485562796208532</v>
      </c>
      <c r="Z231" s="64">
        <v>34444</v>
      </c>
      <c r="AA231" s="64">
        <v>29436</v>
      </c>
      <c r="AB231" s="65">
        <v>5008</v>
      </c>
    </row>
    <row r="232" spans="1:28" s="8" customFormat="1" ht="22.5" x14ac:dyDescent="0.2">
      <c r="A232" s="26">
        <v>48001985011981</v>
      </c>
      <c r="B232" s="17" t="s">
        <v>73</v>
      </c>
      <c r="C232" s="14" t="s">
        <v>54</v>
      </c>
      <c r="D232" s="41" t="s">
        <v>123</v>
      </c>
      <c r="E232" s="49">
        <v>1688</v>
      </c>
      <c r="F232" s="49">
        <v>1688</v>
      </c>
      <c r="G232" s="49">
        <v>1688</v>
      </c>
      <c r="H232" s="49">
        <v>1688</v>
      </c>
      <c r="I232" s="41"/>
      <c r="J232" s="41" t="s">
        <v>6</v>
      </c>
      <c r="K232" s="42">
        <f>P232*365</f>
        <v>13848.099999999999</v>
      </c>
      <c r="L232" s="42">
        <f t="shared" ref="L232:L234" si="125">Q232*299</f>
        <v>6356.7400000000007</v>
      </c>
      <c r="M232" s="42">
        <f>+R232</f>
        <v>0</v>
      </c>
      <c r="N232" s="42">
        <f t="shared" ref="N232" si="126">P232*60</f>
        <v>2276.3999999999996</v>
      </c>
      <c r="O232" s="42">
        <f t="shared" ref="O232:O234" si="127">+K232+L232+M232+N232</f>
        <v>22481.239999999998</v>
      </c>
      <c r="P232" s="42">
        <v>37.94</v>
      </c>
      <c r="Q232" s="42">
        <v>21.26</v>
      </c>
      <c r="R232" s="42"/>
      <c r="S232" s="43"/>
      <c r="T232" s="43"/>
      <c r="U232" s="43"/>
      <c r="V232" s="44">
        <f t="shared" si="123"/>
        <v>0</v>
      </c>
      <c r="W232" s="44">
        <f t="shared" si="124"/>
        <v>100</v>
      </c>
      <c r="X232" s="29">
        <f t="shared" si="121"/>
        <v>7361.239999999998</v>
      </c>
      <c r="Y232" s="34">
        <f t="shared" si="122"/>
        <v>13.318270142180094</v>
      </c>
      <c r="Z232" s="64">
        <v>34444</v>
      </c>
      <c r="AA232" s="64">
        <v>29436</v>
      </c>
      <c r="AB232" s="65">
        <v>5008</v>
      </c>
    </row>
    <row r="233" spans="1:28" s="8" customFormat="1" ht="22.5" x14ac:dyDescent="0.2">
      <c r="A233" s="26">
        <v>48001985011981</v>
      </c>
      <c r="B233" s="17" t="s">
        <v>73</v>
      </c>
      <c r="C233" s="14" t="s">
        <v>54</v>
      </c>
      <c r="D233" s="41" t="s">
        <v>123</v>
      </c>
      <c r="E233" s="49">
        <v>1689</v>
      </c>
      <c r="F233" s="49">
        <v>1688</v>
      </c>
      <c r="G233" s="49">
        <v>1688</v>
      </c>
      <c r="H233" s="49">
        <v>1688</v>
      </c>
      <c r="I233" s="41"/>
      <c r="J233" s="41" t="s">
        <v>8</v>
      </c>
      <c r="K233" s="42">
        <f>+P233*12</f>
        <v>15307.800000000001</v>
      </c>
      <c r="L233" s="42">
        <f t="shared" si="125"/>
        <v>6984.6399999999994</v>
      </c>
      <c r="M233" s="42">
        <f t="shared" ref="M233:M234" si="128">+R233</f>
        <v>0</v>
      </c>
      <c r="N233" s="42">
        <f>P233*2</f>
        <v>2551.3000000000002</v>
      </c>
      <c r="O233" s="42">
        <f t="shared" si="127"/>
        <v>24843.74</v>
      </c>
      <c r="P233" s="42">
        <v>1275.6500000000001</v>
      </c>
      <c r="Q233" s="42">
        <v>23.36</v>
      </c>
      <c r="R233" s="42"/>
      <c r="S233" s="43"/>
      <c r="T233" s="43"/>
      <c r="U233" s="43"/>
      <c r="V233" s="44">
        <f t="shared" si="123"/>
        <v>0</v>
      </c>
      <c r="W233" s="44">
        <f t="shared" si="124"/>
        <v>100</v>
      </c>
      <c r="X233" s="29">
        <f t="shared" si="121"/>
        <v>9723.7400000000016</v>
      </c>
      <c r="Y233" s="34">
        <f t="shared" si="122"/>
        <v>14.717855450236968</v>
      </c>
      <c r="Z233" s="64">
        <v>34444</v>
      </c>
      <c r="AA233" s="64">
        <v>29436</v>
      </c>
      <c r="AB233" s="65">
        <v>5008</v>
      </c>
    </row>
    <row r="234" spans="1:28" s="8" customFormat="1" ht="22.5" x14ac:dyDescent="0.2">
      <c r="A234" s="26">
        <v>48001985011981</v>
      </c>
      <c r="B234" s="17" t="s">
        <v>73</v>
      </c>
      <c r="C234" s="14" t="s">
        <v>54</v>
      </c>
      <c r="D234" s="41" t="s">
        <v>123</v>
      </c>
      <c r="E234" s="49">
        <v>1690</v>
      </c>
      <c r="F234" s="49">
        <v>1688</v>
      </c>
      <c r="G234" s="49">
        <v>1688</v>
      </c>
      <c r="H234" s="49">
        <v>1688</v>
      </c>
      <c r="I234" s="41"/>
      <c r="J234" s="41" t="s">
        <v>9</v>
      </c>
      <c r="K234" s="42">
        <f>+P234*12</f>
        <v>23146.44</v>
      </c>
      <c r="L234" s="42">
        <f t="shared" si="125"/>
        <v>9576.9700000000012</v>
      </c>
      <c r="M234" s="42">
        <f t="shared" si="128"/>
        <v>0</v>
      </c>
      <c r="N234" s="42">
        <f>P234*2</f>
        <v>3857.74</v>
      </c>
      <c r="O234" s="42">
        <f t="shared" si="127"/>
        <v>36581.15</v>
      </c>
      <c r="P234" s="42">
        <v>1928.87</v>
      </c>
      <c r="Q234" s="42">
        <v>32.03</v>
      </c>
      <c r="R234" s="42"/>
      <c r="S234" s="43"/>
      <c r="T234" s="43"/>
      <c r="U234" s="43"/>
      <c r="V234" s="44">
        <f t="shared" si="123"/>
        <v>0</v>
      </c>
      <c r="W234" s="44">
        <f t="shared" si="124"/>
        <v>100</v>
      </c>
      <c r="X234" s="29">
        <f t="shared" si="121"/>
        <v>21461.15</v>
      </c>
      <c r="Y234" s="34">
        <f t="shared" si="122"/>
        <v>21.671297393364931</v>
      </c>
      <c r="Z234" s="64">
        <v>34444</v>
      </c>
      <c r="AA234" s="64">
        <v>29436</v>
      </c>
      <c r="AB234" s="65">
        <v>5008</v>
      </c>
    </row>
    <row r="235" spans="1:28" s="8" customFormat="1" ht="11.25" x14ac:dyDescent="0.2">
      <c r="A235" s="26">
        <v>49001805011981</v>
      </c>
      <c r="B235" s="17" t="s">
        <v>105</v>
      </c>
      <c r="C235" s="14" t="s">
        <v>55</v>
      </c>
      <c r="D235" s="41" t="s">
        <v>131</v>
      </c>
      <c r="E235" s="41">
        <v>1746</v>
      </c>
      <c r="F235" s="41">
        <v>1746</v>
      </c>
      <c r="G235" s="41" t="s">
        <v>127</v>
      </c>
      <c r="H235" s="41" t="s">
        <v>127</v>
      </c>
      <c r="I235" s="41"/>
      <c r="J235" s="41" t="s">
        <v>7</v>
      </c>
      <c r="K235" s="42">
        <f>+P235*365</f>
        <v>14935.800000000001</v>
      </c>
      <c r="L235" s="42">
        <f>+Q235*299</f>
        <v>0</v>
      </c>
      <c r="M235" s="42">
        <f>+R235*299</f>
        <v>0</v>
      </c>
      <c r="N235" s="42">
        <f>90*P235</f>
        <v>3682.8</v>
      </c>
      <c r="O235" s="42">
        <f>+K235+L235+M235+N235</f>
        <v>18618.600000000002</v>
      </c>
      <c r="P235" s="42">
        <v>40.92</v>
      </c>
      <c r="Q235" s="43"/>
      <c r="R235" s="43"/>
      <c r="S235" s="43"/>
      <c r="T235" s="43"/>
      <c r="U235" s="43"/>
      <c r="V235" s="44">
        <f t="shared" si="123"/>
        <v>0</v>
      </c>
      <c r="W235" s="44">
        <f t="shared" si="124"/>
        <v>100</v>
      </c>
      <c r="X235" s="29">
        <f t="shared" si="121"/>
        <v>3498.6000000000022</v>
      </c>
      <c r="Y235" s="34">
        <f t="shared" si="122"/>
        <v>10.663573883161513</v>
      </c>
      <c r="Z235" s="64">
        <v>1585</v>
      </c>
      <c r="AA235" s="64">
        <v>1451</v>
      </c>
      <c r="AB235" s="65">
        <v>134</v>
      </c>
    </row>
    <row r="236" spans="1:28" s="8" customFormat="1" ht="11.25" x14ac:dyDescent="0.2">
      <c r="A236" s="26">
        <v>49001805011981</v>
      </c>
      <c r="B236" s="17" t="s">
        <v>105</v>
      </c>
      <c r="C236" s="14" t="s">
        <v>55</v>
      </c>
      <c r="D236" s="41" t="s">
        <v>131</v>
      </c>
      <c r="E236" s="41">
        <v>1746</v>
      </c>
      <c r="F236" s="41">
        <v>1746</v>
      </c>
      <c r="G236" s="41" t="s">
        <v>127</v>
      </c>
      <c r="H236" s="41" t="s">
        <v>127</v>
      </c>
      <c r="I236" s="41"/>
      <c r="J236" s="41" t="s">
        <v>6</v>
      </c>
      <c r="K236" s="42">
        <f>+P236*365</f>
        <v>16275.35</v>
      </c>
      <c r="L236" s="42">
        <f>+Q236*299</f>
        <v>0</v>
      </c>
      <c r="M236" s="42">
        <f>+R236*299</f>
        <v>0</v>
      </c>
      <c r="N236" s="42">
        <f>90*P236</f>
        <v>4013.1000000000004</v>
      </c>
      <c r="O236" s="42">
        <f>+K236+L236+M236+N236</f>
        <v>20288.45</v>
      </c>
      <c r="P236" s="42">
        <v>44.59</v>
      </c>
      <c r="Q236" s="43"/>
      <c r="R236" s="43"/>
      <c r="S236" s="43"/>
      <c r="T236" s="43"/>
      <c r="U236" s="43"/>
      <c r="V236" s="44">
        <f t="shared" si="123"/>
        <v>0</v>
      </c>
      <c r="W236" s="44">
        <f t="shared" si="124"/>
        <v>100</v>
      </c>
      <c r="X236" s="29">
        <f t="shared" si="121"/>
        <v>5168.4500000000007</v>
      </c>
      <c r="Y236" s="34">
        <f t="shared" si="122"/>
        <v>11.61995990836197</v>
      </c>
      <c r="Z236" s="64">
        <v>1585</v>
      </c>
      <c r="AA236" s="64">
        <v>1451</v>
      </c>
      <c r="AB236" s="65">
        <v>134</v>
      </c>
    </row>
    <row r="237" spans="1:28" s="8" customFormat="1" ht="11.25" x14ac:dyDescent="0.2">
      <c r="A237" s="26">
        <v>49001805011981</v>
      </c>
      <c r="B237" s="17" t="s">
        <v>105</v>
      </c>
      <c r="C237" s="14" t="s">
        <v>55</v>
      </c>
      <c r="D237" s="41" t="s">
        <v>131</v>
      </c>
      <c r="E237" s="41">
        <v>1746</v>
      </c>
      <c r="F237" s="41">
        <v>1746</v>
      </c>
      <c r="G237" s="41" t="s">
        <v>127</v>
      </c>
      <c r="H237" s="41" t="s">
        <v>127</v>
      </c>
      <c r="I237" s="41"/>
      <c r="J237" s="41" t="s">
        <v>8</v>
      </c>
      <c r="K237" s="42">
        <f>+P237*12</f>
        <v>17122.560000000001</v>
      </c>
      <c r="L237" s="42">
        <f>+Q237*12</f>
        <v>0</v>
      </c>
      <c r="M237" s="42">
        <f>+R237*225</f>
        <v>0</v>
      </c>
      <c r="N237" s="42">
        <f>3*P237</f>
        <v>4280.6400000000003</v>
      </c>
      <c r="O237" s="42">
        <f>+K237+L237+M237+N237</f>
        <v>21403.200000000001</v>
      </c>
      <c r="P237" s="42">
        <v>1426.88</v>
      </c>
      <c r="Q237" s="43"/>
      <c r="R237" s="43"/>
      <c r="S237" s="43"/>
      <c r="T237" s="43"/>
      <c r="U237" s="43"/>
      <c r="V237" s="44">
        <f t="shared" si="123"/>
        <v>0</v>
      </c>
      <c r="W237" s="44">
        <f t="shared" si="124"/>
        <v>100</v>
      </c>
      <c r="X237" s="29">
        <f t="shared" si="121"/>
        <v>6283.2000000000007</v>
      </c>
      <c r="Y237" s="34">
        <f t="shared" si="122"/>
        <v>12.258419243986255</v>
      </c>
      <c r="Z237" s="64">
        <v>1585</v>
      </c>
      <c r="AA237" s="64">
        <v>1451</v>
      </c>
      <c r="AB237" s="65">
        <v>134</v>
      </c>
    </row>
    <row r="238" spans="1:28" s="8" customFormat="1" ht="11.25" x14ac:dyDescent="0.2">
      <c r="A238" s="26">
        <v>49001805011981</v>
      </c>
      <c r="B238" s="17" t="s">
        <v>105</v>
      </c>
      <c r="C238" s="14" t="s">
        <v>55</v>
      </c>
      <c r="D238" s="41" t="s">
        <v>131</v>
      </c>
      <c r="E238" s="41">
        <v>1746</v>
      </c>
      <c r="F238" s="41">
        <v>1746</v>
      </c>
      <c r="G238" s="41" t="s">
        <v>127</v>
      </c>
      <c r="H238" s="41" t="s">
        <v>127</v>
      </c>
      <c r="I238" s="41"/>
      <c r="J238" s="41" t="s">
        <v>9</v>
      </c>
      <c r="K238" s="42">
        <f>+P238*12</f>
        <v>22279.439999999999</v>
      </c>
      <c r="L238" s="42">
        <f>+Q238*12</f>
        <v>0</v>
      </c>
      <c r="M238" s="42">
        <f>+R238*225</f>
        <v>0</v>
      </c>
      <c r="N238" s="42">
        <f>3*P238</f>
        <v>5569.86</v>
      </c>
      <c r="O238" s="42">
        <f>+K238+L238+M238+N238</f>
        <v>27849.3</v>
      </c>
      <c r="P238" s="42">
        <v>1856.62</v>
      </c>
      <c r="Q238" s="43"/>
      <c r="R238" s="43"/>
      <c r="S238" s="43"/>
      <c r="T238" s="43"/>
      <c r="U238" s="43"/>
      <c r="V238" s="44">
        <f t="shared" si="123"/>
        <v>0</v>
      </c>
      <c r="W238" s="44">
        <f t="shared" si="124"/>
        <v>100</v>
      </c>
      <c r="X238" s="29">
        <f t="shared" si="121"/>
        <v>12729.3</v>
      </c>
      <c r="Y238" s="34">
        <f t="shared" si="122"/>
        <v>15.950343642611683</v>
      </c>
      <c r="Z238" s="64">
        <v>1585</v>
      </c>
      <c r="AA238" s="64">
        <v>1451</v>
      </c>
      <c r="AB238" s="65">
        <v>134</v>
      </c>
    </row>
    <row r="239" spans="1:28" s="8" customFormat="1" ht="33.75" x14ac:dyDescent="0.2">
      <c r="A239" s="22">
        <v>50000675011982</v>
      </c>
      <c r="B239" s="27" t="s">
        <v>106</v>
      </c>
      <c r="C239" s="14" t="s">
        <v>56</v>
      </c>
      <c r="D239" s="41" t="s">
        <v>121</v>
      </c>
      <c r="E239" s="41">
        <v>1760</v>
      </c>
      <c r="F239" s="41">
        <v>1760</v>
      </c>
      <c r="G239" s="41">
        <v>1752</v>
      </c>
      <c r="H239" s="41">
        <v>1752</v>
      </c>
      <c r="I239" s="41"/>
      <c r="J239" s="41" t="s">
        <v>7</v>
      </c>
      <c r="K239" s="42">
        <f>+P239*365</f>
        <v>16800.95</v>
      </c>
      <c r="L239" s="42">
        <f>+Q239*12</f>
        <v>0</v>
      </c>
      <c r="M239" s="42">
        <f>+R239</f>
        <v>0</v>
      </c>
      <c r="N239" s="42">
        <f>60*P239</f>
        <v>2761.8</v>
      </c>
      <c r="O239" s="42">
        <f>+K239+L239+M239+N239+S239</f>
        <v>19562.75</v>
      </c>
      <c r="P239" s="42">
        <v>46.03</v>
      </c>
      <c r="Q239" s="42"/>
      <c r="R239" s="43"/>
      <c r="S239" s="43"/>
      <c r="T239" s="43"/>
      <c r="U239" s="43"/>
      <c r="V239" s="44">
        <f t="shared" si="123"/>
        <v>0</v>
      </c>
      <c r="W239" s="44">
        <f t="shared" si="124"/>
        <v>100</v>
      </c>
      <c r="X239" s="29">
        <f t="shared" si="121"/>
        <v>4442.75</v>
      </c>
      <c r="Y239" s="34">
        <f t="shared" si="122"/>
        <v>11.115198863636364</v>
      </c>
      <c r="Z239" s="64">
        <v>50000</v>
      </c>
      <c r="AA239" s="64">
        <v>35000</v>
      </c>
      <c r="AB239" s="65">
        <v>15000</v>
      </c>
    </row>
    <row r="240" spans="1:28" s="8" customFormat="1" ht="33.75" x14ac:dyDescent="0.2">
      <c r="A240" s="22">
        <v>50000675011982</v>
      </c>
      <c r="B240" s="27" t="s">
        <v>106</v>
      </c>
      <c r="C240" s="14" t="s">
        <v>56</v>
      </c>
      <c r="D240" s="41" t="s">
        <v>121</v>
      </c>
      <c r="E240" s="41">
        <v>1760</v>
      </c>
      <c r="F240" s="41">
        <v>1760</v>
      </c>
      <c r="G240" s="41">
        <v>1752</v>
      </c>
      <c r="H240" s="41">
        <v>1752</v>
      </c>
      <c r="I240" s="41"/>
      <c r="J240" s="41" t="s">
        <v>6</v>
      </c>
      <c r="K240" s="42">
        <f>+P240*365</f>
        <v>17724.400000000001</v>
      </c>
      <c r="L240" s="42">
        <f>+Q240</f>
        <v>361.53</v>
      </c>
      <c r="M240" s="42">
        <f>+R240</f>
        <v>0</v>
      </c>
      <c r="N240" s="42">
        <f>60*P240</f>
        <v>2913.6000000000004</v>
      </c>
      <c r="O240" s="42">
        <f>+K240+L240+M240+N240</f>
        <v>20999.53</v>
      </c>
      <c r="P240" s="42">
        <v>48.56</v>
      </c>
      <c r="Q240" s="42">
        <v>361.53</v>
      </c>
      <c r="R240" s="43"/>
      <c r="S240" s="43"/>
      <c r="T240" s="43"/>
      <c r="U240" s="43"/>
      <c r="V240" s="44">
        <f t="shared" si="123"/>
        <v>0</v>
      </c>
      <c r="W240" s="44">
        <f t="shared" si="124"/>
        <v>100</v>
      </c>
      <c r="X240" s="29">
        <f t="shared" si="121"/>
        <v>5879.5299999999988</v>
      </c>
      <c r="Y240" s="34">
        <f t="shared" si="122"/>
        <v>11.931551136363636</v>
      </c>
      <c r="Z240" s="64">
        <v>50000</v>
      </c>
      <c r="AA240" s="64">
        <v>35000</v>
      </c>
      <c r="AB240" s="65">
        <v>15000</v>
      </c>
    </row>
    <row r="241" spans="1:28" s="8" customFormat="1" ht="33.75" x14ac:dyDescent="0.2">
      <c r="A241" s="22">
        <v>50000675011982</v>
      </c>
      <c r="B241" s="27" t="s">
        <v>106</v>
      </c>
      <c r="C241" s="14" t="s">
        <v>56</v>
      </c>
      <c r="D241" s="41" t="s">
        <v>121</v>
      </c>
      <c r="E241" s="41">
        <v>1760</v>
      </c>
      <c r="F241" s="41">
        <v>1760</v>
      </c>
      <c r="G241" s="41">
        <v>1752</v>
      </c>
      <c r="H241" s="41">
        <v>1752</v>
      </c>
      <c r="I241" s="41"/>
      <c r="J241" s="41" t="s">
        <v>8</v>
      </c>
      <c r="K241" s="42">
        <f>+P241*12</f>
        <v>18834.84</v>
      </c>
      <c r="L241" s="42">
        <f>+Q241</f>
        <v>305.91000000000003</v>
      </c>
      <c r="M241" s="42">
        <f>+R241</f>
        <v>0</v>
      </c>
      <c r="N241" s="42">
        <f>2*P241</f>
        <v>3139.14</v>
      </c>
      <c r="O241" s="42">
        <f>+K241+L241+M241+N241</f>
        <v>22279.89</v>
      </c>
      <c r="P241" s="42">
        <v>1569.57</v>
      </c>
      <c r="Q241" s="42">
        <v>305.91000000000003</v>
      </c>
      <c r="R241" s="43"/>
      <c r="S241" s="43"/>
      <c r="T241" s="43"/>
      <c r="U241" s="43"/>
      <c r="V241" s="44">
        <f t="shared" si="123"/>
        <v>0</v>
      </c>
      <c r="W241" s="44">
        <f t="shared" si="124"/>
        <v>100</v>
      </c>
      <c r="X241" s="29">
        <f t="shared" si="121"/>
        <v>7159.8899999999994</v>
      </c>
      <c r="Y241" s="34">
        <f t="shared" si="122"/>
        <v>12.659028409090908</v>
      </c>
      <c r="Z241" s="64">
        <v>50000</v>
      </c>
      <c r="AA241" s="64">
        <v>35000</v>
      </c>
      <c r="AB241" s="65">
        <v>15000</v>
      </c>
    </row>
    <row r="242" spans="1:28" s="8" customFormat="1" ht="33.75" x14ac:dyDescent="0.2">
      <c r="A242" s="22">
        <v>50000675011982</v>
      </c>
      <c r="B242" s="27" t="s">
        <v>106</v>
      </c>
      <c r="C242" s="14" t="s">
        <v>56</v>
      </c>
      <c r="D242" s="41" t="s">
        <v>121</v>
      </c>
      <c r="E242" s="41">
        <v>1760</v>
      </c>
      <c r="F242" s="41">
        <v>1760</v>
      </c>
      <c r="G242" s="41">
        <v>1752</v>
      </c>
      <c r="H242" s="41">
        <v>1752</v>
      </c>
      <c r="I242" s="41"/>
      <c r="J242" s="41" t="s">
        <v>9</v>
      </c>
      <c r="K242" s="42">
        <f>+P242*12</f>
        <v>24017.040000000001</v>
      </c>
      <c r="L242" s="42">
        <f>+Q242*12</f>
        <v>0</v>
      </c>
      <c r="M242" s="42">
        <f>+R242</f>
        <v>0</v>
      </c>
      <c r="N242" s="42">
        <f>2*P242</f>
        <v>4002.84</v>
      </c>
      <c r="O242" s="42">
        <f>+K242+L242+M242+N242</f>
        <v>28019.88</v>
      </c>
      <c r="P242" s="42">
        <v>2001.42</v>
      </c>
      <c r="Q242" s="42"/>
      <c r="R242" s="43"/>
      <c r="S242" s="43"/>
      <c r="T242" s="43"/>
      <c r="U242" s="43"/>
      <c r="V242" s="44">
        <f t="shared" si="123"/>
        <v>0</v>
      </c>
      <c r="W242" s="44">
        <f t="shared" si="124"/>
        <v>100</v>
      </c>
      <c r="X242" s="29">
        <f t="shared" si="121"/>
        <v>12899.880000000001</v>
      </c>
      <c r="Y242" s="34">
        <f t="shared" si="122"/>
        <v>15.920386363636364</v>
      </c>
      <c r="Z242" s="64">
        <v>50000</v>
      </c>
      <c r="AA242" s="64">
        <v>35000</v>
      </c>
      <c r="AB242" s="65">
        <v>15000</v>
      </c>
    </row>
    <row r="243" spans="1:28" x14ac:dyDescent="0.2">
      <c r="J243" s="2"/>
    </row>
    <row r="245" spans="1:28" s="4" customFormat="1" ht="54" customHeight="1" x14ac:dyDescent="0.2">
      <c r="A245" s="9"/>
      <c r="B245" s="9"/>
      <c r="C245" s="3" t="s">
        <v>60</v>
      </c>
      <c r="D245" s="3"/>
      <c r="E245" s="3"/>
      <c r="F245" s="3"/>
      <c r="G245" s="3"/>
      <c r="H245" s="3"/>
      <c r="I245" s="3"/>
      <c r="J245" s="3" t="s">
        <v>7</v>
      </c>
      <c r="K245" s="6"/>
      <c r="L245" s="6"/>
      <c r="M245" s="6"/>
      <c r="N245" s="61" t="s">
        <v>152</v>
      </c>
      <c r="O245" s="60">
        <f>(O239+O235+O231+O227+O223+O219+O215+O211+O207+O203+O199+O195+O191+O183+O179+O175+O171+O159+O155+O143+O139+O135+O131+O127+O123+O119+O111+O107+O103+O99+O95+O91+O87+O83+O79+O71+O67+O63+O59+O55+O51+O47+O43+O39+O31+O23+O19+O7+O3)/49</f>
        <v>19649.942620408161</v>
      </c>
      <c r="P245" s="6"/>
      <c r="Q245" s="6"/>
      <c r="R245" s="6"/>
      <c r="S245" s="6"/>
      <c r="T245" s="6"/>
      <c r="U245" s="6"/>
      <c r="V245" s="5"/>
      <c r="W245" s="5"/>
    </row>
    <row r="246" spans="1:28" s="4" customFormat="1" x14ac:dyDescent="0.2">
      <c r="A246" s="9"/>
      <c r="B246" s="9"/>
      <c r="C246" s="3" t="s">
        <v>60</v>
      </c>
      <c r="D246" s="3"/>
      <c r="E246" s="3"/>
      <c r="F246" s="3"/>
      <c r="G246" s="3"/>
      <c r="H246" s="3"/>
      <c r="I246" s="3"/>
      <c r="J246" s="3" t="s">
        <v>6</v>
      </c>
      <c r="K246" s="6"/>
      <c r="L246" s="6"/>
      <c r="M246" s="6"/>
      <c r="N246" s="6"/>
      <c r="O246" s="60">
        <f>(O240+O236+O232+O228+O224+O220+O216+O212+O208+O204+O200+O196+O192+O184+O180+O176+O172+O160+O156+O144+O140+O136+O132+O128+O124+O120+O112+O108+O104+O100+O96+O92+O88+O84+O80+O72+O68+O64+O60+O56+O52+O48+O44+O40+O32+O24+O20+O8+O4)/49</f>
        <v>21265.117130612245</v>
      </c>
      <c r="P246" s="6"/>
      <c r="Q246" s="6"/>
      <c r="R246" s="6"/>
      <c r="S246" s="6"/>
      <c r="T246" s="6"/>
      <c r="U246" s="6"/>
      <c r="V246" s="5"/>
      <c r="W246" s="5"/>
    </row>
    <row r="247" spans="1:28" s="4" customFormat="1" x14ac:dyDescent="0.2">
      <c r="A247" s="9"/>
      <c r="B247" s="9"/>
      <c r="C247" s="3" t="s">
        <v>60</v>
      </c>
      <c r="D247" s="3"/>
      <c r="E247" s="3"/>
      <c r="F247" s="3"/>
      <c r="G247" s="3"/>
      <c r="H247" s="3"/>
      <c r="I247" s="3"/>
      <c r="J247" s="3" t="s">
        <v>8</v>
      </c>
      <c r="K247" s="6"/>
      <c r="L247" s="6"/>
      <c r="M247" s="6"/>
      <c r="N247" s="6"/>
      <c r="O247" s="60">
        <f>(O241+O237+O233+O229+O225+O221+O217+O213+O209+O205+O201+O197+O193+O185+O181+O177+O173+O161+O157+O145+O141+O137+O133+O129+O125+O121+O113+O109+O105+O101+O97+O93+O89+O85+O81+O73+O69+O65+O61+O57+O53+O49+O45+O41+O33+O25+O21+O9+O5)/49</f>
        <v>22234.923763265309</v>
      </c>
      <c r="P247" s="6"/>
      <c r="Q247" s="6"/>
      <c r="R247" s="6"/>
      <c r="S247" s="6"/>
      <c r="T247" s="6"/>
      <c r="U247" s="6"/>
      <c r="V247" s="5"/>
      <c r="W247" s="5"/>
    </row>
    <row r="248" spans="1:28" s="4" customFormat="1" x14ac:dyDescent="0.2">
      <c r="A248" s="9"/>
      <c r="B248" s="9"/>
      <c r="C248" s="3" t="s">
        <v>60</v>
      </c>
      <c r="D248" s="3"/>
      <c r="E248" s="3"/>
      <c r="F248" s="3"/>
      <c r="G248" s="3"/>
      <c r="H248" s="3"/>
      <c r="I248" s="3"/>
      <c r="J248" s="3" t="s">
        <v>9</v>
      </c>
      <c r="K248" s="6"/>
      <c r="L248" s="6"/>
      <c r="M248" s="6"/>
      <c r="N248" s="6"/>
      <c r="O248" s="60" t="e">
        <f>(O242+O238+O234+O230+O226+O222+O218+O214+O210+O206+O202+O198+O194+O186+O182+O178+O174+O162+O158+O146+O142+O138+O134+O130+O126+O122+O114+O110+O106+O102+O98+O94+O90+O86+O82+O74+#REF!+O66+O62+O58+O54+O50+O46+O42+O34+O26+O22+O10+O6)/49</f>
        <v>#REF!</v>
      </c>
      <c r="P248" s="6"/>
      <c r="Q248" s="6"/>
      <c r="R248" s="6"/>
      <c r="S248" s="6"/>
      <c r="T248" s="6"/>
      <c r="U248" s="6"/>
      <c r="V248" s="5"/>
      <c r="W248" s="5"/>
    </row>
    <row r="252" spans="1:28" x14ac:dyDescent="0.2">
      <c r="C252" t="s">
        <v>69</v>
      </c>
      <c r="J252" s="69" t="s">
        <v>70</v>
      </c>
      <c r="K252" s="69"/>
      <c r="L252" s="69"/>
      <c r="M252" s="69"/>
      <c r="N252" s="69"/>
    </row>
  </sheetData>
  <autoFilter ref="A2:AB242" xr:uid="{00000000-0001-0000-0000-000000000000}"/>
  <mergeCells count="1">
    <mergeCell ref="J252:N252"/>
  </mergeCells>
  <phoneticPr fontId="0" type="noConversion"/>
  <pageMargins left="0.74803149606299213" right="0.74803149606299213" top="0.98425196850393704" bottom="0.98425196850393704" header="0" footer="0"/>
  <pageSetup paperSize="9" scale="4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78AC-1415-46B7-AF77-733D488F305A}">
  <sheetPr codeName="Hoja2"/>
  <dimension ref="A1:D61"/>
  <sheetViews>
    <sheetView workbookViewId="0">
      <selection activeCell="B4" sqref="B4"/>
    </sheetView>
  </sheetViews>
  <sheetFormatPr baseColWidth="10" defaultRowHeight="12.75" x14ac:dyDescent="0.2"/>
  <cols>
    <col min="1" max="1" width="39.85546875" customWidth="1"/>
  </cols>
  <sheetData>
    <row r="1" spans="1:4" x14ac:dyDescent="0.2">
      <c r="B1" s="67" t="s">
        <v>177</v>
      </c>
      <c r="C1" s="67" t="s">
        <v>178</v>
      </c>
      <c r="D1" s="67" t="s">
        <v>126</v>
      </c>
    </row>
    <row r="2" spans="1:4" x14ac:dyDescent="0.2">
      <c r="A2" s="14" t="s">
        <v>5</v>
      </c>
      <c r="B2" s="29">
        <f>'METALSALARIOS '!O3</f>
        <v>20128.18</v>
      </c>
      <c r="C2" s="34">
        <f>'METALSALARIOS '!Y3</f>
        <v>11.628064702484114</v>
      </c>
      <c r="D2" s="29">
        <f>'METALSALARIOS '!X3</f>
        <v>5008.18</v>
      </c>
    </row>
    <row r="3" spans="1:4" x14ac:dyDescent="0.2">
      <c r="A3" s="14" t="s">
        <v>163</v>
      </c>
      <c r="B3" s="29">
        <f>'METALSALARIOS '!O7</f>
        <v>16362.08</v>
      </c>
      <c r="C3" s="34">
        <f>'METALSALARIOS '!Y7</f>
        <v>9.2128828828828837</v>
      </c>
      <c r="D3" s="29">
        <f>'METALSALARIOS '!X7</f>
        <v>1242.08</v>
      </c>
    </row>
    <row r="4" spans="1:4" x14ac:dyDescent="0.2">
      <c r="A4" s="14" t="s">
        <v>164</v>
      </c>
      <c r="B4" s="29">
        <f>'METALSALARIOS '!O11</f>
        <v>0</v>
      </c>
      <c r="C4" s="34">
        <f>'METALSALARIOS '!Y11</f>
        <v>0</v>
      </c>
      <c r="D4" s="29">
        <f>'METALSALARIOS '!X11</f>
        <v>0</v>
      </c>
    </row>
    <row r="5" spans="1:4" x14ac:dyDescent="0.2">
      <c r="A5" s="14" t="s">
        <v>165</v>
      </c>
      <c r="B5" s="29">
        <f>'METALSALARIOS '!O15</f>
        <v>19350.800000000003</v>
      </c>
      <c r="C5" s="34">
        <f>'METALSALARIOS '!Y15</f>
        <v>10.920316027088038</v>
      </c>
      <c r="D5" s="29">
        <f>'METALSALARIOS '!X15</f>
        <v>4230.8000000000029</v>
      </c>
    </row>
    <row r="6" spans="1:4" x14ac:dyDescent="0.2">
      <c r="A6" s="14" t="s">
        <v>11</v>
      </c>
      <c r="B6" s="29">
        <f>'METALSALARIOS '!O19</f>
        <v>18492.95</v>
      </c>
      <c r="C6" s="34">
        <f>'METALSALARIOS '!Y19</f>
        <v>10.555336757990869</v>
      </c>
      <c r="D6" s="29">
        <f>'METALSALARIOS '!X19</f>
        <v>3372.9500000000007</v>
      </c>
    </row>
    <row r="7" spans="1:4" x14ac:dyDescent="0.2">
      <c r="A7" s="14" t="s">
        <v>12</v>
      </c>
      <c r="B7" s="29">
        <f>'METALSALARIOS '!O23</f>
        <v>13879.475</v>
      </c>
      <c r="C7" s="34">
        <f>'METALSALARIOS '!Y23</f>
        <v>7.8860653409090915</v>
      </c>
      <c r="D7" s="29">
        <f>'METALSALARIOS '!X23</f>
        <v>-1240.5249999999996</v>
      </c>
    </row>
    <row r="8" spans="1:4" x14ac:dyDescent="0.2">
      <c r="A8" s="14" t="s">
        <v>166</v>
      </c>
      <c r="B8" s="29">
        <f>'METALSALARIOS '!O27</f>
        <v>0</v>
      </c>
      <c r="C8" s="34">
        <f>'METALSALARIOS '!Y27</f>
        <v>0</v>
      </c>
      <c r="D8" s="29">
        <f>'METALSALARIOS '!X27</f>
        <v>0</v>
      </c>
    </row>
    <row r="9" spans="1:4" x14ac:dyDescent="0.2">
      <c r="A9" s="14" t="s">
        <v>167</v>
      </c>
      <c r="B9" s="29">
        <f>'METALSALARIOS '!O31</f>
        <v>20143.119999999995</v>
      </c>
      <c r="C9" s="34">
        <f>'METALSALARIOS '!Y31</f>
        <v>11.69751451800232</v>
      </c>
      <c r="D9" s="29">
        <f>'METALSALARIOS '!X31</f>
        <v>5023.1199999999953</v>
      </c>
    </row>
    <row r="10" spans="1:4" x14ac:dyDescent="0.2">
      <c r="A10" s="8" t="s">
        <v>168</v>
      </c>
      <c r="B10" s="29">
        <f>'METALSALARIOS '!O35</f>
        <v>0</v>
      </c>
      <c r="C10" s="34">
        <f>'METALSALARIOS '!Y35</f>
        <v>0</v>
      </c>
      <c r="D10" s="29">
        <f>'METALSALARIOS '!X35</f>
        <v>0</v>
      </c>
    </row>
    <row r="11" spans="1:4" x14ac:dyDescent="0.2">
      <c r="A11" s="14" t="s">
        <v>14</v>
      </c>
      <c r="B11" s="29">
        <f>'METALSALARIOS '!O39</f>
        <v>18929.5</v>
      </c>
      <c r="C11" s="34">
        <f>'METALSALARIOS '!Y39</f>
        <v>10.804509132420092</v>
      </c>
      <c r="D11" s="29">
        <f>'METALSALARIOS '!X39</f>
        <v>3809.5</v>
      </c>
    </row>
    <row r="12" spans="1:4" x14ac:dyDescent="0.2">
      <c r="A12" s="14" t="s">
        <v>15</v>
      </c>
      <c r="B12" s="29">
        <f>'METALSALARIOS '!O43</f>
        <v>18190.809999999998</v>
      </c>
      <c r="C12" s="34">
        <f>'METALSALARIOS '!Y43</f>
        <v>10.335687499999999</v>
      </c>
      <c r="D12" s="29">
        <f>'METALSALARIOS '!X43</f>
        <v>3070.8099999999977</v>
      </c>
    </row>
    <row r="13" spans="1:4" x14ac:dyDescent="0.2">
      <c r="A13" s="14" t="s">
        <v>16</v>
      </c>
      <c r="B13" s="29">
        <f>'METALSALARIOS '!O47</f>
        <v>17438.23</v>
      </c>
      <c r="C13" s="34">
        <f>'METALSALARIOS '!Y47</f>
        <v>9.8521073446327687</v>
      </c>
      <c r="D13" s="29">
        <f>'METALSALARIOS '!X47</f>
        <v>2318.2299999999996</v>
      </c>
    </row>
    <row r="14" spans="1:4" x14ac:dyDescent="0.2">
      <c r="A14" s="14" t="s">
        <v>17</v>
      </c>
      <c r="B14" s="29">
        <f>'METALSALARIOS '!O51</f>
        <v>24903.19</v>
      </c>
      <c r="C14" s="34">
        <f>'METALSALARIOS '!Y51</f>
        <v>14.230394285714285</v>
      </c>
      <c r="D14" s="29">
        <f>'METALSALARIOS '!X51</f>
        <v>9783.1899999999987</v>
      </c>
    </row>
    <row r="15" spans="1:4" x14ac:dyDescent="0.2">
      <c r="A15" s="14" t="s">
        <v>19</v>
      </c>
      <c r="B15" s="29">
        <f>'METALSALARIOS '!O55</f>
        <v>22718.5</v>
      </c>
      <c r="C15" s="34">
        <f>'METALSALARIOS '!Y55</f>
        <v>13.086693548387096</v>
      </c>
      <c r="D15" s="29">
        <f>'METALSALARIOS '!X55</f>
        <v>7598.5</v>
      </c>
    </row>
    <row r="16" spans="1:4" x14ac:dyDescent="0.2">
      <c r="A16" s="14" t="s">
        <v>20</v>
      </c>
      <c r="B16" s="29">
        <f>'METALSALARIOS '!O59</f>
        <v>16347.85</v>
      </c>
      <c r="C16" s="34">
        <f>'METALSALARIOS '!Y59</f>
        <v>9.2885511363636368</v>
      </c>
      <c r="D16" s="29">
        <f>'METALSALARIOS '!X59</f>
        <v>1227.8500000000004</v>
      </c>
    </row>
    <row r="17" spans="1:4" x14ac:dyDescent="0.2">
      <c r="A17" s="14" t="s">
        <v>21</v>
      </c>
      <c r="B17" s="29">
        <f>'METALSALARIOS '!O63</f>
        <v>22857.200000000004</v>
      </c>
      <c r="C17" s="34">
        <f>'METALSALARIOS '!Y63</f>
        <v>13.076201372997714</v>
      </c>
      <c r="D17" s="29">
        <f>'METALSALARIOS '!X63</f>
        <v>7737.2000000000044</v>
      </c>
    </row>
    <row r="18" spans="1:4" x14ac:dyDescent="0.2">
      <c r="A18" s="14" t="s">
        <v>22</v>
      </c>
      <c r="B18" s="29"/>
      <c r="C18" s="34"/>
      <c r="D18" s="29"/>
    </row>
    <row r="19" spans="1:4" x14ac:dyDescent="0.2">
      <c r="A19" s="14" t="s">
        <v>23</v>
      </c>
      <c r="B19" s="29"/>
      <c r="C19" s="34"/>
      <c r="D19" s="29"/>
    </row>
    <row r="20" spans="1:4" x14ac:dyDescent="0.2">
      <c r="A20" s="14" t="s">
        <v>81</v>
      </c>
      <c r="B20" s="29"/>
      <c r="C20" s="34"/>
      <c r="D20" s="29"/>
    </row>
    <row r="21" spans="1:4" x14ac:dyDescent="0.2">
      <c r="A21" s="14" t="s">
        <v>24</v>
      </c>
      <c r="B21" s="29"/>
      <c r="C21" s="34"/>
      <c r="D21" s="29"/>
    </row>
    <row r="22" spans="1:4" x14ac:dyDescent="0.2">
      <c r="A22" s="14" t="s">
        <v>25</v>
      </c>
      <c r="B22" s="29"/>
      <c r="C22" s="34"/>
      <c r="D22" s="29"/>
    </row>
    <row r="23" spans="1:4" x14ac:dyDescent="0.2">
      <c r="A23" s="14" t="s">
        <v>57</v>
      </c>
      <c r="B23" s="18"/>
      <c r="C23" s="34"/>
      <c r="D23" s="29"/>
    </row>
    <row r="24" spans="1:4" x14ac:dyDescent="0.2">
      <c r="A24" s="14" t="s">
        <v>26</v>
      </c>
      <c r="B24" s="18"/>
      <c r="C24" s="34"/>
      <c r="D24" s="29"/>
    </row>
    <row r="25" spans="1:4" x14ac:dyDescent="0.2">
      <c r="A25" s="14" t="s">
        <v>27</v>
      </c>
      <c r="B25" s="18"/>
      <c r="C25" s="34"/>
      <c r="D25" s="29"/>
    </row>
    <row r="26" spans="1:4" x14ac:dyDescent="0.2">
      <c r="A26" s="14" t="s">
        <v>28</v>
      </c>
      <c r="B26" s="18"/>
      <c r="C26" s="34"/>
      <c r="D26" s="29"/>
    </row>
    <row r="27" spans="1:4" x14ac:dyDescent="0.2">
      <c r="A27" s="14" t="s">
        <v>29</v>
      </c>
      <c r="B27" s="18"/>
      <c r="C27" s="34"/>
      <c r="D27" s="29"/>
    </row>
    <row r="28" spans="1:4" x14ac:dyDescent="0.2">
      <c r="A28" s="14" t="s">
        <v>30</v>
      </c>
      <c r="B28" s="18"/>
      <c r="C28" s="34"/>
      <c r="D28" s="29"/>
    </row>
    <row r="29" spans="1:4" x14ac:dyDescent="0.2">
      <c r="A29" s="14" t="s">
        <v>169</v>
      </c>
      <c r="B29" s="18"/>
      <c r="C29" s="34"/>
      <c r="D29" s="29"/>
    </row>
    <row r="30" spans="1:4" x14ac:dyDescent="0.2">
      <c r="A30" s="14" t="s">
        <v>170</v>
      </c>
      <c r="B30" s="18"/>
      <c r="C30" s="34"/>
      <c r="D30" s="29"/>
    </row>
    <row r="31" spans="1:4" x14ac:dyDescent="0.2">
      <c r="A31" s="14" t="s">
        <v>32</v>
      </c>
      <c r="B31" s="18"/>
      <c r="C31" s="34"/>
      <c r="D31" s="29"/>
    </row>
    <row r="32" spans="1:4" x14ac:dyDescent="0.2">
      <c r="A32" s="14" t="s">
        <v>33</v>
      </c>
      <c r="B32" s="18"/>
      <c r="C32" s="34"/>
      <c r="D32" s="29"/>
    </row>
    <row r="33" spans="1:4" x14ac:dyDescent="0.2">
      <c r="A33" s="14" t="s">
        <v>34</v>
      </c>
      <c r="B33" s="18"/>
      <c r="C33" s="34"/>
      <c r="D33" s="29"/>
    </row>
    <row r="34" spans="1:4" x14ac:dyDescent="0.2">
      <c r="A34" s="14" t="s">
        <v>35</v>
      </c>
      <c r="B34" s="18"/>
      <c r="C34" s="34"/>
      <c r="D34" s="29"/>
    </row>
    <row r="35" spans="1:4" x14ac:dyDescent="0.2">
      <c r="A35" s="14" t="s">
        <v>89</v>
      </c>
      <c r="B35" s="18"/>
      <c r="C35" s="34"/>
      <c r="D35" s="29"/>
    </row>
    <row r="36" spans="1:4" x14ac:dyDescent="0.2">
      <c r="A36" s="14" t="s">
        <v>37</v>
      </c>
      <c r="B36" s="68"/>
      <c r="C36" s="34"/>
      <c r="D36" s="29"/>
    </row>
    <row r="37" spans="1:4" x14ac:dyDescent="0.2">
      <c r="A37" s="14" t="s">
        <v>171</v>
      </c>
      <c r="B37" s="18"/>
      <c r="C37" s="34"/>
      <c r="D37" s="29"/>
    </row>
    <row r="38" spans="1:4" x14ac:dyDescent="0.2">
      <c r="A38" s="14" t="s">
        <v>172</v>
      </c>
      <c r="B38" s="18"/>
      <c r="C38" s="34"/>
      <c r="D38" s="29"/>
    </row>
    <row r="39" spans="1:4" x14ac:dyDescent="0.2">
      <c r="A39" s="14" t="s">
        <v>91</v>
      </c>
      <c r="B39" s="18"/>
      <c r="C39" s="34"/>
      <c r="D39" s="29"/>
    </row>
    <row r="40" spans="1:4" x14ac:dyDescent="0.2">
      <c r="A40" s="14" t="s">
        <v>39</v>
      </c>
      <c r="B40" s="68"/>
      <c r="C40" s="34"/>
      <c r="D40" s="29"/>
    </row>
    <row r="41" spans="1:4" x14ac:dyDescent="0.2">
      <c r="A41" s="14" t="s">
        <v>173</v>
      </c>
      <c r="B41" s="42"/>
      <c r="C41" s="34"/>
      <c r="D41" s="29"/>
    </row>
    <row r="42" spans="1:4" x14ac:dyDescent="0.2">
      <c r="A42" s="14" t="s">
        <v>174</v>
      </c>
      <c r="B42" s="42"/>
      <c r="C42" s="34"/>
      <c r="D42" s="29"/>
    </row>
    <row r="43" spans="1:4" x14ac:dyDescent="0.2">
      <c r="A43" s="14" t="s">
        <v>94</v>
      </c>
      <c r="B43" s="42"/>
      <c r="C43" s="34"/>
      <c r="D43" s="29"/>
    </row>
    <row r="44" spans="1:4" x14ac:dyDescent="0.2">
      <c r="A44" s="14" t="s">
        <v>42</v>
      </c>
      <c r="B44" s="42"/>
      <c r="C44" s="34"/>
      <c r="D44" s="29"/>
    </row>
    <row r="45" spans="1:4" x14ac:dyDescent="0.2">
      <c r="A45" s="14" t="s">
        <v>59</v>
      </c>
      <c r="B45" s="42"/>
      <c r="C45" s="34"/>
      <c r="D45" s="29"/>
    </row>
    <row r="46" spans="1:4" x14ac:dyDescent="0.2">
      <c r="A46" s="14" t="s">
        <v>43</v>
      </c>
      <c r="B46" s="42"/>
      <c r="C46" s="34"/>
      <c r="D46" s="29"/>
    </row>
    <row r="47" spans="1:4" x14ac:dyDescent="0.2">
      <c r="A47" s="14" t="s">
        <v>175</v>
      </c>
      <c r="B47" s="42"/>
      <c r="C47" s="34"/>
      <c r="D47" s="29"/>
    </row>
    <row r="48" spans="1:4" x14ac:dyDescent="0.2">
      <c r="A48" s="14" t="s">
        <v>176</v>
      </c>
      <c r="B48" s="42"/>
      <c r="C48" s="34"/>
      <c r="D48" s="29"/>
    </row>
    <row r="49" spans="1:4" x14ac:dyDescent="0.2">
      <c r="A49" s="14" t="s">
        <v>44</v>
      </c>
      <c r="B49" s="42"/>
      <c r="C49" s="34"/>
      <c r="D49" s="29"/>
    </row>
    <row r="50" spans="1:4" x14ac:dyDescent="0.2">
      <c r="A50" s="14" t="s">
        <v>45</v>
      </c>
      <c r="B50" s="42"/>
      <c r="C50" s="34"/>
      <c r="D50" s="29"/>
    </row>
    <row r="51" spans="1:4" x14ac:dyDescent="0.2">
      <c r="A51" s="14" t="s">
        <v>46</v>
      </c>
      <c r="B51" s="42"/>
      <c r="C51" s="34"/>
      <c r="D51" s="29"/>
    </row>
    <row r="52" spans="1:4" x14ac:dyDescent="0.2">
      <c r="A52" s="14" t="s">
        <v>47</v>
      </c>
      <c r="B52" s="42"/>
      <c r="C52" s="34"/>
      <c r="D52" s="29"/>
    </row>
    <row r="53" spans="1:4" x14ac:dyDescent="0.2">
      <c r="A53" s="14" t="s">
        <v>48</v>
      </c>
      <c r="B53" s="48"/>
      <c r="C53" s="34"/>
      <c r="D53" s="29"/>
    </row>
    <row r="54" spans="1:4" x14ac:dyDescent="0.2">
      <c r="A54" s="14" t="s">
        <v>50</v>
      </c>
      <c r="B54" s="42"/>
      <c r="C54" s="34"/>
      <c r="D54" s="29"/>
    </row>
    <row r="55" spans="1:4" x14ac:dyDescent="0.2">
      <c r="A55" s="14" t="s">
        <v>102</v>
      </c>
      <c r="B55" s="42"/>
      <c r="C55" s="34"/>
      <c r="D55" s="29"/>
    </row>
    <row r="56" spans="1:4" x14ac:dyDescent="0.2">
      <c r="A56" s="14" t="s">
        <v>51</v>
      </c>
      <c r="B56" s="42"/>
      <c r="C56" s="34"/>
      <c r="D56" s="29"/>
    </row>
    <row r="57" spans="1:4" x14ac:dyDescent="0.2">
      <c r="A57" s="14" t="s">
        <v>52</v>
      </c>
      <c r="B57" s="42"/>
      <c r="C57" s="34"/>
      <c r="D57" s="29"/>
    </row>
    <row r="58" spans="1:4" x14ac:dyDescent="0.2">
      <c r="A58" s="14" t="s">
        <v>53</v>
      </c>
      <c r="B58" s="42"/>
      <c r="C58" s="34"/>
      <c r="D58" s="29"/>
    </row>
    <row r="59" spans="1:4" x14ac:dyDescent="0.2">
      <c r="A59" s="14" t="s">
        <v>54</v>
      </c>
      <c r="B59" s="42"/>
      <c r="C59" s="34"/>
      <c r="D59" s="29"/>
    </row>
    <row r="60" spans="1:4" x14ac:dyDescent="0.2">
      <c r="A60" s="14" t="s">
        <v>55</v>
      </c>
      <c r="B60" s="42"/>
      <c r="C60" s="34"/>
      <c r="D60" s="29"/>
    </row>
    <row r="61" spans="1:4" x14ac:dyDescent="0.2">
      <c r="A61" s="14" t="s">
        <v>56</v>
      </c>
      <c r="B61" s="42"/>
      <c r="C61" s="34"/>
      <c r="D61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F982-3F23-40D9-A9F1-4615FB32760A}">
  <sheetPr codeName="Hoja3"/>
  <dimension ref="A1:D61"/>
  <sheetViews>
    <sheetView workbookViewId="0">
      <selection activeCell="E26" sqref="E26"/>
    </sheetView>
  </sheetViews>
  <sheetFormatPr baseColWidth="10" defaultRowHeight="12.75" x14ac:dyDescent="0.2"/>
  <cols>
    <col min="1" max="1" width="39.85546875" customWidth="1"/>
  </cols>
  <sheetData>
    <row r="1" spans="1:4" x14ac:dyDescent="0.2">
      <c r="C1" s="67" t="s">
        <v>178</v>
      </c>
      <c r="D1" s="67" t="s">
        <v>126</v>
      </c>
    </row>
    <row r="2" spans="1:4" x14ac:dyDescent="0.2">
      <c r="A2" s="14" t="s">
        <v>5</v>
      </c>
      <c r="B2" s="29"/>
      <c r="C2" s="34"/>
      <c r="D2" s="29"/>
    </row>
    <row r="3" spans="1:4" x14ac:dyDescent="0.2">
      <c r="A3" s="14" t="s">
        <v>163</v>
      </c>
      <c r="B3" s="29"/>
      <c r="C3" s="34"/>
      <c r="D3" s="29"/>
    </row>
    <row r="4" spans="1:4" x14ac:dyDescent="0.2">
      <c r="A4" s="14" t="s">
        <v>164</v>
      </c>
      <c r="B4" s="29"/>
      <c r="C4" s="34"/>
      <c r="D4" s="29"/>
    </row>
    <row r="5" spans="1:4" x14ac:dyDescent="0.2">
      <c r="A5" s="14" t="s">
        <v>165</v>
      </c>
      <c r="B5" s="29"/>
      <c r="C5" s="34"/>
      <c r="D5" s="29"/>
    </row>
    <row r="6" spans="1:4" x14ac:dyDescent="0.2">
      <c r="A6" s="14" t="s">
        <v>11</v>
      </c>
      <c r="B6" s="29"/>
      <c r="C6" s="34"/>
      <c r="D6" s="29"/>
    </row>
    <row r="7" spans="1:4" x14ac:dyDescent="0.2">
      <c r="A7" s="14" t="s">
        <v>12</v>
      </c>
      <c r="B7" s="29"/>
      <c r="C7" s="34"/>
      <c r="D7" s="29"/>
    </row>
    <row r="8" spans="1:4" x14ac:dyDescent="0.2">
      <c r="A8" s="14" t="s">
        <v>166</v>
      </c>
      <c r="B8" s="29"/>
      <c r="C8" s="34"/>
      <c r="D8" s="29"/>
    </row>
    <row r="9" spans="1:4" x14ac:dyDescent="0.2">
      <c r="A9" s="14" t="s">
        <v>167</v>
      </c>
      <c r="B9" s="29"/>
      <c r="C9" s="34"/>
      <c r="D9" s="29"/>
    </row>
    <row r="10" spans="1:4" x14ac:dyDescent="0.2">
      <c r="A10" s="8" t="s">
        <v>168</v>
      </c>
      <c r="B10" s="29"/>
      <c r="C10" s="34"/>
      <c r="D10" s="29"/>
    </row>
    <row r="11" spans="1:4" x14ac:dyDescent="0.2">
      <c r="A11" s="14" t="s">
        <v>14</v>
      </c>
      <c r="B11" s="29"/>
      <c r="C11" s="34"/>
      <c r="D11" s="29"/>
    </row>
    <row r="12" spans="1:4" x14ac:dyDescent="0.2">
      <c r="A12" s="14" t="s">
        <v>15</v>
      </c>
      <c r="B12" s="29"/>
      <c r="C12" s="34"/>
      <c r="D12" s="29"/>
    </row>
    <row r="13" spans="1:4" x14ac:dyDescent="0.2">
      <c r="A13" s="14" t="s">
        <v>16</v>
      </c>
      <c r="B13" s="29"/>
      <c r="C13" s="34"/>
      <c r="D13" s="29"/>
    </row>
    <row r="14" spans="1:4" x14ac:dyDescent="0.2">
      <c r="A14" s="14" t="s">
        <v>17</v>
      </c>
      <c r="B14" s="29"/>
      <c r="C14" s="34"/>
      <c r="D14" s="29"/>
    </row>
    <row r="15" spans="1:4" x14ac:dyDescent="0.2">
      <c r="A15" s="14" t="s">
        <v>19</v>
      </c>
      <c r="B15" s="29"/>
      <c r="C15" s="34"/>
      <c r="D15" s="29"/>
    </row>
    <row r="16" spans="1:4" x14ac:dyDescent="0.2">
      <c r="A16" s="14" t="s">
        <v>20</v>
      </c>
      <c r="B16" s="29"/>
      <c r="C16" s="34"/>
      <c r="D16" s="29"/>
    </row>
    <row r="17" spans="1:4" x14ac:dyDescent="0.2">
      <c r="A17" s="14" t="s">
        <v>21</v>
      </c>
      <c r="B17" s="29"/>
      <c r="C17" s="34"/>
      <c r="D17" s="29"/>
    </row>
    <row r="18" spans="1:4" x14ac:dyDescent="0.2">
      <c r="A18" s="14" t="s">
        <v>22</v>
      </c>
      <c r="B18" s="29"/>
      <c r="C18" s="34"/>
      <c r="D18" s="29"/>
    </row>
    <row r="19" spans="1:4" x14ac:dyDescent="0.2">
      <c r="A19" s="14" t="s">
        <v>23</v>
      </c>
      <c r="B19" s="29"/>
      <c r="C19" s="34"/>
      <c r="D19" s="29"/>
    </row>
    <row r="20" spans="1:4" x14ac:dyDescent="0.2">
      <c r="A20" s="14" t="s">
        <v>81</v>
      </c>
      <c r="B20" s="29"/>
      <c r="C20" s="34"/>
      <c r="D20" s="29"/>
    </row>
    <row r="21" spans="1:4" x14ac:dyDescent="0.2">
      <c r="A21" s="14" t="s">
        <v>24</v>
      </c>
      <c r="B21" s="29"/>
      <c r="C21" s="34"/>
      <c r="D21" s="29"/>
    </row>
    <row r="22" spans="1:4" x14ac:dyDescent="0.2">
      <c r="A22" s="14" t="s">
        <v>25</v>
      </c>
      <c r="B22" s="29"/>
      <c r="C22" s="34"/>
      <c r="D22" s="29"/>
    </row>
    <row r="23" spans="1:4" x14ac:dyDescent="0.2">
      <c r="A23" s="14" t="s">
        <v>57</v>
      </c>
      <c r="B23" s="18"/>
      <c r="C23" s="34"/>
      <c r="D23" s="29"/>
    </row>
    <row r="24" spans="1:4" x14ac:dyDescent="0.2">
      <c r="A24" s="14" t="s">
        <v>26</v>
      </c>
      <c r="B24" s="18"/>
      <c r="C24" s="34"/>
      <c r="D24" s="29"/>
    </row>
    <row r="25" spans="1:4" x14ac:dyDescent="0.2">
      <c r="A25" s="14" t="s">
        <v>27</v>
      </c>
      <c r="B25" s="18"/>
      <c r="C25" s="34"/>
      <c r="D25" s="29"/>
    </row>
    <row r="26" spans="1:4" x14ac:dyDescent="0.2">
      <c r="A26" s="14" t="s">
        <v>28</v>
      </c>
      <c r="B26" s="18"/>
      <c r="C26" s="34"/>
      <c r="D26" s="29"/>
    </row>
    <row r="27" spans="1:4" x14ac:dyDescent="0.2">
      <c r="A27" s="14" t="s">
        <v>29</v>
      </c>
      <c r="B27" s="18"/>
      <c r="C27" s="34"/>
      <c r="D27" s="29"/>
    </row>
    <row r="28" spans="1:4" x14ac:dyDescent="0.2">
      <c r="A28" s="14" t="s">
        <v>30</v>
      </c>
      <c r="B28" s="18"/>
      <c r="C28" s="34"/>
      <c r="D28" s="29"/>
    </row>
    <row r="29" spans="1:4" x14ac:dyDescent="0.2">
      <c r="A29" s="14" t="s">
        <v>169</v>
      </c>
      <c r="B29" s="18"/>
      <c r="C29" s="34"/>
      <c r="D29" s="29"/>
    </row>
    <row r="30" spans="1:4" x14ac:dyDescent="0.2">
      <c r="A30" s="14" t="s">
        <v>170</v>
      </c>
      <c r="B30" s="18"/>
      <c r="C30" s="34"/>
      <c r="D30" s="29"/>
    </row>
    <row r="31" spans="1:4" x14ac:dyDescent="0.2">
      <c r="A31" s="14" t="s">
        <v>32</v>
      </c>
      <c r="B31" s="18"/>
      <c r="C31" s="34"/>
      <c r="D31" s="29"/>
    </row>
    <row r="32" spans="1:4" x14ac:dyDescent="0.2">
      <c r="A32" s="14" t="s">
        <v>33</v>
      </c>
      <c r="B32" s="18"/>
      <c r="C32" s="34"/>
      <c r="D32" s="29"/>
    </row>
    <row r="33" spans="1:4" x14ac:dyDescent="0.2">
      <c r="A33" s="14" t="s">
        <v>34</v>
      </c>
      <c r="B33" s="18"/>
      <c r="C33" s="34"/>
      <c r="D33" s="29"/>
    </row>
    <row r="34" spans="1:4" x14ac:dyDescent="0.2">
      <c r="A34" s="14" t="s">
        <v>35</v>
      </c>
      <c r="B34" s="18"/>
      <c r="C34" s="34"/>
      <c r="D34" s="29"/>
    </row>
    <row r="35" spans="1:4" x14ac:dyDescent="0.2">
      <c r="A35" s="14" t="s">
        <v>89</v>
      </c>
      <c r="B35" s="18"/>
      <c r="C35" s="34"/>
      <c r="D35" s="29"/>
    </row>
    <row r="36" spans="1:4" x14ac:dyDescent="0.2">
      <c r="A36" s="14" t="s">
        <v>37</v>
      </c>
      <c r="B36" s="68"/>
      <c r="C36" s="34"/>
      <c r="D36" s="29"/>
    </row>
    <row r="37" spans="1:4" x14ac:dyDescent="0.2">
      <c r="A37" s="14" t="s">
        <v>171</v>
      </c>
      <c r="B37" s="18"/>
      <c r="C37" s="34"/>
      <c r="D37" s="29"/>
    </row>
    <row r="38" spans="1:4" x14ac:dyDescent="0.2">
      <c r="A38" s="14" t="s">
        <v>172</v>
      </c>
      <c r="B38" s="18"/>
      <c r="C38" s="34"/>
      <c r="D38" s="29"/>
    </row>
    <row r="39" spans="1:4" x14ac:dyDescent="0.2">
      <c r="A39" s="14" t="s">
        <v>91</v>
      </c>
      <c r="B39" s="18"/>
      <c r="C39" s="34"/>
      <c r="D39" s="29"/>
    </row>
    <row r="40" spans="1:4" x14ac:dyDescent="0.2">
      <c r="A40" s="14" t="s">
        <v>39</v>
      </c>
      <c r="B40" s="68"/>
      <c r="C40" s="34"/>
      <c r="D40" s="29"/>
    </row>
    <row r="41" spans="1:4" x14ac:dyDescent="0.2">
      <c r="A41" s="14" t="s">
        <v>173</v>
      </c>
      <c r="B41" s="42"/>
      <c r="C41" s="34"/>
      <c r="D41" s="29"/>
    </row>
    <row r="42" spans="1:4" x14ac:dyDescent="0.2">
      <c r="A42" s="14" t="s">
        <v>174</v>
      </c>
      <c r="B42" s="42"/>
      <c r="C42" s="34"/>
      <c r="D42" s="29"/>
    </row>
    <row r="43" spans="1:4" x14ac:dyDescent="0.2">
      <c r="A43" s="14" t="s">
        <v>94</v>
      </c>
      <c r="B43" s="42"/>
      <c r="C43" s="34"/>
      <c r="D43" s="29"/>
    </row>
    <row r="44" spans="1:4" x14ac:dyDescent="0.2">
      <c r="A44" s="14" t="s">
        <v>42</v>
      </c>
      <c r="B44" s="42"/>
      <c r="C44" s="34"/>
      <c r="D44" s="29"/>
    </row>
    <row r="45" spans="1:4" x14ac:dyDescent="0.2">
      <c r="A45" s="14" t="s">
        <v>59</v>
      </c>
      <c r="B45" s="42"/>
      <c r="C45" s="34"/>
      <c r="D45" s="29"/>
    </row>
    <row r="46" spans="1:4" x14ac:dyDescent="0.2">
      <c r="A46" s="14" t="s">
        <v>43</v>
      </c>
      <c r="B46" s="42"/>
      <c r="C46" s="34"/>
      <c r="D46" s="29"/>
    </row>
    <row r="47" spans="1:4" x14ac:dyDescent="0.2">
      <c r="A47" s="14" t="s">
        <v>175</v>
      </c>
      <c r="B47" s="42"/>
      <c r="C47" s="34"/>
      <c r="D47" s="29"/>
    </row>
    <row r="48" spans="1:4" x14ac:dyDescent="0.2">
      <c r="A48" s="14" t="s">
        <v>176</v>
      </c>
      <c r="B48" s="42"/>
      <c r="C48" s="34"/>
      <c r="D48" s="29"/>
    </row>
    <row r="49" spans="1:4" x14ac:dyDescent="0.2">
      <c r="A49" s="14" t="s">
        <v>44</v>
      </c>
      <c r="B49" s="42"/>
      <c r="C49" s="34"/>
      <c r="D49" s="29"/>
    </row>
    <row r="50" spans="1:4" x14ac:dyDescent="0.2">
      <c r="A50" s="14" t="s">
        <v>45</v>
      </c>
      <c r="B50" s="42"/>
      <c r="C50" s="34"/>
      <c r="D50" s="29"/>
    </row>
    <row r="51" spans="1:4" x14ac:dyDescent="0.2">
      <c r="A51" s="14" t="s">
        <v>46</v>
      </c>
      <c r="B51" s="42"/>
      <c r="C51" s="34"/>
      <c r="D51" s="29"/>
    </row>
    <row r="52" spans="1:4" x14ac:dyDescent="0.2">
      <c r="A52" s="14" t="s">
        <v>47</v>
      </c>
      <c r="B52" s="42"/>
      <c r="C52" s="34"/>
      <c r="D52" s="29"/>
    </row>
    <row r="53" spans="1:4" x14ac:dyDescent="0.2">
      <c r="A53" s="14" t="s">
        <v>48</v>
      </c>
      <c r="B53" s="48"/>
      <c r="C53" s="34"/>
      <c r="D53" s="29"/>
    </row>
    <row r="54" spans="1:4" x14ac:dyDescent="0.2">
      <c r="A54" s="14" t="s">
        <v>50</v>
      </c>
      <c r="B54" s="42"/>
      <c r="C54" s="34"/>
      <c r="D54" s="29"/>
    </row>
    <row r="55" spans="1:4" x14ac:dyDescent="0.2">
      <c r="A55" s="14" t="s">
        <v>102</v>
      </c>
      <c r="B55" s="42"/>
      <c r="C55" s="34"/>
      <c r="D55" s="29"/>
    </row>
    <row r="56" spans="1:4" x14ac:dyDescent="0.2">
      <c r="A56" s="14" t="s">
        <v>51</v>
      </c>
      <c r="B56" s="42"/>
      <c r="C56" s="34"/>
      <c r="D56" s="29"/>
    </row>
    <row r="57" spans="1:4" x14ac:dyDescent="0.2">
      <c r="A57" s="14" t="s">
        <v>52</v>
      </c>
      <c r="B57" s="42"/>
      <c r="C57" s="34"/>
      <c r="D57" s="29"/>
    </row>
    <row r="58" spans="1:4" x14ac:dyDescent="0.2">
      <c r="A58" s="14" t="s">
        <v>53</v>
      </c>
      <c r="B58" s="42"/>
      <c r="C58" s="34"/>
      <c r="D58" s="29"/>
    </row>
    <row r="59" spans="1:4" x14ac:dyDescent="0.2">
      <c r="A59" s="14" t="s">
        <v>54</v>
      </c>
      <c r="B59" s="42"/>
      <c r="C59" s="34"/>
      <c r="D59" s="29"/>
    </row>
    <row r="60" spans="1:4" x14ac:dyDescent="0.2">
      <c r="A60" s="14" t="s">
        <v>55</v>
      </c>
      <c r="B60" s="42"/>
      <c r="C60" s="34"/>
      <c r="D60" s="29"/>
    </row>
    <row r="61" spans="1:4" x14ac:dyDescent="0.2">
      <c r="A61" s="14" t="s">
        <v>56</v>
      </c>
      <c r="B61" s="42"/>
      <c r="C61" s="34"/>
      <c r="D61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DC48C-1742-463B-84E8-9DD4CF3B8334}">
  <sheetPr codeName="Hoja4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1FEF-80B2-4259-913F-5030B9A7B228}">
  <sheetPr codeName="Hoja5"/>
  <dimension ref="A1"/>
  <sheetViews>
    <sheetView workbookViewId="0">
      <selection activeCell="F44" sqref="F44"/>
    </sheetView>
  </sheetViews>
  <sheetFormatPr baseColWidth="10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345F-302B-4E1B-87FD-0EE6EC5AF09F}">
  <sheetPr codeName="Hoja10"/>
  <dimension ref="A1:E62"/>
  <sheetViews>
    <sheetView workbookViewId="0">
      <selection activeCell="C39" sqref="C39:E39"/>
    </sheetView>
  </sheetViews>
  <sheetFormatPr baseColWidth="10" defaultRowHeight="12.75" x14ac:dyDescent="0.2"/>
  <sheetData>
    <row r="1" spans="1:5" x14ac:dyDescent="0.2">
      <c r="A1" t="s">
        <v>65</v>
      </c>
      <c r="B1" t="s">
        <v>179</v>
      </c>
      <c r="C1" t="s">
        <v>64</v>
      </c>
      <c r="D1" t="s">
        <v>180</v>
      </c>
      <c r="E1" t="s">
        <v>126</v>
      </c>
    </row>
    <row r="2" spans="1:5" x14ac:dyDescent="0.2">
      <c r="A2" t="s">
        <v>5</v>
      </c>
      <c r="B2" t="s">
        <v>7</v>
      </c>
      <c r="C2">
        <v>20128.18</v>
      </c>
      <c r="D2">
        <v>11.628064702484114</v>
      </c>
      <c r="E2">
        <v>5008.18</v>
      </c>
    </row>
    <row r="3" spans="1:5" x14ac:dyDescent="0.2">
      <c r="A3" t="s">
        <v>10</v>
      </c>
      <c r="B3" t="s">
        <v>7</v>
      </c>
      <c r="C3">
        <v>16362.08</v>
      </c>
      <c r="D3">
        <v>9.2128828828828837</v>
      </c>
      <c r="E3">
        <v>1242.08</v>
      </c>
    </row>
    <row r="4" spans="1:5" x14ac:dyDescent="0.2">
      <c r="A4" t="s">
        <v>10</v>
      </c>
      <c r="B4" t="s">
        <v>7</v>
      </c>
      <c r="C4">
        <v>0</v>
      </c>
      <c r="D4">
        <v>0</v>
      </c>
      <c r="E4">
        <v>0</v>
      </c>
    </row>
    <row r="5" spans="1:5" x14ac:dyDescent="0.2">
      <c r="A5" t="s">
        <v>75</v>
      </c>
      <c r="B5" t="s">
        <v>7</v>
      </c>
      <c r="C5">
        <v>19350.800000000003</v>
      </c>
      <c r="D5">
        <v>10.920316027088038</v>
      </c>
      <c r="E5">
        <v>4230.8000000000029</v>
      </c>
    </row>
    <row r="6" spans="1:5" x14ac:dyDescent="0.2">
      <c r="A6" t="s">
        <v>11</v>
      </c>
      <c r="B6" t="s">
        <v>7</v>
      </c>
      <c r="C6">
        <v>18492.95</v>
      </c>
      <c r="D6">
        <v>10.555336757990869</v>
      </c>
      <c r="E6">
        <v>3372.9500000000007</v>
      </c>
    </row>
    <row r="7" spans="1:5" x14ac:dyDescent="0.2">
      <c r="A7" t="s">
        <v>12</v>
      </c>
      <c r="B7" t="s">
        <v>7</v>
      </c>
      <c r="C7">
        <v>13879.475</v>
      </c>
      <c r="D7">
        <v>7.8860653409090915</v>
      </c>
      <c r="E7">
        <v>-1240.5249999999996</v>
      </c>
    </row>
    <row r="8" spans="1:5" x14ac:dyDescent="0.2">
      <c r="A8" t="s">
        <v>13</v>
      </c>
      <c r="B8" t="s">
        <v>7</v>
      </c>
    </row>
    <row r="9" spans="1:5" x14ac:dyDescent="0.2">
      <c r="A9" t="s">
        <v>13</v>
      </c>
      <c r="B9" t="s">
        <v>7</v>
      </c>
      <c r="C9">
        <v>20143.119999999995</v>
      </c>
      <c r="D9">
        <v>11.69751451800232</v>
      </c>
      <c r="E9">
        <v>5023.1199999999953</v>
      </c>
    </row>
    <row r="10" spans="1:5" x14ac:dyDescent="0.2">
      <c r="A10" t="s">
        <v>13</v>
      </c>
      <c r="B10" t="s">
        <v>7</v>
      </c>
    </row>
    <row r="11" spans="1:5" x14ac:dyDescent="0.2">
      <c r="A11" t="s">
        <v>14</v>
      </c>
      <c r="B11" t="s">
        <v>7</v>
      </c>
      <c r="C11">
        <v>18929.5</v>
      </c>
      <c r="D11">
        <v>10.804509132420092</v>
      </c>
      <c r="E11">
        <v>3809.5</v>
      </c>
    </row>
    <row r="12" spans="1:5" x14ac:dyDescent="0.2">
      <c r="A12" t="s">
        <v>15</v>
      </c>
      <c r="B12" t="s">
        <v>7</v>
      </c>
      <c r="C12">
        <v>18190.809999999998</v>
      </c>
      <c r="D12">
        <v>10.335687499999999</v>
      </c>
      <c r="E12">
        <v>3070.8099999999977</v>
      </c>
    </row>
    <row r="13" spans="1:5" x14ac:dyDescent="0.2">
      <c r="A13" t="s">
        <v>16</v>
      </c>
      <c r="B13" t="s">
        <v>7</v>
      </c>
      <c r="C13">
        <v>17438.23</v>
      </c>
      <c r="D13">
        <v>9.8521073446327687</v>
      </c>
      <c r="E13">
        <v>2318.2299999999996</v>
      </c>
    </row>
    <row r="14" spans="1:5" x14ac:dyDescent="0.2">
      <c r="A14" t="s">
        <v>17</v>
      </c>
      <c r="B14" t="s">
        <v>7</v>
      </c>
      <c r="C14">
        <v>24903.19</v>
      </c>
      <c r="D14">
        <v>14.230394285714285</v>
      </c>
      <c r="E14">
        <v>9783.1899999999987</v>
      </c>
    </row>
    <row r="15" spans="1:5" x14ac:dyDescent="0.2">
      <c r="A15" t="s">
        <v>19</v>
      </c>
      <c r="B15" t="s">
        <v>7</v>
      </c>
      <c r="C15">
        <v>22718.5</v>
      </c>
      <c r="D15">
        <v>13.086693548387096</v>
      </c>
      <c r="E15">
        <v>7598.5</v>
      </c>
    </row>
    <row r="16" spans="1:5" x14ac:dyDescent="0.2">
      <c r="A16" t="s">
        <v>20</v>
      </c>
      <c r="B16" t="s">
        <v>7</v>
      </c>
      <c r="C16">
        <v>16347.85</v>
      </c>
      <c r="D16">
        <v>9.2885511363636368</v>
      </c>
      <c r="E16">
        <v>1227.8500000000004</v>
      </c>
    </row>
    <row r="17" spans="1:5" x14ac:dyDescent="0.2">
      <c r="A17" t="s">
        <v>21</v>
      </c>
      <c r="B17" t="s">
        <v>7</v>
      </c>
      <c r="C17">
        <v>22857.200000000004</v>
      </c>
      <c r="D17">
        <v>13.076201372997714</v>
      </c>
      <c r="E17">
        <v>7737.2000000000044</v>
      </c>
    </row>
    <row r="18" spans="1:5" x14ac:dyDescent="0.2">
      <c r="A18" t="s">
        <v>22</v>
      </c>
      <c r="B18" t="s">
        <v>7</v>
      </c>
      <c r="C18">
        <v>20595.900000000001</v>
      </c>
      <c r="D18">
        <v>11.669065155807367</v>
      </c>
      <c r="E18">
        <v>5475.9000000000015</v>
      </c>
    </row>
    <row r="19" spans="1:5" x14ac:dyDescent="0.2">
      <c r="A19" t="s">
        <v>23</v>
      </c>
      <c r="B19" t="s">
        <v>7</v>
      </c>
      <c r="C19">
        <v>20700.259999999998</v>
      </c>
      <c r="D19">
        <v>11.842254004576658</v>
      </c>
      <c r="E19">
        <v>5580.2599999999984</v>
      </c>
    </row>
    <row r="20" spans="1:5" x14ac:dyDescent="0.2">
      <c r="A20" t="s">
        <v>81</v>
      </c>
      <c r="B20" t="s">
        <v>7</v>
      </c>
      <c r="C20">
        <v>16793.5</v>
      </c>
      <c r="D20">
        <v>9.1968784227820368</v>
      </c>
      <c r="E20">
        <v>1673.5</v>
      </c>
    </row>
    <row r="21" spans="1:5" x14ac:dyDescent="0.2">
      <c r="A21" t="s">
        <v>24</v>
      </c>
      <c r="B21" t="s">
        <v>7</v>
      </c>
      <c r="C21">
        <v>19786.100000000002</v>
      </c>
      <c r="D21">
        <v>11.203907134767839</v>
      </c>
      <c r="E21">
        <v>4666.1000000000022</v>
      </c>
    </row>
    <row r="22" spans="1:5" x14ac:dyDescent="0.2">
      <c r="A22" t="s">
        <v>25</v>
      </c>
      <c r="B22" t="s">
        <v>7</v>
      </c>
      <c r="C22">
        <v>26434.273399999998</v>
      </c>
      <c r="D22">
        <v>15.036560523321956</v>
      </c>
      <c r="E22">
        <v>11314.273399999998</v>
      </c>
    </row>
    <row r="23" spans="1:5" x14ac:dyDescent="0.2">
      <c r="A23" t="s">
        <v>57</v>
      </c>
      <c r="B23" t="s">
        <v>7</v>
      </c>
      <c r="C23">
        <v>23335.26</v>
      </c>
      <c r="D23">
        <v>13.319212328767122</v>
      </c>
      <c r="E23">
        <v>8215.2599999999984</v>
      </c>
    </row>
    <row r="24" spans="1:5" x14ac:dyDescent="0.2">
      <c r="A24" t="s">
        <v>26</v>
      </c>
      <c r="B24" t="s">
        <v>7</v>
      </c>
      <c r="C24">
        <v>15658.35</v>
      </c>
      <c r="D24">
        <v>8.8265783540022547</v>
      </c>
      <c r="E24">
        <v>538.35000000000036</v>
      </c>
    </row>
    <row r="25" spans="1:5" x14ac:dyDescent="0.2">
      <c r="A25" t="s">
        <v>27</v>
      </c>
      <c r="B25" t="s">
        <v>7</v>
      </c>
      <c r="C25">
        <v>19813.650000000001</v>
      </c>
      <c r="D25">
        <v>11.374081515499427</v>
      </c>
      <c r="E25">
        <v>4693.6500000000015</v>
      </c>
    </row>
    <row r="26" spans="1:5" x14ac:dyDescent="0.2">
      <c r="A26" t="s">
        <v>28</v>
      </c>
      <c r="B26" t="s">
        <v>7</v>
      </c>
      <c r="C26">
        <v>20200.25</v>
      </c>
      <c r="D26">
        <v>11.477414772727272</v>
      </c>
      <c r="E26">
        <v>5080.25</v>
      </c>
    </row>
    <row r="27" spans="1:5" x14ac:dyDescent="0.2">
      <c r="A27" t="s">
        <v>29</v>
      </c>
      <c r="B27" t="s">
        <v>7</v>
      </c>
      <c r="C27">
        <v>17425.79</v>
      </c>
      <c r="D27">
        <v>9.9010170454545463</v>
      </c>
      <c r="E27">
        <v>2305.7900000000009</v>
      </c>
    </row>
    <row r="28" spans="1:5" x14ac:dyDescent="0.2">
      <c r="A28" t="s">
        <v>30</v>
      </c>
      <c r="B28" t="s">
        <v>7</v>
      </c>
      <c r="C28">
        <v>25790.3</v>
      </c>
      <c r="D28">
        <v>15.333115338882283</v>
      </c>
      <c r="E28">
        <v>10670.3</v>
      </c>
    </row>
    <row r="29" spans="1:5" x14ac:dyDescent="0.2">
      <c r="A29" t="s">
        <v>31</v>
      </c>
      <c r="B29" t="s">
        <v>7</v>
      </c>
      <c r="C29">
        <v>23077.599999999999</v>
      </c>
      <c r="D29">
        <v>13.27825086306099</v>
      </c>
      <c r="E29">
        <v>7957.5999999999985</v>
      </c>
    </row>
    <row r="30" spans="1:5" x14ac:dyDescent="0.2">
      <c r="A30" t="s">
        <v>31</v>
      </c>
      <c r="B30" t="s">
        <v>7</v>
      </c>
      <c r="C30">
        <v>21862.75</v>
      </c>
      <c r="D30">
        <v>12.59375</v>
      </c>
      <c r="E30">
        <v>6742.75</v>
      </c>
    </row>
    <row r="31" spans="1:5" x14ac:dyDescent="0.2">
      <c r="A31" t="s">
        <v>32</v>
      </c>
      <c r="B31" t="s">
        <v>7</v>
      </c>
      <c r="C31">
        <v>18987.23</v>
      </c>
      <c r="D31">
        <v>10.788198863636364</v>
      </c>
      <c r="E31">
        <v>3867.2299999999996</v>
      </c>
    </row>
    <row r="32" spans="1:5" x14ac:dyDescent="0.2">
      <c r="A32" t="s">
        <v>33</v>
      </c>
      <c r="B32" t="s">
        <v>7</v>
      </c>
      <c r="C32">
        <v>18600.849999999999</v>
      </c>
      <c r="D32">
        <v>10.53275764439411</v>
      </c>
      <c r="E32">
        <v>3480.8499999999985</v>
      </c>
    </row>
    <row r="33" spans="1:5" x14ac:dyDescent="0.2">
      <c r="A33" t="s">
        <v>34</v>
      </c>
      <c r="B33" t="s">
        <v>7</v>
      </c>
      <c r="C33">
        <v>20555.309999999998</v>
      </c>
      <c r="D33">
        <v>11.732482876712327</v>
      </c>
      <c r="E33">
        <v>5435.3099999999977</v>
      </c>
    </row>
    <row r="34" spans="1:5" x14ac:dyDescent="0.2">
      <c r="A34" t="s">
        <v>35</v>
      </c>
      <c r="B34" t="s">
        <v>7</v>
      </c>
      <c r="C34">
        <v>17453.02</v>
      </c>
      <c r="D34">
        <v>9.8996142938173577</v>
      </c>
      <c r="E34">
        <v>2333.0200000000004</v>
      </c>
    </row>
    <row r="35" spans="1:5" x14ac:dyDescent="0.2">
      <c r="A35" t="s">
        <v>89</v>
      </c>
      <c r="B35" t="s">
        <v>7</v>
      </c>
      <c r="C35">
        <v>19921.939999999999</v>
      </c>
      <c r="D35">
        <v>11.204690663667041</v>
      </c>
      <c r="E35">
        <v>4801.9399999999987</v>
      </c>
    </row>
    <row r="36" spans="1:5" x14ac:dyDescent="0.2">
      <c r="A36" t="s">
        <v>37</v>
      </c>
      <c r="B36" t="s">
        <v>7</v>
      </c>
      <c r="C36">
        <v>19117.559999999998</v>
      </c>
      <c r="D36">
        <v>10.837619047619047</v>
      </c>
      <c r="E36">
        <v>3997.5599999999977</v>
      </c>
    </row>
    <row r="37" spans="1:5" x14ac:dyDescent="0.2">
      <c r="A37" t="s">
        <v>38</v>
      </c>
      <c r="B37" t="s">
        <v>7</v>
      </c>
      <c r="C37">
        <v>20102.53</v>
      </c>
      <c r="D37">
        <v>11.447910022779043</v>
      </c>
      <c r="E37">
        <v>4982.5299999999988</v>
      </c>
    </row>
    <row r="38" spans="1:5" x14ac:dyDescent="0.2">
      <c r="A38" t="s">
        <v>38</v>
      </c>
      <c r="B38" t="s">
        <v>7</v>
      </c>
      <c r="C38">
        <v>22733.250000000004</v>
      </c>
      <c r="D38">
        <v>12.94604214123007</v>
      </c>
      <c r="E38">
        <v>7613.2500000000036</v>
      </c>
    </row>
    <row r="39" spans="1:5" x14ac:dyDescent="0.2">
      <c r="A39" t="s">
        <v>91</v>
      </c>
      <c r="B39" t="s">
        <v>7</v>
      </c>
      <c r="D39" t="e">
        <v>#DIV/0!</v>
      </c>
    </row>
    <row r="40" spans="1:5" x14ac:dyDescent="0.2">
      <c r="A40" t="s">
        <v>39</v>
      </c>
      <c r="B40" t="s">
        <v>7</v>
      </c>
      <c r="C40">
        <v>19295</v>
      </c>
      <c r="D40">
        <v>10.969300739056282</v>
      </c>
      <c r="E40">
        <v>4175</v>
      </c>
    </row>
    <row r="41" spans="1:5" x14ac:dyDescent="0.2">
      <c r="A41" t="s">
        <v>40</v>
      </c>
      <c r="B41" t="s">
        <v>7</v>
      </c>
      <c r="C41">
        <v>23559.84</v>
      </c>
      <c r="D41">
        <v>13.899610619469026</v>
      </c>
      <c r="E41">
        <v>8439.84</v>
      </c>
    </row>
    <row r="42" spans="1:5" x14ac:dyDescent="0.2">
      <c r="A42" t="s">
        <v>40</v>
      </c>
      <c r="B42" t="s">
        <v>7</v>
      </c>
      <c r="C42">
        <v>24895.78</v>
      </c>
      <c r="D42">
        <v>14.474290697674418</v>
      </c>
      <c r="E42">
        <v>9775.7799999999988</v>
      </c>
    </row>
    <row r="43" spans="1:5" x14ac:dyDescent="0.2">
      <c r="A43" t="s">
        <v>94</v>
      </c>
      <c r="B43" t="s">
        <v>7</v>
      </c>
      <c r="C43">
        <v>17577.38</v>
      </c>
      <c r="D43">
        <v>9.8971734234234248</v>
      </c>
      <c r="E43">
        <v>2457.380000000001</v>
      </c>
    </row>
    <row r="44" spans="1:5" x14ac:dyDescent="0.2">
      <c r="A44" t="s">
        <v>42</v>
      </c>
      <c r="B44" t="s">
        <v>7</v>
      </c>
      <c r="C44">
        <v>19544.25</v>
      </c>
      <c r="D44">
        <v>11.155393835616438</v>
      </c>
      <c r="E44">
        <v>4424.25</v>
      </c>
    </row>
    <row r="45" spans="1:5" x14ac:dyDescent="0.2">
      <c r="A45" t="s">
        <v>59</v>
      </c>
      <c r="B45" t="s">
        <v>7</v>
      </c>
      <c r="C45">
        <v>17310.849999999999</v>
      </c>
      <c r="D45">
        <v>9.8134070294784568</v>
      </c>
      <c r="E45">
        <v>2190.8499999999985</v>
      </c>
    </row>
    <row r="46" spans="1:5" x14ac:dyDescent="0.2">
      <c r="A46" t="s">
        <v>43</v>
      </c>
      <c r="B46" t="s">
        <v>7</v>
      </c>
      <c r="C46">
        <v>20218.940000000002</v>
      </c>
      <c r="D46">
        <v>11.38453828828829</v>
      </c>
      <c r="E46">
        <v>5098.9400000000023</v>
      </c>
    </row>
    <row r="47" spans="1:5" x14ac:dyDescent="0.2">
      <c r="A47" t="s">
        <v>58</v>
      </c>
      <c r="B47" t="s">
        <v>7</v>
      </c>
      <c r="C47">
        <v>18969.490000000002</v>
      </c>
      <c r="D47">
        <v>10.839708571428572</v>
      </c>
      <c r="E47">
        <v>3849.4900000000016</v>
      </c>
    </row>
    <row r="48" spans="1:5" x14ac:dyDescent="0.2">
      <c r="A48" t="s">
        <v>58</v>
      </c>
      <c r="B48" t="s">
        <v>7</v>
      </c>
      <c r="C48">
        <v>19014.72</v>
      </c>
      <c r="D48">
        <v>10.773212464589236</v>
      </c>
      <c r="E48">
        <v>3894.7200000000012</v>
      </c>
    </row>
    <row r="49" spans="1:5" x14ac:dyDescent="0.2">
      <c r="A49" t="s">
        <v>44</v>
      </c>
      <c r="B49" t="s">
        <v>7</v>
      </c>
      <c r="C49">
        <v>18117.839999999997</v>
      </c>
      <c r="D49">
        <v>10.329441277080956</v>
      </c>
      <c r="E49">
        <v>2997.8399999999965</v>
      </c>
    </row>
    <row r="50" spans="1:5" x14ac:dyDescent="0.2">
      <c r="A50" t="s">
        <v>45</v>
      </c>
      <c r="B50" t="s">
        <v>7</v>
      </c>
      <c r="C50">
        <v>18633.940000000002</v>
      </c>
      <c r="D50">
        <v>10.611583143507975</v>
      </c>
      <c r="E50">
        <v>3513.9400000000023</v>
      </c>
    </row>
    <row r="51" spans="1:5" x14ac:dyDescent="0.2">
      <c r="A51" t="s">
        <v>46</v>
      </c>
      <c r="B51" t="s">
        <v>7</v>
      </c>
      <c r="C51">
        <v>20191.489999999998</v>
      </c>
      <c r="D51">
        <v>11.478959636156906</v>
      </c>
      <c r="E51">
        <v>5071.489999999998</v>
      </c>
    </row>
    <row r="52" spans="1:5" x14ac:dyDescent="0.2">
      <c r="A52" t="s">
        <v>47</v>
      </c>
      <c r="B52" t="s">
        <v>7</v>
      </c>
      <c r="C52">
        <v>18108.75</v>
      </c>
      <c r="D52">
        <v>10.395378874856487</v>
      </c>
      <c r="E52">
        <v>2988.75</v>
      </c>
    </row>
    <row r="53" spans="1:5" x14ac:dyDescent="0.2">
      <c r="A53" t="s">
        <v>48</v>
      </c>
      <c r="B53" t="s">
        <v>7</v>
      </c>
      <c r="C53">
        <v>18943.569999999996</v>
      </c>
      <c r="D53">
        <v>10.862138761467888</v>
      </c>
      <c r="E53">
        <v>3823.5699999999961</v>
      </c>
    </row>
    <row r="54" spans="1:5" x14ac:dyDescent="0.2">
      <c r="A54" t="s">
        <v>50</v>
      </c>
      <c r="B54" t="s">
        <v>7</v>
      </c>
      <c r="C54">
        <v>16734.88</v>
      </c>
      <c r="D54">
        <v>9.4654298642533945</v>
      </c>
      <c r="E54">
        <v>1614.880000000001</v>
      </c>
    </row>
    <row r="55" spans="1:5" x14ac:dyDescent="0.2">
      <c r="A55" t="s">
        <v>102</v>
      </c>
      <c r="B55" t="s">
        <v>7</v>
      </c>
      <c r="C55">
        <v>19523.68</v>
      </c>
      <c r="D55">
        <v>11.105620022753129</v>
      </c>
      <c r="E55">
        <v>4403.68</v>
      </c>
    </row>
    <row r="56" spans="1:5" x14ac:dyDescent="0.2">
      <c r="A56" t="s">
        <v>51</v>
      </c>
      <c r="B56" t="s">
        <v>7</v>
      </c>
      <c r="C56">
        <v>18257.939999999999</v>
      </c>
      <c r="D56">
        <v>10.373829545454544</v>
      </c>
      <c r="E56">
        <v>3137.9399999999987</v>
      </c>
    </row>
    <row r="57" spans="1:5" x14ac:dyDescent="0.2">
      <c r="A57" t="s">
        <v>52</v>
      </c>
      <c r="B57" t="s">
        <v>7</v>
      </c>
      <c r="C57">
        <v>20042.490000000002</v>
      </c>
      <c r="D57">
        <v>11.439777397260276</v>
      </c>
      <c r="E57">
        <v>4922.4900000000016</v>
      </c>
    </row>
    <row r="58" spans="1:5" x14ac:dyDescent="0.2">
      <c r="A58" t="s">
        <v>53</v>
      </c>
      <c r="B58" t="s">
        <v>7</v>
      </c>
      <c r="C58">
        <v>18190</v>
      </c>
      <c r="D58">
        <v>10.430045871559633</v>
      </c>
      <c r="E58">
        <v>3070</v>
      </c>
    </row>
    <row r="59" spans="1:5" x14ac:dyDescent="0.2">
      <c r="A59" t="s">
        <v>54</v>
      </c>
      <c r="B59" t="s">
        <v>7</v>
      </c>
      <c r="C59">
        <v>21075.63</v>
      </c>
      <c r="D59">
        <v>12.485562796208532</v>
      </c>
      <c r="E59">
        <v>5955.630000000001</v>
      </c>
    </row>
    <row r="60" spans="1:5" x14ac:dyDescent="0.2">
      <c r="A60" t="s">
        <v>55</v>
      </c>
      <c r="B60" t="s">
        <v>7</v>
      </c>
      <c r="C60">
        <v>18618.600000000002</v>
      </c>
      <c r="D60">
        <v>10.663573883161513</v>
      </c>
      <c r="E60">
        <v>3498.6000000000022</v>
      </c>
    </row>
    <row r="61" spans="1:5" x14ac:dyDescent="0.2">
      <c r="A61" t="s">
        <v>56</v>
      </c>
      <c r="B61" t="s">
        <v>7</v>
      </c>
      <c r="C61">
        <v>19562.75</v>
      </c>
      <c r="D61">
        <v>11.115198863636364</v>
      </c>
      <c r="E61">
        <v>4442.75</v>
      </c>
    </row>
    <row r="62" spans="1:5" x14ac:dyDescent="0.2">
      <c r="A62" t="s">
        <v>60</v>
      </c>
      <c r="B62" t="s">
        <v>7</v>
      </c>
      <c r="C62">
        <v>19649.942620408161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C547-487B-42CA-AA04-1C960E48DB09}">
  <sheetPr codeName="Hoja11"/>
  <dimension ref="A1:E62"/>
  <sheetViews>
    <sheetView tabSelected="1" topLeftCell="A7" workbookViewId="0">
      <selection activeCell="H19" sqref="H19"/>
    </sheetView>
  </sheetViews>
  <sheetFormatPr baseColWidth="10" defaultRowHeight="12.75" x14ac:dyDescent="0.2"/>
  <sheetData>
    <row r="1" spans="1:5" x14ac:dyDescent="0.2">
      <c r="A1" t="s">
        <v>65</v>
      </c>
      <c r="B1" t="s">
        <v>179</v>
      </c>
      <c r="C1" t="s">
        <v>64</v>
      </c>
      <c r="D1" t="s">
        <v>180</v>
      </c>
      <c r="E1" t="s">
        <v>126</v>
      </c>
    </row>
    <row r="2" spans="1:5" x14ac:dyDescent="0.2">
      <c r="A2" t="s">
        <v>181</v>
      </c>
      <c r="B2" t="s">
        <v>6</v>
      </c>
      <c r="C2">
        <v>23573.300000000003</v>
      </c>
      <c r="D2">
        <v>13.61831311380705</v>
      </c>
      <c r="E2">
        <v>8453.3000000000029</v>
      </c>
    </row>
    <row r="3" spans="1:5" x14ac:dyDescent="0.2">
      <c r="A3" t="s">
        <v>10</v>
      </c>
      <c r="B3" t="s">
        <v>6</v>
      </c>
      <c r="C3">
        <v>16837.66</v>
      </c>
      <c r="D3">
        <v>9.4806644144144148</v>
      </c>
      <c r="E3">
        <v>1717.6599999999999</v>
      </c>
    </row>
    <row r="4" spans="1:5" x14ac:dyDescent="0.2">
      <c r="A4" t="s">
        <v>10</v>
      </c>
      <c r="B4" t="s">
        <v>6</v>
      </c>
      <c r="C4">
        <v>0</v>
      </c>
      <c r="D4">
        <v>0</v>
      </c>
      <c r="E4">
        <v>0</v>
      </c>
    </row>
    <row r="5" spans="1:5" x14ac:dyDescent="0.2">
      <c r="A5" t="s">
        <v>10</v>
      </c>
      <c r="B5" t="s">
        <v>6</v>
      </c>
      <c r="C5">
        <v>20136.759999999998</v>
      </c>
      <c r="D5">
        <v>11.363860045146726</v>
      </c>
      <c r="E5">
        <v>5016.7599999999984</v>
      </c>
    </row>
    <row r="6" spans="1:5" x14ac:dyDescent="0.2">
      <c r="A6" t="s">
        <v>11</v>
      </c>
      <c r="B6" t="s">
        <v>6</v>
      </c>
      <c r="C6">
        <v>19847.05</v>
      </c>
      <c r="D6">
        <v>11.328224885844749</v>
      </c>
      <c r="E6">
        <v>4727.0499999999993</v>
      </c>
    </row>
    <row r="7" spans="1:5" x14ac:dyDescent="0.2">
      <c r="A7" t="s">
        <v>12</v>
      </c>
      <c r="B7" t="s">
        <v>6</v>
      </c>
      <c r="C7">
        <v>14865.449999999999</v>
      </c>
      <c r="D7">
        <v>8.4462784090909082</v>
      </c>
      <c r="E7">
        <v>-254.55000000000109</v>
      </c>
    </row>
    <row r="8" spans="1:5" x14ac:dyDescent="0.2">
      <c r="A8" t="s">
        <v>13</v>
      </c>
      <c r="B8" t="s">
        <v>6</v>
      </c>
    </row>
    <row r="9" spans="1:5" x14ac:dyDescent="0.2">
      <c r="A9" t="s">
        <v>13</v>
      </c>
      <c r="B9" t="s">
        <v>6</v>
      </c>
      <c r="C9">
        <v>21828.160000000003</v>
      </c>
      <c r="D9">
        <v>12.676051103368179</v>
      </c>
      <c r="E9">
        <v>6708.1600000000035</v>
      </c>
    </row>
    <row r="10" spans="1:5" x14ac:dyDescent="0.2">
      <c r="A10" t="s">
        <v>13</v>
      </c>
      <c r="B10" t="s">
        <v>6</v>
      </c>
    </row>
    <row r="11" spans="1:5" x14ac:dyDescent="0.2">
      <c r="A11" t="s">
        <v>14</v>
      </c>
      <c r="B11" t="s">
        <v>6</v>
      </c>
      <c r="C11">
        <v>20854.75</v>
      </c>
      <c r="D11">
        <v>11.903396118721462</v>
      </c>
      <c r="E11">
        <v>5734.75</v>
      </c>
    </row>
    <row r="12" spans="1:5" x14ac:dyDescent="0.2">
      <c r="A12" t="s">
        <v>15</v>
      </c>
      <c r="B12" t="s">
        <v>6</v>
      </c>
      <c r="C12">
        <v>18550.260000000002</v>
      </c>
      <c r="D12">
        <v>10.539920454545456</v>
      </c>
      <c r="E12">
        <v>3430.260000000002</v>
      </c>
    </row>
    <row r="13" spans="1:5" x14ac:dyDescent="0.2">
      <c r="A13" t="s">
        <v>16</v>
      </c>
      <c r="B13" t="s">
        <v>6</v>
      </c>
      <c r="C13">
        <v>19933.63</v>
      </c>
      <c r="D13">
        <v>11.261937853107344</v>
      </c>
      <c r="E13">
        <v>4813.630000000001</v>
      </c>
    </row>
    <row r="14" spans="1:5" x14ac:dyDescent="0.2">
      <c r="A14" t="s">
        <v>17</v>
      </c>
      <c r="B14" t="s">
        <v>6</v>
      </c>
      <c r="C14">
        <v>25955.07</v>
      </c>
      <c r="D14">
        <v>14.831468571428571</v>
      </c>
      <c r="E14">
        <v>10835.07</v>
      </c>
    </row>
    <row r="15" spans="1:5" x14ac:dyDescent="0.2">
      <c r="A15" t="s">
        <v>19</v>
      </c>
      <c r="B15" t="s">
        <v>6</v>
      </c>
      <c r="C15">
        <v>25593.5</v>
      </c>
      <c r="D15">
        <v>14.742799539170507</v>
      </c>
      <c r="E15">
        <v>10473.5</v>
      </c>
    </row>
    <row r="16" spans="1:5" x14ac:dyDescent="0.2">
      <c r="A16" t="s">
        <v>20</v>
      </c>
      <c r="B16" t="s">
        <v>6</v>
      </c>
      <c r="C16">
        <v>18012.010000000002</v>
      </c>
      <c r="D16">
        <v>10.234096590909092</v>
      </c>
      <c r="E16">
        <v>2892.010000000002</v>
      </c>
    </row>
    <row r="17" spans="1:2" x14ac:dyDescent="0.2">
      <c r="A17" t="s">
        <v>21</v>
      </c>
      <c r="B17" t="s">
        <v>6</v>
      </c>
    </row>
    <row r="18" spans="1:2" x14ac:dyDescent="0.2">
      <c r="A18" t="s">
        <v>22</v>
      </c>
      <c r="B18" t="s">
        <v>6</v>
      </c>
    </row>
    <row r="19" spans="1:2" x14ac:dyDescent="0.2">
      <c r="A19" t="s">
        <v>23</v>
      </c>
      <c r="B19" t="s">
        <v>6</v>
      </c>
    </row>
    <row r="20" spans="1:2" x14ac:dyDescent="0.2">
      <c r="A20" t="s">
        <v>81</v>
      </c>
      <c r="B20" t="s">
        <v>6</v>
      </c>
    </row>
    <row r="21" spans="1:2" x14ac:dyDescent="0.2">
      <c r="A21" t="s">
        <v>24</v>
      </c>
      <c r="B21" t="s">
        <v>6</v>
      </c>
    </row>
    <row r="22" spans="1:2" x14ac:dyDescent="0.2">
      <c r="A22" t="s">
        <v>25</v>
      </c>
      <c r="B22" t="s">
        <v>6</v>
      </c>
    </row>
    <row r="23" spans="1:2" x14ac:dyDescent="0.2">
      <c r="A23" t="s">
        <v>57</v>
      </c>
      <c r="B23" t="s">
        <v>6</v>
      </c>
    </row>
    <row r="24" spans="1:2" x14ac:dyDescent="0.2">
      <c r="A24" t="s">
        <v>26</v>
      </c>
      <c r="B24" t="s">
        <v>6</v>
      </c>
    </row>
    <row r="25" spans="1:2" x14ac:dyDescent="0.2">
      <c r="A25" t="s">
        <v>27</v>
      </c>
      <c r="B25" t="s">
        <v>6</v>
      </c>
    </row>
    <row r="26" spans="1:2" x14ac:dyDescent="0.2">
      <c r="A26" t="s">
        <v>28</v>
      </c>
      <c r="B26" t="s">
        <v>6</v>
      </c>
    </row>
    <row r="27" spans="1:2" x14ac:dyDescent="0.2">
      <c r="A27" t="s">
        <v>29</v>
      </c>
      <c r="B27" t="s">
        <v>6</v>
      </c>
    </row>
    <row r="28" spans="1:2" x14ac:dyDescent="0.2">
      <c r="A28" t="s">
        <v>30</v>
      </c>
      <c r="B28" t="s">
        <v>6</v>
      </c>
    </row>
    <row r="29" spans="1:2" x14ac:dyDescent="0.2">
      <c r="A29" t="s">
        <v>31</v>
      </c>
      <c r="B29" t="s">
        <v>6</v>
      </c>
    </row>
    <row r="30" spans="1:2" x14ac:dyDescent="0.2">
      <c r="A30" t="s">
        <v>31</v>
      </c>
      <c r="B30" t="s">
        <v>6</v>
      </c>
    </row>
    <row r="31" spans="1:2" x14ac:dyDescent="0.2">
      <c r="A31" t="s">
        <v>32</v>
      </c>
      <c r="B31" t="s">
        <v>6</v>
      </c>
    </row>
    <row r="32" spans="1:2" x14ac:dyDescent="0.2">
      <c r="A32" t="s">
        <v>33</v>
      </c>
      <c r="B32" t="s">
        <v>6</v>
      </c>
    </row>
    <row r="33" spans="1:5" x14ac:dyDescent="0.2">
      <c r="A33" t="s">
        <v>34</v>
      </c>
      <c r="B33" t="s">
        <v>6</v>
      </c>
    </row>
    <row r="34" spans="1:5" x14ac:dyDescent="0.2">
      <c r="A34" t="s">
        <v>35</v>
      </c>
      <c r="B34" t="s">
        <v>6</v>
      </c>
    </row>
    <row r="35" spans="1:5" x14ac:dyDescent="0.2">
      <c r="A35" t="s">
        <v>36</v>
      </c>
      <c r="B35" t="s">
        <v>6</v>
      </c>
    </row>
    <row r="36" spans="1:5" x14ac:dyDescent="0.2">
      <c r="A36" t="s">
        <v>37</v>
      </c>
      <c r="B36" t="s">
        <v>6</v>
      </c>
    </row>
    <row r="37" spans="1:5" x14ac:dyDescent="0.2">
      <c r="A37" t="s">
        <v>38</v>
      </c>
      <c r="B37" t="s">
        <v>6</v>
      </c>
    </row>
    <row r="38" spans="1:5" x14ac:dyDescent="0.2">
      <c r="A38" t="s">
        <v>38</v>
      </c>
      <c r="B38" t="s">
        <v>6</v>
      </c>
      <c r="C38">
        <v>24573.5</v>
      </c>
      <c r="D38">
        <v>13.994020501138952</v>
      </c>
      <c r="E38">
        <v>9453.5</v>
      </c>
    </row>
    <row r="39" spans="1:5" x14ac:dyDescent="0.2">
      <c r="A39" t="s">
        <v>91</v>
      </c>
      <c r="B39" t="s">
        <v>6</v>
      </c>
      <c r="D39" t="e">
        <v>#DIV/0!</v>
      </c>
    </row>
    <row r="40" spans="1:5" x14ac:dyDescent="0.2">
      <c r="A40" t="s">
        <v>39</v>
      </c>
      <c r="B40" t="s">
        <v>6</v>
      </c>
      <c r="C40">
        <v>19830.499999999996</v>
      </c>
      <c r="D40">
        <v>11.273735076748149</v>
      </c>
      <c r="E40">
        <v>4710.4999999999964</v>
      </c>
    </row>
    <row r="41" spans="1:5" x14ac:dyDescent="0.2">
      <c r="A41" t="s">
        <v>40</v>
      </c>
      <c r="B41" t="s">
        <v>6</v>
      </c>
      <c r="C41">
        <v>25439.67</v>
      </c>
      <c r="D41">
        <v>15.008654867256636</v>
      </c>
      <c r="E41">
        <v>10319.669999999998</v>
      </c>
    </row>
    <row r="42" spans="1:5" x14ac:dyDescent="0.2">
      <c r="A42" t="s">
        <v>40</v>
      </c>
      <c r="B42" t="s">
        <v>6</v>
      </c>
      <c r="C42">
        <v>27304.760000000002</v>
      </c>
      <c r="D42">
        <v>15.87486046511628</v>
      </c>
      <c r="E42">
        <v>12184.760000000002</v>
      </c>
    </row>
    <row r="43" spans="1:5" x14ac:dyDescent="0.2">
      <c r="A43" t="s">
        <v>41</v>
      </c>
      <c r="B43" t="s">
        <v>6</v>
      </c>
      <c r="C43">
        <v>18532.2</v>
      </c>
      <c r="D43">
        <v>10.434797297297298</v>
      </c>
      <c r="E43">
        <v>3412.2000000000007</v>
      </c>
    </row>
    <row r="44" spans="1:5" x14ac:dyDescent="0.2">
      <c r="A44" t="s">
        <v>42</v>
      </c>
      <c r="B44" t="s">
        <v>6</v>
      </c>
      <c r="C44">
        <v>20092.199999999997</v>
      </c>
      <c r="D44">
        <v>11.468150684931505</v>
      </c>
      <c r="E44">
        <v>4972.1999999999971</v>
      </c>
    </row>
    <row r="45" spans="1:5" x14ac:dyDescent="0.2">
      <c r="A45" t="s">
        <v>59</v>
      </c>
      <c r="B45" t="s">
        <v>6</v>
      </c>
      <c r="C45">
        <v>18510.75</v>
      </c>
      <c r="D45">
        <v>10.493622448979592</v>
      </c>
      <c r="E45">
        <v>3390.75</v>
      </c>
    </row>
    <row r="46" spans="1:5" x14ac:dyDescent="0.2">
      <c r="A46" t="s">
        <v>43</v>
      </c>
      <c r="B46" t="s">
        <v>6</v>
      </c>
      <c r="C46">
        <v>23380.98</v>
      </c>
      <c r="D46">
        <v>13.164966216216216</v>
      </c>
      <c r="E46">
        <v>8260.98</v>
      </c>
    </row>
    <row r="47" spans="1:5" x14ac:dyDescent="0.2">
      <c r="A47" t="s">
        <v>58</v>
      </c>
      <c r="B47" t="s">
        <v>6</v>
      </c>
      <c r="C47">
        <v>21469.269999999997</v>
      </c>
      <c r="D47">
        <v>12.268154285714283</v>
      </c>
      <c r="E47">
        <v>6349.2699999999968</v>
      </c>
    </row>
    <row r="48" spans="1:5" x14ac:dyDescent="0.2">
      <c r="A48" t="s">
        <v>58</v>
      </c>
      <c r="B48" t="s">
        <v>6</v>
      </c>
      <c r="C48">
        <v>21555.48</v>
      </c>
      <c r="D48">
        <v>12.212736543909347</v>
      </c>
      <c r="E48">
        <v>6435.48</v>
      </c>
    </row>
    <row r="49" spans="1:5" x14ac:dyDescent="0.2">
      <c r="A49" t="s">
        <v>44</v>
      </c>
      <c r="B49" t="s">
        <v>6</v>
      </c>
      <c r="C49">
        <v>19030.78</v>
      </c>
      <c r="D49">
        <v>10.849931584948688</v>
      </c>
      <c r="E49">
        <v>3910.7799999999988</v>
      </c>
    </row>
    <row r="50" spans="1:5" x14ac:dyDescent="0.2">
      <c r="A50" t="s">
        <v>45</v>
      </c>
      <c r="B50" t="s">
        <v>6</v>
      </c>
      <c r="C50">
        <v>23204.95</v>
      </c>
      <c r="D50">
        <v>13.214664009111617</v>
      </c>
      <c r="E50">
        <v>8084.9500000000007</v>
      </c>
    </row>
    <row r="51" spans="1:5" x14ac:dyDescent="0.2">
      <c r="A51" t="s">
        <v>46</v>
      </c>
      <c r="B51" t="s">
        <v>6</v>
      </c>
      <c r="C51">
        <v>22058.63</v>
      </c>
      <c r="D51">
        <v>12.540437748720866</v>
      </c>
      <c r="E51">
        <v>6938.630000000001</v>
      </c>
    </row>
    <row r="52" spans="1:5" x14ac:dyDescent="0.2">
      <c r="A52" t="s">
        <v>47</v>
      </c>
      <c r="B52" t="s">
        <v>6</v>
      </c>
      <c r="C52">
        <v>19396.550000000003</v>
      </c>
      <c r="D52">
        <v>11.13464408725603</v>
      </c>
      <c r="E52">
        <v>4276.5500000000029</v>
      </c>
    </row>
    <row r="53" spans="1:5" x14ac:dyDescent="0.2">
      <c r="A53" t="s">
        <v>48</v>
      </c>
      <c r="B53" t="s">
        <v>6</v>
      </c>
      <c r="C53">
        <v>20379.010000000002</v>
      </c>
      <c r="D53">
        <v>11.685212155963304</v>
      </c>
      <c r="E53">
        <v>5259.010000000002</v>
      </c>
    </row>
    <row r="54" spans="1:5" x14ac:dyDescent="0.2">
      <c r="A54" t="s">
        <v>50</v>
      </c>
      <c r="B54" t="s">
        <v>6</v>
      </c>
      <c r="C54">
        <v>18539.68</v>
      </c>
      <c r="D54">
        <v>10.486244343891403</v>
      </c>
      <c r="E54">
        <v>3419.6800000000003</v>
      </c>
    </row>
    <row r="55" spans="1:5" x14ac:dyDescent="0.2">
      <c r="A55" t="s">
        <v>49</v>
      </c>
      <c r="B55" t="s">
        <v>6</v>
      </c>
      <c r="C55">
        <v>21223.68</v>
      </c>
      <c r="D55">
        <v>12.072627986348124</v>
      </c>
      <c r="E55">
        <v>6103.68</v>
      </c>
    </row>
    <row r="56" spans="1:5" x14ac:dyDescent="0.2">
      <c r="A56" t="s">
        <v>51</v>
      </c>
      <c r="B56" t="s">
        <v>6</v>
      </c>
      <c r="C56">
        <v>20601.72</v>
      </c>
      <c r="D56">
        <v>11.705522727272728</v>
      </c>
      <c r="E56">
        <v>5481.7200000000012</v>
      </c>
    </row>
    <row r="57" spans="1:5" x14ac:dyDescent="0.2">
      <c r="A57" t="s">
        <v>52</v>
      </c>
      <c r="B57" t="s">
        <v>6</v>
      </c>
      <c r="C57">
        <v>21435.050000000003</v>
      </c>
      <c r="D57">
        <v>12.234617579908678</v>
      </c>
      <c r="E57">
        <v>6315.0500000000029</v>
      </c>
    </row>
    <row r="58" spans="1:5" x14ac:dyDescent="0.2">
      <c r="A58" t="s">
        <v>53</v>
      </c>
      <c r="B58" t="s">
        <v>6</v>
      </c>
      <c r="C58">
        <v>20510.5</v>
      </c>
      <c r="D58">
        <v>11.760607798165138</v>
      </c>
      <c r="E58">
        <v>5390.5</v>
      </c>
    </row>
    <row r="59" spans="1:5" x14ac:dyDescent="0.2">
      <c r="A59" t="s">
        <v>54</v>
      </c>
      <c r="B59" t="s">
        <v>6</v>
      </c>
      <c r="C59">
        <v>22481.239999999998</v>
      </c>
      <c r="D59">
        <v>13.318270142180094</v>
      </c>
      <c r="E59">
        <v>7361.239999999998</v>
      </c>
    </row>
    <row r="60" spans="1:5" x14ac:dyDescent="0.2">
      <c r="A60" t="s">
        <v>55</v>
      </c>
      <c r="B60" t="s">
        <v>6</v>
      </c>
      <c r="C60">
        <v>20288.45</v>
      </c>
      <c r="D60">
        <v>11.61995990836197</v>
      </c>
      <c r="E60">
        <v>5168.4500000000007</v>
      </c>
    </row>
    <row r="61" spans="1:5" x14ac:dyDescent="0.2">
      <c r="A61" t="s">
        <v>56</v>
      </c>
      <c r="B61" t="s">
        <v>6</v>
      </c>
      <c r="C61">
        <v>20999.53</v>
      </c>
      <c r="D61">
        <v>11.931551136363636</v>
      </c>
      <c r="E61">
        <v>5879.5299999999988</v>
      </c>
    </row>
    <row r="62" spans="1:5" x14ac:dyDescent="0.2">
      <c r="A62" t="s">
        <v>60</v>
      </c>
      <c r="B62" t="s">
        <v>6</v>
      </c>
      <c r="C62">
        <v>21265.117130612245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276A5-1EF6-47F2-A2FB-DB5027CBDC55}">
  <sheetPr codeName="Hoja12"/>
  <dimension ref="A1:E62"/>
  <sheetViews>
    <sheetView workbookViewId="0"/>
  </sheetViews>
  <sheetFormatPr baseColWidth="10" defaultRowHeight="12.75" x14ac:dyDescent="0.2"/>
  <sheetData>
    <row r="1" spans="1:5" x14ac:dyDescent="0.2">
      <c r="A1" t="s">
        <v>65</v>
      </c>
      <c r="B1" t="s">
        <v>179</v>
      </c>
      <c r="C1" t="s">
        <v>64</v>
      </c>
      <c r="D1" t="s">
        <v>180</v>
      </c>
      <c r="E1" t="s">
        <v>126</v>
      </c>
    </row>
    <row r="2" spans="1:5" x14ac:dyDescent="0.2">
      <c r="A2" t="s">
        <v>5</v>
      </c>
      <c r="B2" t="s">
        <v>8</v>
      </c>
      <c r="C2">
        <v>23929.21</v>
      </c>
      <c r="D2">
        <v>13.823922588099364</v>
      </c>
      <c r="E2">
        <v>8809.2099999999991</v>
      </c>
    </row>
    <row r="3" spans="1:5" x14ac:dyDescent="0.2">
      <c r="A3" t="s">
        <v>10</v>
      </c>
      <c r="B3" t="s">
        <v>8</v>
      </c>
      <c r="C3">
        <v>17678.78</v>
      </c>
      <c r="D3">
        <v>9.9542680180180181</v>
      </c>
      <c r="E3">
        <v>2558.7799999999988</v>
      </c>
    </row>
    <row r="4" spans="1:5" x14ac:dyDescent="0.2">
      <c r="A4" t="s">
        <v>10</v>
      </c>
      <c r="B4" t="s">
        <v>8</v>
      </c>
      <c r="C4">
        <v>0</v>
      </c>
      <c r="D4">
        <v>0</v>
      </c>
      <c r="E4">
        <v>0</v>
      </c>
    </row>
    <row r="5" spans="1:5" x14ac:dyDescent="0.2">
      <c r="A5" t="s">
        <v>10</v>
      </c>
      <c r="B5" t="s">
        <v>8</v>
      </c>
      <c r="C5">
        <v>21385.559999999998</v>
      </c>
      <c r="D5">
        <v>12.068600451467267</v>
      </c>
      <c r="E5">
        <v>6265.5599999999977</v>
      </c>
    </row>
    <row r="6" spans="1:5" x14ac:dyDescent="0.2">
      <c r="A6" t="s">
        <v>11</v>
      </c>
      <c r="B6" t="s">
        <v>8</v>
      </c>
      <c r="C6">
        <v>20386.539999999997</v>
      </c>
      <c r="D6">
        <v>11.636152968036528</v>
      </c>
      <c r="E6">
        <v>5266.5399999999972</v>
      </c>
    </row>
    <row r="7" spans="1:5" x14ac:dyDescent="0.2">
      <c r="A7" t="s">
        <v>12</v>
      </c>
      <c r="B7" t="s">
        <v>8</v>
      </c>
      <c r="C7">
        <v>15820.59</v>
      </c>
      <c r="D7">
        <v>8.9889715909090917</v>
      </c>
      <c r="E7">
        <v>700.59000000000015</v>
      </c>
    </row>
    <row r="8" spans="1:5" x14ac:dyDescent="0.2">
      <c r="A8" t="s">
        <v>13</v>
      </c>
      <c r="B8" t="s">
        <v>8</v>
      </c>
    </row>
    <row r="9" spans="1:5" x14ac:dyDescent="0.2">
      <c r="A9" t="s">
        <v>13</v>
      </c>
      <c r="B9" t="s">
        <v>8</v>
      </c>
      <c r="C9">
        <v>25589.759999999998</v>
      </c>
      <c r="D9">
        <v>14.860487804878048</v>
      </c>
      <c r="E9">
        <v>10469.759999999998</v>
      </c>
    </row>
    <row r="10" spans="1:5" x14ac:dyDescent="0.2">
      <c r="A10" t="s">
        <v>13</v>
      </c>
      <c r="B10" t="s">
        <v>8</v>
      </c>
    </row>
    <row r="11" spans="1:5" x14ac:dyDescent="0.2">
      <c r="A11" t="s">
        <v>14</v>
      </c>
      <c r="B11" t="s">
        <v>8</v>
      </c>
      <c r="C11">
        <v>20859</v>
      </c>
      <c r="D11">
        <v>11.905821917808218</v>
      </c>
      <c r="E11">
        <v>5739</v>
      </c>
    </row>
    <row r="12" spans="1:5" x14ac:dyDescent="0.2">
      <c r="A12" t="s">
        <v>15</v>
      </c>
      <c r="B12" t="s">
        <v>8</v>
      </c>
      <c r="C12">
        <v>18974.010000000002</v>
      </c>
      <c r="D12">
        <v>10.780687500000001</v>
      </c>
      <c r="E12">
        <v>3854.010000000002</v>
      </c>
    </row>
    <row r="13" spans="1:5" x14ac:dyDescent="0.2">
      <c r="A13" t="s">
        <v>16</v>
      </c>
      <c r="B13" t="s">
        <v>8</v>
      </c>
      <c r="C13">
        <v>21676.92</v>
      </c>
      <c r="D13">
        <v>12.246847457627117</v>
      </c>
      <c r="E13">
        <v>6556.9199999999983</v>
      </c>
    </row>
    <row r="14" spans="1:5" x14ac:dyDescent="0.2">
      <c r="A14" t="s">
        <v>17</v>
      </c>
      <c r="B14" t="s">
        <v>8</v>
      </c>
      <c r="C14">
        <v>25955.07</v>
      </c>
      <c r="D14">
        <v>14.831468571428571</v>
      </c>
      <c r="E14">
        <v>10835.07</v>
      </c>
    </row>
    <row r="15" spans="1:5" x14ac:dyDescent="0.2">
      <c r="A15" t="s">
        <v>19</v>
      </c>
      <c r="B15" t="s">
        <v>8</v>
      </c>
      <c r="C15">
        <v>25376.18</v>
      </c>
      <c r="D15">
        <v>14.617615207373271</v>
      </c>
      <c r="E15">
        <v>10256.18</v>
      </c>
    </row>
    <row r="16" spans="1:5" x14ac:dyDescent="0.2">
      <c r="A16" t="s">
        <v>20</v>
      </c>
      <c r="B16" t="s">
        <v>8</v>
      </c>
      <c r="C16">
        <v>17933.25</v>
      </c>
      <c r="D16">
        <v>10.189346590909091</v>
      </c>
      <c r="E16">
        <v>2813.25</v>
      </c>
    </row>
    <row r="17" spans="1:5" x14ac:dyDescent="0.2">
      <c r="A17" t="s">
        <v>21</v>
      </c>
      <c r="B17" t="s">
        <v>8</v>
      </c>
      <c r="C17">
        <v>24359.1</v>
      </c>
      <c r="D17">
        <v>13.9354118993135</v>
      </c>
      <c r="E17">
        <v>9239.0999999999985</v>
      </c>
    </row>
    <row r="18" spans="1:5" x14ac:dyDescent="0.2">
      <c r="A18" t="s">
        <v>22</v>
      </c>
      <c r="B18" t="s">
        <v>8</v>
      </c>
      <c r="C18">
        <v>25967.399999999994</v>
      </c>
      <c r="D18">
        <v>14.712407932011327</v>
      </c>
      <c r="E18">
        <v>10847.399999999994</v>
      </c>
    </row>
    <row r="19" spans="1:5" x14ac:dyDescent="0.2">
      <c r="A19" t="s">
        <v>23</v>
      </c>
      <c r="B19" t="s">
        <v>8</v>
      </c>
      <c r="C19">
        <v>21756.06</v>
      </c>
      <c r="D19">
        <v>12.446258581235698</v>
      </c>
      <c r="E19">
        <v>6636.0600000000013</v>
      </c>
    </row>
    <row r="20" spans="1:5" x14ac:dyDescent="0.2">
      <c r="A20" t="s">
        <v>81</v>
      </c>
      <c r="B20" t="s">
        <v>8</v>
      </c>
      <c r="C20">
        <v>17942.7</v>
      </c>
      <c r="D20">
        <v>9.826232201533406</v>
      </c>
      <c r="E20">
        <v>2822.7000000000007</v>
      </c>
    </row>
    <row r="21" spans="1:5" x14ac:dyDescent="0.2">
      <c r="A21" t="s">
        <v>24</v>
      </c>
      <c r="B21" t="s">
        <v>8</v>
      </c>
      <c r="C21">
        <v>20918.25</v>
      </c>
      <c r="D21">
        <v>11.844988674971688</v>
      </c>
      <c r="E21">
        <v>5798.25</v>
      </c>
    </row>
    <row r="22" spans="1:5" x14ac:dyDescent="0.2">
      <c r="A22" t="s">
        <v>25</v>
      </c>
      <c r="B22" t="s">
        <v>8</v>
      </c>
      <c r="C22">
        <v>29846.723399999999</v>
      </c>
      <c r="D22">
        <v>16.977658361774743</v>
      </c>
      <c r="E22">
        <v>14726.723399999999</v>
      </c>
    </row>
    <row r="23" spans="1:5" x14ac:dyDescent="0.2">
      <c r="A23" t="s">
        <v>57</v>
      </c>
      <c r="B23" t="s">
        <v>8</v>
      </c>
      <c r="C23">
        <v>25553.279999999999</v>
      </c>
      <c r="D23">
        <v>14.585205479452053</v>
      </c>
      <c r="E23">
        <v>10433.279999999999</v>
      </c>
    </row>
    <row r="24" spans="1:5" x14ac:dyDescent="0.2">
      <c r="A24" t="s">
        <v>26</v>
      </c>
      <c r="B24" t="s">
        <v>8</v>
      </c>
      <c r="C24">
        <v>17511.899999999998</v>
      </c>
      <c r="D24">
        <v>9.8714205186020276</v>
      </c>
      <c r="E24">
        <v>2391.8999999999978</v>
      </c>
    </row>
    <row r="25" spans="1:5" x14ac:dyDescent="0.2">
      <c r="A25" t="s">
        <v>27</v>
      </c>
      <c r="B25" t="s">
        <v>8</v>
      </c>
      <c r="C25">
        <v>23477.41</v>
      </c>
      <c r="D25">
        <v>13.477273249138921</v>
      </c>
      <c r="E25">
        <v>8357.41</v>
      </c>
    </row>
    <row r="26" spans="1:5" x14ac:dyDescent="0.2">
      <c r="A26" t="s">
        <v>28</v>
      </c>
      <c r="B26" t="s">
        <v>8</v>
      </c>
      <c r="C26">
        <v>21203.25</v>
      </c>
      <c r="D26">
        <v>12.047301136363636</v>
      </c>
      <c r="E26">
        <v>6083.25</v>
      </c>
    </row>
    <row r="27" spans="1:5" x14ac:dyDescent="0.2">
      <c r="A27" t="s">
        <v>29</v>
      </c>
      <c r="B27" t="s">
        <v>8</v>
      </c>
      <c r="C27">
        <v>22378.36</v>
      </c>
      <c r="D27">
        <v>12.714977272727273</v>
      </c>
      <c r="E27">
        <v>7258.3600000000006</v>
      </c>
    </row>
    <row r="28" spans="1:5" x14ac:dyDescent="0.2">
      <c r="A28" t="s">
        <v>30</v>
      </c>
      <c r="B28" t="s">
        <v>8</v>
      </c>
      <c r="C28">
        <v>31140.970999999998</v>
      </c>
      <c r="D28">
        <v>18.514251486325801</v>
      </c>
      <c r="E28">
        <v>16020.970999999998</v>
      </c>
    </row>
    <row r="29" spans="1:5" x14ac:dyDescent="0.2">
      <c r="A29" t="s">
        <v>31</v>
      </c>
      <c r="B29" t="s">
        <v>8</v>
      </c>
      <c r="C29">
        <v>25748.850000000002</v>
      </c>
      <c r="D29">
        <v>14.815218642117378</v>
      </c>
      <c r="E29">
        <v>10628.850000000002</v>
      </c>
    </row>
    <row r="30" spans="1:5" x14ac:dyDescent="0.2">
      <c r="A30" t="s">
        <v>31</v>
      </c>
      <c r="B30" t="s">
        <v>8</v>
      </c>
      <c r="C30">
        <v>24472.950000000004</v>
      </c>
      <c r="D30">
        <v>14.097321428571432</v>
      </c>
      <c r="E30">
        <v>9352.9500000000044</v>
      </c>
    </row>
    <row r="31" spans="1:5" x14ac:dyDescent="0.2">
      <c r="A31" t="s">
        <v>32</v>
      </c>
      <c r="B31" t="s">
        <v>8</v>
      </c>
      <c r="C31">
        <v>22005.51</v>
      </c>
      <c r="D31">
        <v>12.503130681818181</v>
      </c>
      <c r="E31">
        <v>6885.5099999999984</v>
      </c>
    </row>
    <row r="32" spans="1:5" x14ac:dyDescent="0.2">
      <c r="A32" t="s">
        <v>33</v>
      </c>
      <c r="B32" t="s">
        <v>8</v>
      </c>
      <c r="C32">
        <v>19274.330000000002</v>
      </c>
      <c r="D32">
        <v>10.914116647791621</v>
      </c>
      <c r="E32">
        <v>4154.3300000000017</v>
      </c>
    </row>
    <row r="33" spans="1:5" x14ac:dyDescent="0.2">
      <c r="A33" t="s">
        <v>34</v>
      </c>
      <c r="B33" t="s">
        <v>8</v>
      </c>
      <c r="C33">
        <v>22556.31</v>
      </c>
      <c r="D33">
        <v>12.874606164383563</v>
      </c>
      <c r="E33">
        <v>7436.3100000000013</v>
      </c>
    </row>
    <row r="34" spans="1:5" x14ac:dyDescent="0.2">
      <c r="A34" t="s">
        <v>35</v>
      </c>
      <c r="B34" t="s">
        <v>8</v>
      </c>
      <c r="C34">
        <v>18651.96</v>
      </c>
      <c r="D34">
        <v>10.579671015314803</v>
      </c>
      <c r="E34">
        <v>3531.9599999999991</v>
      </c>
    </row>
    <row r="35" spans="1:5" x14ac:dyDescent="0.2">
      <c r="A35" t="s">
        <v>36</v>
      </c>
      <c r="B35" t="s">
        <v>8</v>
      </c>
      <c r="C35">
        <v>21008.720000000001</v>
      </c>
      <c r="D35">
        <v>11.815928008998876</v>
      </c>
      <c r="E35">
        <v>5888.7200000000012</v>
      </c>
    </row>
    <row r="36" spans="1:5" x14ac:dyDescent="0.2">
      <c r="A36" t="s">
        <v>37</v>
      </c>
      <c r="B36" t="s">
        <v>8</v>
      </c>
      <c r="C36">
        <v>22114.639999999999</v>
      </c>
      <c r="D36">
        <v>12.536643990929704</v>
      </c>
      <c r="E36">
        <v>6994.6399999999994</v>
      </c>
    </row>
    <row r="37" spans="1:5" x14ac:dyDescent="0.2">
      <c r="A37" t="s">
        <v>38</v>
      </c>
      <c r="B37" t="s">
        <v>8</v>
      </c>
      <c r="C37">
        <v>20537.810000000001</v>
      </c>
      <c r="D37">
        <v>11.695791571753986</v>
      </c>
      <c r="E37">
        <v>5417.8100000000013</v>
      </c>
    </row>
    <row r="38" spans="1:5" x14ac:dyDescent="0.2">
      <c r="A38" t="s">
        <v>38</v>
      </c>
      <c r="B38" t="s">
        <v>8</v>
      </c>
      <c r="C38">
        <v>25054.82</v>
      </c>
      <c r="D38">
        <v>14.268120728929384</v>
      </c>
      <c r="E38">
        <v>9934.82</v>
      </c>
    </row>
    <row r="39" spans="1:5" x14ac:dyDescent="0.2">
      <c r="A39" t="s">
        <v>91</v>
      </c>
      <c r="B39" t="s">
        <v>8</v>
      </c>
      <c r="D39" t="e">
        <v>#DIV/0!</v>
      </c>
    </row>
    <row r="40" spans="1:5" x14ac:dyDescent="0.2">
      <c r="A40" t="s">
        <v>39</v>
      </c>
      <c r="B40" t="s">
        <v>8</v>
      </c>
      <c r="C40">
        <v>20298.18</v>
      </c>
      <c r="D40">
        <v>11.539613416714042</v>
      </c>
      <c r="E40">
        <v>5178.18</v>
      </c>
    </row>
    <row r="41" spans="1:5" x14ac:dyDescent="0.2">
      <c r="A41" t="s">
        <v>40</v>
      </c>
      <c r="B41" t="s">
        <v>8</v>
      </c>
      <c r="C41">
        <v>25439.67</v>
      </c>
      <c r="D41">
        <v>15.008654867256636</v>
      </c>
      <c r="E41">
        <v>10319.669999999998</v>
      </c>
    </row>
    <row r="42" spans="1:5" x14ac:dyDescent="0.2">
      <c r="A42" t="s">
        <v>40</v>
      </c>
      <c r="B42" t="s">
        <v>8</v>
      </c>
      <c r="C42">
        <v>25981.48</v>
      </c>
      <c r="D42">
        <v>15.105511627906976</v>
      </c>
      <c r="E42">
        <v>10861.48</v>
      </c>
    </row>
    <row r="43" spans="1:5" x14ac:dyDescent="0.2">
      <c r="A43" t="s">
        <v>41</v>
      </c>
      <c r="B43" t="s">
        <v>8</v>
      </c>
      <c r="C43">
        <v>18532.2</v>
      </c>
      <c r="D43">
        <v>10.434797297297298</v>
      </c>
      <c r="E43">
        <v>3412.2000000000007</v>
      </c>
    </row>
    <row r="44" spans="1:5" x14ac:dyDescent="0.2">
      <c r="A44" t="s">
        <v>42</v>
      </c>
      <c r="B44" t="s">
        <v>8</v>
      </c>
      <c r="C44">
        <v>21236.549999999996</v>
      </c>
      <c r="D44">
        <v>12.121318493150682</v>
      </c>
      <c r="E44">
        <v>6116.5499999999956</v>
      </c>
    </row>
    <row r="45" spans="1:5" x14ac:dyDescent="0.2">
      <c r="A45" t="s">
        <v>59</v>
      </c>
      <c r="B45" t="s">
        <v>8</v>
      </c>
      <c r="C45">
        <v>19421.830000000002</v>
      </c>
      <c r="D45">
        <v>11.010107709750567</v>
      </c>
      <c r="E45">
        <v>4301.8300000000017</v>
      </c>
    </row>
    <row r="46" spans="1:5" x14ac:dyDescent="0.2">
      <c r="A46" t="s">
        <v>43</v>
      </c>
      <c r="B46" t="s">
        <v>8</v>
      </c>
      <c r="C46">
        <v>25097.940000000002</v>
      </c>
      <c r="D46">
        <v>14.131722972972975</v>
      </c>
      <c r="E46">
        <v>9977.9400000000023</v>
      </c>
    </row>
    <row r="47" spans="1:5" x14ac:dyDescent="0.2">
      <c r="A47" t="s">
        <v>58</v>
      </c>
      <c r="B47" t="s">
        <v>8</v>
      </c>
      <c r="C47">
        <v>21469.269999999997</v>
      </c>
      <c r="D47">
        <v>12.268154285714283</v>
      </c>
      <c r="E47">
        <v>6349.2699999999968</v>
      </c>
    </row>
    <row r="48" spans="1:5" x14ac:dyDescent="0.2">
      <c r="A48" t="s">
        <v>58</v>
      </c>
      <c r="B48" t="s">
        <v>8</v>
      </c>
      <c r="C48">
        <v>21555.48</v>
      </c>
      <c r="D48">
        <v>12.212736543909347</v>
      </c>
      <c r="E48">
        <v>6435.48</v>
      </c>
    </row>
    <row r="49" spans="1:5" x14ac:dyDescent="0.2">
      <c r="A49" t="s">
        <v>44</v>
      </c>
      <c r="B49" t="s">
        <v>8</v>
      </c>
      <c r="C49">
        <v>19928.88</v>
      </c>
      <c r="D49">
        <v>11.361961231470925</v>
      </c>
      <c r="E49">
        <v>4808.880000000001</v>
      </c>
    </row>
    <row r="50" spans="1:5" x14ac:dyDescent="0.2">
      <c r="A50" t="s">
        <v>45</v>
      </c>
      <c r="B50" t="s">
        <v>8</v>
      </c>
      <c r="C50">
        <v>23055.74</v>
      </c>
      <c r="D50">
        <v>13.129692482915718</v>
      </c>
      <c r="E50">
        <v>7935.7400000000016</v>
      </c>
    </row>
    <row r="51" spans="1:5" x14ac:dyDescent="0.2">
      <c r="A51" t="s">
        <v>46</v>
      </c>
      <c r="B51" t="s">
        <v>8</v>
      </c>
      <c r="C51">
        <v>24269.200000000004</v>
      </c>
      <c r="D51">
        <v>13.797157475838548</v>
      </c>
      <c r="E51">
        <v>9149.2000000000044</v>
      </c>
    </row>
    <row r="52" spans="1:5" x14ac:dyDescent="0.2">
      <c r="A52" t="s">
        <v>47</v>
      </c>
      <c r="B52" t="s">
        <v>8</v>
      </c>
      <c r="C52">
        <v>19377.989999999998</v>
      </c>
      <c r="D52">
        <v>11.123989667049367</v>
      </c>
      <c r="E52">
        <v>4257.989999999998</v>
      </c>
    </row>
    <row r="53" spans="1:5" x14ac:dyDescent="0.2">
      <c r="A53" t="s">
        <v>48</v>
      </c>
      <c r="B53" t="s">
        <v>8</v>
      </c>
      <c r="C53">
        <v>23924.04</v>
      </c>
      <c r="D53">
        <v>13.717912844036698</v>
      </c>
      <c r="E53">
        <v>8804.0400000000009</v>
      </c>
    </row>
    <row r="54" spans="1:5" x14ac:dyDescent="0.2">
      <c r="A54" t="s">
        <v>50</v>
      </c>
      <c r="B54" t="s">
        <v>8</v>
      </c>
      <c r="C54">
        <v>19835.68</v>
      </c>
      <c r="D54">
        <v>11.219276018099547</v>
      </c>
      <c r="E54">
        <v>4715.68</v>
      </c>
    </row>
    <row r="55" spans="1:5" x14ac:dyDescent="0.2">
      <c r="A55" t="s">
        <v>49</v>
      </c>
      <c r="B55" t="s">
        <v>8</v>
      </c>
      <c r="C55">
        <v>22802.02</v>
      </c>
      <c r="D55">
        <v>12.970432309442549</v>
      </c>
      <c r="E55">
        <v>7682.02</v>
      </c>
    </row>
    <row r="56" spans="1:5" x14ac:dyDescent="0.2">
      <c r="A56" t="s">
        <v>51</v>
      </c>
      <c r="B56" t="s">
        <v>8</v>
      </c>
      <c r="C56">
        <v>20819.89</v>
      </c>
      <c r="D56">
        <v>11.829482954545455</v>
      </c>
      <c r="E56">
        <v>5699.8899999999994</v>
      </c>
    </row>
    <row r="57" spans="1:5" x14ac:dyDescent="0.2">
      <c r="A57" t="s">
        <v>52</v>
      </c>
      <c r="B57" t="s">
        <v>8</v>
      </c>
      <c r="C57">
        <v>21705.81</v>
      </c>
      <c r="D57">
        <v>12.38916095890411</v>
      </c>
      <c r="E57">
        <v>6585.8100000000013</v>
      </c>
    </row>
    <row r="58" spans="1:5" x14ac:dyDescent="0.2">
      <c r="A58" t="s">
        <v>53</v>
      </c>
      <c r="B58" t="s">
        <v>8</v>
      </c>
      <c r="C58">
        <v>22111.599999999999</v>
      </c>
      <c r="D58">
        <v>12.678669724770641</v>
      </c>
      <c r="E58">
        <v>6991.5999999999985</v>
      </c>
    </row>
    <row r="59" spans="1:5" x14ac:dyDescent="0.2">
      <c r="A59" t="s">
        <v>54</v>
      </c>
      <c r="B59" t="s">
        <v>8</v>
      </c>
      <c r="C59">
        <v>24843.74</v>
      </c>
      <c r="D59">
        <v>14.717855450236968</v>
      </c>
      <c r="E59">
        <v>9723.7400000000016</v>
      </c>
    </row>
    <row r="60" spans="1:5" x14ac:dyDescent="0.2">
      <c r="A60" t="s">
        <v>55</v>
      </c>
      <c r="B60" t="s">
        <v>8</v>
      </c>
      <c r="C60">
        <v>21403.200000000001</v>
      </c>
      <c r="D60">
        <v>12.258419243986255</v>
      </c>
      <c r="E60">
        <v>6283.2000000000007</v>
      </c>
    </row>
    <row r="61" spans="1:5" x14ac:dyDescent="0.2">
      <c r="A61" t="s">
        <v>56</v>
      </c>
      <c r="B61" t="s">
        <v>8</v>
      </c>
      <c r="C61">
        <v>22279.89</v>
      </c>
      <c r="D61">
        <v>12.659028409090908</v>
      </c>
      <c r="E61">
        <v>7159.8899999999994</v>
      </c>
    </row>
    <row r="62" spans="1:5" x14ac:dyDescent="0.2">
      <c r="A62" t="s">
        <v>60</v>
      </c>
      <c r="B62" t="s">
        <v>8</v>
      </c>
      <c r="C62">
        <v>22234.923763265309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8DF8-F715-48BE-A32C-FEFA86EB698F}">
  <sheetPr codeName="Hoja13"/>
  <dimension ref="A1:E62"/>
  <sheetViews>
    <sheetView workbookViewId="0"/>
  </sheetViews>
  <sheetFormatPr baseColWidth="10" defaultRowHeight="12.75" x14ac:dyDescent="0.2"/>
  <sheetData>
    <row r="1" spans="1:5" x14ac:dyDescent="0.2">
      <c r="A1" t="s">
        <v>65</v>
      </c>
      <c r="B1" t="s">
        <v>179</v>
      </c>
      <c r="C1" t="s">
        <v>64</v>
      </c>
      <c r="D1" t="s">
        <v>180</v>
      </c>
      <c r="E1" t="s">
        <v>126</v>
      </c>
    </row>
    <row r="2" spans="1:5" x14ac:dyDescent="0.2">
      <c r="A2" t="s">
        <v>5</v>
      </c>
      <c r="B2" t="s">
        <v>9</v>
      </c>
      <c r="C2">
        <v>30095.399999999998</v>
      </c>
      <c r="D2">
        <v>17.386135181975735</v>
      </c>
      <c r="E2">
        <v>14975.399999999998</v>
      </c>
    </row>
    <row r="3" spans="1:5" x14ac:dyDescent="0.2">
      <c r="A3" t="s">
        <v>10</v>
      </c>
      <c r="B3" t="s">
        <v>9</v>
      </c>
      <c r="C3">
        <v>24260.880000000001</v>
      </c>
      <c r="D3">
        <v>13.660405405405406</v>
      </c>
      <c r="E3">
        <v>9140.880000000001</v>
      </c>
    </row>
    <row r="4" spans="1:5" x14ac:dyDescent="0.2">
      <c r="A4" t="s">
        <v>10</v>
      </c>
      <c r="B4" t="s">
        <v>9</v>
      </c>
      <c r="C4">
        <v>0</v>
      </c>
      <c r="D4">
        <v>0</v>
      </c>
      <c r="E4">
        <v>0</v>
      </c>
    </row>
    <row r="5" spans="1:5" x14ac:dyDescent="0.2">
      <c r="A5" t="s">
        <v>10</v>
      </c>
      <c r="B5" t="s">
        <v>9</v>
      </c>
      <c r="C5">
        <v>28283.64</v>
      </c>
      <c r="D5">
        <v>15.961422121896161</v>
      </c>
      <c r="E5">
        <v>13163.64</v>
      </c>
    </row>
    <row r="6" spans="1:5" x14ac:dyDescent="0.2">
      <c r="A6" t="s">
        <v>11</v>
      </c>
      <c r="B6" t="s">
        <v>9</v>
      </c>
      <c r="C6">
        <v>30347.809999999998</v>
      </c>
      <c r="D6">
        <v>17.321809360730594</v>
      </c>
      <c r="E6">
        <v>15227.809999999998</v>
      </c>
    </row>
    <row r="7" spans="1:5" x14ac:dyDescent="0.2">
      <c r="A7" t="s">
        <v>12</v>
      </c>
      <c r="B7" t="s">
        <v>9</v>
      </c>
      <c r="C7">
        <v>21056.685000000001</v>
      </c>
      <c r="D7">
        <v>11.964025568181819</v>
      </c>
      <c r="E7">
        <v>5936.6850000000013</v>
      </c>
    </row>
    <row r="8" spans="1:5" x14ac:dyDescent="0.2">
      <c r="A8" t="s">
        <v>13</v>
      </c>
      <c r="B8" t="s">
        <v>9</v>
      </c>
    </row>
    <row r="9" spans="1:5" x14ac:dyDescent="0.2">
      <c r="A9" t="s">
        <v>13</v>
      </c>
      <c r="B9" t="s">
        <v>9</v>
      </c>
      <c r="C9">
        <v>35178.99</v>
      </c>
      <c r="D9">
        <v>20.429146341463415</v>
      </c>
      <c r="E9">
        <v>20058.989999999998</v>
      </c>
    </row>
    <row r="10" spans="1:5" x14ac:dyDescent="0.2">
      <c r="A10" t="s">
        <v>13</v>
      </c>
      <c r="B10" t="s">
        <v>9</v>
      </c>
    </row>
    <row r="11" spans="1:5" x14ac:dyDescent="0.2">
      <c r="A11" t="s">
        <v>14</v>
      </c>
      <c r="B11" t="s">
        <v>9</v>
      </c>
      <c r="C11">
        <v>31139.75</v>
      </c>
      <c r="D11">
        <v>17.7738299086758</v>
      </c>
      <c r="E11">
        <v>16019.75</v>
      </c>
    </row>
    <row r="12" spans="1:5" x14ac:dyDescent="0.2">
      <c r="A12" t="s">
        <v>15</v>
      </c>
      <c r="B12" t="s">
        <v>9</v>
      </c>
      <c r="C12">
        <v>21390.210000000003</v>
      </c>
      <c r="D12">
        <v>12.15352840909091</v>
      </c>
      <c r="E12">
        <v>6270.2100000000028</v>
      </c>
    </row>
    <row r="13" spans="1:5" x14ac:dyDescent="0.2">
      <c r="A13" t="s">
        <v>16</v>
      </c>
      <c r="B13" t="s">
        <v>9</v>
      </c>
      <c r="C13">
        <v>37705.499999999993</v>
      </c>
      <c r="D13">
        <v>21.302542372881351</v>
      </c>
      <c r="E13">
        <v>22585.499999999993</v>
      </c>
    </row>
    <row r="14" spans="1:5" x14ac:dyDescent="0.2">
      <c r="A14" t="s">
        <v>17</v>
      </c>
      <c r="B14" t="s">
        <v>9</v>
      </c>
      <c r="C14">
        <v>32432.18</v>
      </c>
      <c r="D14">
        <v>18.532674285714286</v>
      </c>
      <c r="E14">
        <v>17312.18</v>
      </c>
    </row>
    <row r="15" spans="1:5" x14ac:dyDescent="0.2">
      <c r="A15" t="s">
        <v>19</v>
      </c>
      <c r="B15" t="s">
        <v>9</v>
      </c>
      <c r="C15">
        <v>34968.700000000004</v>
      </c>
      <c r="D15">
        <v>20.143260368663597</v>
      </c>
      <c r="E15">
        <v>19848.700000000004</v>
      </c>
    </row>
    <row r="16" spans="1:5" x14ac:dyDescent="0.2">
      <c r="A16" t="s">
        <v>20</v>
      </c>
      <c r="B16" t="s">
        <v>9</v>
      </c>
      <c r="C16">
        <v>21526.95</v>
      </c>
      <c r="D16">
        <v>12.231221590909092</v>
      </c>
      <c r="E16">
        <v>6406.9500000000007</v>
      </c>
    </row>
    <row r="17" spans="1:5" x14ac:dyDescent="0.2">
      <c r="A17" t="s">
        <v>21</v>
      </c>
      <c r="B17" t="s">
        <v>9</v>
      </c>
      <c r="C17">
        <v>26213.699999999997</v>
      </c>
      <c r="D17">
        <v>14.996395881006864</v>
      </c>
      <c r="E17">
        <v>11093.699999999997</v>
      </c>
    </row>
    <row r="18" spans="1:5" x14ac:dyDescent="0.2">
      <c r="A18" t="s">
        <v>22</v>
      </c>
      <c r="B18" t="s">
        <v>9</v>
      </c>
    </row>
    <row r="19" spans="1:5" x14ac:dyDescent="0.2">
      <c r="A19" t="s">
        <v>23</v>
      </c>
      <c r="B19" t="s">
        <v>9</v>
      </c>
      <c r="C19">
        <v>24146.760000000002</v>
      </c>
      <c r="D19">
        <v>13.813935926773457</v>
      </c>
      <c r="E19">
        <v>9026.760000000002</v>
      </c>
    </row>
    <row r="20" spans="1:5" x14ac:dyDescent="0.2">
      <c r="A20" t="s">
        <v>81</v>
      </c>
      <c r="B20" t="s">
        <v>9</v>
      </c>
      <c r="C20">
        <v>18998.07</v>
      </c>
      <c r="D20">
        <v>10.404200438116101</v>
      </c>
      <c r="E20">
        <v>3878.0699999999997</v>
      </c>
    </row>
    <row r="21" spans="1:5" x14ac:dyDescent="0.2">
      <c r="A21" t="s">
        <v>24</v>
      </c>
      <c r="B21" t="s">
        <v>9</v>
      </c>
      <c r="C21">
        <v>22622.55</v>
      </c>
      <c r="D21">
        <v>12.810050962627406</v>
      </c>
      <c r="E21">
        <v>7502.5499999999993</v>
      </c>
    </row>
    <row r="22" spans="1:5" x14ac:dyDescent="0.2">
      <c r="A22" t="s">
        <v>25</v>
      </c>
      <c r="B22" t="s">
        <v>9</v>
      </c>
      <c r="C22">
        <v>37503.543400000002</v>
      </c>
      <c r="D22">
        <v>21.333073606370878</v>
      </c>
      <c r="E22">
        <v>22383.543400000002</v>
      </c>
    </row>
    <row r="23" spans="1:5" x14ac:dyDescent="0.2">
      <c r="A23" t="s">
        <v>57</v>
      </c>
      <c r="B23" t="s">
        <v>9</v>
      </c>
      <c r="C23">
        <v>32602.7</v>
      </c>
      <c r="D23">
        <v>18.608847031963471</v>
      </c>
      <c r="E23">
        <v>17482.7</v>
      </c>
    </row>
    <row r="24" spans="1:5" x14ac:dyDescent="0.2">
      <c r="A24" t="s">
        <v>26</v>
      </c>
      <c r="B24" t="s">
        <v>9</v>
      </c>
      <c r="C24">
        <v>20434.199999999997</v>
      </c>
      <c r="D24">
        <v>11.518714768883877</v>
      </c>
      <c r="E24">
        <v>5314.1999999999971</v>
      </c>
    </row>
    <row r="25" spans="1:5" x14ac:dyDescent="0.2">
      <c r="A25" t="s">
        <v>27</v>
      </c>
      <c r="B25" t="s">
        <v>9</v>
      </c>
      <c r="C25">
        <v>36138.36</v>
      </c>
      <c r="D25">
        <v>20.74532721010333</v>
      </c>
      <c r="E25">
        <v>21018.36</v>
      </c>
    </row>
    <row r="26" spans="1:5" x14ac:dyDescent="0.2">
      <c r="A26" t="s">
        <v>28</v>
      </c>
      <c r="B26" t="s">
        <v>9</v>
      </c>
      <c r="C26">
        <v>27272.25</v>
      </c>
      <c r="D26">
        <v>15.495596590909091</v>
      </c>
      <c r="E26">
        <v>12152.25</v>
      </c>
    </row>
    <row r="27" spans="1:5" x14ac:dyDescent="0.2">
      <c r="A27" t="s">
        <v>29</v>
      </c>
      <c r="B27" t="s">
        <v>9</v>
      </c>
      <c r="C27">
        <v>32794.5</v>
      </c>
      <c r="D27">
        <v>18.633238636363636</v>
      </c>
      <c r="E27">
        <v>17674.5</v>
      </c>
    </row>
    <row r="28" spans="1:5" x14ac:dyDescent="0.2">
      <c r="A28" t="s">
        <v>30</v>
      </c>
      <c r="B28" t="s">
        <v>9</v>
      </c>
      <c r="C28">
        <v>44092.454999999994</v>
      </c>
      <c r="D28">
        <v>26.214301426872769</v>
      </c>
      <c r="E28">
        <v>28972.454999999994</v>
      </c>
    </row>
    <row r="29" spans="1:5" x14ac:dyDescent="0.2">
      <c r="A29" t="s">
        <v>31</v>
      </c>
      <c r="B29" t="s">
        <v>9</v>
      </c>
      <c r="C29">
        <v>30536.549999999996</v>
      </c>
      <c r="D29">
        <v>17.569936708860759</v>
      </c>
      <c r="E29">
        <v>15416.549999999996</v>
      </c>
    </row>
    <row r="30" spans="1:5" x14ac:dyDescent="0.2">
      <c r="A30" t="s">
        <v>31</v>
      </c>
      <c r="B30" t="s">
        <v>9</v>
      </c>
      <c r="C30">
        <v>25257.300000000003</v>
      </c>
      <c r="D30">
        <v>14.549135944700463</v>
      </c>
      <c r="E30">
        <v>10137.300000000003</v>
      </c>
    </row>
    <row r="31" spans="1:5" x14ac:dyDescent="0.2">
      <c r="A31" t="s">
        <v>32</v>
      </c>
      <c r="B31" t="s">
        <v>9</v>
      </c>
      <c r="C31">
        <v>30044.52</v>
      </c>
      <c r="D31">
        <v>17.07075</v>
      </c>
      <c r="E31">
        <v>14924.52</v>
      </c>
    </row>
    <row r="32" spans="1:5" x14ac:dyDescent="0.2">
      <c r="A32" t="s">
        <v>33</v>
      </c>
      <c r="B32" t="s">
        <v>9</v>
      </c>
      <c r="C32">
        <v>21164.89</v>
      </c>
      <c r="D32">
        <v>11.984648924122309</v>
      </c>
      <c r="E32">
        <v>6044.8899999999994</v>
      </c>
    </row>
    <row r="33" spans="1:5" x14ac:dyDescent="0.2">
      <c r="A33" t="s">
        <v>34</v>
      </c>
      <c r="B33" t="s">
        <v>9</v>
      </c>
      <c r="C33">
        <v>36362.910000000003</v>
      </c>
      <c r="D33">
        <v>20.755085616438357</v>
      </c>
      <c r="E33">
        <v>21242.910000000003</v>
      </c>
    </row>
    <row r="34" spans="1:5" x14ac:dyDescent="0.2">
      <c r="A34" t="s">
        <v>35</v>
      </c>
      <c r="B34" t="s">
        <v>9</v>
      </c>
      <c r="C34">
        <v>21756.62</v>
      </c>
      <c r="D34">
        <v>12.34068065796937</v>
      </c>
      <c r="E34">
        <v>6636.619999999999</v>
      </c>
    </row>
    <row r="35" spans="1:5" x14ac:dyDescent="0.2">
      <c r="A35" t="s">
        <v>36</v>
      </c>
      <c r="B35" t="s">
        <v>9</v>
      </c>
      <c r="C35">
        <v>24555.840000000004</v>
      </c>
      <c r="D35">
        <v>13.810933633295841</v>
      </c>
      <c r="E35">
        <v>9435.8400000000038</v>
      </c>
    </row>
    <row r="36" spans="1:5" x14ac:dyDescent="0.2">
      <c r="A36" t="s">
        <v>37</v>
      </c>
      <c r="B36" t="s">
        <v>9</v>
      </c>
      <c r="C36">
        <v>32694.17</v>
      </c>
      <c r="D36">
        <v>18.534109977324263</v>
      </c>
      <c r="E36">
        <v>17574.169999999998</v>
      </c>
    </row>
    <row r="37" spans="1:5" x14ac:dyDescent="0.2">
      <c r="A37" t="s">
        <v>38</v>
      </c>
      <c r="B37" t="s">
        <v>9</v>
      </c>
      <c r="C37">
        <v>32708.989999999998</v>
      </c>
      <c r="D37">
        <v>18.626987471526196</v>
      </c>
      <c r="E37">
        <v>17588.989999999998</v>
      </c>
    </row>
    <row r="38" spans="1:5" x14ac:dyDescent="0.2">
      <c r="A38" t="s">
        <v>38</v>
      </c>
      <c r="B38" t="s">
        <v>9</v>
      </c>
      <c r="C38">
        <v>35969.64</v>
      </c>
      <c r="D38">
        <v>20.483849658314352</v>
      </c>
      <c r="E38">
        <v>20849.64</v>
      </c>
    </row>
    <row r="39" spans="1:5" x14ac:dyDescent="0.2">
      <c r="A39" t="s">
        <v>91</v>
      </c>
      <c r="B39" t="s">
        <v>9</v>
      </c>
      <c r="D39" t="e">
        <v>#DIV/0!</v>
      </c>
    </row>
    <row r="40" spans="1:5" x14ac:dyDescent="0.2">
      <c r="A40" t="s">
        <v>39</v>
      </c>
      <c r="B40" t="s">
        <v>9</v>
      </c>
      <c r="C40">
        <v>23460.36</v>
      </c>
      <c r="D40">
        <v>13.337328027288232</v>
      </c>
      <c r="E40">
        <v>8340.36</v>
      </c>
    </row>
    <row r="41" spans="1:5" x14ac:dyDescent="0.2">
      <c r="A41" t="s">
        <v>40</v>
      </c>
      <c r="B41" t="s">
        <v>9</v>
      </c>
      <c r="C41">
        <v>28647.54</v>
      </c>
      <c r="D41">
        <v>16.901203539823008</v>
      </c>
      <c r="E41">
        <v>13527.54</v>
      </c>
    </row>
    <row r="42" spans="1:5" x14ac:dyDescent="0.2">
      <c r="A42" t="s">
        <v>40</v>
      </c>
      <c r="B42" t="s">
        <v>9</v>
      </c>
      <c r="C42" t="s">
        <v>132</v>
      </c>
      <c r="D42" t="e">
        <v>#VALUE!</v>
      </c>
      <c r="E42" t="e">
        <v>#VALUE!</v>
      </c>
    </row>
    <row r="43" spans="1:5" x14ac:dyDescent="0.2">
      <c r="A43" t="s">
        <v>41</v>
      </c>
      <c r="B43" t="s">
        <v>9</v>
      </c>
      <c r="C43">
        <v>24331.26</v>
      </c>
      <c r="D43">
        <v>13.700033783783782</v>
      </c>
      <c r="E43">
        <v>9211.2599999999984</v>
      </c>
    </row>
    <row r="44" spans="1:5" x14ac:dyDescent="0.2">
      <c r="A44" t="s">
        <v>42</v>
      </c>
      <c r="B44" t="s">
        <v>9</v>
      </c>
      <c r="C44">
        <v>27299.55</v>
      </c>
      <c r="D44">
        <v>15.581934931506849</v>
      </c>
      <c r="E44">
        <v>12179.55</v>
      </c>
    </row>
    <row r="45" spans="1:5" x14ac:dyDescent="0.2">
      <c r="A45" t="s">
        <v>59</v>
      </c>
      <c r="B45" t="s">
        <v>9</v>
      </c>
      <c r="C45">
        <v>23994.87</v>
      </c>
      <c r="D45">
        <v>13.602534013605442</v>
      </c>
      <c r="E45">
        <v>8874.869999999999</v>
      </c>
    </row>
    <row r="46" spans="1:5" x14ac:dyDescent="0.2">
      <c r="A46" t="s">
        <v>43</v>
      </c>
      <c r="B46" t="s">
        <v>9</v>
      </c>
      <c r="C46">
        <v>40134.5</v>
      </c>
      <c r="D46">
        <v>22.598254504504503</v>
      </c>
      <c r="E46">
        <v>25014.5</v>
      </c>
    </row>
    <row r="47" spans="1:5" x14ac:dyDescent="0.2">
      <c r="A47" t="s">
        <v>58</v>
      </c>
      <c r="B47" t="s">
        <v>9</v>
      </c>
      <c r="C47">
        <v>37922.740000000005</v>
      </c>
      <c r="D47">
        <v>21.670137142857147</v>
      </c>
      <c r="E47">
        <v>22802.740000000005</v>
      </c>
    </row>
    <row r="48" spans="1:5" x14ac:dyDescent="0.2">
      <c r="A48" t="s">
        <v>58</v>
      </c>
      <c r="B48" t="s">
        <v>9</v>
      </c>
      <c r="C48">
        <v>43479.78</v>
      </c>
      <c r="D48">
        <v>24.634436260623229</v>
      </c>
      <c r="E48">
        <v>28359.78</v>
      </c>
    </row>
    <row r="49" spans="1:5" x14ac:dyDescent="0.2">
      <c r="A49" t="s">
        <v>44</v>
      </c>
      <c r="B49" t="s">
        <v>9</v>
      </c>
      <c r="C49">
        <v>25676.720000000001</v>
      </c>
      <c r="D49">
        <v>14.638950969213228</v>
      </c>
      <c r="E49">
        <v>10556.720000000001</v>
      </c>
    </row>
    <row r="50" spans="1:5" x14ac:dyDescent="0.2">
      <c r="A50" t="s">
        <v>45</v>
      </c>
      <c r="B50" t="s">
        <v>9</v>
      </c>
      <c r="C50">
        <v>29260.959999999999</v>
      </c>
      <c r="D50">
        <v>16.663416856492027</v>
      </c>
      <c r="E50">
        <v>14140.96</v>
      </c>
    </row>
    <row r="51" spans="1:5" x14ac:dyDescent="0.2">
      <c r="A51" t="s">
        <v>46</v>
      </c>
      <c r="B51" t="s">
        <v>9</v>
      </c>
      <c r="C51">
        <v>37756.31</v>
      </c>
      <c r="D51">
        <v>21.464644684479818</v>
      </c>
      <c r="E51">
        <v>22636.309999999998</v>
      </c>
    </row>
    <row r="52" spans="1:5" x14ac:dyDescent="0.2">
      <c r="A52" t="s">
        <v>47</v>
      </c>
      <c r="B52" t="s">
        <v>9</v>
      </c>
      <c r="C52">
        <v>24539.060000000005</v>
      </c>
      <c r="D52">
        <v>14.08671641791045</v>
      </c>
      <c r="E52">
        <v>9419.0600000000049</v>
      </c>
    </row>
    <row r="53" spans="1:5" x14ac:dyDescent="0.2">
      <c r="A53" t="s">
        <v>48</v>
      </c>
      <c r="B53" t="s">
        <v>9</v>
      </c>
      <c r="C53">
        <v>28404.879999999997</v>
      </c>
      <c r="D53">
        <v>16.287201834862383</v>
      </c>
      <c r="E53">
        <v>13284.879999999997</v>
      </c>
    </row>
    <row r="54" spans="1:5" x14ac:dyDescent="0.2">
      <c r="A54" t="s">
        <v>50</v>
      </c>
      <c r="B54" t="s">
        <v>9</v>
      </c>
      <c r="C54">
        <v>27084</v>
      </c>
      <c r="D54">
        <v>15.319004524886878</v>
      </c>
      <c r="E54">
        <v>11964</v>
      </c>
    </row>
    <row r="55" spans="1:5" x14ac:dyDescent="0.2">
      <c r="A55" t="s">
        <v>49</v>
      </c>
      <c r="B55" t="s">
        <v>9</v>
      </c>
      <c r="C55">
        <v>30894.160000000003</v>
      </c>
      <c r="D55">
        <v>17.573469852104665</v>
      </c>
      <c r="E55">
        <v>15774.160000000003</v>
      </c>
    </row>
    <row r="56" spans="1:5" x14ac:dyDescent="0.2">
      <c r="A56" t="s">
        <v>51</v>
      </c>
      <c r="B56" t="s">
        <v>9</v>
      </c>
      <c r="C56">
        <v>27984.05</v>
      </c>
      <c r="D56">
        <v>15.900028409090909</v>
      </c>
      <c r="E56">
        <v>12864.05</v>
      </c>
    </row>
    <row r="57" spans="1:5" x14ac:dyDescent="0.2">
      <c r="A57" t="s">
        <v>52</v>
      </c>
      <c r="B57" t="s">
        <v>9</v>
      </c>
      <c r="C57">
        <v>32650.02</v>
      </c>
      <c r="D57">
        <v>18.635856164383561</v>
      </c>
      <c r="E57">
        <v>17530.02</v>
      </c>
    </row>
    <row r="58" spans="1:5" x14ac:dyDescent="0.2">
      <c r="A58" t="s">
        <v>53</v>
      </c>
      <c r="B58" t="s">
        <v>9</v>
      </c>
      <c r="C58">
        <v>30828.14</v>
      </c>
      <c r="D58">
        <v>17.676685779816513</v>
      </c>
      <c r="E58">
        <v>15708.14</v>
      </c>
    </row>
    <row r="59" spans="1:5" x14ac:dyDescent="0.2">
      <c r="A59" t="s">
        <v>54</v>
      </c>
      <c r="B59" t="s">
        <v>9</v>
      </c>
      <c r="C59">
        <v>36581.15</v>
      </c>
      <c r="D59">
        <v>21.671297393364931</v>
      </c>
      <c r="E59">
        <v>21461.15</v>
      </c>
    </row>
    <row r="60" spans="1:5" x14ac:dyDescent="0.2">
      <c r="A60" t="s">
        <v>55</v>
      </c>
      <c r="B60" t="s">
        <v>9</v>
      </c>
      <c r="C60">
        <v>27849.3</v>
      </c>
      <c r="D60">
        <v>15.950343642611683</v>
      </c>
      <c r="E60">
        <v>12729.3</v>
      </c>
    </row>
    <row r="61" spans="1:5" x14ac:dyDescent="0.2">
      <c r="A61" t="s">
        <v>56</v>
      </c>
      <c r="B61" t="s">
        <v>9</v>
      </c>
      <c r="C61">
        <v>28019.88</v>
      </c>
      <c r="D61">
        <v>15.920386363636364</v>
      </c>
      <c r="E61">
        <v>12899.880000000001</v>
      </c>
    </row>
    <row r="62" spans="1:5" x14ac:dyDescent="0.2">
      <c r="A62" t="s">
        <v>60</v>
      </c>
      <c r="B62" t="s">
        <v>9</v>
      </c>
      <c r="C62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METALSALARIOS </vt:lpstr>
      <vt:lpstr>ESPECIALISTA</vt:lpstr>
      <vt:lpstr>OFICIAL 1ª</vt:lpstr>
      <vt:lpstr>OFICIAL 1ªADMVO</vt:lpstr>
      <vt:lpstr>LICENCIADO</vt:lpstr>
      <vt:lpstr>Especialista_1</vt:lpstr>
      <vt:lpstr>Oficial de 1ª</vt:lpstr>
      <vt:lpstr>Oficial administrativo 1º</vt:lpstr>
      <vt:lpstr>Licenciado_1</vt:lpstr>
    </vt:vector>
  </TitlesOfParts>
  <Company>Fed. Estatal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 UGT</dc:creator>
  <cp:lastModifiedBy>UGT FICA</cp:lastModifiedBy>
  <cp:lastPrinted>2024-04-03T10:51:29Z</cp:lastPrinted>
  <dcterms:created xsi:type="dcterms:W3CDTF">2002-10-21T10:32:00Z</dcterms:created>
  <dcterms:modified xsi:type="dcterms:W3CDTF">2024-07-02T10:47:26Z</dcterms:modified>
</cp:coreProperties>
</file>