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720779b7454a59d0/Escritorio/CARRERA RAÚL/INFOADE/2 AÑO/TC/EXCEL/"/>
    </mc:Choice>
  </mc:AlternateContent>
  <xr:revisionPtr revIDLastSave="30" documentId="11_AA5BFA11216F5CE6FB3E069C461B73505A90F366" xr6:coauthVersionLast="47" xr6:coauthVersionMax="47" xr10:uidLastSave="{55616B72-1884-4FC4-8AAA-2149F81D9365}"/>
  <bookViews>
    <workbookView xWindow="948" yWindow="-108" windowWidth="22200" windowHeight="13176" activeTab="4" xr2:uid="{00000000-000D-0000-FFFF-FFFF00000000}"/>
  </bookViews>
  <sheets>
    <sheet name="EJER12" sheetId="22" r:id="rId1"/>
    <sheet name="EJER10" sheetId="21" r:id="rId2"/>
    <sheet name="EJER9" sheetId="19" r:id="rId3"/>
    <sheet name="EJER7" sheetId="18" r:id="rId4"/>
    <sheet name="EJER1" sheetId="16" r:id="rId5"/>
    <sheet name="EJER8" sheetId="20" r:id="rId6"/>
    <sheet name="Ejer. 2" sheetId="12" r:id="rId7"/>
    <sheet name="Ejer.3" sheetId="1" r:id="rId8"/>
    <sheet name="Ejer.4x" sheetId="2" r:id="rId9"/>
    <sheet name="Ejer. 5" sheetId="13" r:id="rId10"/>
    <sheet name="Ejer.6" sheetId="4" r:id="rId11"/>
    <sheet name="Ejer.7" sheetId="5" r:id="rId12"/>
    <sheet name="Ejer.8" sheetId="3" r:id="rId13"/>
    <sheet name="Ejer. 10" sheetId="14" r:id="rId14"/>
    <sheet name="Ejer.14" sheetId="7" r:id="rId15"/>
    <sheet name="Ejer.15" sheetId="6" r:id="rId16"/>
    <sheet name="Ejer.19" sheetId="8" r:id="rId17"/>
    <sheet name="Ejer.20" sheetId="9" r:id="rId18"/>
    <sheet name="MEDIA" sheetId="15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2" l="1"/>
  <c r="B11" i="22"/>
  <c r="B15" i="21"/>
  <c r="H8" i="22"/>
  <c r="E8" i="22"/>
  <c r="H3" i="22"/>
  <c r="H4" i="22"/>
  <c r="H5" i="22"/>
  <c r="H6" i="22"/>
  <c r="H7" i="22"/>
  <c r="H2" i="22"/>
  <c r="F8" i="22"/>
  <c r="G3" i="22"/>
  <c r="E2" i="22"/>
  <c r="G4" i="22"/>
  <c r="G5" i="22" s="1"/>
  <c r="G6" i="22" s="1"/>
  <c r="G7" i="22" s="1"/>
  <c r="G3" i="21"/>
  <c r="F3" i="22"/>
  <c r="F4" i="22"/>
  <c r="F5" i="22"/>
  <c r="F6" i="22"/>
  <c r="F7" i="22"/>
  <c r="F2" i="22"/>
  <c r="D3" i="22"/>
  <c r="D4" i="22" s="1"/>
  <c r="C8" i="22"/>
  <c r="H2" i="21"/>
  <c r="F3" i="21"/>
  <c r="G4" i="21" s="1"/>
  <c r="H4" i="21" s="1"/>
  <c r="F4" i="21"/>
  <c r="F5" i="21"/>
  <c r="F2" i="21"/>
  <c r="E2" i="21"/>
  <c r="D3" i="21"/>
  <c r="B6" i="21"/>
  <c r="J5" i="21"/>
  <c r="I5" i="21"/>
  <c r="J4" i="21"/>
  <c r="I4" i="21"/>
  <c r="J3" i="21"/>
  <c r="I3" i="21"/>
  <c r="J2" i="21"/>
  <c r="I2" i="21"/>
  <c r="C7" i="20"/>
  <c r="C8" i="20" s="1"/>
  <c r="B7" i="20"/>
  <c r="B8" i="20" s="1"/>
  <c r="B9" i="20"/>
  <c r="C4" i="20"/>
  <c r="F4" i="20" s="1"/>
  <c r="D4" i="20"/>
  <c r="E4" i="20"/>
  <c r="B4" i="20"/>
  <c r="D7" i="20"/>
  <c r="D8" i="20" s="1"/>
  <c r="E7" i="20"/>
  <c r="E8" i="20" s="1"/>
  <c r="F2" i="20"/>
  <c r="B13" i="19"/>
  <c r="B17" i="18"/>
  <c r="B12" i="19"/>
  <c r="B11" i="19"/>
  <c r="B15" i="18"/>
  <c r="E7" i="19"/>
  <c r="D6" i="19"/>
  <c r="E6" i="19"/>
  <c r="E5" i="19"/>
  <c r="E4" i="19"/>
  <c r="E3" i="19"/>
  <c r="E2" i="19"/>
  <c r="D5" i="19"/>
  <c r="D4" i="19"/>
  <c r="D3" i="19"/>
  <c r="D2" i="19"/>
  <c r="B10" i="19"/>
  <c r="C3" i="19"/>
  <c r="C4" i="19"/>
  <c r="C5" i="19"/>
  <c r="C6" i="19"/>
  <c r="C2" i="19"/>
  <c r="H5" i="18"/>
  <c r="E2" i="18"/>
  <c r="H3" i="18"/>
  <c r="H4" i="18"/>
  <c r="H2" i="18"/>
  <c r="H2" i="4"/>
  <c r="F3" i="18"/>
  <c r="D3" i="18"/>
  <c r="D4" i="18" s="1"/>
  <c r="F5" i="18"/>
  <c r="F4" i="18"/>
  <c r="F2" i="18"/>
  <c r="B6" i="18"/>
  <c r="E3" i="18" s="1"/>
  <c r="B8" i="16"/>
  <c r="E6" i="16" s="1"/>
  <c r="D3" i="16"/>
  <c r="L6" i="6"/>
  <c r="F2" i="3"/>
  <c r="H3" i="4"/>
  <c r="H4" i="4"/>
  <c r="H5" i="4"/>
  <c r="H6" i="4"/>
  <c r="D5" i="22" l="1"/>
  <c r="E4" i="22"/>
  <c r="F6" i="21"/>
  <c r="H3" i="21"/>
  <c r="H6" i="21"/>
  <c r="E3" i="21"/>
  <c r="G5" i="21"/>
  <c r="H5" i="21" s="1"/>
  <c r="J6" i="21"/>
  <c r="D4" i="21"/>
  <c r="E4" i="18"/>
  <c r="D5" i="18"/>
  <c r="E5" i="18" s="1"/>
  <c r="F6" i="18"/>
  <c r="B8" i="18" s="1"/>
  <c r="F3" i="16"/>
  <c r="D4" i="16"/>
  <c r="E2" i="16"/>
  <c r="F2" i="16"/>
  <c r="E5" i="16"/>
  <c r="E3" i="16"/>
  <c r="E4" i="16"/>
  <c r="E7" i="16"/>
  <c r="G4" i="14"/>
  <c r="G8" i="14"/>
  <c r="G2" i="14"/>
  <c r="F5" i="14"/>
  <c r="F2" i="14"/>
  <c r="A9" i="14"/>
  <c r="D2" i="14"/>
  <c r="D9" i="14" s="1"/>
  <c r="B13" i="14" s="1"/>
  <c r="C9" i="14"/>
  <c r="B9" i="14"/>
  <c r="E3" i="14"/>
  <c r="G3" i="14" s="1"/>
  <c r="E4" i="14"/>
  <c r="E5" i="14"/>
  <c r="G5" i="14" s="1"/>
  <c r="E6" i="14"/>
  <c r="G6" i="14" s="1"/>
  <c r="E7" i="14"/>
  <c r="G7" i="14" s="1"/>
  <c r="E8" i="14"/>
  <c r="E2" i="14"/>
  <c r="E9" i="14" s="1"/>
  <c r="B14" i="14" s="1"/>
  <c r="D3" i="14"/>
  <c r="F3" i="14" s="1"/>
  <c r="D4" i="14"/>
  <c r="F4" i="14" s="1"/>
  <c r="F9" i="14" s="1"/>
  <c r="D5" i="14"/>
  <c r="D6" i="14"/>
  <c r="F6" i="14" s="1"/>
  <c r="D7" i="14"/>
  <c r="F7" i="14" s="1"/>
  <c r="D8" i="14"/>
  <c r="F8" i="14" s="1"/>
  <c r="E18" i="4"/>
  <c r="E4" i="13"/>
  <c r="E5" i="13"/>
  <c r="E7" i="13"/>
  <c r="E8" i="13"/>
  <c r="E9" i="13"/>
  <c r="E2" i="13"/>
  <c r="D3" i="13"/>
  <c r="D4" i="13" s="1"/>
  <c r="F2" i="13"/>
  <c r="B12" i="13"/>
  <c r="E10" i="13" s="1"/>
  <c r="D6" i="22" l="1"/>
  <c r="E5" i="22"/>
  <c r="D5" i="21"/>
  <c r="E5" i="21" s="1"/>
  <c r="E4" i="21"/>
  <c r="E6" i="21" s="1"/>
  <c r="I2" i="18"/>
  <c r="J5" i="18"/>
  <c r="J4" i="18"/>
  <c r="I3" i="18"/>
  <c r="J3" i="18"/>
  <c r="J2" i="18"/>
  <c r="I5" i="18"/>
  <c r="I4" i="18"/>
  <c r="D5" i="16"/>
  <c r="F4" i="16"/>
  <c r="F3" i="13"/>
  <c r="F4" i="13"/>
  <c r="D5" i="13"/>
  <c r="G9" i="14"/>
  <c r="B17" i="14" s="1"/>
  <c r="E17" i="14" s="1"/>
  <c r="B20" i="14" s="1"/>
  <c r="B16" i="14"/>
  <c r="E16" i="14" s="1"/>
  <c r="B19" i="14" s="1"/>
  <c r="E6" i="13"/>
  <c r="E11" i="13"/>
  <c r="E3" i="13"/>
  <c r="B10" i="12"/>
  <c r="C3" i="12"/>
  <c r="D3" i="12" s="1"/>
  <c r="C2" i="12"/>
  <c r="D2" i="12" s="1"/>
  <c r="D7" i="22" l="1"/>
  <c r="E7" i="22" s="1"/>
  <c r="E6" i="22"/>
  <c r="J6" i="18"/>
  <c r="B16" i="18" s="1"/>
  <c r="D6" i="16"/>
  <c r="F5" i="16"/>
  <c r="C4" i="12"/>
  <c r="F5" i="13"/>
  <c r="D6" i="13"/>
  <c r="D7" i="16" l="1"/>
  <c r="F6" i="16"/>
  <c r="F6" i="13"/>
  <c r="D7" i="13"/>
  <c r="D4" i="12"/>
  <c r="C5" i="12"/>
  <c r="I2" i="9"/>
  <c r="F3" i="9"/>
  <c r="G3" i="9" s="1"/>
  <c r="F4" i="9"/>
  <c r="G4" i="9" s="1"/>
  <c r="F5" i="9"/>
  <c r="F2" i="9"/>
  <c r="F6" i="9" s="1"/>
  <c r="B10" i="9"/>
  <c r="B6" i="9"/>
  <c r="D2" i="9" s="1"/>
  <c r="C3" i="9"/>
  <c r="C4" i="9" s="1"/>
  <c r="F7" i="16" l="1"/>
  <c r="G5" i="9"/>
  <c r="H5" i="9" s="1"/>
  <c r="H4" i="9"/>
  <c r="D4" i="9"/>
  <c r="I4" i="9" s="1"/>
  <c r="C5" i="9"/>
  <c r="D5" i="9" s="1"/>
  <c r="H2" i="9"/>
  <c r="H3" i="9"/>
  <c r="D5" i="12"/>
  <c r="C6" i="12"/>
  <c r="D3" i="9"/>
  <c r="D8" i="13"/>
  <c r="F7" i="13"/>
  <c r="G2" i="8"/>
  <c r="H2" i="8" s="1"/>
  <c r="E2" i="8"/>
  <c r="F2" i="8" s="1"/>
  <c r="D3" i="8"/>
  <c r="D4" i="8"/>
  <c r="D5" i="8"/>
  <c r="D2" i="8"/>
  <c r="D6" i="8" s="1"/>
  <c r="B6" i="8"/>
  <c r="G4" i="7"/>
  <c r="G5" i="7"/>
  <c r="E3" i="7"/>
  <c r="G3" i="7" s="1"/>
  <c r="E4" i="7"/>
  <c r="E5" i="7"/>
  <c r="E6" i="7"/>
  <c r="G6" i="7" s="1"/>
  <c r="E2" i="7"/>
  <c r="B7" i="7"/>
  <c r="F2" i="7" s="1"/>
  <c r="C3" i="7"/>
  <c r="C4" i="7" s="1"/>
  <c r="E7" i="7" l="1"/>
  <c r="B9" i="7" s="1"/>
  <c r="C5" i="7"/>
  <c r="F4" i="7"/>
  <c r="H6" i="9"/>
  <c r="G3" i="8"/>
  <c r="E3" i="8"/>
  <c r="C16" i="9"/>
  <c r="I5" i="9"/>
  <c r="D9" i="13"/>
  <c r="F8" i="13"/>
  <c r="C21" i="9"/>
  <c r="B11" i="9"/>
  <c r="F3" i="7"/>
  <c r="G2" i="7"/>
  <c r="G7" i="7" s="1"/>
  <c r="I3" i="9"/>
  <c r="I6" i="9" s="1"/>
  <c r="C26" i="9"/>
  <c r="C27" i="9" s="1"/>
  <c r="D6" i="12"/>
  <c r="C7" i="12"/>
  <c r="I3" i="6"/>
  <c r="K3" i="6" s="1"/>
  <c r="M3" i="6" s="1"/>
  <c r="I4" i="6"/>
  <c r="I5" i="6"/>
  <c r="K5" i="6" s="1"/>
  <c r="M5" i="6" s="1"/>
  <c r="I6" i="6"/>
  <c r="K6" i="6" s="1"/>
  <c r="M6" i="6" s="1"/>
  <c r="I2" i="6"/>
  <c r="K2" i="6" s="1"/>
  <c r="H3" i="6"/>
  <c r="H4" i="6"/>
  <c r="H5" i="6"/>
  <c r="H6" i="6"/>
  <c r="H2" i="6"/>
  <c r="F3" i="6"/>
  <c r="F4" i="6"/>
  <c r="F5" i="6"/>
  <c r="F6" i="6"/>
  <c r="F2" i="6"/>
  <c r="C3" i="6"/>
  <c r="B7" i="6"/>
  <c r="B12" i="7" l="1"/>
  <c r="B13" i="7" s="1"/>
  <c r="B14" i="7" s="1"/>
  <c r="D2" i="6"/>
  <c r="J4" i="6"/>
  <c r="J2" i="6"/>
  <c r="J3" i="6"/>
  <c r="J5" i="6"/>
  <c r="J6" i="6"/>
  <c r="B12" i="9"/>
  <c r="G4" i="8"/>
  <c r="H3" i="8"/>
  <c r="D3" i="6"/>
  <c r="C8" i="12"/>
  <c r="D7" i="12"/>
  <c r="D10" i="13"/>
  <c r="F9" i="13"/>
  <c r="E4" i="8"/>
  <c r="F3" i="8"/>
  <c r="I7" i="6"/>
  <c r="K4" i="6"/>
  <c r="M4" i="6" s="1"/>
  <c r="M2" i="6"/>
  <c r="M7" i="6" s="1"/>
  <c r="K7" i="6"/>
  <c r="C6" i="7"/>
  <c r="F6" i="7" s="1"/>
  <c r="F5" i="7"/>
  <c r="C4" i="6"/>
  <c r="C5" i="6" s="1"/>
  <c r="D5" i="6" s="1"/>
  <c r="H7" i="6"/>
  <c r="D2" i="5"/>
  <c r="E2" i="5" s="1"/>
  <c r="B10" i="5"/>
  <c r="E25" i="4"/>
  <c r="B8" i="4" s="1"/>
  <c r="E2" i="4"/>
  <c r="E3" i="4" l="1"/>
  <c r="H4" i="8"/>
  <c r="G5" i="8"/>
  <c r="H5" i="8" s="1"/>
  <c r="D3" i="5"/>
  <c r="D11" i="13"/>
  <c r="F11" i="13" s="1"/>
  <c r="F10" i="13"/>
  <c r="F4" i="8"/>
  <c r="E5" i="8"/>
  <c r="F5" i="8" s="1"/>
  <c r="C6" i="6"/>
  <c r="D6" i="6" s="1"/>
  <c r="F14" i="6"/>
  <c r="C9" i="12"/>
  <c r="D9" i="12" s="1"/>
  <c r="D8" i="12"/>
  <c r="J7" i="6"/>
  <c r="F6" i="8"/>
  <c r="B9" i="6"/>
  <c r="L2" i="6" s="1"/>
  <c r="D4" i="6"/>
  <c r="B10" i="6"/>
  <c r="L3" i="6" s="1"/>
  <c r="H6" i="8"/>
  <c r="D10" i="8" s="1"/>
  <c r="D7" i="6"/>
  <c r="D4" i="4"/>
  <c r="D5" i="4"/>
  <c r="D6" i="4"/>
  <c r="D3" i="4"/>
  <c r="D2" i="4"/>
  <c r="D7" i="4" s="1"/>
  <c r="B12" i="4" s="1"/>
  <c r="C7" i="4"/>
  <c r="F2" i="4" s="1"/>
  <c r="H2" i="3"/>
  <c r="G2" i="3"/>
  <c r="G3" i="3" s="1"/>
  <c r="F3" i="3"/>
  <c r="F4" i="3"/>
  <c r="F5" i="3"/>
  <c r="F6" i="3"/>
  <c r="F7" i="3"/>
  <c r="F8" i="3"/>
  <c r="F9" i="3"/>
  <c r="C11" i="3"/>
  <c r="D3" i="3"/>
  <c r="D4" i="3"/>
  <c r="D5" i="3"/>
  <c r="D6" i="3"/>
  <c r="D7" i="3"/>
  <c r="D8" i="3"/>
  <c r="D9" i="3"/>
  <c r="D10" i="3"/>
  <c r="D2" i="3"/>
  <c r="D11" i="3" s="1"/>
  <c r="B13" i="3" s="1"/>
  <c r="H3" i="3" l="1"/>
  <c r="G4" i="3"/>
  <c r="D4" i="5"/>
  <c r="E3" i="5"/>
  <c r="F11" i="6"/>
  <c r="E4" i="4"/>
  <c r="F3" i="4"/>
  <c r="B11" i="6"/>
  <c r="F13" i="6" s="1"/>
  <c r="D2" i="1"/>
  <c r="D3" i="1"/>
  <c r="D4" i="1"/>
  <c r="D7" i="1"/>
  <c r="D8" i="1"/>
  <c r="D10" i="1"/>
  <c r="D11" i="1"/>
  <c r="D12" i="1"/>
  <c r="C4" i="1"/>
  <c r="E4" i="1" s="1"/>
  <c r="C3" i="1"/>
  <c r="B13" i="1"/>
  <c r="D5" i="1" s="1"/>
  <c r="E5" i="4" l="1"/>
  <c r="F4" i="4"/>
  <c r="D9" i="1"/>
  <c r="E2" i="1"/>
  <c r="C5" i="1"/>
  <c r="D5" i="5"/>
  <c r="E4" i="5"/>
  <c r="L4" i="6"/>
  <c r="L7" i="6" s="1"/>
  <c r="G11" i="6" s="1"/>
  <c r="H11" i="6" s="1"/>
  <c r="B12" i="6"/>
  <c r="L5" i="6" s="1"/>
  <c r="G5" i="3"/>
  <c r="H4" i="3"/>
  <c r="E3" i="1"/>
  <c r="D6" i="1"/>
  <c r="C6" i="1" l="1"/>
  <c r="E5" i="1"/>
  <c r="D6" i="5"/>
  <c r="E5" i="5"/>
  <c r="H5" i="3"/>
  <c r="D16" i="3" s="1"/>
  <c r="G6" i="3"/>
  <c r="E6" i="4"/>
  <c r="F6" i="4" s="1"/>
  <c r="F5" i="4"/>
  <c r="B9" i="4" s="1"/>
  <c r="G7" i="3" l="1"/>
  <c r="H6" i="3"/>
  <c r="D7" i="5"/>
  <c r="E6" i="5"/>
  <c r="E6" i="1"/>
  <c r="C7" i="1"/>
  <c r="D8" i="5" l="1"/>
  <c r="E7" i="5"/>
  <c r="C8" i="1"/>
  <c r="E7" i="1"/>
  <c r="G8" i="3"/>
  <c r="H7" i="3"/>
  <c r="C9" i="1" l="1"/>
  <c r="E8" i="1"/>
  <c r="G9" i="3"/>
  <c r="H8" i="3"/>
  <c r="D9" i="5"/>
  <c r="E9" i="5" s="1"/>
  <c r="E8" i="5"/>
  <c r="G10" i="3" l="1"/>
  <c r="H10" i="3" s="1"/>
  <c r="H9" i="3"/>
  <c r="E9" i="1"/>
  <c r="C10" i="1"/>
  <c r="C11" i="1" l="1"/>
  <c r="E10" i="1"/>
  <c r="C12" i="1" l="1"/>
  <c r="E12" i="1" s="1"/>
  <c r="E11" i="1"/>
</calcChain>
</file>

<file path=xl/sharedStrings.xml><?xml version="1.0" encoding="utf-8"?>
<sst xmlns="http://schemas.openxmlformats.org/spreadsheetml/2006/main" count="351" uniqueCount="196">
  <si>
    <t>xi</t>
  </si>
  <si>
    <t>ni</t>
  </si>
  <si>
    <t>Ni</t>
  </si>
  <si>
    <t>fi</t>
  </si>
  <si>
    <t>Fi</t>
  </si>
  <si>
    <t xml:space="preserve"> </t>
  </si>
  <si>
    <t>Salarios</t>
  </si>
  <si>
    <t>0-150</t>
  </si>
  <si>
    <t>150-200</t>
  </si>
  <si>
    <t>200-250</t>
  </si>
  <si>
    <t>250-300</t>
  </si>
  <si>
    <t>300-350</t>
  </si>
  <si>
    <t>350-400</t>
  </si>
  <si>
    <t>400-500</t>
  </si>
  <si>
    <t>500-1000</t>
  </si>
  <si>
    <t>&gt;1000</t>
  </si>
  <si>
    <t>xini</t>
  </si>
  <si>
    <t>Media</t>
  </si>
  <si>
    <t>ai</t>
  </si>
  <si>
    <t>infinito</t>
  </si>
  <si>
    <t>hi</t>
  </si>
  <si>
    <t>Intervalo modal es (350,400)</t>
  </si>
  <si>
    <t>Moda 375</t>
  </si>
  <si>
    <t>Mediana entre (250,300)</t>
  </si>
  <si>
    <t>Me= 275,9</t>
  </si>
  <si>
    <t>Altura</t>
  </si>
  <si>
    <t>1.50-1.60</t>
  </si>
  <si>
    <t>1.60-170</t>
  </si>
  <si>
    <t>1.70-1.80</t>
  </si>
  <si>
    <t>1.80-1.90</t>
  </si>
  <si>
    <t>1.90-2.00</t>
  </si>
  <si>
    <t>Mediana =(1,70,180)</t>
  </si>
  <si>
    <t>I</t>
  </si>
  <si>
    <t>Me</t>
  </si>
  <si>
    <t>F</t>
  </si>
  <si>
    <t>(1,8-1,70)/0,6636-0,4455=(Me-1,70)/0,5-0,4455</t>
  </si>
  <si>
    <t>Me=1,70+((1,8-1,70)*(0,5-0,4455)/0,6636-0,4455)</t>
  </si>
  <si>
    <t>P82</t>
  </si>
  <si>
    <t>P3</t>
  </si>
  <si>
    <t>a) P3</t>
  </si>
  <si>
    <t>b) P82</t>
  </si>
  <si>
    <t>c) Me</t>
  </si>
  <si>
    <t>d) Media</t>
  </si>
  <si>
    <t>60-70</t>
  </si>
  <si>
    <t>li</t>
  </si>
  <si>
    <t>70-80</t>
  </si>
  <si>
    <t>80-90</t>
  </si>
  <si>
    <t>90-100</t>
  </si>
  <si>
    <t>100-110</t>
  </si>
  <si>
    <t>110-120</t>
  </si>
  <si>
    <t>120-130</t>
  </si>
  <si>
    <t>130-140</t>
  </si>
  <si>
    <t>P75</t>
  </si>
  <si>
    <t>P75=104,0068</t>
  </si>
  <si>
    <t>a)</t>
  </si>
  <si>
    <t>b)</t>
  </si>
  <si>
    <t>X</t>
  </si>
  <si>
    <t>c)</t>
  </si>
  <si>
    <t>X=97.6%</t>
  </si>
  <si>
    <t>X= 89,58%</t>
  </si>
  <si>
    <t>Superior 2,3%</t>
  </si>
  <si>
    <t>800-1000</t>
  </si>
  <si>
    <t>1000-1200</t>
  </si>
  <si>
    <t>1200-1500</t>
  </si>
  <si>
    <t>1500-2000</t>
  </si>
  <si>
    <t>2000-3000</t>
  </si>
  <si>
    <t>sueldo</t>
  </si>
  <si>
    <t>P25</t>
  </si>
  <si>
    <t>P25=1100</t>
  </si>
  <si>
    <t>P75=1462,5</t>
  </si>
  <si>
    <t>P50=50</t>
  </si>
  <si>
    <t>Me=1275</t>
  </si>
  <si>
    <t>Varianza</t>
  </si>
  <si>
    <t>xi2ni</t>
  </si>
  <si>
    <t>Desviacion tipica</t>
  </si>
  <si>
    <t xml:space="preserve">Moda </t>
  </si>
  <si>
    <t>CV</t>
  </si>
  <si>
    <t>Tamaño</t>
  </si>
  <si>
    <t>1-2</t>
  </si>
  <si>
    <t>3-4</t>
  </si>
  <si>
    <t>5-6</t>
  </si>
  <si>
    <t>7-8</t>
  </si>
  <si>
    <t>9-10</t>
  </si>
  <si>
    <t>Moda</t>
  </si>
  <si>
    <t>P50=Q2=Me</t>
  </si>
  <si>
    <t>P50</t>
  </si>
  <si>
    <t>Pe50=3,7</t>
  </si>
  <si>
    <t>&lt; 1,8</t>
  </si>
  <si>
    <t>Montante</t>
  </si>
  <si>
    <t>0-5</t>
  </si>
  <si>
    <t>5-10</t>
  </si>
  <si>
    <t>10-20</t>
  </si>
  <si>
    <t>20-40</t>
  </si>
  <si>
    <t>ui</t>
  </si>
  <si>
    <t>qi</t>
  </si>
  <si>
    <t>Fi*100= pi</t>
  </si>
  <si>
    <t>Gini</t>
  </si>
  <si>
    <t>Salario</t>
  </si>
  <si>
    <t>600-1000</t>
  </si>
  <si>
    <t>1000-1400</t>
  </si>
  <si>
    <t>1400-2000</t>
  </si>
  <si>
    <t>Mediala</t>
  </si>
  <si>
    <t>mediana</t>
  </si>
  <si>
    <t>pi</t>
  </si>
  <si>
    <t>Pex=2400</t>
  </si>
  <si>
    <t xml:space="preserve">X= </t>
  </si>
  <si>
    <t>e)</t>
  </si>
  <si>
    <t>Mejores pagados que reciben el 30% de la masa salarial</t>
  </si>
  <si>
    <t>g)</t>
  </si>
  <si>
    <t>Menos ganan el 40% masa salarial</t>
  </si>
  <si>
    <t>Notas</t>
  </si>
  <si>
    <t>0-1</t>
  </si>
  <si>
    <t>2-3</t>
  </si>
  <si>
    <t>4-5</t>
  </si>
  <si>
    <t>6-7</t>
  </si>
  <si>
    <t>8-9</t>
  </si>
  <si>
    <t>AÑO</t>
  </si>
  <si>
    <t>nj</t>
  </si>
  <si>
    <t>xinj</t>
  </si>
  <si>
    <t>media ex</t>
  </si>
  <si>
    <t>media im</t>
  </si>
  <si>
    <t>Varianza im</t>
  </si>
  <si>
    <t>xi^2ni</t>
  </si>
  <si>
    <t>xi^2nj</t>
  </si>
  <si>
    <t>Varianza ex</t>
  </si>
  <si>
    <t>DT im</t>
  </si>
  <si>
    <t>Dt ex</t>
  </si>
  <si>
    <t>CV im</t>
  </si>
  <si>
    <t>CV ex</t>
  </si>
  <si>
    <t>g1=m3/S3</t>
  </si>
  <si>
    <t>xi3ni</t>
  </si>
  <si>
    <t>xi4ni</t>
  </si>
  <si>
    <t>g2=m47S4-3</t>
  </si>
  <si>
    <t>Media aritmetica &gt; media geometrica&gt; media armónica</t>
  </si>
  <si>
    <t>Media aritmética: Valor representativo de los valores que se están promediando</t>
  </si>
  <si>
    <t>Media geoméstrica: Incremento porcentual promedio en ventas</t>
  </si>
  <si>
    <t>Media armónica: Promediar varaiables expresadas como cociente de dos unidades</t>
  </si>
  <si>
    <t>Mediana: divide a la muestra ordenada en dos conjuntos con el mismo número de datos</t>
  </si>
  <si>
    <t>EDAD</t>
  </si>
  <si>
    <t>20-24</t>
  </si>
  <si>
    <t>MEDIA</t>
  </si>
  <si>
    <t>Mo</t>
  </si>
  <si>
    <t>Q1</t>
  </si>
  <si>
    <t>Q3</t>
  </si>
  <si>
    <t>Ri</t>
  </si>
  <si>
    <t>R60 está (10,20)</t>
  </si>
  <si>
    <t>(xi-media)^2</t>
  </si>
  <si>
    <t>(xi-media)^2ni</t>
  </si>
  <si>
    <t>S2</t>
  </si>
  <si>
    <t>S</t>
  </si>
  <si>
    <t>años</t>
  </si>
  <si>
    <t>años^2</t>
  </si>
  <si>
    <t>n</t>
  </si>
  <si>
    <t>GRUPO</t>
  </si>
  <si>
    <t>VARIANZA</t>
  </si>
  <si>
    <t>IV</t>
  </si>
  <si>
    <t>III</t>
  </si>
  <si>
    <t>II</t>
  </si>
  <si>
    <t>D.TÍPICA</t>
  </si>
  <si>
    <t>MEDIA GLOBAL</t>
  </si>
  <si>
    <t>NOTA MEDIA(xi)</t>
  </si>
  <si>
    <t>xi*ni</t>
  </si>
  <si>
    <t>N.ALUMNOS(ni)</t>
  </si>
  <si>
    <t>MONTANTE</t>
  </si>
  <si>
    <t>pi=Fi*100</t>
  </si>
  <si>
    <t>Me está en (10,20)</t>
  </si>
  <si>
    <t>Li</t>
  </si>
  <si>
    <t>(20-10)/(63,63-40,90) = (Me-10)/(50-40,90) -&gt; Me = 14</t>
  </si>
  <si>
    <t>qi=(ui/725)*100</t>
  </si>
  <si>
    <t>Ig</t>
  </si>
  <si>
    <t>Ml</t>
  </si>
  <si>
    <t>Ml está en (20,40)</t>
  </si>
  <si>
    <t>(40-20)/(100-33,79) = (Ml-20)/(50-33,79) -&gt; Ml = 24,89</t>
  </si>
  <si>
    <t>P40 está en (5,10)</t>
  </si>
  <si>
    <t>1000-2000</t>
  </si>
  <si>
    <t>2000-2500</t>
  </si>
  <si>
    <t>2500-3000</t>
  </si>
  <si>
    <t>3000-4000</t>
  </si>
  <si>
    <t>4000-5000</t>
  </si>
  <si>
    <t>qi = (ui/206750)*100</t>
  </si>
  <si>
    <t>Me está en (1000-2000)</t>
  </si>
  <si>
    <t>Pq si está el valor nos quedamos con el extremo superior</t>
  </si>
  <si>
    <t>Ml está en (2000-2500)</t>
  </si>
  <si>
    <t xml:space="preserve">Ml </t>
  </si>
  <si>
    <t>Como EJER10 -&gt; 2448,6</t>
  </si>
  <si>
    <t>e) Calcular P93</t>
  </si>
  <si>
    <t>d) Calcular el % que cobran menos de 3250</t>
  </si>
  <si>
    <t>x</t>
  </si>
  <si>
    <t>`---------&gt;</t>
  </si>
  <si>
    <t xml:space="preserve">(4000-3000)/(95-85) = (3250-3000)/(x-85) -&gt; x = 87,5 </t>
  </si>
  <si>
    <t>`--------&gt; Percentil 87,5%</t>
  </si>
  <si>
    <t>`----------&gt; Se hace como el d) pero x en el otro lado</t>
  </si>
  <si>
    <t>y</t>
  </si>
  <si>
    <t xml:space="preserve">`---------&gt; (95-85)/(87,1173-72,1886) = (y-85)/(75-72,1886) -&gt; y = 13,33% </t>
  </si>
  <si>
    <t>f) % de empleados que reciben más del 25% de la nómina ------------&gt;</t>
  </si>
  <si>
    <t>13.33%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</si>
</sst>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-0.249977111117893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9" fontId="0" fillId="0" borderId="0" xfId="0" applyNumberFormat="1"/>
    <xf numFmtId="49" fontId="0" fillId="2" borderId="0" xfId="0" applyNumberFormat="1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2" fillId="10" borderId="0" xfId="0" applyFont="1" applyFill="1"/>
    <xf numFmtId="0" fontId="0" fillId="0" borderId="0" xfId="0" applyAlignment="1">
      <alignment horizontal="center" vertical="center"/>
    </xf>
    <xf numFmtId="0" fontId="2" fillId="11" borderId="0" xfId="0" applyFont="1" applyFill="1"/>
    <xf numFmtId="0" fontId="0" fillId="12" borderId="0" xfId="0" applyFill="1"/>
    <xf numFmtId="0" fontId="0" fillId="0" borderId="5" xfId="0" applyBorder="1"/>
    <xf numFmtId="0" fontId="4" fillId="0" borderId="0" xfId="0" applyFont="1"/>
    <xf numFmtId="0" fontId="0" fillId="15" borderId="0" xfId="0" applyFill="1"/>
    <xf numFmtId="2" fontId="0" fillId="15" borderId="0" xfId="0" applyNumberFormat="1" applyFill="1"/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3" fillId="0" borderId="0" xfId="0" applyFont="1"/>
    <xf numFmtId="0" fontId="2" fillId="0" borderId="0" xfId="0" applyFont="1"/>
    <xf numFmtId="0" fontId="0" fillId="16" borderId="0" xfId="0" applyFill="1"/>
    <xf numFmtId="0" fontId="0" fillId="17" borderId="0" xfId="0" applyFill="1"/>
    <xf numFmtId="0" fontId="0" fillId="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19" borderId="0" xfId="0" applyFont="1" applyFill="1"/>
    <xf numFmtId="0" fontId="0" fillId="19" borderId="0" xfId="0" applyFill="1"/>
    <xf numFmtId="0" fontId="0" fillId="20" borderId="0" xfId="0" applyFill="1"/>
    <xf numFmtId="0" fontId="0" fillId="13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2" fillId="16" borderId="0" xfId="0" applyFont="1" applyFill="1"/>
    <xf numFmtId="0" fontId="0" fillId="24" borderId="0" xfId="0" applyFill="1"/>
    <xf numFmtId="0" fontId="0" fillId="2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C6EB4-E368-48E4-9FCE-E9272EEF522F}">
  <dimension ref="A1:H30"/>
  <sheetViews>
    <sheetView workbookViewId="0">
      <selection activeCell="H27" sqref="H27"/>
    </sheetView>
  </sheetViews>
  <sheetFormatPr baseColWidth="10" defaultRowHeight="14.4" x14ac:dyDescent="0.3"/>
  <cols>
    <col min="1" max="1" width="20.6640625" customWidth="1"/>
    <col min="2" max="2" width="8.44140625" customWidth="1"/>
    <col min="3" max="3" width="8" customWidth="1"/>
    <col min="4" max="4" width="7.44140625" customWidth="1"/>
    <col min="6" max="6" width="9.33203125" customWidth="1"/>
    <col min="7" max="7" width="9.44140625" customWidth="1"/>
    <col min="8" max="8" width="18.5546875" customWidth="1"/>
    <col min="9" max="9" width="16" customWidth="1"/>
  </cols>
  <sheetData>
    <row r="1" spans="1:8" x14ac:dyDescent="0.3">
      <c r="A1" s="23" t="s">
        <v>97</v>
      </c>
      <c r="B1" s="23" t="s">
        <v>0</v>
      </c>
      <c r="C1" s="23" t="s">
        <v>1</v>
      </c>
      <c r="D1" s="23" t="s">
        <v>2</v>
      </c>
      <c r="E1" s="23" t="s">
        <v>164</v>
      </c>
      <c r="F1" s="23" t="s">
        <v>161</v>
      </c>
      <c r="G1" s="23" t="s">
        <v>93</v>
      </c>
      <c r="H1" s="23" t="s">
        <v>179</v>
      </c>
    </row>
    <row r="2" spans="1:8" x14ac:dyDescent="0.3">
      <c r="A2" s="35" t="s">
        <v>61</v>
      </c>
      <c r="B2">
        <v>900</v>
      </c>
      <c r="C2">
        <v>20</v>
      </c>
      <c r="D2">
        <v>20</v>
      </c>
      <c r="E2">
        <f>D2*100/100</f>
        <v>20</v>
      </c>
      <c r="F2">
        <f>C2*B2</f>
        <v>18000</v>
      </c>
      <c r="G2">
        <v>18000</v>
      </c>
      <c r="H2">
        <f>(G2/206750)*100</f>
        <v>8.7061668681983075</v>
      </c>
    </row>
    <row r="3" spans="1:8" x14ac:dyDescent="0.3">
      <c r="A3" s="35" t="s">
        <v>174</v>
      </c>
      <c r="B3">
        <v>1500</v>
      </c>
      <c r="C3">
        <v>30</v>
      </c>
      <c r="D3">
        <f>D2+C3</f>
        <v>50</v>
      </c>
      <c r="E3">
        <f>D3*100/100</f>
        <v>50</v>
      </c>
      <c r="F3">
        <f t="shared" ref="F3:F7" si="0">C3*B3</f>
        <v>45000</v>
      </c>
      <c r="G3">
        <f>G2+F3</f>
        <v>63000</v>
      </c>
      <c r="H3">
        <f t="shared" ref="H3:H7" si="1">(G3/206750)*100</f>
        <v>30.471584038694076</v>
      </c>
    </row>
    <row r="4" spans="1:8" x14ac:dyDescent="0.3">
      <c r="A4" s="41" t="s">
        <v>175</v>
      </c>
      <c r="B4" s="42">
        <v>2250</v>
      </c>
      <c r="C4" s="42">
        <v>20</v>
      </c>
      <c r="D4" s="42">
        <f t="shared" ref="D4:D7" si="2">D3+C4</f>
        <v>70</v>
      </c>
      <c r="E4" s="42">
        <f t="shared" ref="E4:E7" si="3">D4*100/100</f>
        <v>70</v>
      </c>
      <c r="F4" s="42">
        <f t="shared" si="0"/>
        <v>45000</v>
      </c>
      <c r="G4" s="42">
        <f t="shared" ref="G4:G7" si="4">G3+F4</f>
        <v>108000</v>
      </c>
      <c r="H4" s="42">
        <f t="shared" si="1"/>
        <v>52.237001209189849</v>
      </c>
    </row>
    <row r="5" spans="1:8" x14ac:dyDescent="0.3">
      <c r="A5" s="35" t="s">
        <v>176</v>
      </c>
      <c r="B5">
        <v>2750</v>
      </c>
      <c r="C5">
        <v>15</v>
      </c>
      <c r="D5">
        <f t="shared" si="2"/>
        <v>85</v>
      </c>
      <c r="E5">
        <f t="shared" si="3"/>
        <v>85</v>
      </c>
      <c r="F5">
        <f t="shared" si="0"/>
        <v>41250</v>
      </c>
      <c r="G5">
        <f t="shared" si="4"/>
        <v>149250</v>
      </c>
      <c r="H5">
        <f t="shared" si="1"/>
        <v>72.188633615477627</v>
      </c>
    </row>
    <row r="6" spans="1:8" x14ac:dyDescent="0.3">
      <c r="A6" s="48" t="s">
        <v>177</v>
      </c>
      <c r="B6" s="36">
        <v>3500</v>
      </c>
      <c r="C6" s="36">
        <v>10</v>
      </c>
      <c r="D6" s="36">
        <f t="shared" si="2"/>
        <v>95</v>
      </c>
      <c r="E6" s="36">
        <f t="shared" si="3"/>
        <v>95</v>
      </c>
      <c r="F6" s="36">
        <f t="shared" si="0"/>
        <v>35000</v>
      </c>
      <c r="G6" s="36">
        <f t="shared" si="4"/>
        <v>184250</v>
      </c>
      <c r="H6" s="36">
        <f t="shared" si="1"/>
        <v>89.117291414752117</v>
      </c>
    </row>
    <row r="7" spans="1:8" x14ac:dyDescent="0.3">
      <c r="A7" s="35" t="s">
        <v>178</v>
      </c>
      <c r="B7">
        <v>4500</v>
      </c>
      <c r="C7">
        <v>5</v>
      </c>
      <c r="D7">
        <f t="shared" si="2"/>
        <v>100</v>
      </c>
      <c r="E7">
        <f t="shared" si="3"/>
        <v>100</v>
      </c>
      <c r="F7">
        <f t="shared" si="0"/>
        <v>22500</v>
      </c>
      <c r="G7" s="47">
        <f t="shared" si="4"/>
        <v>206750</v>
      </c>
      <c r="H7">
        <f t="shared" si="1"/>
        <v>100</v>
      </c>
    </row>
    <row r="8" spans="1:8" x14ac:dyDescent="0.3">
      <c r="C8" s="49">
        <f>SUM(C2:C7)</f>
        <v>100</v>
      </c>
      <c r="E8" s="49">
        <f>E2+E3+E4+E5+E6</f>
        <v>320</v>
      </c>
      <c r="F8" s="49">
        <f>SUM(F2:F7)</f>
        <v>206750</v>
      </c>
      <c r="H8" s="49">
        <f>H2+H3+H4+H5+H6</f>
        <v>252.72067714631197</v>
      </c>
    </row>
    <row r="11" spans="1:8" x14ac:dyDescent="0.3">
      <c r="A11" s="1" t="s">
        <v>169</v>
      </c>
      <c r="B11" s="1">
        <f>1-(H8/E8)</f>
        <v>0.21024788391777505</v>
      </c>
    </row>
    <row r="12" spans="1:8" x14ac:dyDescent="0.3">
      <c r="A12" s="1" t="s">
        <v>180</v>
      </c>
      <c r="B12" s="1">
        <v>2000</v>
      </c>
      <c r="C12" s="1" t="s">
        <v>181</v>
      </c>
      <c r="D12" s="1"/>
      <c r="E12" s="1"/>
      <c r="F12" s="1"/>
      <c r="G12" s="1"/>
      <c r="H12" s="1"/>
    </row>
    <row r="13" spans="1:8" x14ac:dyDescent="0.3">
      <c r="A13" s="1" t="s">
        <v>182</v>
      </c>
      <c r="B13" s="1">
        <v>2448.6</v>
      </c>
    </row>
    <row r="14" spans="1:8" x14ac:dyDescent="0.3">
      <c r="A14" s="39" t="s">
        <v>44</v>
      </c>
      <c r="B14" s="39" t="s">
        <v>94</v>
      </c>
    </row>
    <row r="15" spans="1:8" x14ac:dyDescent="0.3">
      <c r="A15" s="38">
        <v>2000</v>
      </c>
      <c r="B15" s="38">
        <v>30.472000000000001</v>
      </c>
    </row>
    <row r="16" spans="1:8" x14ac:dyDescent="0.3">
      <c r="A16" s="38" t="s">
        <v>183</v>
      </c>
      <c r="B16" s="38">
        <v>50</v>
      </c>
      <c r="C16" s="44" t="s">
        <v>184</v>
      </c>
      <c r="D16" s="44"/>
      <c r="E16" s="44"/>
    </row>
    <row r="17" spans="1:8" x14ac:dyDescent="0.3">
      <c r="A17" s="38">
        <v>2500</v>
      </c>
      <c r="B17" s="38">
        <v>52.237000000000002</v>
      </c>
    </row>
    <row r="19" spans="1:8" x14ac:dyDescent="0.3">
      <c r="A19" s="14" t="s">
        <v>185</v>
      </c>
      <c r="B19" s="46" t="s">
        <v>191</v>
      </c>
      <c r="C19" s="46"/>
      <c r="D19" s="46"/>
      <c r="E19" s="46"/>
      <c r="F19" s="46"/>
    </row>
    <row r="20" spans="1:8" x14ac:dyDescent="0.3">
      <c r="A20" s="43" t="s">
        <v>186</v>
      </c>
      <c r="B20" s="43"/>
      <c r="C20" s="43"/>
      <c r="D20" s="45" t="s">
        <v>190</v>
      </c>
      <c r="E20" s="45"/>
      <c r="F20" s="45"/>
    </row>
    <row r="21" spans="1:8" x14ac:dyDescent="0.3">
      <c r="A21" s="39" t="s">
        <v>44</v>
      </c>
      <c r="B21" s="39" t="s">
        <v>103</v>
      </c>
    </row>
    <row r="22" spans="1:8" x14ac:dyDescent="0.3">
      <c r="A22" s="31">
        <v>3000</v>
      </c>
      <c r="B22" s="31">
        <v>85</v>
      </c>
    </row>
    <row r="23" spans="1:8" x14ac:dyDescent="0.3">
      <c r="A23" s="31">
        <v>3250</v>
      </c>
      <c r="B23" s="31" t="s">
        <v>187</v>
      </c>
      <c r="C23" s="44" t="s">
        <v>188</v>
      </c>
      <c r="D23" s="44" t="s">
        <v>189</v>
      </c>
      <c r="E23" s="44"/>
      <c r="F23" s="44"/>
      <c r="G23" s="44"/>
      <c r="H23" s="44"/>
    </row>
    <row r="24" spans="1:8" x14ac:dyDescent="0.3">
      <c r="A24" s="31">
        <v>4000</v>
      </c>
      <c r="B24" s="31">
        <v>95</v>
      </c>
    </row>
    <row r="26" spans="1:8" x14ac:dyDescent="0.3">
      <c r="A26" s="37" t="s">
        <v>194</v>
      </c>
      <c r="B26" s="37"/>
      <c r="C26" s="37"/>
      <c r="D26" s="37"/>
      <c r="E26" s="37"/>
      <c r="F26" s="50" t="s">
        <v>195</v>
      </c>
    </row>
    <row r="27" spans="1:8" x14ac:dyDescent="0.3">
      <c r="A27" s="39" t="s">
        <v>103</v>
      </c>
      <c r="B27" s="39" t="s">
        <v>94</v>
      </c>
    </row>
    <row r="28" spans="1:8" x14ac:dyDescent="0.3">
      <c r="A28" s="38">
        <v>85</v>
      </c>
      <c r="B28" s="38">
        <v>72.188599999999994</v>
      </c>
    </row>
    <row r="29" spans="1:8" x14ac:dyDescent="0.3">
      <c r="A29" s="38" t="s">
        <v>192</v>
      </c>
      <c r="B29" s="38" t="s">
        <v>192</v>
      </c>
      <c r="C29" s="15" t="s">
        <v>193</v>
      </c>
      <c r="D29" s="15"/>
      <c r="E29" s="15"/>
      <c r="F29" s="15"/>
      <c r="G29" s="15"/>
      <c r="H29" s="15"/>
    </row>
    <row r="30" spans="1:8" x14ac:dyDescent="0.3">
      <c r="A30" s="38">
        <v>95</v>
      </c>
      <c r="B30" s="38">
        <v>87.1173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A2" sqref="A2"/>
    </sheetView>
  </sheetViews>
  <sheetFormatPr baseColWidth="10" defaultRowHeight="14.4" x14ac:dyDescent="0.3"/>
  <sheetData>
    <row r="1" spans="1:6" x14ac:dyDescent="0.3">
      <c r="A1" t="s">
        <v>110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 x14ac:dyDescent="0.3">
      <c r="A2" t="s">
        <v>111</v>
      </c>
      <c r="B2">
        <v>34</v>
      </c>
      <c r="C2">
        <v>0.5</v>
      </c>
      <c r="D2">
        <v>45</v>
      </c>
      <c r="E2">
        <f>B2/B$12</f>
        <v>6.8273092369477914E-2</v>
      </c>
      <c r="F2">
        <f>D2/B$12</f>
        <v>9.036144578313253E-2</v>
      </c>
    </row>
    <row r="3" spans="1:6" x14ac:dyDescent="0.3">
      <c r="A3" s="17" t="s">
        <v>78</v>
      </c>
      <c r="B3">
        <v>74</v>
      </c>
      <c r="C3">
        <v>1.5</v>
      </c>
      <c r="D3">
        <f>D2+B3</f>
        <v>119</v>
      </c>
      <c r="E3">
        <f t="shared" ref="E3:E11" si="0">B3/B$12</f>
        <v>0.14859437751004015</v>
      </c>
      <c r="F3">
        <f t="shared" ref="F3:F11" si="1">D3/B$12</f>
        <v>0.23895582329317269</v>
      </c>
    </row>
    <row r="4" spans="1:6" x14ac:dyDescent="0.3">
      <c r="A4" s="17" t="s">
        <v>112</v>
      </c>
      <c r="B4">
        <v>56</v>
      </c>
      <c r="C4">
        <v>2.5</v>
      </c>
      <c r="D4">
        <f t="shared" ref="D4:D11" si="2">D3+B4</f>
        <v>175</v>
      </c>
      <c r="E4">
        <f t="shared" si="0"/>
        <v>0.11244979919678715</v>
      </c>
      <c r="F4">
        <f t="shared" si="1"/>
        <v>0.35140562248995982</v>
      </c>
    </row>
    <row r="5" spans="1:6" x14ac:dyDescent="0.3">
      <c r="A5" s="17" t="s">
        <v>79</v>
      </c>
      <c r="B5">
        <v>81</v>
      </c>
      <c r="C5">
        <v>3.5</v>
      </c>
      <c r="D5">
        <f t="shared" si="2"/>
        <v>256</v>
      </c>
      <c r="E5">
        <f t="shared" si="0"/>
        <v>0.16265060240963855</v>
      </c>
      <c r="F5">
        <f t="shared" si="1"/>
        <v>0.51405622489959835</v>
      </c>
    </row>
    <row r="6" spans="1:6" x14ac:dyDescent="0.3">
      <c r="A6" s="17" t="s">
        <v>113</v>
      </c>
      <c r="B6">
        <v>94</v>
      </c>
      <c r="C6">
        <v>4.5</v>
      </c>
      <c r="D6">
        <f t="shared" si="2"/>
        <v>350</v>
      </c>
      <c r="E6">
        <f t="shared" si="0"/>
        <v>0.18875502008032127</v>
      </c>
      <c r="F6">
        <f t="shared" si="1"/>
        <v>0.70281124497991965</v>
      </c>
    </row>
    <row r="7" spans="1:6" x14ac:dyDescent="0.3">
      <c r="A7" s="17" t="s">
        <v>80</v>
      </c>
      <c r="B7">
        <v>70</v>
      </c>
      <c r="C7">
        <v>5.5</v>
      </c>
      <c r="D7">
        <f t="shared" si="2"/>
        <v>420</v>
      </c>
      <c r="E7">
        <f t="shared" si="0"/>
        <v>0.14056224899598393</v>
      </c>
      <c r="F7">
        <f t="shared" si="1"/>
        <v>0.84337349397590367</v>
      </c>
    </row>
    <row r="8" spans="1:6" x14ac:dyDescent="0.3">
      <c r="A8" s="17" t="s">
        <v>114</v>
      </c>
      <c r="B8">
        <v>41</v>
      </c>
      <c r="C8">
        <v>6.5</v>
      </c>
      <c r="D8">
        <f t="shared" si="2"/>
        <v>461</v>
      </c>
      <c r="E8">
        <f t="shared" si="0"/>
        <v>8.2329317269076302E-2</v>
      </c>
      <c r="F8">
        <f t="shared" si="1"/>
        <v>0.92570281124497988</v>
      </c>
    </row>
    <row r="9" spans="1:6" x14ac:dyDescent="0.3">
      <c r="A9" s="17" t="s">
        <v>81</v>
      </c>
      <c r="B9">
        <v>28</v>
      </c>
      <c r="C9">
        <v>7.5</v>
      </c>
      <c r="D9">
        <f t="shared" si="2"/>
        <v>489</v>
      </c>
      <c r="E9">
        <f t="shared" si="0"/>
        <v>5.6224899598393573E-2</v>
      </c>
      <c r="F9">
        <f t="shared" si="1"/>
        <v>0.98192771084337349</v>
      </c>
    </row>
    <row r="10" spans="1:6" x14ac:dyDescent="0.3">
      <c r="A10" s="17" t="s">
        <v>115</v>
      </c>
      <c r="B10">
        <v>16</v>
      </c>
      <c r="C10">
        <v>8.5</v>
      </c>
      <c r="D10">
        <f t="shared" si="2"/>
        <v>505</v>
      </c>
      <c r="E10">
        <f t="shared" si="0"/>
        <v>3.2128514056224897E-2</v>
      </c>
      <c r="F10">
        <f t="shared" si="1"/>
        <v>1.0140562248995983</v>
      </c>
    </row>
    <row r="11" spans="1:6" x14ac:dyDescent="0.3">
      <c r="A11" s="17" t="s">
        <v>82</v>
      </c>
      <c r="B11">
        <v>4</v>
      </c>
      <c r="C11">
        <v>9.5</v>
      </c>
      <c r="D11">
        <f t="shared" si="2"/>
        <v>509</v>
      </c>
      <c r="E11">
        <f t="shared" si="0"/>
        <v>8.0321285140562242E-3</v>
      </c>
      <c r="F11">
        <f t="shared" si="1"/>
        <v>1.0220883534136547</v>
      </c>
    </row>
    <row r="12" spans="1:6" x14ac:dyDescent="0.3">
      <c r="B12">
        <f>SUM(B2:B11)</f>
        <v>498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workbookViewId="0">
      <selection activeCell="H2" sqref="H2"/>
    </sheetView>
  </sheetViews>
  <sheetFormatPr baseColWidth="10" defaultRowHeight="14.4" x14ac:dyDescent="0.3"/>
  <sheetData>
    <row r="1" spans="1:8" x14ac:dyDescent="0.3">
      <c r="A1" t="s">
        <v>25</v>
      </c>
      <c r="B1" t="s">
        <v>0</v>
      </c>
      <c r="C1" t="s">
        <v>1</v>
      </c>
      <c r="D1" t="s">
        <v>16</v>
      </c>
      <c r="E1" t="s">
        <v>2</v>
      </c>
      <c r="F1" t="s">
        <v>4</v>
      </c>
      <c r="G1" t="s">
        <v>18</v>
      </c>
      <c r="H1" t="s">
        <v>20</v>
      </c>
    </row>
    <row r="2" spans="1:8" x14ac:dyDescent="0.3">
      <c r="A2" t="s">
        <v>26</v>
      </c>
      <c r="B2">
        <v>1.85</v>
      </c>
      <c r="C2">
        <v>18</v>
      </c>
      <c r="D2">
        <f>C2*B2</f>
        <v>33.300000000000004</v>
      </c>
      <c r="E2">
        <f>C2</f>
        <v>18</v>
      </c>
      <c r="F2">
        <f>E2/$C$7</f>
        <v>0.16363636363636364</v>
      </c>
      <c r="G2">
        <v>0.1</v>
      </c>
      <c r="H2">
        <f>C2/G2</f>
        <v>180</v>
      </c>
    </row>
    <row r="3" spans="1:8" x14ac:dyDescent="0.3">
      <c r="A3" t="s">
        <v>27</v>
      </c>
      <c r="B3">
        <v>1.65</v>
      </c>
      <c r="C3">
        <v>31</v>
      </c>
      <c r="D3">
        <f>C3*B3</f>
        <v>51.15</v>
      </c>
      <c r="E3">
        <f>E2+C3</f>
        <v>49</v>
      </c>
      <c r="F3">
        <f t="shared" ref="F3:F6" si="0">E3/$C$7</f>
        <v>0.44545454545454544</v>
      </c>
      <c r="G3">
        <v>0.1</v>
      </c>
      <c r="H3">
        <f t="shared" ref="H3:H6" si="1">C3/G3</f>
        <v>310</v>
      </c>
    </row>
    <row r="4" spans="1:8" x14ac:dyDescent="0.3">
      <c r="A4" t="s">
        <v>28</v>
      </c>
      <c r="B4">
        <v>1.75</v>
      </c>
      <c r="C4">
        <v>24</v>
      </c>
      <c r="D4">
        <f t="shared" ref="D4:D6" si="2">C4*B4</f>
        <v>42</v>
      </c>
      <c r="E4">
        <f t="shared" ref="E4:E6" si="3">E3+C4</f>
        <v>73</v>
      </c>
      <c r="F4">
        <f t="shared" si="0"/>
        <v>0.66363636363636369</v>
      </c>
      <c r="G4">
        <v>0.1</v>
      </c>
      <c r="H4">
        <f t="shared" si="1"/>
        <v>240</v>
      </c>
    </row>
    <row r="5" spans="1:8" x14ac:dyDescent="0.3">
      <c r="A5" t="s">
        <v>29</v>
      </c>
      <c r="B5">
        <v>1.85</v>
      </c>
      <c r="C5">
        <v>20</v>
      </c>
      <c r="D5">
        <f t="shared" si="2"/>
        <v>37</v>
      </c>
      <c r="E5">
        <f t="shared" si="3"/>
        <v>93</v>
      </c>
      <c r="F5">
        <f>E5/$C$7</f>
        <v>0.84545454545454546</v>
      </c>
      <c r="G5">
        <v>0.1</v>
      </c>
      <c r="H5">
        <f t="shared" si="1"/>
        <v>200</v>
      </c>
    </row>
    <row r="6" spans="1:8" x14ac:dyDescent="0.3">
      <c r="A6" t="s">
        <v>30</v>
      </c>
      <c r="B6">
        <v>1.95</v>
      </c>
      <c r="C6">
        <v>17</v>
      </c>
      <c r="D6">
        <f t="shared" si="2"/>
        <v>33.15</v>
      </c>
      <c r="E6">
        <f t="shared" si="3"/>
        <v>110</v>
      </c>
      <c r="F6">
        <f t="shared" si="0"/>
        <v>1</v>
      </c>
      <c r="G6">
        <v>0.1</v>
      </c>
      <c r="H6">
        <f t="shared" si="1"/>
        <v>170</v>
      </c>
    </row>
    <row r="7" spans="1:8" x14ac:dyDescent="0.3">
      <c r="C7">
        <f>SUM(C2:C6)</f>
        <v>110</v>
      </c>
      <c r="D7">
        <f>SUM(D2:D6)</f>
        <v>196.6</v>
      </c>
    </row>
    <row r="8" spans="1:8" x14ac:dyDescent="0.3">
      <c r="A8" t="s">
        <v>54</v>
      </c>
      <c r="B8">
        <f>E25</f>
        <v>1.5183374083129584</v>
      </c>
    </row>
    <row r="9" spans="1:8" x14ac:dyDescent="0.3">
      <c r="A9" t="s">
        <v>55</v>
      </c>
      <c r="B9">
        <f>(0.1/(F5-F4))*(0.82-F4)+1.8</f>
        <v>1.8860000000000001</v>
      </c>
    </row>
    <row r="10" spans="1:8" x14ac:dyDescent="0.3">
      <c r="A10" t="s">
        <v>57</v>
      </c>
    </row>
    <row r="12" spans="1:8" x14ac:dyDescent="0.3">
      <c r="A12" s="1" t="s">
        <v>42</v>
      </c>
      <c r="B12" s="1">
        <f>D7/C7</f>
        <v>1.7872727272727271</v>
      </c>
    </row>
    <row r="13" spans="1:8" x14ac:dyDescent="0.3">
      <c r="A13" t="s">
        <v>31</v>
      </c>
    </row>
    <row r="14" spans="1:8" ht="15" thickBot="1" x14ac:dyDescent="0.35"/>
    <row r="15" spans="1:8" ht="15" thickBot="1" x14ac:dyDescent="0.35">
      <c r="A15" s="3" t="s">
        <v>32</v>
      </c>
      <c r="B15" s="4" t="s">
        <v>34</v>
      </c>
      <c r="C15" s="5"/>
      <c r="D15" t="s">
        <v>35</v>
      </c>
    </row>
    <row r="16" spans="1:8" x14ac:dyDescent="0.3">
      <c r="A16" s="9">
        <v>1.7</v>
      </c>
      <c r="B16" s="6">
        <v>0.44550000000000001</v>
      </c>
      <c r="C16" s="5"/>
      <c r="D16" t="s">
        <v>36</v>
      </c>
    </row>
    <row r="17" spans="1:5" x14ac:dyDescent="0.3">
      <c r="A17" s="10" t="s">
        <v>33</v>
      </c>
      <c r="B17" s="7">
        <v>0.5</v>
      </c>
      <c r="C17" s="5"/>
    </row>
    <row r="18" spans="1:5" ht="15" thickBot="1" x14ac:dyDescent="0.35">
      <c r="A18" s="11">
        <v>1.8</v>
      </c>
      <c r="B18" s="8">
        <v>0.66359999999999997</v>
      </c>
      <c r="D18" s="1" t="s">
        <v>41</v>
      </c>
      <c r="E18" s="1">
        <f>((A18-A16)*(B17-B16)/(B18-B16))+A16</f>
        <v>1.7249885373681797</v>
      </c>
    </row>
    <row r="19" spans="1:5" ht="15" thickBot="1" x14ac:dyDescent="0.35"/>
    <row r="20" spans="1:5" ht="15" thickBot="1" x14ac:dyDescent="0.35">
      <c r="A20" s="3" t="s">
        <v>32</v>
      </c>
      <c r="B20" s="3" t="s">
        <v>34</v>
      </c>
    </row>
    <row r="21" spans="1:5" x14ac:dyDescent="0.3">
      <c r="A21" s="9">
        <v>1.8</v>
      </c>
      <c r="B21" s="6">
        <v>0.66359999999999997</v>
      </c>
    </row>
    <row r="22" spans="1:5" x14ac:dyDescent="0.3">
      <c r="A22" s="10" t="s">
        <v>37</v>
      </c>
      <c r="B22" s="10">
        <v>0.82</v>
      </c>
      <c r="D22" s="1" t="s">
        <v>40</v>
      </c>
      <c r="E22" s="1">
        <v>1.8859999999999999</v>
      </c>
    </row>
    <row r="23" spans="1:5" ht="15" thickBot="1" x14ac:dyDescent="0.35">
      <c r="A23" s="11">
        <v>1.9</v>
      </c>
      <c r="B23" s="11">
        <v>0.84550000000000003</v>
      </c>
    </row>
    <row r="24" spans="1:5" x14ac:dyDescent="0.3">
      <c r="A24" s="9">
        <v>1.5</v>
      </c>
      <c r="B24" s="9">
        <v>0</v>
      </c>
    </row>
    <row r="25" spans="1:5" x14ac:dyDescent="0.3">
      <c r="A25" s="10" t="s">
        <v>38</v>
      </c>
      <c r="B25" s="10">
        <v>0.03</v>
      </c>
      <c r="D25" s="1" t="s">
        <v>39</v>
      </c>
      <c r="E25" s="1">
        <f>((A26-A24)*(B25-B24)/(B26-B24))+A24</f>
        <v>1.5183374083129584</v>
      </c>
    </row>
    <row r="26" spans="1:5" ht="15" thickBot="1" x14ac:dyDescent="0.35">
      <c r="A26" s="11">
        <v>1.6</v>
      </c>
      <c r="B26" s="11">
        <v>0.1636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8"/>
  <sheetViews>
    <sheetView workbookViewId="0">
      <selection activeCell="F21" sqref="F21"/>
    </sheetView>
  </sheetViews>
  <sheetFormatPr baseColWidth="10" defaultRowHeight="14.4" x14ac:dyDescent="0.3"/>
  <sheetData>
    <row r="1" spans="1:5" x14ac:dyDescent="0.3">
      <c r="A1" t="s">
        <v>44</v>
      </c>
      <c r="B1" t="s">
        <v>1</v>
      </c>
      <c r="C1" t="s">
        <v>0</v>
      </c>
      <c r="D1" t="s">
        <v>2</v>
      </c>
      <c r="E1" t="s">
        <v>4</v>
      </c>
    </row>
    <row r="2" spans="1:5" x14ac:dyDescent="0.3">
      <c r="A2" t="s">
        <v>43</v>
      </c>
      <c r="B2">
        <v>2</v>
      </c>
      <c r="C2">
        <v>65</v>
      </c>
      <c r="D2">
        <f>B2</f>
        <v>2</v>
      </c>
      <c r="E2">
        <f>D2/$B$10</f>
        <v>1.6666666666666666E-2</v>
      </c>
    </row>
    <row r="3" spans="1:5" x14ac:dyDescent="0.3">
      <c r="A3" t="s">
        <v>45</v>
      </c>
      <c r="B3">
        <v>3</v>
      </c>
      <c r="C3">
        <v>75</v>
      </c>
      <c r="D3">
        <f>D2+B3</f>
        <v>5</v>
      </c>
      <c r="E3">
        <f t="shared" ref="E3:E9" si="0">D3/$B$10</f>
        <v>4.1666666666666664E-2</v>
      </c>
    </row>
    <row r="4" spans="1:5" x14ac:dyDescent="0.3">
      <c r="A4" t="s">
        <v>46</v>
      </c>
      <c r="B4">
        <v>25</v>
      </c>
      <c r="C4">
        <v>85</v>
      </c>
      <c r="D4">
        <f t="shared" ref="D4:D9" si="1">D3+B4</f>
        <v>30</v>
      </c>
      <c r="E4">
        <f t="shared" si="0"/>
        <v>0.25</v>
      </c>
    </row>
    <row r="5" spans="1:5" x14ac:dyDescent="0.3">
      <c r="A5" t="s">
        <v>47</v>
      </c>
      <c r="B5">
        <v>46</v>
      </c>
      <c r="C5">
        <v>95</v>
      </c>
      <c r="D5">
        <f t="shared" si="1"/>
        <v>76</v>
      </c>
      <c r="E5">
        <f t="shared" si="0"/>
        <v>0.6333333333333333</v>
      </c>
    </row>
    <row r="6" spans="1:5" x14ac:dyDescent="0.3">
      <c r="A6" t="s">
        <v>48</v>
      </c>
      <c r="B6">
        <v>35</v>
      </c>
      <c r="C6">
        <v>105</v>
      </c>
      <c r="D6">
        <f t="shared" si="1"/>
        <v>111</v>
      </c>
      <c r="E6">
        <f t="shared" si="0"/>
        <v>0.92500000000000004</v>
      </c>
    </row>
    <row r="7" spans="1:5" x14ac:dyDescent="0.3">
      <c r="A7" t="s">
        <v>49</v>
      </c>
      <c r="B7">
        <v>5</v>
      </c>
      <c r="C7">
        <v>115</v>
      </c>
      <c r="D7">
        <f t="shared" si="1"/>
        <v>116</v>
      </c>
      <c r="E7">
        <f t="shared" si="0"/>
        <v>0.96666666666666667</v>
      </c>
    </row>
    <row r="8" spans="1:5" x14ac:dyDescent="0.3">
      <c r="A8" t="s">
        <v>50</v>
      </c>
      <c r="B8">
        <v>3</v>
      </c>
      <c r="C8">
        <v>125</v>
      </c>
      <c r="D8">
        <f t="shared" si="1"/>
        <v>119</v>
      </c>
      <c r="E8">
        <f t="shared" si="0"/>
        <v>0.9916666666666667</v>
      </c>
    </row>
    <row r="9" spans="1:5" x14ac:dyDescent="0.3">
      <c r="A9" t="s">
        <v>51</v>
      </c>
      <c r="B9">
        <v>1</v>
      </c>
      <c r="C9">
        <v>135</v>
      </c>
      <c r="D9">
        <f t="shared" si="1"/>
        <v>120</v>
      </c>
      <c r="E9">
        <f t="shared" si="0"/>
        <v>1</v>
      </c>
    </row>
    <row r="10" spans="1:5" x14ac:dyDescent="0.3">
      <c r="B10">
        <f>SUM(B2:B9)</f>
        <v>120</v>
      </c>
    </row>
    <row r="12" spans="1:5" x14ac:dyDescent="0.3">
      <c r="A12" s="14" t="s">
        <v>54</v>
      </c>
    </row>
    <row r="13" spans="1:5" x14ac:dyDescent="0.3">
      <c r="A13" s="12" t="s">
        <v>32</v>
      </c>
      <c r="B13" s="12" t="s">
        <v>34</v>
      </c>
    </row>
    <row r="14" spans="1:5" x14ac:dyDescent="0.3">
      <c r="A14" s="13">
        <v>100</v>
      </c>
      <c r="B14" s="13">
        <v>0.63300000000000001</v>
      </c>
    </row>
    <row r="15" spans="1:5" x14ac:dyDescent="0.3">
      <c r="A15" s="13" t="s">
        <v>52</v>
      </c>
      <c r="B15" s="13">
        <v>75</v>
      </c>
      <c r="D15" s="1" t="s">
        <v>53</v>
      </c>
    </row>
    <row r="16" spans="1:5" x14ac:dyDescent="0.3">
      <c r="A16" s="13">
        <v>110</v>
      </c>
      <c r="B16" s="13">
        <v>0.92500000000000004</v>
      </c>
    </row>
    <row r="18" spans="1:5" x14ac:dyDescent="0.3">
      <c r="A18" s="14" t="s">
        <v>55</v>
      </c>
    </row>
    <row r="19" spans="1:5" x14ac:dyDescent="0.3">
      <c r="A19" s="15"/>
      <c r="B19" s="15"/>
    </row>
    <row r="20" spans="1:5" x14ac:dyDescent="0.3">
      <c r="A20" s="13">
        <v>100</v>
      </c>
      <c r="B20" s="13">
        <v>0.63300000000000001</v>
      </c>
    </row>
    <row r="21" spans="1:5" x14ac:dyDescent="0.3">
      <c r="A21" s="13">
        <v>109</v>
      </c>
      <c r="B21" s="13" t="s">
        <v>56</v>
      </c>
      <c r="D21" s="1" t="s">
        <v>59</v>
      </c>
    </row>
    <row r="22" spans="1:5" x14ac:dyDescent="0.3">
      <c r="A22" s="13">
        <v>110</v>
      </c>
      <c r="B22" s="13">
        <v>0.92500000000000004</v>
      </c>
    </row>
    <row r="24" spans="1:5" x14ac:dyDescent="0.3">
      <c r="A24" s="16" t="s">
        <v>57</v>
      </c>
    </row>
    <row r="25" spans="1:5" x14ac:dyDescent="0.3">
      <c r="A25" s="15"/>
      <c r="B25" s="15"/>
    </row>
    <row r="26" spans="1:5" x14ac:dyDescent="0.3">
      <c r="A26" s="13">
        <v>120</v>
      </c>
      <c r="B26" s="13">
        <v>0.96599999999999997</v>
      </c>
    </row>
    <row r="27" spans="1:5" x14ac:dyDescent="0.3">
      <c r="A27" s="13">
        <v>124</v>
      </c>
      <c r="B27" s="13" t="s">
        <v>56</v>
      </c>
      <c r="D27" s="1" t="s">
        <v>58</v>
      </c>
      <c r="E27" t="s">
        <v>60</v>
      </c>
    </row>
    <row r="28" spans="1:5" x14ac:dyDescent="0.3">
      <c r="A28" s="13">
        <v>130</v>
      </c>
      <c r="B28" s="13">
        <v>0.99160000000000004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6"/>
  <sheetViews>
    <sheetView workbookViewId="0">
      <selection activeCell="F2" sqref="F2"/>
    </sheetView>
  </sheetViews>
  <sheetFormatPr baseColWidth="10" defaultRowHeight="14.4" x14ac:dyDescent="0.3"/>
  <sheetData>
    <row r="1" spans="1:8" x14ac:dyDescent="0.3">
      <c r="A1" t="s">
        <v>6</v>
      </c>
      <c r="B1" t="s">
        <v>0</v>
      </c>
      <c r="C1" t="s">
        <v>1</v>
      </c>
      <c r="D1" t="s">
        <v>16</v>
      </c>
      <c r="E1" t="s">
        <v>18</v>
      </c>
      <c r="F1" t="s">
        <v>20</v>
      </c>
      <c r="G1" t="s">
        <v>2</v>
      </c>
      <c r="H1" t="s">
        <v>4</v>
      </c>
    </row>
    <row r="2" spans="1:8" x14ac:dyDescent="0.3">
      <c r="A2" t="s">
        <v>7</v>
      </c>
      <c r="B2">
        <v>75</v>
      </c>
      <c r="C2">
        <v>2145</v>
      </c>
      <c r="D2">
        <f>B2*C2</f>
        <v>160875</v>
      </c>
      <c r="E2">
        <v>150</v>
      </c>
      <c r="F2">
        <f>C2/E2</f>
        <v>14.3</v>
      </c>
      <c r="G2">
        <f>C2</f>
        <v>2145</v>
      </c>
      <c r="H2">
        <f>G2/$C$11</f>
        <v>0.2145</v>
      </c>
    </row>
    <row r="3" spans="1:8" x14ac:dyDescent="0.3">
      <c r="A3" t="s">
        <v>8</v>
      </c>
      <c r="B3">
        <v>175</v>
      </c>
      <c r="C3">
        <v>1520</v>
      </c>
      <c r="D3">
        <f t="shared" ref="D3:D10" si="0">B3*C3</f>
        <v>266000</v>
      </c>
      <c r="E3">
        <v>50</v>
      </c>
      <c r="F3">
        <f t="shared" ref="F3:F9" si="1">C3/E3</f>
        <v>30.4</v>
      </c>
      <c r="G3">
        <f>G2+C3</f>
        <v>3665</v>
      </c>
      <c r="H3">
        <f>G3/$C$11</f>
        <v>0.36649999999999999</v>
      </c>
    </row>
    <row r="4" spans="1:8" x14ac:dyDescent="0.3">
      <c r="A4" t="s">
        <v>9</v>
      </c>
      <c r="B4">
        <v>225</v>
      </c>
      <c r="C4">
        <v>840</v>
      </c>
      <c r="D4">
        <f t="shared" si="0"/>
        <v>189000</v>
      </c>
      <c r="E4">
        <v>50</v>
      </c>
      <c r="F4">
        <f t="shared" si="1"/>
        <v>16.8</v>
      </c>
      <c r="G4">
        <f>G3+C4</f>
        <v>4505</v>
      </c>
      <c r="H4">
        <f>G4/$C$11</f>
        <v>0.45050000000000001</v>
      </c>
    </row>
    <row r="5" spans="1:8" x14ac:dyDescent="0.3">
      <c r="A5" t="s">
        <v>10</v>
      </c>
      <c r="B5">
        <v>275</v>
      </c>
      <c r="C5">
        <v>955</v>
      </c>
      <c r="D5">
        <f t="shared" si="0"/>
        <v>262625</v>
      </c>
      <c r="E5">
        <v>50</v>
      </c>
      <c r="F5">
        <f t="shared" si="1"/>
        <v>19.100000000000001</v>
      </c>
      <c r="G5">
        <f>G4+C5</f>
        <v>5460</v>
      </c>
      <c r="H5">
        <f>G5/$C$11</f>
        <v>0.54600000000000004</v>
      </c>
    </row>
    <row r="6" spans="1:8" x14ac:dyDescent="0.3">
      <c r="A6" t="s">
        <v>11</v>
      </c>
      <c r="B6">
        <v>325</v>
      </c>
      <c r="C6">
        <v>1110</v>
      </c>
      <c r="D6">
        <f t="shared" si="0"/>
        <v>360750</v>
      </c>
      <c r="E6">
        <v>50</v>
      </c>
      <c r="F6">
        <f t="shared" si="1"/>
        <v>22.2</v>
      </c>
      <c r="G6">
        <f>G5+C6</f>
        <v>6570</v>
      </c>
      <c r="H6">
        <f t="shared" ref="H6:H10" si="2">G6/$C$11</f>
        <v>0.65700000000000003</v>
      </c>
    </row>
    <row r="7" spans="1:8" x14ac:dyDescent="0.3">
      <c r="A7" t="s">
        <v>12</v>
      </c>
      <c r="B7" s="2">
        <v>375</v>
      </c>
      <c r="C7">
        <v>2342</v>
      </c>
      <c r="D7">
        <f t="shared" si="0"/>
        <v>878250</v>
      </c>
      <c r="E7">
        <v>50</v>
      </c>
      <c r="F7" s="1">
        <f t="shared" si="1"/>
        <v>46.84</v>
      </c>
      <c r="G7">
        <f t="shared" ref="G7:G10" si="3">G6+C7</f>
        <v>8912</v>
      </c>
      <c r="H7">
        <f t="shared" si="2"/>
        <v>0.89119999999999999</v>
      </c>
    </row>
    <row r="8" spans="1:8" x14ac:dyDescent="0.3">
      <c r="A8" t="s">
        <v>13</v>
      </c>
      <c r="B8">
        <v>450</v>
      </c>
      <c r="C8">
        <v>610</v>
      </c>
      <c r="D8">
        <f t="shared" si="0"/>
        <v>274500</v>
      </c>
      <c r="E8">
        <v>100</v>
      </c>
      <c r="F8">
        <f t="shared" si="1"/>
        <v>6.1</v>
      </c>
      <c r="G8">
        <f t="shared" si="3"/>
        <v>9522</v>
      </c>
      <c r="H8">
        <f t="shared" si="2"/>
        <v>0.95220000000000005</v>
      </c>
    </row>
    <row r="9" spans="1:8" x14ac:dyDescent="0.3">
      <c r="A9" t="s">
        <v>14</v>
      </c>
      <c r="B9">
        <v>750</v>
      </c>
      <c r="C9">
        <v>328</v>
      </c>
      <c r="D9">
        <f t="shared" si="0"/>
        <v>246000</v>
      </c>
      <c r="E9">
        <v>500</v>
      </c>
      <c r="F9">
        <f t="shared" si="1"/>
        <v>0.65600000000000003</v>
      </c>
      <c r="G9">
        <f t="shared" si="3"/>
        <v>9850</v>
      </c>
      <c r="H9">
        <f t="shared" si="2"/>
        <v>0.98499999999999999</v>
      </c>
    </row>
    <row r="10" spans="1:8" x14ac:dyDescent="0.3">
      <c r="A10" t="s">
        <v>15</v>
      </c>
      <c r="B10">
        <v>2000</v>
      </c>
      <c r="C10">
        <v>150</v>
      </c>
      <c r="D10">
        <f t="shared" si="0"/>
        <v>300000</v>
      </c>
      <c r="E10" t="s">
        <v>19</v>
      </c>
      <c r="F10">
        <v>0</v>
      </c>
      <c r="G10">
        <f t="shared" si="3"/>
        <v>10000</v>
      </c>
      <c r="H10">
        <f t="shared" si="2"/>
        <v>1</v>
      </c>
    </row>
    <row r="11" spans="1:8" x14ac:dyDescent="0.3">
      <c r="C11">
        <f>SUM(C2:C10)</f>
        <v>10000</v>
      </c>
      <c r="D11">
        <f>SUM(D2:D10)</f>
        <v>2938000</v>
      </c>
    </row>
    <row r="13" spans="1:8" x14ac:dyDescent="0.3">
      <c r="A13" t="s">
        <v>17</v>
      </c>
      <c r="B13">
        <f>D11/C11</f>
        <v>293.8</v>
      </c>
    </row>
    <row r="14" spans="1:8" x14ac:dyDescent="0.3">
      <c r="A14" t="s">
        <v>21</v>
      </c>
    </row>
    <row r="15" spans="1:8" x14ac:dyDescent="0.3">
      <c r="A15" s="2" t="s">
        <v>22</v>
      </c>
    </row>
    <row r="16" spans="1:8" x14ac:dyDescent="0.3">
      <c r="A16" t="s">
        <v>23</v>
      </c>
      <c r="C16" t="s">
        <v>24</v>
      </c>
      <c r="D16">
        <f>(300-250)/(H5-H4)*(0.5-H4)+250</f>
        <v>275.91623036649213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workbookViewId="0">
      <selection activeCell="D5" sqref="D5"/>
    </sheetView>
  </sheetViews>
  <sheetFormatPr baseColWidth="10" defaultRowHeight="14.4" x14ac:dyDescent="0.3"/>
  <sheetData>
    <row r="1" spans="1:7" x14ac:dyDescent="0.3">
      <c r="A1" t="s">
        <v>116</v>
      </c>
      <c r="B1" t="s">
        <v>1</v>
      </c>
      <c r="C1" t="s">
        <v>117</v>
      </c>
      <c r="D1" t="s">
        <v>16</v>
      </c>
      <c r="E1" t="s">
        <v>118</v>
      </c>
      <c r="F1" t="s">
        <v>122</v>
      </c>
      <c r="G1" t="s">
        <v>123</v>
      </c>
    </row>
    <row r="2" spans="1:7" x14ac:dyDescent="0.3">
      <c r="A2">
        <v>2008</v>
      </c>
      <c r="B2">
        <v>18.100000000000001</v>
      </c>
      <c r="C2">
        <v>15.8</v>
      </c>
      <c r="D2">
        <f>B2*A2</f>
        <v>36344.800000000003</v>
      </c>
      <c r="E2">
        <f>C2*A2</f>
        <v>31726.400000000001</v>
      </c>
      <c r="F2">
        <f>D2*B2</f>
        <v>657840.88000000012</v>
      </c>
      <c r="G2">
        <f>E2*C2</f>
        <v>501277.12000000005</v>
      </c>
    </row>
    <row r="3" spans="1:7" x14ac:dyDescent="0.3">
      <c r="A3">
        <v>2009</v>
      </c>
      <c r="B3">
        <v>20.2</v>
      </c>
      <c r="C3">
        <v>18.100000000000001</v>
      </c>
      <c r="D3">
        <f t="shared" ref="D3:D8" si="0">B3*A3</f>
        <v>40581.799999999996</v>
      </c>
      <c r="E3">
        <f t="shared" ref="E3:E8" si="1">C3*A3</f>
        <v>36362.9</v>
      </c>
      <c r="F3">
        <f t="shared" ref="F3:F8" si="2">D3*B3</f>
        <v>819752.35999999987</v>
      </c>
      <c r="G3">
        <f t="shared" ref="G3:G8" si="3">E3*C3</f>
        <v>658168.49000000011</v>
      </c>
    </row>
    <row r="4" spans="1:7" x14ac:dyDescent="0.3">
      <c r="A4">
        <v>2010</v>
      </c>
      <c r="B4">
        <v>20.6</v>
      </c>
      <c r="C4">
        <v>18.8</v>
      </c>
      <c r="D4">
        <f t="shared" si="0"/>
        <v>41406</v>
      </c>
      <c r="E4">
        <f t="shared" si="1"/>
        <v>37788</v>
      </c>
      <c r="F4">
        <f t="shared" si="2"/>
        <v>852963.60000000009</v>
      </c>
      <c r="G4">
        <f t="shared" si="3"/>
        <v>710414.4</v>
      </c>
    </row>
    <row r="5" spans="1:7" x14ac:dyDescent="0.3">
      <c r="A5">
        <v>2011</v>
      </c>
      <c r="B5">
        <v>21.9</v>
      </c>
      <c r="C5">
        <v>21.3</v>
      </c>
      <c r="D5">
        <f t="shared" si="0"/>
        <v>44040.899999999994</v>
      </c>
      <c r="E5">
        <f t="shared" si="1"/>
        <v>42834.3</v>
      </c>
      <c r="F5">
        <f t="shared" si="2"/>
        <v>964495.70999999985</v>
      </c>
      <c r="G5">
        <f t="shared" si="3"/>
        <v>912370.59000000008</v>
      </c>
    </row>
    <row r="6" spans="1:7" x14ac:dyDescent="0.3">
      <c r="A6">
        <v>2012</v>
      </c>
      <c r="B6">
        <v>21.3</v>
      </c>
      <c r="C6">
        <v>23.6</v>
      </c>
      <c r="D6">
        <f t="shared" si="0"/>
        <v>42855.6</v>
      </c>
      <c r="E6">
        <f t="shared" si="1"/>
        <v>47483.200000000004</v>
      </c>
      <c r="F6">
        <f t="shared" si="2"/>
        <v>912824.28</v>
      </c>
      <c r="G6">
        <f t="shared" si="3"/>
        <v>1120603.5200000003</v>
      </c>
    </row>
    <row r="7" spans="1:7" x14ac:dyDescent="0.3">
      <c r="A7">
        <v>2013</v>
      </c>
      <c r="B7">
        <v>21</v>
      </c>
      <c r="C7">
        <v>23.3</v>
      </c>
      <c r="D7">
        <f t="shared" si="0"/>
        <v>42273</v>
      </c>
      <c r="E7">
        <f t="shared" si="1"/>
        <v>46902.9</v>
      </c>
      <c r="F7">
        <f t="shared" si="2"/>
        <v>887733</v>
      </c>
      <c r="G7">
        <f t="shared" si="3"/>
        <v>1092837.57</v>
      </c>
    </row>
    <row r="8" spans="1:7" x14ac:dyDescent="0.3">
      <c r="A8">
        <v>2014</v>
      </c>
      <c r="B8">
        <v>17.8</v>
      </c>
      <c r="C8">
        <v>20.5</v>
      </c>
      <c r="D8">
        <f t="shared" si="0"/>
        <v>35849.200000000004</v>
      </c>
      <c r="E8">
        <f t="shared" si="1"/>
        <v>41287</v>
      </c>
      <c r="F8">
        <f t="shared" si="2"/>
        <v>638115.76000000013</v>
      </c>
      <c r="G8">
        <f t="shared" si="3"/>
        <v>846383.5</v>
      </c>
    </row>
    <row r="9" spans="1:7" x14ac:dyDescent="0.3">
      <c r="A9">
        <f>SUM(A2:A8)</f>
        <v>14077</v>
      </c>
      <c r="B9">
        <f>SUM(B2:B8)</f>
        <v>140.9</v>
      </c>
      <c r="C9">
        <f t="shared" ref="C9:E9" si="4">SUM(C2:C8)</f>
        <v>141.39999999999998</v>
      </c>
      <c r="D9">
        <f t="shared" si="4"/>
        <v>283351.3</v>
      </c>
      <c r="E9">
        <f t="shared" si="4"/>
        <v>284384.7</v>
      </c>
      <c r="F9">
        <f t="shared" ref="F9:G9" si="5">SUM(F2:F8)</f>
        <v>5733725.5899999999</v>
      </c>
      <c r="G9">
        <f t="shared" si="5"/>
        <v>5842055.1900000013</v>
      </c>
    </row>
    <row r="13" spans="1:7" x14ac:dyDescent="0.3">
      <c r="A13" t="s">
        <v>120</v>
      </c>
      <c r="B13">
        <f>D9/A9</f>
        <v>20.128670881579882</v>
      </c>
    </row>
    <row r="14" spans="1:7" x14ac:dyDescent="0.3">
      <c r="A14" t="s">
        <v>119</v>
      </c>
      <c r="B14">
        <f>E9/A9</f>
        <v>20.202081409391205</v>
      </c>
    </row>
    <row r="16" spans="1:7" x14ac:dyDescent="0.3">
      <c r="A16" t="s">
        <v>121</v>
      </c>
      <c r="B16">
        <f>(F9/A9)-B13^2</f>
        <v>2.1482225212896537</v>
      </c>
      <c r="D16" t="s">
        <v>125</v>
      </c>
      <c r="E16">
        <f>SQRT(B16)</f>
        <v>1.4656815893261583</v>
      </c>
    </row>
    <row r="17" spans="1:5" x14ac:dyDescent="0.3">
      <c r="A17" t="s">
        <v>124</v>
      </c>
      <c r="B17">
        <f>(G9/A9)-B14^2</f>
        <v>6.8830240118425081</v>
      </c>
      <c r="D17" t="s">
        <v>126</v>
      </c>
      <c r="E17">
        <f>SQRT(B17)</f>
        <v>2.623551793245658</v>
      </c>
    </row>
    <row r="19" spans="1:5" x14ac:dyDescent="0.3">
      <c r="A19" t="s">
        <v>127</v>
      </c>
      <c r="B19">
        <f>E16/B13</f>
        <v>7.2815616984797077E-2</v>
      </c>
    </row>
    <row r="20" spans="1:5" x14ac:dyDescent="0.3">
      <c r="A20" t="s">
        <v>128</v>
      </c>
      <c r="B20">
        <f>E17/B14</f>
        <v>0.1298654203039725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8"/>
  <sheetViews>
    <sheetView workbookViewId="0">
      <selection activeCell="D6" sqref="D6"/>
    </sheetView>
  </sheetViews>
  <sheetFormatPr baseColWidth="10" defaultRowHeight="14.4" x14ac:dyDescent="0.3"/>
  <cols>
    <col min="1" max="1" width="16.6640625" customWidth="1"/>
  </cols>
  <sheetData>
    <row r="1" spans="1:7" x14ac:dyDescent="0.3">
      <c r="A1" t="s">
        <v>77</v>
      </c>
      <c r="B1" t="s">
        <v>1</v>
      </c>
      <c r="C1" t="s">
        <v>2</v>
      </c>
      <c r="D1" t="s">
        <v>0</v>
      </c>
      <c r="E1" t="s">
        <v>16</v>
      </c>
      <c r="F1" t="s">
        <v>4</v>
      </c>
      <c r="G1" t="s">
        <v>73</v>
      </c>
    </row>
    <row r="2" spans="1:7" x14ac:dyDescent="0.3">
      <c r="A2" s="17" t="s">
        <v>78</v>
      </c>
      <c r="B2">
        <v>110</v>
      </c>
      <c r="C2">
        <v>110</v>
      </c>
      <c r="D2">
        <v>1.5</v>
      </c>
      <c r="E2">
        <f>D2*B2</f>
        <v>165</v>
      </c>
      <c r="F2">
        <f>C2/$B$7</f>
        <v>0.2</v>
      </c>
      <c r="G2">
        <f>E2*D2</f>
        <v>247.5</v>
      </c>
    </row>
    <row r="3" spans="1:7" x14ac:dyDescent="0.3">
      <c r="A3" s="18" t="s">
        <v>79</v>
      </c>
      <c r="B3" s="1">
        <v>250</v>
      </c>
      <c r="C3">
        <f>C2+B3</f>
        <v>360</v>
      </c>
      <c r="D3">
        <v>3.5</v>
      </c>
      <c r="E3">
        <f t="shared" ref="E3:E6" si="0">D3*B3</f>
        <v>875</v>
      </c>
      <c r="F3">
        <f>C3/$B$7</f>
        <v>0.65454545454545454</v>
      </c>
      <c r="G3">
        <f t="shared" ref="G3:G6" si="1">E3*D3</f>
        <v>3062.5</v>
      </c>
    </row>
    <row r="4" spans="1:7" x14ac:dyDescent="0.3">
      <c r="A4" s="17" t="s">
        <v>80</v>
      </c>
      <c r="B4">
        <v>90</v>
      </c>
      <c r="C4">
        <f t="shared" ref="C4:C5" si="2">C3+B4</f>
        <v>450</v>
      </c>
      <c r="D4">
        <v>5.5</v>
      </c>
      <c r="E4">
        <f t="shared" si="0"/>
        <v>495</v>
      </c>
      <c r="F4">
        <f t="shared" ref="F4:F6" si="3">C4/$B$7</f>
        <v>0.81818181818181823</v>
      </c>
      <c r="G4">
        <f t="shared" si="1"/>
        <v>2722.5</v>
      </c>
    </row>
    <row r="5" spans="1:7" x14ac:dyDescent="0.3">
      <c r="A5" s="17" t="s">
        <v>81</v>
      </c>
      <c r="B5">
        <v>75</v>
      </c>
      <c r="C5">
        <f t="shared" si="2"/>
        <v>525</v>
      </c>
      <c r="D5">
        <v>7.5</v>
      </c>
      <c r="E5">
        <f t="shared" si="0"/>
        <v>562.5</v>
      </c>
      <c r="F5">
        <f t="shared" si="3"/>
        <v>0.95454545454545459</v>
      </c>
      <c r="G5">
        <f t="shared" si="1"/>
        <v>4218.75</v>
      </c>
    </row>
    <row r="6" spans="1:7" x14ac:dyDescent="0.3">
      <c r="A6" s="17" t="s">
        <v>82</v>
      </c>
      <c r="B6">
        <v>25</v>
      </c>
      <c r="C6">
        <f>C5+B6</f>
        <v>550</v>
      </c>
      <c r="D6">
        <v>9.5</v>
      </c>
      <c r="E6">
        <f t="shared" si="0"/>
        <v>237.5</v>
      </c>
      <c r="F6">
        <f t="shared" si="3"/>
        <v>1</v>
      </c>
      <c r="G6">
        <f t="shared" si="1"/>
        <v>2256.25</v>
      </c>
    </row>
    <row r="7" spans="1:7" x14ac:dyDescent="0.3">
      <c r="A7" s="17"/>
      <c r="B7">
        <f>SUM(B2:B6)</f>
        <v>550</v>
      </c>
      <c r="E7">
        <f>SUM(E2:E6)</f>
        <v>2335</v>
      </c>
      <c r="G7">
        <f>SUM(G2:G6)</f>
        <v>12507.5</v>
      </c>
    </row>
    <row r="8" spans="1:7" x14ac:dyDescent="0.3">
      <c r="A8" s="17"/>
    </row>
    <row r="9" spans="1:7" x14ac:dyDescent="0.3">
      <c r="A9" s="17" t="s">
        <v>17</v>
      </c>
      <c r="B9">
        <f>E7/B7</f>
        <v>4.2454545454545451</v>
      </c>
    </row>
    <row r="10" spans="1:7" x14ac:dyDescent="0.3">
      <c r="A10" s="18" t="s">
        <v>83</v>
      </c>
      <c r="B10" s="1">
        <v>3.5</v>
      </c>
    </row>
    <row r="11" spans="1:7" x14ac:dyDescent="0.3">
      <c r="A11" s="17" t="s">
        <v>84</v>
      </c>
      <c r="B11">
        <v>3.7</v>
      </c>
    </row>
    <row r="12" spans="1:7" x14ac:dyDescent="0.3">
      <c r="A12" s="17" t="s">
        <v>72</v>
      </c>
      <c r="B12">
        <f>(G7/B7)-B9^2</f>
        <v>4.7170247933884326</v>
      </c>
    </row>
    <row r="13" spans="1:7" x14ac:dyDescent="0.3">
      <c r="A13" s="17" t="s">
        <v>74</v>
      </c>
      <c r="B13">
        <f>SQRT(B12)</f>
        <v>2.1718712653811765</v>
      </c>
    </row>
    <row r="14" spans="1:7" x14ac:dyDescent="0.3">
      <c r="A14" s="17" t="s">
        <v>76</v>
      </c>
      <c r="B14">
        <f>B13/B9</f>
        <v>0.51157567278785743</v>
      </c>
      <c r="C14" t="s">
        <v>87</v>
      </c>
    </row>
    <row r="15" spans="1:7" x14ac:dyDescent="0.3">
      <c r="A15" s="12" t="s">
        <v>32</v>
      </c>
      <c r="B15" s="12" t="s">
        <v>34</v>
      </c>
    </row>
    <row r="16" spans="1:7" x14ac:dyDescent="0.3">
      <c r="A16" s="13">
        <v>3</v>
      </c>
      <c r="B16" s="13">
        <v>0.22</v>
      </c>
    </row>
    <row r="17" spans="1:4" x14ac:dyDescent="0.3">
      <c r="A17" s="13" t="s">
        <v>85</v>
      </c>
      <c r="B17" s="13">
        <v>0.5</v>
      </c>
      <c r="D17" s="19" t="s">
        <v>86</v>
      </c>
    </row>
    <row r="18" spans="1:4" x14ac:dyDescent="0.3">
      <c r="A18" s="13">
        <v>4</v>
      </c>
      <c r="B18" s="13">
        <v>0.62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9"/>
  <sheetViews>
    <sheetView zoomScale="70" zoomScaleNormal="70" workbookViewId="0">
      <selection activeCell="F27" sqref="F27"/>
    </sheetView>
  </sheetViews>
  <sheetFormatPr baseColWidth="10" defaultRowHeight="14.4" x14ac:dyDescent="0.3"/>
  <cols>
    <col min="1" max="1" width="14.109375" customWidth="1"/>
    <col min="2" max="2" width="11.21875" customWidth="1"/>
    <col min="6" max="6" width="12.6640625" bestFit="1" customWidth="1"/>
    <col min="11" max="12" width="12.6640625" bestFit="1" customWidth="1"/>
  </cols>
  <sheetData>
    <row r="1" spans="1:13" x14ac:dyDescent="0.3">
      <c r="A1" t="s">
        <v>66</v>
      </c>
      <c r="B1" t="s">
        <v>1</v>
      </c>
      <c r="C1" t="s">
        <v>2</v>
      </c>
      <c r="D1" t="s">
        <v>4</v>
      </c>
      <c r="E1" t="s">
        <v>18</v>
      </c>
      <c r="F1" t="s">
        <v>20</v>
      </c>
      <c r="G1" t="s">
        <v>0</v>
      </c>
      <c r="H1" t="s">
        <v>16</v>
      </c>
      <c r="I1" t="s">
        <v>73</v>
      </c>
      <c r="J1" t="s">
        <v>3</v>
      </c>
      <c r="K1" t="s">
        <v>130</v>
      </c>
      <c r="M1" t="s">
        <v>131</v>
      </c>
    </row>
    <row r="2" spans="1:13" x14ac:dyDescent="0.3">
      <c r="A2" t="s">
        <v>61</v>
      </c>
      <c r="B2">
        <v>10</v>
      </c>
      <c r="C2">
        <v>10</v>
      </c>
      <c r="D2">
        <f>C2/$B$7</f>
        <v>0.1</v>
      </c>
      <c r="E2">
        <v>200</v>
      </c>
      <c r="F2">
        <f>B2/E2</f>
        <v>0.05</v>
      </c>
      <c r="G2">
        <v>900</v>
      </c>
      <c r="H2">
        <f>G2*B2</f>
        <v>9000</v>
      </c>
      <c r="I2">
        <f>G2^2*B2</f>
        <v>8100000</v>
      </c>
      <c r="J2">
        <f>B2/$B$7</f>
        <v>0.1</v>
      </c>
      <c r="K2">
        <f>I2*G2</f>
        <v>7290000000</v>
      </c>
      <c r="L2">
        <f>((G2-$B9)^3)*B2</f>
        <v>-896146718.75</v>
      </c>
      <c r="M2">
        <f>K2*G2</f>
        <v>6561000000000</v>
      </c>
    </row>
    <row r="3" spans="1:13" x14ac:dyDescent="0.3">
      <c r="A3" t="s">
        <v>62</v>
      </c>
      <c r="B3">
        <v>30</v>
      </c>
      <c r="C3">
        <f>C2+B3</f>
        <v>40</v>
      </c>
      <c r="D3">
        <f t="shared" ref="D3:D6" si="0">C3/$B$7</f>
        <v>0.4</v>
      </c>
      <c r="E3">
        <v>200</v>
      </c>
      <c r="F3" s="14">
        <f t="shared" ref="F3:F6" si="1">B3/E3</f>
        <v>0.15</v>
      </c>
      <c r="G3">
        <v>1100</v>
      </c>
      <c r="H3">
        <f t="shared" ref="H3:H6" si="2">G3*B3</f>
        <v>33000</v>
      </c>
      <c r="I3">
        <f t="shared" ref="I3:I6" si="3">G3^2*B3</f>
        <v>36300000</v>
      </c>
      <c r="J3">
        <f t="shared" ref="J3:J6" si="4">B3/$B$7</f>
        <v>0.3</v>
      </c>
      <c r="K3">
        <f>I3*G3</f>
        <v>39930000000</v>
      </c>
      <c r="L3">
        <f t="shared" ref="L3:L6" si="5">((G3-$B10)^3)*B3</f>
        <v>-6.2942212050197752E+16</v>
      </c>
      <c r="M3">
        <f t="shared" ref="M3:M6" si="6">K3*G3</f>
        <v>43923000000000</v>
      </c>
    </row>
    <row r="4" spans="1:13" x14ac:dyDescent="0.3">
      <c r="A4" t="s">
        <v>63</v>
      </c>
      <c r="B4">
        <v>40</v>
      </c>
      <c r="C4">
        <f t="shared" ref="C4:C6" si="7">C3+B4</f>
        <v>80</v>
      </c>
      <c r="D4">
        <f t="shared" si="0"/>
        <v>0.8</v>
      </c>
      <c r="E4">
        <v>300</v>
      </c>
      <c r="F4">
        <f t="shared" si="1"/>
        <v>0.13333333333333333</v>
      </c>
      <c r="G4">
        <v>1350</v>
      </c>
      <c r="H4">
        <f t="shared" si="2"/>
        <v>54000</v>
      </c>
      <c r="I4">
        <f t="shared" si="3"/>
        <v>72900000</v>
      </c>
      <c r="J4">
        <f t="shared" si="4"/>
        <v>0.4</v>
      </c>
      <c r="K4">
        <f t="shared" ref="K4:K6" si="8">I4*G4</f>
        <v>98415000000</v>
      </c>
      <c r="L4">
        <f t="shared" si="5"/>
        <v>38890698488.039238</v>
      </c>
      <c r="M4">
        <f t="shared" si="6"/>
        <v>132860250000000</v>
      </c>
    </row>
    <row r="5" spans="1:13" x14ac:dyDescent="0.3">
      <c r="A5" t="s">
        <v>64</v>
      </c>
      <c r="B5">
        <v>15</v>
      </c>
      <c r="C5">
        <f t="shared" si="7"/>
        <v>95</v>
      </c>
      <c r="D5">
        <f t="shared" si="0"/>
        <v>0.95</v>
      </c>
      <c r="E5">
        <v>500</v>
      </c>
      <c r="F5">
        <f t="shared" si="1"/>
        <v>0.03</v>
      </c>
      <c r="G5">
        <v>1750</v>
      </c>
      <c r="H5">
        <f t="shared" si="2"/>
        <v>26250</v>
      </c>
      <c r="I5">
        <f t="shared" si="3"/>
        <v>45937500</v>
      </c>
      <c r="J5">
        <f t="shared" si="4"/>
        <v>0.15</v>
      </c>
      <c r="K5">
        <f t="shared" si="8"/>
        <v>80390625000</v>
      </c>
      <c r="L5">
        <f t="shared" si="5"/>
        <v>80353880840.777542</v>
      </c>
      <c r="M5">
        <f t="shared" si="6"/>
        <v>140683593750000</v>
      </c>
    </row>
    <row r="6" spans="1:13" x14ac:dyDescent="0.3">
      <c r="A6" t="s">
        <v>65</v>
      </c>
      <c r="B6">
        <v>5</v>
      </c>
      <c r="C6">
        <f t="shared" si="7"/>
        <v>100</v>
      </c>
      <c r="D6">
        <f t="shared" si="0"/>
        <v>1</v>
      </c>
      <c r="E6">
        <v>1000</v>
      </c>
      <c r="F6">
        <f t="shared" si="1"/>
        <v>5.0000000000000001E-3</v>
      </c>
      <c r="G6">
        <v>2500</v>
      </c>
      <c r="H6">
        <f t="shared" si="2"/>
        <v>12500</v>
      </c>
      <c r="I6">
        <f t="shared" si="3"/>
        <v>31250000</v>
      </c>
      <c r="J6">
        <f t="shared" si="4"/>
        <v>0.05</v>
      </c>
      <c r="K6">
        <f t="shared" si="8"/>
        <v>78125000000</v>
      </c>
      <c r="L6">
        <f t="shared" si="5"/>
        <v>78125000000</v>
      </c>
      <c r="M6">
        <f t="shared" si="6"/>
        <v>195312500000000</v>
      </c>
    </row>
    <row r="7" spans="1:13" x14ac:dyDescent="0.3">
      <c r="B7">
        <f>SUM(B2:B6)</f>
        <v>100</v>
      </c>
      <c r="D7">
        <f>SUM(D2:D6)</f>
        <v>3.25</v>
      </c>
      <c r="H7">
        <f t="shared" ref="H7:M7" si="9">SUM(H2:H6)</f>
        <v>134750</v>
      </c>
      <c r="I7">
        <f t="shared" si="9"/>
        <v>194487500</v>
      </c>
      <c r="J7">
        <f t="shared" si="9"/>
        <v>1</v>
      </c>
      <c r="K7">
        <f t="shared" si="9"/>
        <v>304150625000</v>
      </c>
      <c r="L7">
        <f t="shared" si="9"/>
        <v>-6.2942015576765144E+16</v>
      </c>
      <c r="M7">
        <f t="shared" si="9"/>
        <v>519340343750000</v>
      </c>
    </row>
    <row r="8" spans="1:13" x14ac:dyDescent="0.3">
      <c r="A8" s="14" t="s">
        <v>75</v>
      </c>
      <c r="B8" s="14">
        <v>1100</v>
      </c>
    </row>
    <row r="9" spans="1:13" x14ac:dyDescent="0.3">
      <c r="A9" s="14" t="s">
        <v>17</v>
      </c>
      <c r="B9" s="14">
        <f>H7/B7</f>
        <v>1347.5</v>
      </c>
    </row>
    <row r="10" spans="1:13" x14ac:dyDescent="0.3">
      <c r="A10" s="14" t="s">
        <v>72</v>
      </c>
      <c r="B10" s="14">
        <f>(I7/B7)-B9^2</f>
        <v>129118.75</v>
      </c>
    </row>
    <row r="11" spans="1:13" x14ac:dyDescent="0.3">
      <c r="A11" s="14" t="s">
        <v>74</v>
      </c>
      <c r="B11" s="14">
        <f>SQRT(B10)</f>
        <v>359.33097556431176</v>
      </c>
      <c r="E11" t="s">
        <v>129</v>
      </c>
      <c r="F11">
        <f>((K7/B7)-B9^3)/B10^(3/2)</f>
        <v>12.819424219184715</v>
      </c>
      <c r="G11">
        <f>L7/B7</f>
        <v>-629420155767651.5</v>
      </c>
      <c r="H11">
        <f>G11/(B11^3)</f>
        <v>-13566151.933659298</v>
      </c>
    </row>
    <row r="12" spans="1:13" x14ac:dyDescent="0.3">
      <c r="A12" s="14" t="s">
        <v>76</v>
      </c>
      <c r="B12" s="14">
        <f>B11/B9</f>
        <v>0.2666649169308436</v>
      </c>
    </row>
    <row r="13" spans="1:13" x14ac:dyDescent="0.3">
      <c r="E13" t="s">
        <v>132</v>
      </c>
      <c r="F13">
        <f>F14/B11^4-3</f>
        <v>110.75193792486641</v>
      </c>
    </row>
    <row r="14" spans="1:13" x14ac:dyDescent="0.3">
      <c r="A14" s="12" t="s">
        <v>32</v>
      </c>
      <c r="B14" s="12" t="s">
        <v>34</v>
      </c>
      <c r="F14">
        <f>M7/B7-B9^4</f>
        <v>1896432678085.9375</v>
      </c>
    </row>
    <row r="15" spans="1:13" x14ac:dyDescent="0.3">
      <c r="A15" s="13">
        <v>1000</v>
      </c>
      <c r="B15" s="13">
        <v>0.1</v>
      </c>
      <c r="D15" s="1" t="s">
        <v>68</v>
      </c>
    </row>
    <row r="16" spans="1:13" x14ac:dyDescent="0.3">
      <c r="A16" s="13" t="s">
        <v>67</v>
      </c>
      <c r="B16" s="13">
        <v>0.25</v>
      </c>
    </row>
    <row r="17" spans="1:4" x14ac:dyDescent="0.3">
      <c r="A17" s="13">
        <v>1200</v>
      </c>
      <c r="B17" s="13">
        <v>0.4</v>
      </c>
    </row>
    <row r="20" spans="1:4" x14ac:dyDescent="0.3">
      <c r="A20" s="12" t="s">
        <v>32</v>
      </c>
      <c r="B20" s="12" t="s">
        <v>34</v>
      </c>
    </row>
    <row r="21" spans="1:4" x14ac:dyDescent="0.3">
      <c r="A21" s="13">
        <v>1200</v>
      </c>
      <c r="B21" s="13"/>
      <c r="D21" s="1" t="s">
        <v>69</v>
      </c>
    </row>
    <row r="22" spans="1:4" x14ac:dyDescent="0.3">
      <c r="A22" s="13" t="s">
        <v>52</v>
      </c>
      <c r="B22" s="13">
        <v>0.75</v>
      </c>
    </row>
    <row r="23" spans="1:4" x14ac:dyDescent="0.3">
      <c r="A23" s="13">
        <v>1500</v>
      </c>
      <c r="B23" s="13">
        <v>0.8</v>
      </c>
    </row>
    <row r="26" spans="1:4" x14ac:dyDescent="0.3">
      <c r="A26" s="12" t="s">
        <v>32</v>
      </c>
      <c r="B26" s="12" t="s">
        <v>34</v>
      </c>
    </row>
    <row r="27" spans="1:4" x14ac:dyDescent="0.3">
      <c r="A27" s="13">
        <v>1200</v>
      </c>
      <c r="B27" s="13">
        <v>0.4</v>
      </c>
      <c r="D27" s="1" t="s">
        <v>71</v>
      </c>
    </row>
    <row r="28" spans="1:4" x14ac:dyDescent="0.3">
      <c r="A28" s="13" t="s">
        <v>70</v>
      </c>
      <c r="B28" s="13">
        <v>0.5</v>
      </c>
    </row>
    <row r="29" spans="1:4" x14ac:dyDescent="0.3">
      <c r="A29" s="13">
        <v>1500</v>
      </c>
      <c r="B29" s="13">
        <v>0.8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3"/>
  <sheetViews>
    <sheetView workbookViewId="0">
      <selection activeCell="D10" sqref="D10"/>
    </sheetView>
  </sheetViews>
  <sheetFormatPr baseColWidth="10" defaultRowHeight="14.4" x14ac:dyDescent="0.3"/>
  <sheetData>
    <row r="1" spans="1:8" x14ac:dyDescent="0.3">
      <c r="A1" t="s">
        <v>88</v>
      </c>
      <c r="B1" t="s">
        <v>1</v>
      </c>
      <c r="C1" t="s">
        <v>0</v>
      </c>
      <c r="D1" t="s">
        <v>16</v>
      </c>
      <c r="E1" t="s">
        <v>2</v>
      </c>
      <c r="F1" t="s">
        <v>95</v>
      </c>
      <c r="G1" t="s">
        <v>93</v>
      </c>
      <c r="H1" t="s">
        <v>94</v>
      </c>
    </row>
    <row r="2" spans="1:8" x14ac:dyDescent="0.3">
      <c r="A2" s="17" t="s">
        <v>89</v>
      </c>
      <c r="B2">
        <v>8</v>
      </c>
      <c r="C2">
        <v>2.5</v>
      </c>
      <c r="D2">
        <f>C2*B2</f>
        <v>20</v>
      </c>
      <c r="E2">
        <f>B2</f>
        <v>8</v>
      </c>
      <c r="F2">
        <f>(E2/$B$6)*100</f>
        <v>16</v>
      </c>
      <c r="G2">
        <f>D2</f>
        <v>20</v>
      </c>
      <c r="H2">
        <f>(G2/$D$6)*100</f>
        <v>2.4539877300613497</v>
      </c>
    </row>
    <row r="3" spans="1:8" x14ac:dyDescent="0.3">
      <c r="A3" s="17" t="s">
        <v>90</v>
      </c>
      <c r="B3">
        <v>10</v>
      </c>
      <c r="C3">
        <v>7.5</v>
      </c>
      <c r="D3">
        <f t="shared" ref="D3:D5" si="0">C3*B3</f>
        <v>75</v>
      </c>
      <c r="E3">
        <f>E2+B3</f>
        <v>18</v>
      </c>
      <c r="F3">
        <f t="shared" ref="F3:F5" si="1">(E3/$B$6)*100</f>
        <v>36</v>
      </c>
      <c r="G3">
        <f>G2+D3</f>
        <v>95</v>
      </c>
      <c r="H3">
        <f t="shared" ref="H3:H5" si="2">(G3/$D$6)*100</f>
        <v>11.656441717791409</v>
      </c>
    </row>
    <row r="4" spans="1:8" x14ac:dyDescent="0.3">
      <c r="A4" s="17" t="s">
        <v>91</v>
      </c>
      <c r="B4">
        <v>16</v>
      </c>
      <c r="C4">
        <v>15</v>
      </c>
      <c r="D4">
        <f t="shared" si="0"/>
        <v>240</v>
      </c>
      <c r="E4">
        <f t="shared" ref="E4:E5" si="3">E3+B4</f>
        <v>34</v>
      </c>
      <c r="F4">
        <f t="shared" si="1"/>
        <v>68</v>
      </c>
      <c r="G4">
        <f t="shared" ref="G4:G5" si="4">G3+D4</f>
        <v>335</v>
      </c>
      <c r="H4">
        <f t="shared" si="2"/>
        <v>41.104294478527606</v>
      </c>
    </row>
    <row r="5" spans="1:8" x14ac:dyDescent="0.3">
      <c r="A5" s="17" t="s">
        <v>92</v>
      </c>
      <c r="B5">
        <v>16</v>
      </c>
      <c r="C5">
        <v>30</v>
      </c>
      <c r="D5">
        <f t="shared" si="0"/>
        <v>480</v>
      </c>
      <c r="E5">
        <f t="shared" si="3"/>
        <v>50</v>
      </c>
      <c r="F5">
        <f t="shared" si="1"/>
        <v>100</v>
      </c>
      <c r="G5">
        <f t="shared" si="4"/>
        <v>815</v>
      </c>
      <c r="H5">
        <f t="shared" si="2"/>
        <v>100</v>
      </c>
    </row>
    <row r="6" spans="1:8" x14ac:dyDescent="0.3">
      <c r="A6" s="17"/>
      <c r="B6">
        <f>SUM(B2:B5)</f>
        <v>50</v>
      </c>
      <c r="D6">
        <f>SUM(D2:D5)</f>
        <v>815</v>
      </c>
      <c r="F6">
        <f>SUM(F2:F4)</f>
        <v>120</v>
      </c>
      <c r="H6">
        <f>SUM(H2:H4)</f>
        <v>55.214723926380366</v>
      </c>
    </row>
    <row r="7" spans="1:8" x14ac:dyDescent="0.3">
      <c r="A7" s="17"/>
    </row>
    <row r="8" spans="1:8" x14ac:dyDescent="0.3">
      <c r="A8" s="17"/>
    </row>
    <row r="9" spans="1:8" x14ac:dyDescent="0.3">
      <c r="A9" s="17"/>
    </row>
    <row r="10" spans="1:8" x14ac:dyDescent="0.3">
      <c r="A10" s="17"/>
      <c r="C10" s="1" t="s">
        <v>96</v>
      </c>
      <c r="D10" s="1">
        <f>1-(H6/F6)</f>
        <v>0.53987730061349692</v>
      </c>
    </row>
    <row r="11" spans="1:8" x14ac:dyDescent="0.3">
      <c r="A11" s="17"/>
      <c r="C11" t="s">
        <v>101</v>
      </c>
      <c r="D11">
        <v>23.03</v>
      </c>
    </row>
    <row r="12" spans="1:8" x14ac:dyDescent="0.3">
      <c r="A12" s="17"/>
    </row>
    <row r="13" spans="1:8" x14ac:dyDescent="0.3">
      <c r="A13" s="1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7"/>
  <sheetViews>
    <sheetView workbookViewId="0">
      <selection activeCell="B12" sqref="B12"/>
    </sheetView>
  </sheetViews>
  <sheetFormatPr baseColWidth="10" defaultRowHeight="14.4" x14ac:dyDescent="0.3"/>
  <cols>
    <col min="2" max="2" width="36.88671875" customWidth="1"/>
  </cols>
  <sheetData>
    <row r="1" spans="1:9" x14ac:dyDescent="0.3">
      <c r="A1" t="s">
        <v>97</v>
      </c>
      <c r="B1" t="s">
        <v>1</v>
      </c>
      <c r="C1" t="s">
        <v>2</v>
      </c>
      <c r="D1" t="s">
        <v>4</v>
      </c>
      <c r="E1" t="s">
        <v>0</v>
      </c>
      <c r="F1" t="s">
        <v>16</v>
      </c>
      <c r="G1" t="s">
        <v>93</v>
      </c>
      <c r="H1" t="s">
        <v>94</v>
      </c>
      <c r="I1" t="s">
        <v>103</v>
      </c>
    </row>
    <row r="2" spans="1:9" x14ac:dyDescent="0.3">
      <c r="A2" t="s">
        <v>98</v>
      </c>
      <c r="B2">
        <v>30</v>
      </c>
      <c r="C2">
        <v>30</v>
      </c>
      <c r="D2">
        <f>C2/$B$6</f>
        <v>0.15</v>
      </c>
      <c r="E2">
        <v>800</v>
      </c>
      <c r="F2">
        <f>E2*B2</f>
        <v>24000</v>
      </c>
      <c r="G2">
        <v>24000</v>
      </c>
      <c r="H2">
        <f>(G2/$F$6)*100</f>
        <v>8.7591240875912408</v>
      </c>
      <c r="I2">
        <f>D2*100</f>
        <v>15</v>
      </c>
    </row>
    <row r="3" spans="1:9" x14ac:dyDescent="0.3">
      <c r="A3" t="s">
        <v>99</v>
      </c>
      <c r="B3">
        <v>110</v>
      </c>
      <c r="C3">
        <f>C2+B3</f>
        <v>140</v>
      </c>
      <c r="D3">
        <f t="shared" ref="D3:D5" si="0">C3/$B$6</f>
        <v>0.7</v>
      </c>
      <c r="E3">
        <v>1200</v>
      </c>
      <c r="F3">
        <f t="shared" ref="F3:F5" si="1">E3*B3</f>
        <v>132000</v>
      </c>
      <c r="G3">
        <f>G2+F3</f>
        <v>156000</v>
      </c>
      <c r="H3">
        <f t="shared" ref="H3:H5" si="2">(G3/$F$6)*100</f>
        <v>56.934306569343065</v>
      </c>
      <c r="I3">
        <f t="shared" ref="I3:I5" si="3">D3*100</f>
        <v>70</v>
      </c>
    </row>
    <row r="4" spans="1:9" x14ac:dyDescent="0.3">
      <c r="A4" t="s">
        <v>100</v>
      </c>
      <c r="B4">
        <v>40</v>
      </c>
      <c r="C4">
        <f t="shared" ref="C4:C5" si="4">C3+B4</f>
        <v>180</v>
      </c>
      <c r="D4">
        <f t="shared" si="0"/>
        <v>0.9</v>
      </c>
      <c r="E4">
        <v>1700</v>
      </c>
      <c r="F4">
        <f t="shared" si="1"/>
        <v>68000</v>
      </c>
      <c r="G4">
        <f t="shared" ref="G4:G5" si="5">G3+F4</f>
        <v>224000</v>
      </c>
      <c r="H4">
        <f t="shared" si="2"/>
        <v>81.751824817518255</v>
      </c>
      <c r="I4">
        <f t="shared" si="3"/>
        <v>90</v>
      </c>
    </row>
    <row r="5" spans="1:9" x14ac:dyDescent="0.3">
      <c r="A5" t="s">
        <v>65</v>
      </c>
      <c r="B5">
        <v>20</v>
      </c>
      <c r="C5">
        <f t="shared" si="4"/>
        <v>200</v>
      </c>
      <c r="D5">
        <f t="shared" si="0"/>
        <v>1</v>
      </c>
      <c r="E5">
        <v>2500</v>
      </c>
      <c r="F5">
        <f t="shared" si="1"/>
        <v>50000</v>
      </c>
      <c r="G5">
        <f t="shared" si="5"/>
        <v>274000</v>
      </c>
      <c r="H5">
        <f t="shared" si="2"/>
        <v>100</v>
      </c>
      <c r="I5">
        <f t="shared" si="3"/>
        <v>100</v>
      </c>
    </row>
    <row r="6" spans="1:9" x14ac:dyDescent="0.3">
      <c r="B6">
        <f>SUM(B2:B5)</f>
        <v>200</v>
      </c>
      <c r="F6">
        <f>SUM(F2:F5)</f>
        <v>274000</v>
      </c>
      <c r="H6">
        <f>SUM(H2:H4)</f>
        <v>147.44525547445255</v>
      </c>
      <c r="I6">
        <f>SUM(I2:I4)</f>
        <v>175</v>
      </c>
    </row>
    <row r="10" spans="1:9" x14ac:dyDescent="0.3">
      <c r="A10" s="1" t="s">
        <v>102</v>
      </c>
      <c r="B10" s="1">
        <f>(400/0.55)*0.35+1000</f>
        <v>1254.5454545454545</v>
      </c>
    </row>
    <row r="11" spans="1:9" x14ac:dyDescent="0.3">
      <c r="A11" s="1" t="s">
        <v>101</v>
      </c>
      <c r="B11" s="1">
        <f>(400/(H3-H2))*(50-H2)+1000</f>
        <v>1342.4242424242425</v>
      </c>
    </row>
    <row r="12" spans="1:9" x14ac:dyDescent="0.3">
      <c r="A12" s="1" t="s">
        <v>96</v>
      </c>
      <c r="B12" s="1">
        <f>1-(H6/I6)</f>
        <v>0.15745568300312829</v>
      </c>
    </row>
    <row r="14" spans="1:9" x14ac:dyDescent="0.3">
      <c r="A14" s="20" t="s">
        <v>57</v>
      </c>
    </row>
    <row r="16" spans="1:9" x14ac:dyDescent="0.3">
      <c r="A16" t="s">
        <v>104</v>
      </c>
      <c r="B16" s="1" t="s">
        <v>105</v>
      </c>
      <c r="C16" s="1">
        <f>(400*(D5-D4)/1000)+D4</f>
        <v>0.94000000000000006</v>
      </c>
    </row>
    <row r="19" spans="1:3" x14ac:dyDescent="0.3">
      <c r="A19" s="20" t="s">
        <v>106</v>
      </c>
    </row>
    <row r="21" spans="1:3" x14ac:dyDescent="0.3">
      <c r="A21" s="1" t="s">
        <v>107</v>
      </c>
      <c r="B21" s="1"/>
      <c r="C21" s="1">
        <f>(600*(70-H3)/(H4-H3))+1400</f>
        <v>1715.8823529411764</v>
      </c>
    </row>
    <row r="24" spans="1:3" x14ac:dyDescent="0.3">
      <c r="A24" t="s">
        <v>108</v>
      </c>
    </row>
    <row r="26" spans="1:3" x14ac:dyDescent="0.3">
      <c r="A26" t="s">
        <v>109</v>
      </c>
      <c r="C26">
        <f>(400*(0.4-D2)/(D3-D2))+1000</f>
        <v>1181.8181818181818</v>
      </c>
    </row>
    <row r="27" spans="1:3" x14ac:dyDescent="0.3">
      <c r="C27" s="1">
        <f>(C26-1000)*(H3-H2)/400+H2</f>
        <v>30.656934306569333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2"/>
  <sheetViews>
    <sheetView workbookViewId="0">
      <selection activeCell="A7" sqref="A7"/>
    </sheetView>
  </sheetViews>
  <sheetFormatPr baseColWidth="10" defaultRowHeight="14.4" x14ac:dyDescent="0.3"/>
  <sheetData>
    <row r="1" spans="1:7" x14ac:dyDescent="0.3">
      <c r="A1" s="40" t="s">
        <v>133</v>
      </c>
      <c r="B1" s="40"/>
      <c r="C1" s="40"/>
      <c r="D1" s="40"/>
    </row>
    <row r="3" spans="1:7" x14ac:dyDescent="0.3">
      <c r="A3" s="40" t="s">
        <v>134</v>
      </c>
      <c r="B3" s="40"/>
      <c r="C3" s="40"/>
      <c r="D3" s="40"/>
      <c r="E3" s="40"/>
      <c r="F3" s="40"/>
    </row>
    <row r="4" spans="1:7" x14ac:dyDescent="0.3">
      <c r="A4" s="40" t="s">
        <v>135</v>
      </c>
      <c r="B4" s="40"/>
      <c r="C4" s="40"/>
      <c r="D4" s="40"/>
      <c r="E4" s="40"/>
    </row>
    <row r="5" spans="1:7" x14ac:dyDescent="0.3">
      <c r="A5" s="40" t="s">
        <v>136</v>
      </c>
      <c r="B5" s="40"/>
      <c r="C5" s="40"/>
      <c r="D5" s="40"/>
      <c r="E5" s="40"/>
      <c r="F5" s="40"/>
    </row>
    <row r="6" spans="1:7" x14ac:dyDescent="0.3">
      <c r="A6" s="40" t="s">
        <v>137</v>
      </c>
      <c r="B6" s="40"/>
      <c r="C6" s="40"/>
      <c r="D6" s="40"/>
      <c r="E6" s="40"/>
      <c r="F6" s="40"/>
      <c r="G6" s="40"/>
    </row>
    <row r="12" spans="1:7" x14ac:dyDescent="0.3">
      <c r="B12" s="21"/>
    </row>
  </sheetData>
  <mergeCells count="5">
    <mergeCell ref="A1:D1"/>
    <mergeCell ref="A3:F3"/>
    <mergeCell ref="A4:E4"/>
    <mergeCell ref="A5:F5"/>
    <mergeCell ref="A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50C8-EC2E-4D7C-B556-F4AEADD11870}">
  <dimension ref="A1:J22"/>
  <sheetViews>
    <sheetView workbookViewId="0">
      <selection activeCell="B16" sqref="B16"/>
    </sheetView>
  </sheetViews>
  <sheetFormatPr baseColWidth="10" defaultRowHeight="14.4" x14ac:dyDescent="0.3"/>
  <cols>
    <col min="1" max="1" width="16.21875" customWidth="1"/>
    <col min="8" max="8" width="16" customWidth="1"/>
  </cols>
  <sheetData>
    <row r="1" spans="1:10" x14ac:dyDescent="0.3">
      <c r="A1" s="23" t="s">
        <v>163</v>
      </c>
      <c r="B1" s="23" t="s">
        <v>1</v>
      </c>
      <c r="C1" s="23" t="s">
        <v>0</v>
      </c>
      <c r="D1" s="23" t="s">
        <v>2</v>
      </c>
      <c r="E1" s="23" t="s">
        <v>164</v>
      </c>
      <c r="F1" s="23" t="s">
        <v>161</v>
      </c>
      <c r="G1" s="23" t="s">
        <v>93</v>
      </c>
      <c r="H1" s="23" t="s">
        <v>168</v>
      </c>
      <c r="I1" s="23" t="s">
        <v>146</v>
      </c>
      <c r="J1" s="23" t="s">
        <v>147</v>
      </c>
    </row>
    <row r="2" spans="1:10" x14ac:dyDescent="0.3">
      <c r="A2" t="s">
        <v>89</v>
      </c>
      <c r="B2">
        <v>8</v>
      </c>
      <c r="C2" s="22">
        <v>2.5</v>
      </c>
      <c r="D2">
        <v>8</v>
      </c>
      <c r="E2">
        <f>D2*100/44</f>
        <v>18.181818181818183</v>
      </c>
      <c r="F2">
        <f>B2*C2</f>
        <v>20</v>
      </c>
      <c r="G2">
        <v>20</v>
      </c>
      <c r="H2">
        <f>(G2/725)*100</f>
        <v>2.7586206896551726</v>
      </c>
      <c r="I2" s="22">
        <f>(C2-B8)^2</f>
        <v>6.25</v>
      </c>
      <c r="J2" s="22">
        <f>(C2-B8)^2*B2</f>
        <v>50</v>
      </c>
    </row>
    <row r="3" spans="1:10" x14ac:dyDescent="0.3">
      <c r="A3" s="17" t="s">
        <v>90</v>
      </c>
      <c r="B3">
        <v>10</v>
      </c>
      <c r="C3" s="22">
        <v>7.5</v>
      </c>
      <c r="D3">
        <f>D2+B3</f>
        <v>18</v>
      </c>
      <c r="E3">
        <f>D3*100/B$6</f>
        <v>40.909090909090907</v>
      </c>
      <c r="F3">
        <f>B3*C3</f>
        <v>75</v>
      </c>
      <c r="G3">
        <f>G2+F3</f>
        <v>95</v>
      </c>
      <c r="H3">
        <f t="shared" ref="H3:H5" si="0">(G3/725)*100</f>
        <v>13.103448275862069</v>
      </c>
      <c r="I3" s="22">
        <f>(C3-B8)^2</f>
        <v>56.25</v>
      </c>
      <c r="J3" s="22">
        <f>(C3-B8)^2*B3</f>
        <v>562.5</v>
      </c>
    </row>
    <row r="4" spans="1:10" x14ac:dyDescent="0.3">
      <c r="A4" s="17" t="s">
        <v>91</v>
      </c>
      <c r="B4">
        <v>10</v>
      </c>
      <c r="C4" s="22">
        <v>15</v>
      </c>
      <c r="D4">
        <f>D3+B4</f>
        <v>28</v>
      </c>
      <c r="E4">
        <f>D4*100/B$6</f>
        <v>63.636363636363633</v>
      </c>
      <c r="F4">
        <f>B4*C4</f>
        <v>150</v>
      </c>
      <c r="G4">
        <f>G3+F4</f>
        <v>245</v>
      </c>
      <c r="H4">
        <f t="shared" si="0"/>
        <v>33.793103448275865</v>
      </c>
      <c r="I4" s="22">
        <f>(C4-B8)^2</f>
        <v>225</v>
      </c>
      <c r="J4" s="22">
        <f>(C4-B8)^2*B4</f>
        <v>2250</v>
      </c>
    </row>
    <row r="5" spans="1:10" x14ac:dyDescent="0.3">
      <c r="A5" t="s">
        <v>92</v>
      </c>
      <c r="B5">
        <v>16</v>
      </c>
      <c r="C5" s="22">
        <v>30</v>
      </c>
      <c r="D5">
        <f>D4+B5</f>
        <v>44</v>
      </c>
      <c r="E5">
        <f>D5*100/B$6</f>
        <v>100</v>
      </c>
      <c r="F5">
        <f>B5*C5</f>
        <v>480</v>
      </c>
      <c r="G5">
        <f>G4+F5</f>
        <v>725</v>
      </c>
      <c r="H5">
        <f t="shared" si="0"/>
        <v>100</v>
      </c>
      <c r="I5" s="22">
        <f>(C5-B8)^2</f>
        <v>900</v>
      </c>
      <c r="J5" s="22">
        <f>(C5-B8)^2*B5</f>
        <v>14400</v>
      </c>
    </row>
    <row r="6" spans="1:10" x14ac:dyDescent="0.3">
      <c r="B6" s="29">
        <f>SUM(B2:B5)</f>
        <v>44</v>
      </c>
      <c r="C6" s="22"/>
      <c r="E6" s="29">
        <f>E2+E3+E4</f>
        <v>122.72727272727272</v>
      </c>
      <c r="F6" s="29">
        <f>F2+F3+F4+F5</f>
        <v>725</v>
      </c>
      <c r="H6" s="29">
        <f>H2+H3+H4</f>
        <v>49.65517241379311</v>
      </c>
      <c r="J6" s="30">
        <f>SUM(J2:J5)</f>
        <v>17262.5</v>
      </c>
    </row>
    <row r="9" spans="1:10" x14ac:dyDescent="0.3">
      <c r="A9" s="1" t="s">
        <v>165</v>
      </c>
      <c r="B9" s="1">
        <v>14</v>
      </c>
    </row>
    <row r="10" spans="1:10" x14ac:dyDescent="0.3">
      <c r="A10" s="32" t="s">
        <v>44</v>
      </c>
      <c r="B10" s="32" t="s">
        <v>103</v>
      </c>
    </row>
    <row r="11" spans="1:10" x14ac:dyDescent="0.3">
      <c r="A11" s="31">
        <v>10</v>
      </c>
      <c r="B11" s="31">
        <v>40.909100000000002</v>
      </c>
    </row>
    <row r="12" spans="1:10" x14ac:dyDescent="0.3">
      <c r="A12" s="31" t="s">
        <v>33</v>
      </c>
      <c r="B12" s="31"/>
      <c r="D12" s="28" t="s">
        <v>167</v>
      </c>
    </row>
    <row r="13" spans="1:10" x14ac:dyDescent="0.3">
      <c r="A13" s="31">
        <v>20</v>
      </c>
      <c r="B13" s="31">
        <v>63.636400000000002</v>
      </c>
    </row>
    <row r="15" spans="1:10" x14ac:dyDescent="0.3">
      <c r="A15" s="14" t="s">
        <v>169</v>
      </c>
      <c r="B15" s="14">
        <f>1-(H6/E6)</f>
        <v>0.59540229885057461</v>
      </c>
    </row>
    <row r="16" spans="1:10" x14ac:dyDescent="0.3">
      <c r="A16" s="1" t="s">
        <v>171</v>
      </c>
      <c r="B16" s="1">
        <v>24.89</v>
      </c>
    </row>
    <row r="17" spans="1:7" x14ac:dyDescent="0.3">
      <c r="A17" s="33" t="s">
        <v>166</v>
      </c>
      <c r="B17" s="33" t="s">
        <v>94</v>
      </c>
    </row>
    <row r="18" spans="1:7" x14ac:dyDescent="0.3">
      <c r="A18" s="31">
        <v>20</v>
      </c>
      <c r="B18" s="31">
        <v>33.79</v>
      </c>
    </row>
    <row r="19" spans="1:7" x14ac:dyDescent="0.3">
      <c r="A19" s="31" t="s">
        <v>170</v>
      </c>
      <c r="B19" s="31">
        <v>50</v>
      </c>
      <c r="D19" s="34" t="s">
        <v>172</v>
      </c>
      <c r="G19" t="s">
        <v>5</v>
      </c>
    </row>
    <row r="20" spans="1:7" x14ac:dyDescent="0.3">
      <c r="A20" s="31">
        <v>40</v>
      </c>
      <c r="B20" s="31">
        <v>100</v>
      </c>
      <c r="C20" s="27"/>
    </row>
    <row r="22" spans="1:7" x14ac:dyDescent="0.3">
      <c r="A22" s="1" t="s">
        <v>173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1B3CC-65F5-4665-9795-FF37FC87447E}">
  <dimension ref="A1:G13"/>
  <sheetViews>
    <sheetView workbookViewId="0">
      <selection activeCell="D15" sqref="D15"/>
    </sheetView>
  </sheetViews>
  <sheetFormatPr baseColWidth="10" defaultRowHeight="14.4" x14ac:dyDescent="0.3"/>
  <cols>
    <col min="1" max="1" width="14.33203125" customWidth="1"/>
    <col min="2" max="2" width="7.33203125" customWidth="1"/>
    <col min="3" max="3" width="8" customWidth="1"/>
    <col min="4" max="4" width="12.6640625" customWidth="1"/>
    <col min="5" max="5" width="18.33203125" customWidth="1"/>
    <col min="6" max="6" width="5.77734375" customWidth="1"/>
    <col min="7" max="7" width="5.109375" customWidth="1"/>
    <col min="8" max="8" width="4.109375" customWidth="1"/>
    <col min="9" max="9" width="16.33203125" customWidth="1"/>
    <col min="10" max="10" width="15.21875" customWidth="1"/>
  </cols>
  <sheetData>
    <row r="1" spans="1:7" x14ac:dyDescent="0.3">
      <c r="A1" s="23" t="s">
        <v>1</v>
      </c>
      <c r="B1" s="23" t="s">
        <v>0</v>
      </c>
      <c r="C1" s="23" t="s">
        <v>16</v>
      </c>
      <c r="D1" s="23" t="s">
        <v>146</v>
      </c>
      <c r="E1" s="23" t="s">
        <v>147</v>
      </c>
    </row>
    <row r="2" spans="1:7" x14ac:dyDescent="0.3">
      <c r="A2">
        <v>5</v>
      </c>
      <c r="B2" s="22">
        <v>1</v>
      </c>
      <c r="C2">
        <f>A2*B2</f>
        <v>5</v>
      </c>
      <c r="D2" s="22">
        <f>(B2-B10)^2</f>
        <v>17.254437869822489</v>
      </c>
      <c r="E2" s="22">
        <f>(B2-B10)^2*A2</f>
        <v>86.272189349112438</v>
      </c>
    </row>
    <row r="3" spans="1:7" x14ac:dyDescent="0.3">
      <c r="A3">
        <v>10</v>
      </c>
      <c r="B3" s="22">
        <v>3</v>
      </c>
      <c r="C3">
        <f t="shared" ref="C3:C6" si="0">A3*B3</f>
        <v>30</v>
      </c>
      <c r="D3" s="22">
        <f>(B3-B10)^2</f>
        <v>4.6390532544378713</v>
      </c>
      <c r="E3" s="22">
        <f>(B3-B10)^2*A3</f>
        <v>46.390532544378715</v>
      </c>
    </row>
    <row r="4" spans="1:7" x14ac:dyDescent="0.3">
      <c r="A4">
        <v>20</v>
      </c>
      <c r="B4" s="22">
        <v>4</v>
      </c>
      <c r="C4">
        <f t="shared" si="0"/>
        <v>80</v>
      </c>
      <c r="D4" s="22">
        <f>(B4-B10)^2</f>
        <v>1.3313609467455629</v>
      </c>
      <c r="E4" s="22">
        <f>(B4-B10)^2*A4</f>
        <v>26.627218934911259</v>
      </c>
    </row>
    <row r="5" spans="1:7" x14ac:dyDescent="0.3">
      <c r="A5">
        <v>20</v>
      </c>
      <c r="B5" s="22">
        <v>6</v>
      </c>
      <c r="C5">
        <f t="shared" si="0"/>
        <v>120</v>
      </c>
      <c r="D5" s="22">
        <f>(B5-B10)^2</f>
        <v>0.71597633136094618</v>
      </c>
      <c r="E5" s="22">
        <f>(B5-B10)^2*A5</f>
        <v>14.319526627218924</v>
      </c>
    </row>
    <row r="6" spans="1:7" x14ac:dyDescent="0.3">
      <c r="A6">
        <v>10</v>
      </c>
      <c r="B6" s="22">
        <v>10</v>
      </c>
      <c r="C6">
        <f t="shared" si="0"/>
        <v>100</v>
      </c>
      <c r="D6" s="22">
        <f>(B6-B10)^2</f>
        <v>23.485207100591712</v>
      </c>
      <c r="E6" s="22">
        <f>(B6-B10)^2*A6</f>
        <v>234.85207100591711</v>
      </c>
      <c r="G6" s="22"/>
    </row>
    <row r="7" spans="1:7" x14ac:dyDescent="0.3">
      <c r="A7">
        <v>65</v>
      </c>
      <c r="B7" t="s">
        <v>152</v>
      </c>
      <c r="C7">
        <v>335</v>
      </c>
      <c r="E7" s="22">
        <f>SUM(E2:E6)</f>
        <v>408.46153846153845</v>
      </c>
    </row>
    <row r="10" spans="1:7" x14ac:dyDescent="0.3">
      <c r="A10" s="25" t="s">
        <v>140</v>
      </c>
      <c r="B10">
        <f>C7/A7</f>
        <v>5.1538461538461542</v>
      </c>
    </row>
    <row r="11" spans="1:7" x14ac:dyDescent="0.3">
      <c r="A11" s="25" t="s">
        <v>148</v>
      </c>
      <c r="B11">
        <f>E7/A7</f>
        <v>6.2840236686390529</v>
      </c>
    </row>
    <row r="12" spans="1:7" x14ac:dyDescent="0.3">
      <c r="A12" s="25" t="s">
        <v>149</v>
      </c>
      <c r="B12">
        <f>SQRT(B11)</f>
        <v>2.5067954979692804</v>
      </c>
    </row>
    <row r="13" spans="1:7" x14ac:dyDescent="0.3">
      <c r="A13" s="25" t="s">
        <v>76</v>
      </c>
      <c r="B13">
        <f>B12/B10</f>
        <v>0.48639315632239766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9991-B957-4844-9D64-196D05563828}">
  <dimension ref="A1:J17"/>
  <sheetViews>
    <sheetView workbookViewId="0">
      <selection activeCell="F23" sqref="F23"/>
    </sheetView>
  </sheetViews>
  <sheetFormatPr baseColWidth="10" defaultRowHeight="14.4" x14ac:dyDescent="0.3"/>
  <cols>
    <col min="1" max="1" width="14.33203125" customWidth="1"/>
    <col min="2" max="2" width="7.33203125" customWidth="1"/>
    <col min="3" max="3" width="8" customWidth="1"/>
    <col min="4" max="4" width="4.33203125" customWidth="1"/>
    <col min="5" max="5" width="7" customWidth="1"/>
    <col min="6" max="6" width="5.77734375" customWidth="1"/>
    <col min="7" max="7" width="5.109375" customWidth="1"/>
    <col min="8" max="8" width="4.109375" customWidth="1"/>
    <col min="9" max="9" width="16.33203125" customWidth="1"/>
    <col min="10" max="10" width="15.21875" customWidth="1"/>
  </cols>
  <sheetData>
    <row r="1" spans="1:10" x14ac:dyDescent="0.3">
      <c r="A1" s="23" t="s">
        <v>138</v>
      </c>
      <c r="B1" s="23" t="s">
        <v>1</v>
      </c>
      <c r="C1" s="23" t="s">
        <v>0</v>
      </c>
      <c r="D1" s="23" t="s">
        <v>2</v>
      </c>
      <c r="E1" s="23" t="s">
        <v>4</v>
      </c>
      <c r="F1" s="23" t="s">
        <v>16</v>
      </c>
      <c r="G1" s="23" t="s">
        <v>18</v>
      </c>
      <c r="H1" s="23" t="s">
        <v>20</v>
      </c>
      <c r="I1" s="23" t="s">
        <v>146</v>
      </c>
      <c r="J1" s="23" t="s">
        <v>147</v>
      </c>
    </row>
    <row r="2" spans="1:10" x14ac:dyDescent="0.3">
      <c r="A2" t="s">
        <v>89</v>
      </c>
      <c r="B2">
        <v>10</v>
      </c>
      <c r="C2" s="22">
        <v>2.5</v>
      </c>
      <c r="D2">
        <v>10</v>
      </c>
      <c r="E2">
        <f>D2/40</f>
        <v>0.25</v>
      </c>
      <c r="F2">
        <f>B2*C2</f>
        <v>25</v>
      </c>
      <c r="G2">
        <v>5</v>
      </c>
      <c r="H2">
        <f>B2/G2</f>
        <v>2</v>
      </c>
      <c r="I2" s="22">
        <f>(C2-B8)^2</f>
        <v>85.5625</v>
      </c>
      <c r="J2" s="22">
        <f>(C2-B8)^2*B2</f>
        <v>855.625</v>
      </c>
    </row>
    <row r="3" spans="1:10" x14ac:dyDescent="0.3">
      <c r="A3" s="17" t="s">
        <v>90</v>
      </c>
      <c r="B3">
        <v>10</v>
      </c>
      <c r="C3" s="22">
        <v>7.5</v>
      </c>
      <c r="D3">
        <f>D2+B3</f>
        <v>20</v>
      </c>
      <c r="E3">
        <f>D3/B$6</f>
        <v>0.5</v>
      </c>
      <c r="F3">
        <f>B3*C3</f>
        <v>75</v>
      </c>
      <c r="G3">
        <v>5</v>
      </c>
      <c r="H3">
        <f>B3/G3</f>
        <v>2</v>
      </c>
      <c r="I3" s="22">
        <f>(C3-B8)^2</f>
        <v>18.0625</v>
      </c>
      <c r="J3" s="22">
        <f>(C3-B8)^2*B3</f>
        <v>180.625</v>
      </c>
    </row>
    <row r="4" spans="1:10" x14ac:dyDescent="0.3">
      <c r="A4" s="17" t="s">
        <v>91</v>
      </c>
      <c r="B4">
        <v>10</v>
      </c>
      <c r="C4" s="22">
        <v>15</v>
      </c>
      <c r="D4">
        <f>D3+B4</f>
        <v>30</v>
      </c>
      <c r="E4">
        <f>D4/B$6</f>
        <v>0.75</v>
      </c>
      <c r="F4">
        <f>B4*C4</f>
        <v>150</v>
      </c>
      <c r="G4">
        <v>10</v>
      </c>
      <c r="H4">
        <f>B4/G4</f>
        <v>1</v>
      </c>
      <c r="I4" s="22">
        <f>(C4-B8)^2</f>
        <v>10.5625</v>
      </c>
      <c r="J4" s="22">
        <f>(C4-B8)^2*B4</f>
        <v>105.625</v>
      </c>
    </row>
    <row r="5" spans="1:10" x14ac:dyDescent="0.3">
      <c r="A5" s="1" t="s">
        <v>139</v>
      </c>
      <c r="B5">
        <v>10</v>
      </c>
      <c r="C5" s="22">
        <v>22</v>
      </c>
      <c r="D5">
        <f>D4+B5</f>
        <v>40</v>
      </c>
      <c r="E5">
        <f>D5/B$6</f>
        <v>1</v>
      </c>
      <c r="F5">
        <f>B5*C5</f>
        <v>220</v>
      </c>
      <c r="G5">
        <v>4</v>
      </c>
      <c r="H5" s="1">
        <f>B5/G5</f>
        <v>2.5</v>
      </c>
      <c r="I5" s="22">
        <f>(C5-B8)^2</f>
        <v>105.0625</v>
      </c>
      <c r="J5" s="22">
        <f>(C5-B8)^2*B5</f>
        <v>1050.625</v>
      </c>
    </row>
    <row r="6" spans="1:10" x14ac:dyDescent="0.3">
      <c r="B6">
        <f>SUM(B2:B5)</f>
        <v>40</v>
      </c>
      <c r="C6" s="22"/>
      <c r="F6">
        <f>F2+F3+F4+F5</f>
        <v>470</v>
      </c>
      <c r="J6" s="22">
        <f>SUM(J2:J5)</f>
        <v>2192.5</v>
      </c>
    </row>
    <row r="8" spans="1:10" x14ac:dyDescent="0.3">
      <c r="A8" s="25" t="s">
        <v>140</v>
      </c>
      <c r="B8">
        <f>F6/B6</f>
        <v>11.75</v>
      </c>
      <c r="C8" s="24" t="s">
        <v>150</v>
      </c>
    </row>
    <row r="9" spans="1:10" x14ac:dyDescent="0.3">
      <c r="A9" s="25" t="s">
        <v>140</v>
      </c>
      <c r="B9">
        <v>10</v>
      </c>
      <c r="C9" s="24" t="s">
        <v>150</v>
      </c>
    </row>
    <row r="10" spans="1:10" x14ac:dyDescent="0.3">
      <c r="A10" s="25" t="s">
        <v>141</v>
      </c>
      <c r="B10">
        <v>10</v>
      </c>
      <c r="C10" s="24" t="s">
        <v>150</v>
      </c>
    </row>
    <row r="11" spans="1:10" x14ac:dyDescent="0.3">
      <c r="A11" s="25" t="s">
        <v>142</v>
      </c>
      <c r="B11">
        <v>5</v>
      </c>
      <c r="C11" s="24" t="s">
        <v>150</v>
      </c>
    </row>
    <row r="12" spans="1:10" x14ac:dyDescent="0.3">
      <c r="A12" s="25" t="s">
        <v>143</v>
      </c>
      <c r="B12">
        <v>20</v>
      </c>
      <c r="C12" s="24" t="s">
        <v>150</v>
      </c>
    </row>
    <row r="13" spans="1:10" x14ac:dyDescent="0.3">
      <c r="A13" s="25" t="s">
        <v>144</v>
      </c>
      <c r="B13">
        <v>15</v>
      </c>
      <c r="C13" s="24" t="s">
        <v>150</v>
      </c>
    </row>
    <row r="14" spans="1:10" x14ac:dyDescent="0.3">
      <c r="A14" s="25" t="s">
        <v>145</v>
      </c>
      <c r="B14">
        <v>40</v>
      </c>
      <c r="C14" s="24" t="s">
        <v>150</v>
      </c>
    </row>
    <row r="15" spans="1:10" x14ac:dyDescent="0.3">
      <c r="A15" s="25" t="s">
        <v>148</v>
      </c>
      <c r="B15">
        <f>J6/B6</f>
        <v>54.8125</v>
      </c>
      <c r="C15" s="24" t="s">
        <v>151</v>
      </c>
    </row>
    <row r="16" spans="1:10" x14ac:dyDescent="0.3">
      <c r="A16" s="25" t="s">
        <v>149</v>
      </c>
      <c r="B16">
        <f>SQRT(B15)</f>
        <v>7.4035464474804238</v>
      </c>
      <c r="C16" s="24" t="s">
        <v>150</v>
      </c>
    </row>
    <row r="17" spans="1:2" x14ac:dyDescent="0.3">
      <c r="A17" s="25" t="s">
        <v>76</v>
      </c>
      <c r="B17">
        <f>B16/B8</f>
        <v>0.63008905936003612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8CEB-DFDC-472B-995A-D25541DBB1EA}">
  <dimension ref="A1:F8"/>
  <sheetViews>
    <sheetView tabSelected="1" workbookViewId="0">
      <selection activeCell="G11" sqref="G11"/>
    </sheetView>
  </sheetViews>
  <sheetFormatPr baseColWidth="10" defaultRowHeight="14.4" x14ac:dyDescent="0.3"/>
  <sheetData>
    <row r="1" spans="1:6" x14ac:dyDescent="0.3">
      <c r="A1" t="s">
        <v>110</v>
      </c>
      <c r="B1" t="s">
        <v>1</v>
      </c>
      <c r="C1" t="s">
        <v>0</v>
      </c>
      <c r="D1" t="s">
        <v>2</v>
      </c>
      <c r="E1" t="s">
        <v>3</v>
      </c>
      <c r="F1" t="s">
        <v>4</v>
      </c>
    </row>
    <row r="2" spans="1:6" x14ac:dyDescent="0.3">
      <c r="A2">
        <v>4</v>
      </c>
      <c r="B2">
        <v>1</v>
      </c>
      <c r="C2">
        <v>0.5</v>
      </c>
      <c r="D2">
        <v>45</v>
      </c>
      <c r="E2">
        <f t="shared" ref="E2:E7" si="0">B2/B$8</f>
        <v>6.6666666666666666E-2</v>
      </c>
      <c r="F2">
        <f t="shared" ref="F2:F7" si="1">D2/B$8</f>
        <v>3</v>
      </c>
    </row>
    <row r="3" spans="1:6" x14ac:dyDescent="0.3">
      <c r="A3">
        <v>5</v>
      </c>
      <c r="B3">
        <v>3</v>
      </c>
      <c r="C3">
        <v>1.5</v>
      </c>
      <c r="D3">
        <f>D2+B3</f>
        <v>48</v>
      </c>
      <c r="E3">
        <f t="shared" si="0"/>
        <v>0.2</v>
      </c>
      <c r="F3">
        <f t="shared" si="1"/>
        <v>3.2</v>
      </c>
    </row>
    <row r="4" spans="1:6" x14ac:dyDescent="0.3">
      <c r="A4">
        <v>6</v>
      </c>
      <c r="B4">
        <v>4</v>
      </c>
      <c r="C4">
        <v>2.5</v>
      </c>
      <c r="D4">
        <f t="shared" ref="D4:D7" si="2">D3+B4</f>
        <v>52</v>
      </c>
      <c r="E4">
        <f t="shared" si="0"/>
        <v>0.26666666666666666</v>
      </c>
      <c r="F4">
        <f t="shared" si="1"/>
        <v>3.4666666666666668</v>
      </c>
    </row>
    <row r="5" spans="1:6" x14ac:dyDescent="0.3">
      <c r="A5">
        <v>7</v>
      </c>
      <c r="B5">
        <v>3</v>
      </c>
      <c r="C5">
        <v>3.5</v>
      </c>
      <c r="D5">
        <f t="shared" si="2"/>
        <v>55</v>
      </c>
      <c r="E5">
        <f t="shared" si="0"/>
        <v>0.2</v>
      </c>
      <c r="F5">
        <f t="shared" si="1"/>
        <v>3.6666666666666665</v>
      </c>
    </row>
    <row r="6" spans="1:6" x14ac:dyDescent="0.3">
      <c r="A6">
        <v>8</v>
      </c>
      <c r="B6">
        <v>2</v>
      </c>
      <c r="C6">
        <v>4.5</v>
      </c>
      <c r="D6">
        <f t="shared" si="2"/>
        <v>57</v>
      </c>
      <c r="E6">
        <f t="shared" si="0"/>
        <v>0.13333333333333333</v>
      </c>
      <c r="F6">
        <f t="shared" si="1"/>
        <v>3.8</v>
      </c>
    </row>
    <row r="7" spans="1:6" x14ac:dyDescent="0.3">
      <c r="A7">
        <v>9</v>
      </c>
      <c r="B7">
        <v>2</v>
      </c>
      <c r="C7">
        <v>5.5</v>
      </c>
      <c r="D7">
        <f t="shared" si="2"/>
        <v>59</v>
      </c>
      <c r="E7">
        <f t="shared" si="0"/>
        <v>0.13333333333333333</v>
      </c>
      <c r="F7">
        <f t="shared" si="1"/>
        <v>3.9333333333333331</v>
      </c>
    </row>
    <row r="8" spans="1:6" x14ac:dyDescent="0.3">
      <c r="B8">
        <f>SUM(B2:B7)</f>
        <v>15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B792-30AF-484A-99D1-11E6BC418486}">
  <dimension ref="A1:G10"/>
  <sheetViews>
    <sheetView topLeftCell="C1" workbookViewId="0">
      <selection activeCell="B3" sqref="B3"/>
    </sheetView>
  </sheetViews>
  <sheetFormatPr baseColWidth="10" defaultRowHeight="14.4" x14ac:dyDescent="0.3"/>
  <cols>
    <col min="1" max="1" width="14.77734375" customWidth="1"/>
  </cols>
  <sheetData>
    <row r="1" spans="1:7" x14ac:dyDescent="0.3">
      <c r="A1" s="23" t="s">
        <v>153</v>
      </c>
      <c r="B1" s="23" t="s">
        <v>32</v>
      </c>
      <c r="C1" s="23" t="s">
        <v>157</v>
      </c>
      <c r="D1" s="23" t="s">
        <v>156</v>
      </c>
      <c r="E1" s="23" t="s">
        <v>155</v>
      </c>
      <c r="G1" s="26"/>
    </row>
    <row r="2" spans="1:7" x14ac:dyDescent="0.3">
      <c r="A2" s="23" t="s">
        <v>162</v>
      </c>
      <c r="B2">
        <v>30</v>
      </c>
      <c r="C2">
        <v>40</v>
      </c>
      <c r="D2">
        <v>50</v>
      </c>
      <c r="E2">
        <v>60</v>
      </c>
      <c r="F2">
        <f>SUM(B2:E2)</f>
        <v>180</v>
      </c>
      <c r="G2" s="26"/>
    </row>
    <row r="3" spans="1:7" x14ac:dyDescent="0.3">
      <c r="A3" s="23" t="s">
        <v>160</v>
      </c>
      <c r="B3">
        <v>6</v>
      </c>
      <c r="C3">
        <v>6</v>
      </c>
      <c r="D3">
        <v>5</v>
      </c>
      <c r="E3">
        <v>4</v>
      </c>
      <c r="G3" s="26"/>
    </row>
    <row r="4" spans="1:7" x14ac:dyDescent="0.3">
      <c r="A4" s="23" t="s">
        <v>161</v>
      </c>
      <c r="B4">
        <f>B2*B3</f>
        <v>180</v>
      </c>
      <c r="C4">
        <f t="shared" ref="C4:E4" si="0">C2*C3</f>
        <v>240</v>
      </c>
      <c r="D4">
        <f t="shared" si="0"/>
        <v>250</v>
      </c>
      <c r="E4">
        <f t="shared" si="0"/>
        <v>240</v>
      </c>
      <c r="F4">
        <f>SUM(B4:E4)</f>
        <v>910</v>
      </c>
      <c r="G4" s="26"/>
    </row>
    <row r="5" spans="1:7" x14ac:dyDescent="0.3">
      <c r="A5" s="23" t="s">
        <v>154</v>
      </c>
      <c r="B5">
        <v>1</v>
      </c>
      <c r="C5">
        <v>1.69</v>
      </c>
      <c r="D5">
        <v>0.81</v>
      </c>
      <c r="E5">
        <v>0.64</v>
      </c>
      <c r="G5" s="26"/>
    </row>
    <row r="6" spans="1:7" x14ac:dyDescent="0.3">
      <c r="A6" s="26"/>
      <c r="B6" s="26"/>
      <c r="C6" s="26"/>
      <c r="D6" s="26"/>
      <c r="E6" s="26"/>
      <c r="F6" s="26"/>
      <c r="G6" s="26"/>
    </row>
    <row r="7" spans="1:7" x14ac:dyDescent="0.3">
      <c r="A7" s="23" t="s">
        <v>158</v>
      </c>
      <c r="B7">
        <f>SQRT(B5)</f>
        <v>1</v>
      </c>
      <c r="C7">
        <f>SQRT(C5)</f>
        <v>1.3</v>
      </c>
      <c r="D7">
        <f t="shared" ref="D7:E7" si="1">SQRT(D5)</f>
        <v>0.9</v>
      </c>
      <c r="E7">
        <f t="shared" si="1"/>
        <v>0.8</v>
      </c>
      <c r="G7" s="26"/>
    </row>
    <row r="8" spans="1:7" x14ac:dyDescent="0.3">
      <c r="A8" s="23" t="s">
        <v>76</v>
      </c>
      <c r="B8" s="1">
        <f>B7/B3</f>
        <v>0.16666666666666666</v>
      </c>
      <c r="C8">
        <f t="shared" ref="C8:E8" si="2">C7/C3</f>
        <v>0.21666666666666667</v>
      </c>
      <c r="D8">
        <f t="shared" si="2"/>
        <v>0.18</v>
      </c>
      <c r="E8">
        <f t="shared" si="2"/>
        <v>0.2</v>
      </c>
      <c r="G8" s="26"/>
    </row>
    <row r="9" spans="1:7" x14ac:dyDescent="0.3">
      <c r="A9" s="23" t="s">
        <v>159</v>
      </c>
      <c r="B9">
        <f>F4/F2</f>
        <v>5.0555555555555554</v>
      </c>
      <c r="G9" s="26"/>
    </row>
    <row r="10" spans="1:7" x14ac:dyDescent="0.3">
      <c r="A10" s="26"/>
      <c r="B10" s="26"/>
      <c r="C10" s="26"/>
      <c r="D10" s="26"/>
      <c r="E10" s="26"/>
      <c r="F10" s="26"/>
      <c r="G10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11" sqref="B1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4</v>
      </c>
      <c r="C2">
        <f>B2</f>
        <v>4</v>
      </c>
      <c r="D2">
        <f>C2/B$10</f>
        <v>0.08</v>
      </c>
    </row>
    <row r="3" spans="1:4" x14ac:dyDescent="0.3">
      <c r="A3">
        <v>2</v>
      </c>
      <c r="B3">
        <v>4</v>
      </c>
      <c r="C3">
        <f>C2+B3</f>
        <v>8</v>
      </c>
      <c r="D3">
        <f t="shared" ref="D3:D9" si="0">C3/B$10</f>
        <v>0.16</v>
      </c>
    </row>
    <row r="4" spans="1:4" x14ac:dyDescent="0.3">
      <c r="A4">
        <v>3</v>
      </c>
      <c r="B4">
        <v>8</v>
      </c>
      <c r="C4">
        <f t="shared" ref="C4:C9" si="1">C3+B4</f>
        <v>16</v>
      </c>
      <c r="D4">
        <f t="shared" si="0"/>
        <v>0.32</v>
      </c>
    </row>
    <row r="5" spans="1:4" x14ac:dyDescent="0.3">
      <c r="A5">
        <v>4</v>
      </c>
      <c r="B5">
        <v>7</v>
      </c>
      <c r="C5">
        <f t="shared" si="1"/>
        <v>23</v>
      </c>
      <c r="D5">
        <f t="shared" si="0"/>
        <v>0.46</v>
      </c>
    </row>
    <row r="6" spans="1:4" x14ac:dyDescent="0.3">
      <c r="A6">
        <v>5</v>
      </c>
      <c r="B6">
        <v>5</v>
      </c>
      <c r="C6">
        <f t="shared" si="1"/>
        <v>28</v>
      </c>
      <c r="D6">
        <f t="shared" si="0"/>
        <v>0.56000000000000005</v>
      </c>
    </row>
    <row r="7" spans="1:4" x14ac:dyDescent="0.3">
      <c r="A7">
        <v>6</v>
      </c>
      <c r="B7">
        <v>10</v>
      </c>
      <c r="C7">
        <f t="shared" si="1"/>
        <v>38</v>
      </c>
      <c r="D7">
        <f t="shared" si="0"/>
        <v>0.76</v>
      </c>
    </row>
    <row r="8" spans="1:4" x14ac:dyDescent="0.3">
      <c r="A8">
        <v>7</v>
      </c>
      <c r="B8">
        <v>7</v>
      </c>
      <c r="C8">
        <f t="shared" si="1"/>
        <v>45</v>
      </c>
      <c r="D8">
        <f t="shared" si="0"/>
        <v>0.9</v>
      </c>
    </row>
    <row r="9" spans="1:4" x14ac:dyDescent="0.3">
      <c r="A9">
        <v>8</v>
      </c>
      <c r="B9">
        <v>5</v>
      </c>
      <c r="C9">
        <f t="shared" si="1"/>
        <v>50</v>
      </c>
      <c r="D9">
        <f t="shared" si="0"/>
        <v>1</v>
      </c>
    </row>
    <row r="10" spans="1:4" x14ac:dyDescent="0.3">
      <c r="B10">
        <f>SUM(B2:B9)</f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>
      <selection activeCell="D2" sqref="D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0</v>
      </c>
      <c r="B2">
        <v>3</v>
      </c>
      <c r="C2">
        <v>3</v>
      </c>
      <c r="D2">
        <f>B2/$B$13</f>
        <v>0.06</v>
      </c>
      <c r="E2">
        <f>C2/$B$13</f>
        <v>0.06</v>
      </c>
    </row>
    <row r="3" spans="1:6" x14ac:dyDescent="0.3">
      <c r="A3">
        <v>1</v>
      </c>
      <c r="B3">
        <v>4</v>
      </c>
      <c r="C3">
        <f>C2+B3</f>
        <v>7</v>
      </c>
      <c r="D3">
        <f t="shared" ref="D3:D12" si="0">B3/$B$13</f>
        <v>0.08</v>
      </c>
      <c r="E3">
        <f t="shared" ref="E3:E12" si="1">C3/$B$13</f>
        <v>0.14000000000000001</v>
      </c>
    </row>
    <row r="4" spans="1:6" x14ac:dyDescent="0.3">
      <c r="A4">
        <v>2</v>
      </c>
      <c r="B4">
        <v>6</v>
      </c>
      <c r="C4">
        <f>C3+B4</f>
        <v>13</v>
      </c>
      <c r="D4">
        <f t="shared" si="0"/>
        <v>0.12</v>
      </c>
      <c r="E4">
        <f t="shared" si="1"/>
        <v>0.26</v>
      </c>
    </row>
    <row r="5" spans="1:6" x14ac:dyDescent="0.3">
      <c r="A5">
        <v>3</v>
      </c>
      <c r="B5">
        <v>6</v>
      </c>
      <c r="C5">
        <f>C4+B5</f>
        <v>19</v>
      </c>
      <c r="D5">
        <f t="shared" si="0"/>
        <v>0.12</v>
      </c>
      <c r="E5">
        <f t="shared" si="1"/>
        <v>0.38</v>
      </c>
    </row>
    <row r="6" spans="1:6" x14ac:dyDescent="0.3">
      <c r="A6">
        <v>4</v>
      </c>
      <c r="B6">
        <v>5</v>
      </c>
      <c r="C6">
        <f>C5+B6</f>
        <v>24</v>
      </c>
      <c r="D6">
        <f t="shared" si="0"/>
        <v>0.1</v>
      </c>
      <c r="E6">
        <f t="shared" si="1"/>
        <v>0.48</v>
      </c>
      <c r="F6" t="s">
        <v>5</v>
      </c>
    </row>
    <row r="7" spans="1:6" x14ac:dyDescent="0.3">
      <c r="A7">
        <v>5</v>
      </c>
      <c r="B7">
        <v>7</v>
      </c>
      <c r="C7">
        <f>C6+B7</f>
        <v>31</v>
      </c>
      <c r="D7">
        <f t="shared" si="0"/>
        <v>0.14000000000000001</v>
      </c>
      <c r="E7">
        <f t="shared" si="1"/>
        <v>0.62</v>
      </c>
    </row>
    <row r="8" spans="1:6" x14ac:dyDescent="0.3">
      <c r="A8">
        <v>6</v>
      </c>
      <c r="B8">
        <v>4</v>
      </c>
      <c r="C8">
        <f t="shared" ref="C8:C12" si="2">C7+B8</f>
        <v>35</v>
      </c>
      <c r="D8">
        <f t="shared" si="0"/>
        <v>0.08</v>
      </c>
      <c r="E8">
        <f t="shared" si="1"/>
        <v>0.7</v>
      </c>
    </row>
    <row r="9" spans="1:6" x14ac:dyDescent="0.3">
      <c r="A9">
        <v>7</v>
      </c>
      <c r="B9">
        <v>5</v>
      </c>
      <c r="C9">
        <f t="shared" si="2"/>
        <v>40</v>
      </c>
      <c r="D9">
        <f t="shared" si="0"/>
        <v>0.1</v>
      </c>
      <c r="E9">
        <f t="shared" si="1"/>
        <v>0.8</v>
      </c>
    </row>
    <row r="10" spans="1:6" x14ac:dyDescent="0.3">
      <c r="A10">
        <v>8</v>
      </c>
      <c r="B10">
        <v>4</v>
      </c>
      <c r="C10">
        <f t="shared" si="2"/>
        <v>44</v>
      </c>
      <c r="D10">
        <f t="shared" si="0"/>
        <v>0.08</v>
      </c>
      <c r="E10">
        <f t="shared" si="1"/>
        <v>0.88</v>
      </c>
    </row>
    <row r="11" spans="1:6" x14ac:dyDescent="0.3">
      <c r="A11">
        <v>9</v>
      </c>
      <c r="B11">
        <v>3</v>
      </c>
      <c r="C11">
        <f t="shared" si="2"/>
        <v>47</v>
      </c>
      <c r="D11">
        <f t="shared" si="0"/>
        <v>0.06</v>
      </c>
      <c r="E11">
        <f t="shared" si="1"/>
        <v>0.94</v>
      </c>
    </row>
    <row r="12" spans="1:6" x14ac:dyDescent="0.3">
      <c r="A12">
        <v>10</v>
      </c>
      <c r="B12">
        <v>3</v>
      </c>
      <c r="C12">
        <f t="shared" si="2"/>
        <v>50</v>
      </c>
      <c r="D12">
        <f t="shared" si="0"/>
        <v>0.06</v>
      </c>
      <c r="E12">
        <f t="shared" si="1"/>
        <v>1</v>
      </c>
    </row>
    <row r="13" spans="1:6" x14ac:dyDescent="0.3">
      <c r="B13">
        <f>SUM(B2:B12)</f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1"/>
  <sheetViews>
    <sheetView topLeftCell="A4" workbookViewId="0">
      <selection activeCell="B23" sqref="B23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141</v>
      </c>
    </row>
    <row r="3" spans="1:5" x14ac:dyDescent="0.3">
      <c r="A3">
        <v>145</v>
      </c>
    </row>
    <row r="4" spans="1:5" x14ac:dyDescent="0.3">
      <c r="A4">
        <v>147</v>
      </c>
    </row>
    <row r="5" spans="1:5" x14ac:dyDescent="0.3">
      <c r="A5">
        <v>148</v>
      </c>
    </row>
    <row r="6" spans="1:5" x14ac:dyDescent="0.3">
      <c r="A6">
        <v>151</v>
      </c>
    </row>
    <row r="7" spans="1:5" x14ac:dyDescent="0.3">
      <c r="A7">
        <v>156</v>
      </c>
    </row>
    <row r="8" spans="1:5" x14ac:dyDescent="0.3">
      <c r="A8">
        <v>158</v>
      </c>
      <c r="B8">
        <v>2</v>
      </c>
    </row>
    <row r="9" spans="1:5" x14ac:dyDescent="0.3">
      <c r="A9">
        <v>161</v>
      </c>
    </row>
    <row r="10" spans="1:5" x14ac:dyDescent="0.3">
      <c r="A10">
        <v>162</v>
      </c>
      <c r="B10">
        <v>2</v>
      </c>
    </row>
    <row r="11" spans="1:5" x14ac:dyDescent="0.3">
      <c r="A11">
        <v>164</v>
      </c>
    </row>
    <row r="12" spans="1:5" x14ac:dyDescent="0.3">
      <c r="A12">
        <v>166</v>
      </c>
    </row>
    <row r="13" spans="1:5" x14ac:dyDescent="0.3">
      <c r="A13">
        <v>167</v>
      </c>
    </row>
    <row r="14" spans="1:5" x14ac:dyDescent="0.3">
      <c r="A14">
        <v>168</v>
      </c>
    </row>
    <row r="15" spans="1:5" x14ac:dyDescent="0.3">
      <c r="A15">
        <v>169</v>
      </c>
    </row>
    <row r="16" spans="1:5" x14ac:dyDescent="0.3">
      <c r="A16">
        <v>170</v>
      </c>
    </row>
    <row r="17" spans="1:2" x14ac:dyDescent="0.3">
      <c r="A17">
        <v>171</v>
      </c>
      <c r="B17">
        <v>2</v>
      </c>
    </row>
    <row r="18" spans="1:2" x14ac:dyDescent="0.3">
      <c r="A18">
        <v>172</v>
      </c>
      <c r="B18">
        <v>4</v>
      </c>
    </row>
    <row r="19" spans="1:2" x14ac:dyDescent="0.3">
      <c r="A19">
        <v>173</v>
      </c>
      <c r="B19">
        <v>3</v>
      </c>
    </row>
    <row r="20" spans="1:2" x14ac:dyDescent="0.3">
      <c r="A20">
        <v>174</v>
      </c>
    </row>
    <row r="21" spans="1:2" x14ac:dyDescent="0.3">
      <c r="A21">
        <v>175</v>
      </c>
    </row>
    <row r="22" spans="1:2" x14ac:dyDescent="0.3">
      <c r="A22">
        <v>176</v>
      </c>
      <c r="B22">
        <v>2</v>
      </c>
    </row>
    <row r="23" spans="1:2" x14ac:dyDescent="0.3">
      <c r="A23">
        <v>177</v>
      </c>
    </row>
    <row r="24" spans="1:2" x14ac:dyDescent="0.3">
      <c r="A24">
        <v>178</v>
      </c>
    </row>
    <row r="25" spans="1:2" x14ac:dyDescent="0.3">
      <c r="A25">
        <v>178</v>
      </c>
    </row>
    <row r="26" spans="1:2" x14ac:dyDescent="0.3">
      <c r="A26">
        <v>179</v>
      </c>
    </row>
    <row r="27" spans="1:2" x14ac:dyDescent="0.3">
      <c r="A27">
        <v>179</v>
      </c>
    </row>
    <row r="28" spans="1:2" x14ac:dyDescent="0.3">
      <c r="A28">
        <v>180</v>
      </c>
    </row>
    <row r="29" spans="1:2" x14ac:dyDescent="0.3">
      <c r="A29">
        <v>181</v>
      </c>
    </row>
    <row r="30" spans="1:2" x14ac:dyDescent="0.3">
      <c r="A30">
        <v>181</v>
      </c>
    </row>
    <row r="31" spans="1:2" x14ac:dyDescent="0.3">
      <c r="A31">
        <v>183</v>
      </c>
    </row>
    <row r="32" spans="1:2" x14ac:dyDescent="0.3">
      <c r="A32">
        <v>183</v>
      </c>
    </row>
    <row r="33" spans="1:1" x14ac:dyDescent="0.3">
      <c r="A33">
        <v>184</v>
      </c>
    </row>
    <row r="34" spans="1:1" x14ac:dyDescent="0.3">
      <c r="A34">
        <v>185</v>
      </c>
    </row>
    <row r="35" spans="1:1" x14ac:dyDescent="0.3">
      <c r="A35">
        <v>186</v>
      </c>
    </row>
    <row r="36" spans="1:1" x14ac:dyDescent="0.3">
      <c r="A36">
        <v>187</v>
      </c>
    </row>
    <row r="37" spans="1:1" x14ac:dyDescent="0.3">
      <c r="A37">
        <v>187</v>
      </c>
    </row>
    <row r="38" spans="1:1" x14ac:dyDescent="0.3">
      <c r="A38">
        <v>188</v>
      </c>
    </row>
    <row r="39" spans="1:1" x14ac:dyDescent="0.3">
      <c r="A39">
        <v>191</v>
      </c>
    </row>
    <row r="40" spans="1:1" x14ac:dyDescent="0.3">
      <c r="A40">
        <v>193</v>
      </c>
    </row>
    <row r="41" spans="1:1" x14ac:dyDescent="0.3">
      <c r="A41">
        <v>197</v>
      </c>
    </row>
  </sheetData>
  <sortState xmlns:xlrd2="http://schemas.microsoft.com/office/spreadsheetml/2017/richdata2" ref="A2:E5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EJER12</vt:lpstr>
      <vt:lpstr>EJER10</vt:lpstr>
      <vt:lpstr>EJER9</vt:lpstr>
      <vt:lpstr>EJER7</vt:lpstr>
      <vt:lpstr>EJER1</vt:lpstr>
      <vt:lpstr>EJER8</vt:lpstr>
      <vt:lpstr>Ejer. 2</vt:lpstr>
      <vt:lpstr>Ejer.3</vt:lpstr>
      <vt:lpstr>Ejer.4x</vt:lpstr>
      <vt:lpstr>Ejer. 5</vt:lpstr>
      <vt:lpstr>Ejer.6</vt:lpstr>
      <vt:lpstr>Ejer.7</vt:lpstr>
      <vt:lpstr>Ejer.8</vt:lpstr>
      <vt:lpstr>Ejer. 10</vt:lpstr>
      <vt:lpstr>Ejer.14</vt:lpstr>
      <vt:lpstr>Ejer.15</vt:lpstr>
      <vt:lpstr>Ejer.19</vt:lpstr>
      <vt:lpstr>Ejer.20</vt:lpstr>
      <vt:lpstr>MEDIA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Florentino</dc:creator>
  <cp:lastModifiedBy>Raúl Martínez</cp:lastModifiedBy>
  <dcterms:created xsi:type="dcterms:W3CDTF">2022-09-15T09:00:41Z</dcterms:created>
  <dcterms:modified xsi:type="dcterms:W3CDTF">2023-10-06T10:07:19Z</dcterms:modified>
</cp:coreProperties>
</file>